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omments1.xml" ContentType="application/vnd.openxmlformats-officedocument.spreadsheetml.comments+xml"/>
  <Override PartName="/xl/customProperty18.bin" ContentType="application/vnd.openxmlformats-officedocument.spreadsheetml.customProperty"/>
  <Override PartName="/xl/customProperty19.bin" ContentType="application/vnd.openxmlformats-officedocument.spreadsheetml.customProperty"/>
  <Override PartName="/xl/comments2.xml" ContentType="application/vnd.openxmlformats-officedocument.spreadsheetml.comments+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3.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xl/volatileDependencies.xml" ContentType="application/vnd.openxmlformats-officedocument.spreadsheetml.volatileDependenc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mc:AlternateContent xmlns:mc="http://schemas.openxmlformats.org/markup-compatibility/2006">
    <mc:Choice Requires="x15">
      <x15ac:absPath xmlns:x15ac="http://schemas.microsoft.com/office/spreadsheetml/2010/11/ac" url="\\firmwide.corp.gs.com\irroot\projects\hk\gc_tech_telco\GC Tech\0 Published Model\Client version\"/>
    </mc:Choice>
  </mc:AlternateContent>
  <xr:revisionPtr revIDLastSave="0" documentId="13_ncr:1_{FD3521E8-668E-4A78-A5FF-B6153C3D3A20}" xr6:coauthVersionLast="47" xr6:coauthVersionMax="47" xr10:uidLastSave="{00000000-0000-0000-0000-000000000000}"/>
  <bookViews>
    <workbookView xWindow="0" yWindow="0" windowWidth="28800" windowHeight="23400" autoFilterDateGrouping="0" xr2:uid="{00000000-000D-0000-FFFF-FFFF00000000}"/>
  </bookViews>
  <sheets>
    <sheet name="Cover Page" sheetId="110" r:id="rId1"/>
    <sheet name="Model" sheetId="75" r:id="rId2"/>
    <sheet name="Assumption" sheetId="148" r:id="rId3"/>
    <sheet name="TP" sheetId="157" r:id="rId4"/>
    <sheet name="Capacity" sheetId="149" r:id="rId5"/>
    <sheet name="10y capex" sheetId="164" state="hidden" r:id="rId6"/>
    <sheet name="Depreciation" sheetId="150" r:id="rId7"/>
    <sheet name="Discount PE new" sheetId="163" state="hidden" r:id="rId8"/>
    <sheet name="Basic Data TR" sheetId="142" state="hidden" r:id="rId9"/>
    <sheet name="Raw Data" sheetId="7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s>
  <definedNames>
    <definedName name="A_ALL_0981.HK">#REF!</definedName>
    <definedName name="A_ALL_2018.HK">#REF!</definedName>
    <definedName name="A_ALL_2303.TW">'[1]2303.TW_Annotation_Sheet'!$A$1:$CD$384</definedName>
    <definedName name="A_ALL_4966.TWO">#REF!</definedName>
    <definedName name="A_ALL_6415.TW">'[2]6415.TW_Annotation_Sheet'!$A$1:$BZ$286</definedName>
    <definedName name="A_ALL_KEYWORDS_TYPE_Breakdown_EQTY_200008919">#REF!</definedName>
    <definedName name="A_ALL_KEYWORDS_TYPE_ScalarContributed_EQTY_200006785">#REF!,#REF!,#REF!</definedName>
    <definedName name="A_ALL_KEYWORDS_TYPE_ScalarContributed_EQTY_200006786">#REF!,#REF!,#REF!,#REF!</definedName>
    <definedName name="A_ALL_KEYWORDS_TYPE_ScalarContributed_EQTY_200008919">#REF!,#REF!</definedName>
    <definedName name="A_ALL_KEYWORDS_TYPE_ScalarContributed_EQTY_200020752">#REF!,#REF!,#REF!</definedName>
    <definedName name="A_ALL_KEYWORDS_TYPE_ScalarContributed_ISSR_208002015">#REF!,#REF!</definedName>
    <definedName name="A_ALL_KEYWORDS_TYPE_Vector_EQTY_200006785">#REF!,#REF!,#REF!,#REF!,#REF!</definedName>
    <definedName name="A_ALL_KEYWORDS_TYPE_Vector_EQTY_200006786">#REF!,#REF!,#REF!,#REF!,#REF!,#REF!</definedName>
    <definedName name="A_ALL_KEYWORDS_TYPE_Vector_ISSR_208002015">#REF!,#REF!,#REF!,#REF!,#REF!,#REF!,#REF!,#REF!,#REF!,#REF!,#REF!,#REF!,#REF!</definedName>
    <definedName name="A_ALL_SECTION_KEYWORDS_EQTY_200006785_13A">#REF!</definedName>
    <definedName name="A_ALL_SECTION_KEYWORDS_EQTY_200006785_13K">#REF!</definedName>
    <definedName name="A_ALL_SECTION_KEYWORDS_EQTY_200006786_13A">#REF!</definedName>
    <definedName name="A_ALL_SECTION_KEYWORDS_EQTY_200006786_13K">#REF!</definedName>
    <definedName name="A_ALL_SECTION_KEYWORDS_EQTY_200008919_13A">#REF!</definedName>
    <definedName name="A_ALL_SECTION_KEYWORDS_EQTY_200020752_13A">#REF!</definedName>
    <definedName name="A_ALL_SECTION_KEYWORDS_ISSR_208002015_1314">#REF!</definedName>
    <definedName name="A_ALL_SECTION_KEYWORDS_ISSR_208002015_1319">#REF!</definedName>
    <definedName name="A_ALL_SECTION_KEYWORDS_ISSR_208002015_131E">#REF!</definedName>
    <definedName name="A_ALL_SECTION_KEYWORDS_ISSR_208002015_13V">#REF!,#REF!</definedName>
    <definedName name="E_ALL_0981.HK">#REF!</definedName>
    <definedName name="E_ALL_2018.HK">#REF!</definedName>
    <definedName name="E_ALL_2303.TW">'[1]2303.TW_Exchange_Sheet'!$A$1:$CD$384</definedName>
    <definedName name="E_ALL_4966.TWO">#REF!</definedName>
    <definedName name="E_ALL_6415.TW">'[2]6415.TW_Exchange_Sheet'!$A$1:$BZ$286</definedName>
    <definedName name="E_ALL_688008.SS">'[3]688008.SS_Exchange_Sheet'!$A$1:$BG$295</definedName>
    <definedName name="E_ALL_KEYWORDS_TYPE_ScalarContributed_EQTY_200019559">#REF!,#REF!</definedName>
    <definedName name="E_ALL_SECTION_KEYWORDS_EQTY_200019559_13A">#REF!</definedName>
    <definedName name="L_ALL_0981.HK">#REF!</definedName>
    <definedName name="L_ALL_2018.HK">#REF!</definedName>
    <definedName name="L_ALL_2303.TW">'[1]2303.TW_Live_Sheet'!$A$1:$CD$384</definedName>
    <definedName name="L_ALL_4966.TWO">#REF!</definedName>
    <definedName name="L_ALL_6415.TW">'[2]6415.TW_Live_Sheet'!$A$1:$BZ$286</definedName>
    <definedName name="L_ALL_688008.SS">'[3]688008.SS_Live_Sheet'!$A$1:$BG$295</definedName>
    <definedName name="L_ALL_KEYWORDS_TYPE_Breakdown_EQTY_200008919">#REF!</definedName>
    <definedName name="L_ALL_KEYWORDS_TYPE_ScalarContributed_EQTY_200006785">#REF!,#REF!,#REF!</definedName>
    <definedName name="L_ALL_KEYWORDS_TYPE_ScalarContributed_EQTY_200006786">#REF!,#REF!,#REF!,#REF!</definedName>
    <definedName name="L_ALL_KEYWORDS_TYPE_ScalarContributed_EQTY_200008919">#REF!,#REF!</definedName>
    <definedName name="L_ALL_KEYWORDS_TYPE_ScalarContributed_EQTY_200020752">#REF!,#REF!,#REF!</definedName>
    <definedName name="L_ALL_KEYWORDS_TYPE_ScalarContributed_ISSR_208002015">#REF!,#REF!</definedName>
    <definedName name="L_ALL_KEYWORDS_TYPE_Vector_EQTY_200006785">#REF!,#REF!,#REF!,#REF!,#REF!</definedName>
    <definedName name="L_ALL_KEYWORDS_TYPE_Vector_EQTY_200006786">#REF!,#REF!,#REF!,#REF!,#REF!,#REF!</definedName>
    <definedName name="L_ALL_KEYWORDS_TYPE_Vector_ISSR_208002015">#REF!,#REF!,#REF!,#REF!,#REF!,#REF!,#REF!,#REF!,#REF!,#REF!,#REF!,#REF!,#REF!</definedName>
    <definedName name="L_ALL_SECTION_KEYWORDS_EQTY_200006785_13A">#REF!</definedName>
    <definedName name="L_ALL_SECTION_KEYWORDS_EQTY_200006785_13K">#REF!</definedName>
    <definedName name="L_ALL_SECTION_KEYWORDS_EQTY_200006786_13A">#REF!</definedName>
    <definedName name="L_ALL_SECTION_KEYWORDS_EQTY_200006786_13K">#REF!</definedName>
    <definedName name="L_ALL_SECTION_KEYWORDS_EQTY_200008919_13A">#REF!</definedName>
    <definedName name="L_ALL_SECTION_KEYWORDS_EQTY_200020752_13A">#REF!</definedName>
    <definedName name="L_ALL_SECTION_KEYWORDS_ISSR_208002015_1314">#REF!</definedName>
    <definedName name="L_ALL_SECTION_KEYWORDS_ISSR_208002015_1319">#REF!</definedName>
    <definedName name="L_ALL_SECTION_KEYWORDS_ISSR_208002015_131E">#REF!</definedName>
    <definedName name="L_ALL_SECTION_KEYWORDS_ISSR_208002015_13V">#REF!,#REF!</definedName>
    <definedName name="_xlnm.Print_Area" localSheetId="2">Assumption!$A$1:$BK$294</definedName>
    <definedName name="_xlnm.Print_Titles" localSheetId="2">Assumption!$1:$3</definedName>
    <definedName name="Tigr_Exhibit00400428_a0e0_415d_9c1b_269d646b3614" localSheetId="0" hidden="1">#REF!</definedName>
    <definedName name="Tigr_Exhibit00400428_a0e0_415d_9c1b_269d646b3614" hidden="1">#REF!</definedName>
    <definedName name="Tigr_Exhibit00d43779_9baf_44e9_a854_8ff4c509d761" localSheetId="0" hidden="1">#REF!</definedName>
    <definedName name="Tigr_Exhibit00d43779_9baf_44e9_a854_8ff4c509d761" hidden="1">#REF!</definedName>
    <definedName name="Tigr_Exhibit08ce656f_3d2e_4942_b713_8527d8503af7" localSheetId="0" hidden="1">#REF!</definedName>
    <definedName name="Tigr_Exhibit08ce656f_3d2e_4942_b713_8527d8503af7" hidden="1">#REF!</definedName>
    <definedName name="Tigr_Exhibit1ce9642f_d9c5_417d_b3d2_6a5fc861d074" localSheetId="0" hidden="1">#REF!</definedName>
    <definedName name="Tigr_Exhibit1ce9642f_d9c5_417d_b3d2_6a5fc861d074" hidden="1">#REF!</definedName>
    <definedName name="Tigr_Exhibit2b816ec0_33c5_45bf_b5fa_3e18a9a2b010" localSheetId="0" hidden="1">#REF!</definedName>
    <definedName name="Tigr_Exhibit2b816ec0_33c5_45bf_b5fa_3e18a9a2b010" hidden="1">#REF!</definedName>
    <definedName name="Tigr_Exhibit31b91d07_1f8f_4088_a583_9357e81a697d" localSheetId="0" hidden="1">#REF!</definedName>
    <definedName name="Tigr_Exhibit31b91d07_1f8f_4088_a583_9357e81a697d" hidden="1">#REF!</definedName>
    <definedName name="Tigr_Exhibit34c5fed8_1f0f_46ab_a61a_c15d4d83118d" localSheetId="0" hidden="1">#REF!</definedName>
    <definedName name="Tigr_Exhibit34c5fed8_1f0f_46ab_a61a_c15d4d83118d" hidden="1">#REF!</definedName>
    <definedName name="Tigr_Exhibit3847e256_2a32_4b37_a4fe_cfbdce94e977" localSheetId="0" hidden="1">#REF!</definedName>
    <definedName name="Tigr_Exhibit3847e256_2a32_4b37_a4fe_cfbdce94e977" hidden="1">#REF!</definedName>
    <definedName name="Tigr_Exhibit4205ad55_9781_4289_bf12_fd12592939eb" localSheetId="0" hidden="1">#REF!</definedName>
    <definedName name="Tigr_Exhibit4205ad55_9781_4289_bf12_fd12592939eb" hidden="1">#REF!</definedName>
    <definedName name="Tigr_Exhibit46da0b89_e3f8_4af2_a6b7_374f4d72efdd" localSheetId="0" hidden="1">#REF!</definedName>
    <definedName name="Tigr_Exhibit46da0b89_e3f8_4af2_a6b7_374f4d72efdd" hidden="1">#REF!</definedName>
    <definedName name="Tigr_Exhibit48c03c34_bf41_44b4_9198_c2efd7f2cfd5" localSheetId="0" hidden="1">#REF!</definedName>
    <definedName name="Tigr_Exhibit48c03c34_bf41_44b4_9198_c2efd7f2cfd5" hidden="1">#REF!</definedName>
    <definedName name="Tigr_Exhibit50970383_b545_4790_a22f_d314d287a39d" localSheetId="0" hidden="1">#REF!</definedName>
    <definedName name="Tigr_Exhibit50970383_b545_4790_a22f_d314d287a39d" hidden="1">#REF!</definedName>
    <definedName name="Tigr_Exhibit56b33795_7bf8_4e87_b4e0_e52176a1d3c7" localSheetId="0" hidden="1">#REF!</definedName>
    <definedName name="Tigr_Exhibit56b33795_7bf8_4e87_b4e0_e52176a1d3c7" hidden="1">#REF!</definedName>
    <definedName name="Tigr_Exhibit68c3ac07_1db5_4ce4_a48a_436ca76c6afe" localSheetId="0" hidden="1">#REF!</definedName>
    <definedName name="Tigr_Exhibit68c3ac07_1db5_4ce4_a48a_436ca76c6afe" hidden="1">#REF!</definedName>
    <definedName name="Tigr_Exhibit6bf0b7f9_553b_4d4a_98bf_5a833381aea5" localSheetId="0" hidden="1">#REF!</definedName>
    <definedName name="Tigr_Exhibit6bf0b7f9_553b_4d4a_98bf_5a833381aea5" hidden="1">#REF!</definedName>
    <definedName name="Tigr_Exhibit9b60f733_be0b_4edb_84d6_e981fb87781a" localSheetId="0" hidden="1">#REF!</definedName>
    <definedName name="Tigr_Exhibit9b60f733_be0b_4edb_84d6_e981fb87781a" hidden="1">#REF!</definedName>
    <definedName name="Tigr_Exhibita93262e5_e8a9_4e8b_8519_2dac90c97095" hidden="1">#REF!</definedName>
    <definedName name="Tigr_Exhibitaa369b83_5c2d_4559_bc2a_18bb2f1417af" localSheetId="0" hidden="1">#REF!</definedName>
    <definedName name="Tigr_Exhibitaa369b83_5c2d_4559_bc2a_18bb2f1417af" hidden="1">#REF!</definedName>
    <definedName name="Tigr_Exhibitb1864d0f_5ddf_40cf_857f_2f221aa1077a" localSheetId="0" hidden="1">#REF!</definedName>
    <definedName name="Tigr_Exhibitb1864d0f_5ddf_40cf_857f_2f221aa1077a" hidden="1">#REF!</definedName>
    <definedName name="Tigr_Exhibitc8c188a3_efb3_458f_a8ae_688200f91a6a" localSheetId="0" hidden="1">#REF!</definedName>
    <definedName name="Tigr_Exhibitc8c188a3_efb3_458f_a8ae_688200f91a6a" hidden="1">#REF!</definedName>
    <definedName name="Tigr_Exhibitcfe88003_4191_497e_a629_84140342cace" localSheetId="0" hidden="1">#REF!</definedName>
    <definedName name="Tigr_Exhibitcfe88003_4191_497e_a629_84140342cace" hidden="1">#REF!</definedName>
    <definedName name="Tigr_Exhibitd049700a_8937_496d_aea1_4a0b8c2b4ab2" localSheetId="0" hidden="1">#REF!</definedName>
    <definedName name="Tigr_Exhibitd049700a_8937_496d_aea1_4a0b8c2b4ab2" hidden="1">#REF!</definedName>
    <definedName name="Tigr_Exhibitdcc1eb0d_8551_47a4_a0c4_6fe3df77517e" localSheetId="0" hidden="1">#REF!</definedName>
    <definedName name="Tigr_Exhibitdcc1eb0d_8551_47a4_a0c4_6fe3df77517e" hidden="1">#REF!</definedName>
    <definedName name="Tigr_Exhibitde6e44d7_7700_4102_8fca_1389eb4b0ec3" localSheetId="0" hidden="1">#REF!</definedName>
    <definedName name="Tigr_Exhibitde6e44d7_7700_4102_8fca_1389eb4b0ec3" hidden="1">#REF!</definedName>
    <definedName name="Tigr_Exhibite291a57f_a430_4769_9d3d_2ed947406e56" localSheetId="0" hidden="1">#REF!</definedName>
    <definedName name="Tigr_Exhibite291a57f_a430_4769_9d3d_2ed947406e56" hidden="1">#REF!</definedName>
    <definedName name="Tigr_Exhibite7b89801_728e_47d7_b690_b69a16dec4d1" localSheetId="0" hidden="1">#REF!</definedName>
    <definedName name="Tigr_Exhibite7b89801_728e_47d7_b690_b69a16dec4d1" hidden="1">#REF!</definedName>
    <definedName name="Tigr_Exhibitf558570c_782a_42bf_a8c9_fb2706b084f6" localSheetId="0" hidden="1">#REF!</definedName>
    <definedName name="Tigr_Exhibitf558570c_782a_42bf_a8c9_fb2706b084f6" hidden="1">#REF!</definedName>
    <definedName name="Tigr_Exhibitf5a729f1_8c8d_4391_9d18_a4b71011d31c" localSheetId="0" hidden="1">#REF!</definedName>
    <definedName name="Tigr_Exhibitf5a729f1_8c8d_4391_9d18_a4b71011d31c" hidden="1">#REF!</definedName>
    <definedName name="TRNR_721654bd52ea44c6aff19416d9a48454_4_1" hidden="1">#REF!</definedName>
    <definedName name="TRNR_9fde880638054dcda0b6e25c9a69e8c2_306_1" hidden="1">#REF!</definedName>
    <definedName name="TRNR_bbb4912acf204df1ab9d277c24c640f5_4_1" hidden="1">#REF!</definedName>
    <definedName name="TRNR_bcac4d4469d34ef5afbf829e062a1097_306_1" hidden="1">#REF!</definedName>
    <definedName name="TRNR_cf7c4239c1d440bc9b809755ad21be76_273_1" hidden="1">#REF!</definedName>
    <definedName name="TRNR_e7fd1052e7ce41998fdacb0c9372fda0_5_1" hidden="1">#REF!</definedName>
    <definedName name="V_ALL_0981.HK">#REF!</definedName>
    <definedName name="V_ALL_2018.HK">#REF!</definedName>
    <definedName name="V_ALL_2303.TW">'[1]2303.TW_Validation_Sheet'!$A$1:$CD$384</definedName>
    <definedName name="V_ALL_4966.TWO">#REF!</definedName>
    <definedName name="V_ALL_6415.TW">'[2]6415.TW_Validation_Sheet'!$A$1:$BZ$286</definedName>
    <definedName name="V_ALL_688008.SS">'[3]688008.SS_Validation_Sheet'!$A$1:$BG$295</definedName>
    <definedName name="V_ALL_KEYWORDS_TYPE_Breakdown_EQTY_200008919">#REF!</definedName>
    <definedName name="V_ALL_KEYWORDS_TYPE_ScalarContributed_EQTY_200006785">#REF!,#REF!,#REF!</definedName>
    <definedName name="V_ALL_KEYWORDS_TYPE_ScalarContributed_EQTY_200006786">#REF!,#REF!,#REF!,#REF!</definedName>
    <definedName name="V_ALL_KEYWORDS_TYPE_ScalarContributed_EQTY_200008919">#REF!,#REF!</definedName>
    <definedName name="V_ALL_KEYWORDS_TYPE_ScalarContributed_EQTY_200020752">#REF!,#REF!,#REF!</definedName>
    <definedName name="V_ALL_KEYWORDS_TYPE_ScalarContributed_ISSR_208002015">#REF!,#REF!</definedName>
    <definedName name="V_ALL_KEYWORDS_TYPE_Vector_EQTY_200006785">#REF!,#REF!,#REF!,#REF!,#REF!</definedName>
    <definedName name="V_ALL_KEYWORDS_TYPE_Vector_EQTY_200006786">#REF!,#REF!,#REF!,#REF!,#REF!,#REF!</definedName>
    <definedName name="V_ALL_KEYWORDS_TYPE_Vector_ISSR_208002015">#REF!,#REF!,#REF!,#REF!,#REF!,#REF!,#REF!,#REF!,#REF!,#REF!,#REF!,#REF!,#REF!</definedName>
    <definedName name="V_ALL_SECTION_KEYWORDS_EQTY_200006785_13A">#REF!</definedName>
    <definedName name="V_ALL_SECTION_KEYWORDS_EQTY_200006785_13K">#REF!</definedName>
    <definedName name="V_ALL_SECTION_KEYWORDS_EQTY_200006786_13A">#REF!</definedName>
    <definedName name="V_ALL_SECTION_KEYWORDS_EQTY_200006786_13K">#REF!</definedName>
    <definedName name="V_ALL_SECTION_KEYWORDS_EQTY_200008919_13A">#REF!</definedName>
    <definedName name="V_ALL_SECTION_KEYWORDS_EQTY_200020752_13A">#REF!</definedName>
    <definedName name="V_ALL_SECTION_KEYWORDS_ISSR_208002015_1314">#REF!</definedName>
    <definedName name="V_ALL_SECTION_KEYWORDS_ISSR_208002015_1319">#REF!</definedName>
    <definedName name="V_ALL_SECTION_KEYWORDS_ISSR_208002015_131E">#REF!</definedName>
    <definedName name="V_ALL_SECTION_KEYWORDS_ISSR_208002015_13V">#REF!,#REF!</definedName>
  </definedNames>
  <calcPr calcId="191029"/>
  <customWorkbookViews>
    <customWorkbookView name="Sheetal Unadkat - Personal View" guid="{6C9EC5C6-570C-4833-990D-EBE4C700E669}" mergeInterval="0" personalView="1" maximized="1" windowWidth="1268" windowHeight="799" tabRatio="800" activeSheetId="5"/>
    <customWorkbookView name="MEHTPA - Personal View" guid="{CB1EC698-F699-40F8-9700-EEA429015C92}" mergeInterval="0" personalView="1" xWindow="5" yWindow="24" windowWidth="2317" windowHeight="1209" tabRatio="885" activeSheetId="12"/>
    <customWorkbookView name="Ian Wainwright - Personal View" guid="{62481223-A8AD-11D4-AB95-00105A428564}" mergeInterval="0" personalView="1" maximized="1" windowWidth="1235" windowHeight="760" tabRatio="848" activeSheetId="17"/>
    <customWorkbookView name="Vikram Sahu - Personal View" guid="{263D1B69-9EEA-11D4-AAE3-000000000000}" mergeInterval="0" personalView="1" maximized="1" windowWidth="1276" windowHeight="777" tabRatio="848" activeSheetId="17" showComments="commIndAndComment"/>
    <customWorkbookView name="bengri - Personal View" guid="{B8501C8E-9F33-4778-ADC2-9364BC03E250}" mergeInterval="0" personalView="1" xWindow="5" yWindow="24" windowWidth="1260" windowHeight="798" tabRatio="939" activeSheetId="9"/>
    <customWorkbookView name="Paras Mehta - Personal View" guid="{321036AA-3276-44BC-8CB3-4CBCFA4F462F}" mergeInterval="0" personalView="1" xWindow="18" yWindow="34" windowWidth="2100" windowHeight="1147" tabRatio="939"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10" l="1"/>
  <c r="BM1" i="150" l="1"/>
  <c r="CJ27" i="150"/>
  <c r="CK27" i="150"/>
  <c r="CL27" i="150"/>
  <c r="CM27" i="150"/>
  <c r="CN27" i="150"/>
  <c r="CO27" i="150"/>
  <c r="CO32" i="150" s="1"/>
  <c r="CP27" i="150"/>
  <c r="CQ27" i="150"/>
  <c r="CR27" i="150"/>
  <c r="CJ28" i="150"/>
  <c r="CK28" i="150"/>
  <c r="CK29" i="150" s="1"/>
  <c r="CL28" i="150"/>
  <c r="CL29" i="150" s="1"/>
  <c r="CM28" i="150"/>
  <c r="CN28" i="150"/>
  <c r="CO28" i="150"/>
  <c r="CP28" i="150"/>
  <c r="CQ28" i="150"/>
  <c r="CQ29" i="150" s="1"/>
  <c r="CR28" i="150"/>
  <c r="CR29" i="150" s="1"/>
  <c r="CN29" i="150"/>
  <c r="CO29" i="150"/>
  <c r="CP29" i="150"/>
  <c r="CP31" i="150" s="1"/>
  <c r="CP32" i="150" s="1"/>
  <c r="CO31" i="150"/>
  <c r="CN91" i="150"/>
  <c r="CO91" i="150"/>
  <c r="CP91" i="150"/>
  <c r="CJ93" i="150"/>
  <c r="CK93" i="150"/>
  <c r="CK91" i="150" s="1"/>
  <c r="CL93" i="150"/>
  <c r="CL91" i="150" s="1"/>
  <c r="CM93" i="150"/>
  <c r="CM91" i="150" s="1"/>
  <c r="CN93" i="150"/>
  <c r="CO93" i="150"/>
  <c r="CP93" i="150"/>
  <c r="CQ93" i="150"/>
  <c r="CQ91" i="150" s="1"/>
  <c r="CR93" i="150"/>
  <c r="CR91" i="150" s="1"/>
  <c r="CS93" i="150"/>
  <c r="CS91" i="150" s="1"/>
  <c r="CT93" i="150"/>
  <c r="CU93" i="150"/>
  <c r="CJ95" i="150"/>
  <c r="CJ97" i="150" s="1"/>
  <c r="CK95" i="150"/>
  <c r="CL95" i="150"/>
  <c r="CM95" i="150"/>
  <c r="CN95" i="150"/>
  <c r="CO95" i="150"/>
  <c r="CP95" i="150"/>
  <c r="CP97" i="150" s="1"/>
  <c r="CQ95" i="150"/>
  <c r="CR95" i="150"/>
  <c r="CS95" i="150"/>
  <c r="CT95" i="150"/>
  <c r="CU95" i="150"/>
  <c r="CC96" i="150"/>
  <c r="CD96" i="150"/>
  <c r="CE96" i="150"/>
  <c r="CF96" i="150"/>
  <c r="CG96" i="150"/>
  <c r="CH96" i="150"/>
  <c r="CH95" i="150" s="1"/>
  <c r="CI96" i="150"/>
  <c r="CI95" i="150" s="1"/>
  <c r="CJ96" i="150"/>
  <c r="CK96" i="150"/>
  <c r="CL96" i="150"/>
  <c r="CM96" i="150"/>
  <c r="CN96" i="150"/>
  <c r="CO96" i="150"/>
  <c r="CP96" i="150"/>
  <c r="CQ96" i="150"/>
  <c r="CR96" i="150"/>
  <c r="CS96" i="150"/>
  <c r="CT96" i="150"/>
  <c r="CU96" i="150"/>
  <c r="CM97" i="150"/>
  <c r="CN97" i="150"/>
  <c r="CO97" i="150"/>
  <c r="CS97" i="150"/>
  <c r="CT97" i="150"/>
  <c r="CU97" i="150"/>
  <c r="CJ99" i="150"/>
  <c r="CK99" i="150"/>
  <c r="CL99" i="150"/>
  <c r="CM99" i="150"/>
  <c r="CM100" i="150" s="1"/>
  <c r="CN99" i="150"/>
  <c r="CO99" i="150"/>
  <c r="CO100" i="150" s="1"/>
  <c r="CP99" i="150"/>
  <c r="CQ99" i="150"/>
  <c r="CR99" i="150"/>
  <c r="CR100" i="150" s="1"/>
  <c r="CS99" i="150"/>
  <c r="CS100" i="150" s="1"/>
  <c r="CT99" i="150"/>
  <c r="CT100" i="150" s="1"/>
  <c r="CU99" i="150"/>
  <c r="CK100" i="150"/>
  <c r="CL100" i="150"/>
  <c r="CN100" i="150"/>
  <c r="CQ100" i="150"/>
  <c r="CU100" i="150"/>
  <c r="D102" i="157"/>
  <c r="C115" i="157"/>
  <c r="I135" i="157" a="1"/>
  <c r="CR30" i="150" l="1"/>
  <c r="CR31" i="150"/>
  <c r="CR32" i="150" s="1"/>
  <c r="CQ31" i="150"/>
  <c r="CQ32" i="150" s="1"/>
  <c r="CQ30" i="150"/>
  <c r="CP30" i="150"/>
  <c r="CM29" i="150"/>
  <c r="CR97" i="150"/>
  <c r="CL97" i="150"/>
  <c r="CQ97" i="150"/>
  <c r="CK97" i="150"/>
  <c r="CP100" i="150"/>
  <c r="CJ100" i="150"/>
  <c r="I135" i="157"/>
  <c r="J135" i="157" a="1"/>
  <c r="J135" i="157"/>
  <c r="K135" i="157" a="1"/>
  <c r="K135" i="157" l="1"/>
  <c r="D135" i="157" s="1"/>
  <c r="L135" i="157" a="1"/>
  <c r="L135" i="157"/>
  <c r="N135" i="157"/>
  <c r="E135" i="157" l="1"/>
  <c r="F135" i="157" s="1"/>
  <c r="I136" i="157"/>
  <c r="J136" i="157"/>
  <c r="D136" i="157" s="1"/>
  <c r="K136" i="157"/>
  <c r="L136" i="157"/>
  <c r="N136" i="157"/>
  <c r="E136" i="157" l="1"/>
  <c r="F136" i="157" s="1"/>
  <c r="I137" i="157" a="1"/>
  <c r="I137" i="157"/>
  <c r="J137" i="157" a="1"/>
  <c r="J137" i="157"/>
  <c r="K137" i="157" a="1"/>
  <c r="D137" i="157" l="1"/>
  <c r="K137" i="157"/>
  <c r="L137" i="157" a="1"/>
  <c r="L137" i="157"/>
  <c r="N137" i="157"/>
  <c r="E137" i="157" l="1"/>
  <c r="F137" i="157" s="1"/>
  <c r="I138" i="157" a="1"/>
  <c r="I138" i="157"/>
  <c r="J138" i="157" a="1"/>
  <c r="J138" i="157"/>
  <c r="K138" i="157" a="1"/>
  <c r="D138" i="157" l="1"/>
  <c r="K138" i="157"/>
  <c r="L138" i="157" a="1"/>
  <c r="L138" i="157"/>
  <c r="N138" i="157"/>
  <c r="E138" i="157" l="1"/>
  <c r="F138" i="157" s="1"/>
  <c r="I139" i="157" a="1"/>
  <c r="I139" i="157"/>
  <c r="J139" i="157" a="1"/>
  <c r="J139" i="157"/>
  <c r="K139" i="157" a="1"/>
  <c r="K139" i="157" l="1"/>
  <c r="D139" i="157" s="1"/>
  <c r="L139" i="157" a="1"/>
  <c r="L139" i="157"/>
  <c r="N139" i="157"/>
  <c r="E139" i="157" l="1"/>
  <c r="F139" i="157" s="1"/>
  <c r="I140" i="157" a="1"/>
  <c r="I140" i="157"/>
  <c r="J140" i="157" a="1"/>
  <c r="J140" i="157"/>
  <c r="K140" i="157" a="1"/>
  <c r="K140" i="157" l="1"/>
  <c r="D140" i="157" s="1"/>
  <c r="L140" i="157" a="1"/>
  <c r="L140" i="157"/>
  <c r="N140" i="157"/>
  <c r="E140" i="157" l="1"/>
  <c r="F140" i="157" s="1"/>
  <c r="I141" i="157" a="1"/>
  <c r="I141" i="157"/>
  <c r="J141" i="157" a="1"/>
  <c r="J141" i="157"/>
  <c r="K141" i="157" a="1"/>
  <c r="K141" i="157" l="1"/>
  <c r="D141" i="157" s="1"/>
  <c r="L141" i="157" a="1"/>
  <c r="L141" i="157"/>
  <c r="N141" i="157"/>
  <c r="E141" i="157" l="1"/>
  <c r="F141" i="157" s="1"/>
  <c r="I142" i="157" a="1"/>
  <c r="I142" i="157"/>
  <c r="J142" i="157" a="1"/>
  <c r="J142" i="157"/>
  <c r="K142" i="157" a="1"/>
  <c r="K142" i="157" l="1"/>
  <c r="D142" i="157" s="1"/>
  <c r="L142" i="157" a="1"/>
  <c r="L142" i="157"/>
  <c r="N142" i="157"/>
  <c r="E142" i="157" l="1"/>
  <c r="F142" i="157" s="1"/>
  <c r="I143" i="157" a="1"/>
  <c r="I143" i="157"/>
  <c r="J143" i="157" a="1"/>
  <c r="J143" i="157"/>
  <c r="K143" i="157" a="1"/>
  <c r="K143" i="157" l="1"/>
  <c r="D143" i="157" s="1"/>
  <c r="L143" i="157" a="1"/>
  <c r="L143" i="157"/>
  <c r="N143" i="157"/>
  <c r="E143" i="157" l="1"/>
  <c r="F143" i="157" s="1"/>
  <c r="I144" i="157" a="1"/>
  <c r="I144" i="157"/>
  <c r="J144" i="157" a="1"/>
  <c r="J144" i="157"/>
  <c r="K144" i="157" a="1"/>
  <c r="D144" i="157" l="1"/>
  <c r="K144" i="157"/>
  <c r="L144" i="157" a="1"/>
  <c r="L144" i="157"/>
  <c r="N144" i="157"/>
  <c r="I145" i="157" a="1"/>
  <c r="E144" i="157" l="1"/>
  <c r="F144" i="157" s="1"/>
  <c r="I145" i="157"/>
  <c r="J145" i="157" a="1"/>
  <c r="J145" i="157"/>
  <c r="K145" i="157" a="1"/>
  <c r="K145" i="157"/>
  <c r="L145" i="157" a="1"/>
  <c r="L145" i="157"/>
  <c r="N145" i="157"/>
  <c r="D146" i="157"/>
  <c r="N146" i="157"/>
  <c r="E146" i="157" l="1"/>
  <c r="F146" i="157" s="1"/>
  <c r="D149" i="157"/>
  <c r="N149" i="157"/>
  <c r="E149" i="157" l="1"/>
  <c r="F149" i="157" s="1"/>
  <c r="D150" i="157"/>
  <c r="N150" i="157"/>
  <c r="E150" i="157" l="1"/>
  <c r="F150" i="157" s="1"/>
  <c r="I151" i="157" a="1"/>
  <c r="I151" i="157"/>
  <c r="J151" i="157" a="1"/>
  <c r="J151" i="157"/>
  <c r="K151" i="157" a="1"/>
  <c r="D151" i="157" l="1"/>
  <c r="K151" i="157"/>
  <c r="L151" i="157" a="1"/>
  <c r="L151" i="157"/>
  <c r="N151" i="157"/>
  <c r="E151" i="157" l="1"/>
  <c r="F151" i="157" s="1"/>
  <c r="D152" i="157"/>
  <c r="N152" i="157"/>
  <c r="E152" i="157" l="1"/>
  <c r="F152" i="157" s="1"/>
  <c r="D153" i="157"/>
  <c r="N153" i="157"/>
  <c r="I154" i="157" a="1"/>
  <c r="E153" i="157" l="1"/>
  <c r="F153" i="157" s="1"/>
  <c r="I154" i="157"/>
  <c r="J154" i="157" a="1"/>
  <c r="J154" i="157"/>
  <c r="K154" i="157" a="1"/>
  <c r="K154" i="157"/>
  <c r="L154" i="157" a="1"/>
  <c r="L154" i="157"/>
  <c r="N154" i="157"/>
  <c r="I157" i="157" a="1"/>
  <c r="I157" i="157"/>
  <c r="J157" i="157" a="1"/>
  <c r="J157" i="157"/>
  <c r="K157" i="157" a="1"/>
  <c r="K157" i="157" l="1"/>
  <c r="D157" i="157" s="1"/>
  <c r="L157" i="157" a="1"/>
  <c r="L157" i="157"/>
  <c r="N157" i="157"/>
  <c r="E157" i="157" l="1"/>
  <c r="F157" i="157" s="1"/>
  <c r="D158" i="157"/>
  <c r="N158" i="157"/>
  <c r="E158" i="157" l="1"/>
  <c r="F158" i="157" s="1"/>
  <c r="D159" i="157"/>
  <c r="N159" i="157"/>
  <c r="E159" i="157" l="1"/>
  <c r="F159" i="157" s="1"/>
  <c r="I160" i="157" a="1"/>
  <c r="I160" i="157"/>
  <c r="J160" i="157" a="1"/>
  <c r="J160" i="157"/>
  <c r="K160" i="157" a="1"/>
  <c r="D160" i="157" l="1"/>
  <c r="K160" i="157"/>
  <c r="L160" i="157" a="1"/>
  <c r="L160" i="157"/>
  <c r="N160" i="157"/>
  <c r="E160" i="157" l="1"/>
  <c r="F160" i="157" s="1"/>
  <c r="I161" i="157" a="1"/>
  <c r="I161" i="157"/>
  <c r="J161" i="157" a="1"/>
  <c r="J161" i="157"/>
  <c r="K161" i="157" a="1"/>
  <c r="K161" i="157" l="1"/>
  <c r="D161" i="157" s="1"/>
  <c r="L161" i="157" a="1"/>
  <c r="L161" i="157"/>
  <c r="N161" i="157"/>
  <c r="E161" i="157" l="1"/>
  <c r="F161" i="157" s="1"/>
  <c r="I162" i="157" a="1"/>
  <c r="I162" i="157"/>
  <c r="J162" i="157" a="1"/>
  <c r="J162" i="157"/>
  <c r="K162" i="157" a="1"/>
  <c r="K162" i="157" l="1"/>
  <c r="D162" i="157" s="1"/>
  <c r="L162" i="157" a="1"/>
  <c r="L162" i="157"/>
  <c r="N162" i="157"/>
  <c r="E162" i="157" l="1"/>
  <c r="F162" i="157" s="1"/>
  <c r="I163" i="157" a="1"/>
  <c r="I163" i="157"/>
  <c r="J163" i="157" a="1"/>
  <c r="J163" i="157"/>
  <c r="K163" i="157" a="1"/>
  <c r="K163" i="157" l="1"/>
  <c r="D163" i="157" s="1"/>
  <c r="L163" i="157" a="1"/>
  <c r="L163" i="157"/>
  <c r="N163" i="157"/>
  <c r="E163" i="157" l="1"/>
  <c r="F163" i="157" s="1"/>
  <c r="L2" i="157"/>
  <c r="M2" i="157" s="1"/>
  <c r="BN6" i="150" l="1"/>
  <c r="AU263" i="148" l="1"/>
  <c r="AU264" i="148" s="1"/>
  <c r="AU265" i="148" s="1"/>
  <c r="AU266" i="148" s="1"/>
  <c r="AU267" i="148" s="1"/>
  <c r="AU268" i="148" s="1"/>
  <c r="AU269" i="148" s="1"/>
  <c r="AU270" i="148" s="1"/>
  <c r="AP263" i="148"/>
  <c r="AP264" i="148" s="1"/>
  <c r="AP265" i="148" s="1"/>
  <c r="AP266" i="148" s="1"/>
  <c r="AP267" i="148" s="1"/>
  <c r="AP268" i="148" s="1"/>
  <c r="AP269" i="148" s="1"/>
  <c r="AP270" i="148" s="1"/>
  <c r="AU136" i="148"/>
  <c r="AU133" i="148"/>
  <c r="CE77" i="75"/>
  <c r="CF77" i="75" s="1"/>
  <c r="CG77" i="75" s="1"/>
  <c r="CA77" i="75"/>
  <c r="CB77" i="75" s="1"/>
  <c r="CC77" i="75" s="1"/>
  <c r="BX43" i="75"/>
  <c r="AO264" i="148"/>
  <c r="AO265" i="148" s="1"/>
  <c r="AO266" i="148" s="1"/>
  <c r="AO267" i="148" s="1"/>
  <c r="AO268" i="148" s="1"/>
  <c r="AO269" i="148" s="1"/>
  <c r="AO270" i="148" s="1"/>
  <c r="AN264" i="148"/>
  <c r="AN265" i="148" s="1"/>
  <c r="AN266" i="148" s="1"/>
  <c r="AN267" i="148" s="1"/>
  <c r="AN268" i="148" s="1"/>
  <c r="AN269" i="148" s="1"/>
  <c r="AN270" i="148" s="1"/>
  <c r="AM264" i="148"/>
  <c r="AM265" i="148" s="1"/>
  <c r="AM266" i="148" s="1"/>
  <c r="AM267" i="148" s="1"/>
  <c r="AM268" i="148" s="1"/>
  <c r="AM269" i="148" s="1"/>
  <c r="AM270" i="148" s="1"/>
  <c r="BO3" i="150"/>
  <c r="BP3" i="150"/>
  <c r="P212" i="75"/>
  <c r="P222" i="75"/>
  <c r="P192" i="75"/>
  <c r="P190" i="75"/>
  <c r="P189" i="75"/>
  <c r="P175" i="75"/>
  <c r="P176" i="75"/>
  <c r="P177" i="75"/>
  <c r="P158" i="75"/>
  <c r="P159" i="75"/>
  <c r="P141" i="75"/>
  <c r="P138" i="75"/>
  <c r="P136" i="75"/>
  <c r="P132" i="75"/>
  <c r="P126" i="75"/>
  <c r="P117" i="75"/>
  <c r="AL277" i="148"/>
  <c r="AL238" i="148"/>
  <c r="AL163" i="148"/>
  <c r="AL81" i="148"/>
  <c r="AL39" i="148"/>
  <c r="BN100" i="150"/>
  <c r="AL115" i="148"/>
  <c r="AL85" i="148" s="1"/>
  <c r="AL114" i="148"/>
  <c r="AL84" i="148" s="1"/>
  <c r="AL113" i="148"/>
  <c r="AL83" i="148" s="1"/>
  <c r="AL112" i="148"/>
  <c r="AL82" i="148" s="1"/>
  <c r="AL110" i="148"/>
  <c r="AL80" i="148" s="1"/>
  <c r="AL109" i="148"/>
  <c r="AL79" i="148" s="1"/>
  <c r="AL108" i="148"/>
  <c r="AL78" i="148" s="1"/>
  <c r="AL107" i="148"/>
  <c r="AL77" i="148" s="1"/>
  <c r="CQ21" i="149"/>
  <c r="CQ20" i="149" s="1"/>
  <c r="CQ25" i="149" s="1"/>
  <c r="CQ19" i="149"/>
  <c r="CQ16" i="149"/>
  <c r="CQ26" i="149"/>
  <c r="CQ24" i="149"/>
  <c r="CQ17" i="149"/>
  <c r="CQ18" i="149"/>
  <c r="CQ11" i="149"/>
  <c r="CQ12" i="149"/>
  <c r="CQ13" i="149"/>
  <c r="CQ14" i="149"/>
  <c r="CQ15" i="149"/>
  <c r="AL16" i="148"/>
  <c r="AL11" i="148"/>
  <c r="AL18" i="148" s="1"/>
  <c r="BV63" i="75"/>
  <c r="BV43" i="75"/>
  <c r="BV39" i="75"/>
  <c r="BV24" i="75"/>
  <c r="AL280" i="148" s="1"/>
  <c r="BV23" i="75"/>
  <c r="AL279" i="148" s="1"/>
  <c r="BV22" i="75"/>
  <c r="AL278" i="148" s="1"/>
  <c r="AM115" i="148" l="1"/>
  <c r="P174" i="75"/>
  <c r="AL17" i="148"/>
  <c r="AL287" i="148"/>
  <c r="BV44" i="75"/>
  <c r="AL276" i="148"/>
  <c r="AL51" i="148" l="1"/>
  <c r="AL48" i="148"/>
  <c r="AL56" i="148"/>
  <c r="AL50" i="148"/>
  <c r="AL53" i="148"/>
  <c r="AL52" i="148"/>
  <c r="AL55" i="148"/>
  <c r="AL49" i="148"/>
  <c r="AL54" i="148"/>
  <c r="AL286" i="148"/>
  <c r="AN262" i="148"/>
  <c r="AT177" i="148"/>
  <c r="AS177" i="148"/>
  <c r="AW140" i="148"/>
  <c r="AU140" i="148"/>
  <c r="AW139" i="148"/>
  <c r="AU139" i="148"/>
  <c r="AW138" i="148"/>
  <c r="AU138" i="148"/>
  <c r="I48" i="164"/>
  <c r="J48" i="164"/>
  <c r="K48" i="164"/>
  <c r="L48" i="164"/>
  <c r="I93" i="164"/>
  <c r="J93" i="164"/>
  <c r="K93" i="164"/>
  <c r="L93" i="164"/>
  <c r="M93" i="164"/>
  <c r="I94" i="164"/>
  <c r="J94" i="164"/>
  <c r="K94" i="164"/>
  <c r="L94" i="164"/>
  <c r="M94" i="164"/>
  <c r="I95" i="164"/>
  <c r="J95" i="164"/>
  <c r="K95" i="164"/>
  <c r="L95" i="164"/>
  <c r="M95" i="164"/>
  <c r="I53" i="164"/>
  <c r="J53" i="164"/>
  <c r="K53" i="164"/>
  <c r="L53" i="164"/>
  <c r="M53" i="164"/>
  <c r="I54" i="164"/>
  <c r="J54" i="164"/>
  <c r="K54" i="164"/>
  <c r="L54" i="164"/>
  <c r="M54" i="164"/>
  <c r="I55" i="164"/>
  <c r="J55" i="164"/>
  <c r="K55" i="164"/>
  <c r="L55" i="164"/>
  <c r="M55" i="164"/>
  <c r="J37" i="164"/>
  <c r="K37" i="164"/>
  <c r="L37" i="164"/>
  <c r="M37" i="164"/>
  <c r="J38" i="164"/>
  <c r="K38" i="164"/>
  <c r="L38" i="164"/>
  <c r="M38" i="164"/>
  <c r="J39" i="164"/>
  <c r="K39" i="164"/>
  <c r="L39" i="164"/>
  <c r="M39" i="164"/>
  <c r="BW62" i="75"/>
  <c r="BX62" i="75" s="1"/>
  <c r="BY62" i="75" s="1"/>
  <c r="BZ62" i="75" s="1"/>
  <c r="CA62" i="75" s="1"/>
  <c r="CB62" i="75" s="1"/>
  <c r="CC62" i="75" s="1"/>
  <c r="CD62" i="75" s="1"/>
  <c r="CE62" i="75" s="1"/>
  <c r="CF62" i="75" s="1"/>
  <c r="CG62" i="75" s="1"/>
  <c r="CA43" i="75"/>
  <c r="CB43" i="75" s="1"/>
  <c r="CC43" i="75" s="1"/>
  <c r="CE43" i="75" s="1"/>
  <c r="CF43" i="75" s="1"/>
  <c r="CG43" i="75" s="1"/>
  <c r="AU283" i="148"/>
  <c r="AV283" i="148" s="1"/>
  <c r="BK156" i="150"/>
  <c r="BL156" i="150" s="1"/>
  <c r="BM156" i="150" s="1"/>
  <c r="BO156" i="150" s="1"/>
  <c r="BP156" i="150" s="1"/>
  <c r="BQ156" i="150" s="1"/>
  <c r="BS156" i="150" s="1"/>
  <c r="BT156" i="150" s="1"/>
  <c r="BU156" i="150" s="1"/>
  <c r="BV156" i="150" s="1"/>
  <c r="BW156" i="150" s="1"/>
  <c r="BX156" i="150" s="1"/>
  <c r="BY156" i="150" s="1"/>
  <c r="AQ133" i="148"/>
  <c r="AL212" i="148" l="1"/>
  <c r="AL58" i="148"/>
  <c r="AL213" i="148"/>
  <c r="AL59" i="148"/>
  <c r="AL208" i="148"/>
  <c r="AL57" i="148"/>
  <c r="AL207" i="148"/>
  <c r="AL209" i="148"/>
  <c r="AL215" i="148"/>
  <c r="AL210" i="148"/>
  <c r="AL211" i="148"/>
  <c r="Q62" i="75"/>
  <c r="AK163" i="148" l="1"/>
  <c r="AK273" i="148"/>
  <c r="AK277" i="148"/>
  <c r="AK278" i="148"/>
  <c r="AK279" i="148"/>
  <c r="AK195" i="148"/>
  <c r="AJ195" i="148"/>
  <c r="AI194" i="148"/>
  <c r="AE194" i="148"/>
  <c r="W194" i="148"/>
  <c r="X194" i="148" s="1"/>
  <c r="S238" i="148"/>
  <c r="T238" i="148"/>
  <c r="U238" i="148"/>
  <c r="V238" i="148"/>
  <c r="W238" i="148"/>
  <c r="X238" i="148"/>
  <c r="Y238" i="148"/>
  <c r="Z238" i="148"/>
  <c r="AA238" i="148"/>
  <c r="AB238" i="148"/>
  <c r="AC238" i="148"/>
  <c r="AD238" i="148"/>
  <c r="AE238" i="148"/>
  <c r="AF238" i="148"/>
  <c r="AG238" i="148"/>
  <c r="AH238" i="148"/>
  <c r="AI238" i="148"/>
  <c r="AJ238" i="148"/>
  <c r="AK238" i="148"/>
  <c r="AK39" i="148"/>
  <c r="AU144" i="148"/>
  <c r="AQ144" i="148"/>
  <c r="BC48" i="148"/>
  <c r="S144" i="148"/>
  <c r="T144" i="148" s="1"/>
  <c r="U144" i="148" s="1"/>
  <c r="W144" i="148" s="1"/>
  <c r="X144" i="148" s="1"/>
  <c r="Y144" i="148" s="1"/>
  <c r="Z144" i="148" s="1"/>
  <c r="AA144" i="148" s="1"/>
  <c r="AB144" i="148" s="1"/>
  <c r="AC144" i="148" s="1"/>
  <c r="AD144" i="148" s="1"/>
  <c r="AE144" i="148" s="1"/>
  <c r="AF144" i="148" s="1"/>
  <c r="AG144" i="148" s="1"/>
  <c r="R165" i="148"/>
  <c r="W37" i="148"/>
  <c r="X37" i="148" s="1"/>
  <c r="AA37" i="148" s="1"/>
  <c r="AD37" i="148" s="1"/>
  <c r="AE37" i="148" s="1"/>
  <c r="AH37" i="148" s="1"/>
  <c r="AI37" i="148" s="1"/>
  <c r="S37" i="148"/>
  <c r="R39" i="148"/>
  <c r="R46" i="148" s="1"/>
  <c r="R121" i="148"/>
  <c r="AJ194" i="148" l="1"/>
  <c r="AC194" i="148"/>
  <c r="Y194" i="148"/>
  <c r="AK194" i="148" l="1"/>
  <c r="W176" i="148" l="1"/>
  <c r="X176" i="148" s="1"/>
  <c r="Y176" i="148" s="1"/>
  <c r="Z176" i="148" s="1"/>
  <c r="AA176" i="148" s="1"/>
  <c r="AB176" i="148" s="1"/>
  <c r="AC176" i="148" s="1"/>
  <c r="AE176" i="148" s="1"/>
  <c r="AF176" i="148" s="1"/>
  <c r="AG176" i="148" s="1"/>
  <c r="AH176" i="148" s="1"/>
  <c r="AI176" i="148" s="1"/>
  <c r="AJ176" i="148" s="1"/>
  <c r="AM176" i="148" s="1"/>
  <c r="AQ176" i="148" s="1"/>
  <c r="AS176" i="148" s="1"/>
  <c r="AU176" i="148" s="1"/>
  <c r="AV176" i="148" s="1"/>
  <c r="AW176" i="148" s="1"/>
  <c r="S165" i="148"/>
  <c r="AV144" i="148"/>
  <c r="AW144" i="148" s="1"/>
  <c r="AS144" i="148"/>
  <c r="AM144" i="148"/>
  <c r="AO144" i="148" s="1"/>
  <c r="AI144" i="148"/>
  <c r="BC154" i="148"/>
  <c r="BC153" i="148" s="1"/>
  <c r="BC121" i="148"/>
  <c r="AM10" i="150"/>
  <c r="AN10" i="150"/>
  <c r="AO10" i="150"/>
  <c r="AP10" i="150"/>
  <c r="AQ10" i="150"/>
  <c r="AR10" i="150"/>
  <c r="AS10" i="150"/>
  <c r="AL11" i="150"/>
  <c r="AL10" i="150"/>
  <c r="AM105" i="150"/>
  <c r="AM153" i="150" s="1"/>
  <c r="AN105" i="150"/>
  <c r="AN153" i="150" s="1"/>
  <c r="AO105" i="150"/>
  <c r="AO153" i="150" s="1"/>
  <c r="AP105" i="150"/>
  <c r="AP153" i="150" s="1"/>
  <c r="AQ105" i="150"/>
  <c r="AQ153" i="150" s="1"/>
  <c r="AR105" i="150"/>
  <c r="AR153" i="150" s="1"/>
  <c r="AS105" i="150"/>
  <c r="AS153" i="150" s="1"/>
  <c r="AT105" i="150"/>
  <c r="AT153" i="150" s="1"/>
  <c r="AU105" i="150"/>
  <c r="AU153" i="150" s="1"/>
  <c r="AV105" i="150"/>
  <c r="AV153" i="150" s="1"/>
  <c r="AW105" i="150"/>
  <c r="AW153" i="150" s="1"/>
  <c r="AX105" i="150"/>
  <c r="AX153" i="150" s="1"/>
  <c r="AY105" i="150"/>
  <c r="AY153" i="150" s="1"/>
  <c r="AZ105" i="150"/>
  <c r="AZ153" i="150" s="1"/>
  <c r="BA105" i="150"/>
  <c r="BA153" i="150" s="1"/>
  <c r="BB105" i="150"/>
  <c r="BB153" i="150" s="1"/>
  <c r="BC105" i="150"/>
  <c r="BC153" i="150" s="1"/>
  <c r="BD105" i="150"/>
  <c r="BD153" i="150" s="1"/>
  <c r="BE105" i="150"/>
  <c r="BE153" i="150" s="1"/>
  <c r="BF105" i="150"/>
  <c r="BF153" i="150" s="1"/>
  <c r="BG105" i="150"/>
  <c r="BG153" i="150" s="1"/>
  <c r="BH105" i="150"/>
  <c r="BH153" i="150" s="1"/>
  <c r="BI105" i="150"/>
  <c r="BI153" i="150" s="1"/>
  <c r="BJ105" i="150"/>
  <c r="BJ153" i="150" s="1"/>
  <c r="BK105" i="150"/>
  <c r="BK153" i="150" s="1"/>
  <c r="BL105" i="150"/>
  <c r="BL153" i="150" s="1"/>
  <c r="BM105" i="150"/>
  <c r="BM153" i="150" s="1"/>
  <c r="BN105" i="150"/>
  <c r="BN153" i="150" s="1"/>
  <c r="BO105" i="150"/>
  <c r="BO153" i="150" s="1"/>
  <c r="BP105" i="150"/>
  <c r="BP153" i="150" s="1"/>
  <c r="BQ105" i="150"/>
  <c r="BQ153" i="150" s="1"/>
  <c r="BR105" i="150"/>
  <c r="BR153" i="150" s="1"/>
  <c r="BS105" i="150"/>
  <c r="BS153" i="150" s="1"/>
  <c r="BT105" i="150"/>
  <c r="BT153" i="150" s="1"/>
  <c r="BU105" i="150"/>
  <c r="BU153" i="150" s="1"/>
  <c r="BV105" i="150"/>
  <c r="BV153" i="150" s="1"/>
  <c r="BW105" i="150"/>
  <c r="BW153" i="150" s="1"/>
  <c r="BX105" i="150"/>
  <c r="BX153" i="150" s="1"/>
  <c r="BY105" i="150"/>
  <c r="BY153" i="150" s="1"/>
  <c r="AL105" i="150"/>
  <c r="AL153" i="150" s="1"/>
  <c r="S121" i="148"/>
  <c r="T121" i="148" s="1"/>
  <c r="U121" i="148" s="1"/>
  <c r="AS154" i="150"/>
  <c r="AT154" i="150"/>
  <c r="BC93" i="148"/>
  <c r="R93" i="148"/>
  <c r="AK103" i="148"/>
  <c r="R107" i="75"/>
  <c r="S107" i="75"/>
  <c r="CD24" i="75"/>
  <c r="BJ293" i="148"/>
  <c r="BK293" i="148"/>
  <c r="BK111" i="148"/>
  <c r="BK19" i="148"/>
  <c r="AU292" i="148"/>
  <c r="AU280" i="148" s="1"/>
  <c r="CE24" i="75" s="1"/>
  <c r="AU284" i="148"/>
  <c r="AV284" i="148" s="1"/>
  <c r="AW284" i="148" s="1"/>
  <c r="AW283" i="148"/>
  <c r="AU282" i="148"/>
  <c r="AV282" i="148" s="1"/>
  <c r="AW282" i="148" s="1"/>
  <c r="AT280" i="148"/>
  <c r="AT178" i="148"/>
  <c r="AT179" i="148" s="1"/>
  <c r="AT180" i="148" s="1"/>
  <c r="AT181" i="148" s="1"/>
  <c r="AT182" i="148" s="1"/>
  <c r="AT183" i="148" s="1"/>
  <c r="AT184" i="148" s="1"/>
  <c r="AW137" i="148"/>
  <c r="AW136" i="148"/>
  <c r="AW135" i="148"/>
  <c r="AU135" i="148"/>
  <c r="AW134" i="148"/>
  <c r="AU134" i="148"/>
  <c r="AW133" i="148"/>
  <c r="AW103" i="148"/>
  <c r="AV103" i="148"/>
  <c r="AU103" i="148"/>
  <c r="AT103" i="148"/>
  <c r="AW81" i="148"/>
  <c r="BK81" i="148" s="1"/>
  <c r="AV81" i="148"/>
  <c r="AU81" i="148"/>
  <c r="AT81" i="148"/>
  <c r="S93" i="148" l="1"/>
  <c r="AU154" i="150"/>
  <c r="T165" i="148"/>
  <c r="BD121" i="148"/>
  <c r="AL12" i="150"/>
  <c r="AT155" i="150"/>
  <c r="AT157" i="150" s="1"/>
  <c r="AT160" i="150" s="1"/>
  <c r="AV154" i="150"/>
  <c r="AU155" i="150"/>
  <c r="AU157" i="150" s="1"/>
  <c r="AU161" i="150" s="1"/>
  <c r="V121" i="148"/>
  <c r="T93" i="148"/>
  <c r="AW154" i="150"/>
  <c r="U93" i="148"/>
  <c r="BD93" i="148" s="1"/>
  <c r="AV292" i="148"/>
  <c r="AV280" i="148" s="1"/>
  <c r="CF24" i="75" l="1"/>
  <c r="AV155" i="150"/>
  <c r="AV157" i="150" s="1"/>
  <c r="AV162" i="150" s="1"/>
  <c r="U165" i="148"/>
  <c r="W121" i="148"/>
  <c r="W93" i="148" s="1"/>
  <c r="AX154" i="150"/>
  <c r="AX155" i="150" s="1"/>
  <c r="AX157" i="150" s="1"/>
  <c r="AX164" i="150" s="1"/>
  <c r="AU10" i="150"/>
  <c r="AT192" i="150"/>
  <c r="R229" i="148" s="1"/>
  <c r="AT10" i="150"/>
  <c r="AW155" i="150"/>
  <c r="AW157" i="150" s="1"/>
  <c r="AW163" i="150" s="1"/>
  <c r="V93" i="148"/>
  <c r="AW292" i="148"/>
  <c r="AW280" i="148" s="1"/>
  <c r="CG24" i="75" s="1"/>
  <c r="AV10" i="150" l="1"/>
  <c r="BK292" i="148"/>
  <c r="BK280" i="148"/>
  <c r="V165" i="148"/>
  <c r="X121" i="148"/>
  <c r="AY154" i="150"/>
  <c r="AY155" i="150" s="1"/>
  <c r="AY157" i="150" s="1"/>
  <c r="AX10" i="150"/>
  <c r="AW10" i="150"/>
  <c r="AY10" i="150" l="1"/>
  <c r="AY165" i="150"/>
  <c r="W165" i="148"/>
  <c r="Y121" i="148"/>
  <c r="BE121" i="148" s="1"/>
  <c r="X93" i="148"/>
  <c r="AZ154" i="150"/>
  <c r="AZ155" i="150" s="1"/>
  <c r="AZ157" i="150" s="1"/>
  <c r="AZ166" i="150" s="1"/>
  <c r="X165" i="148" l="1"/>
  <c r="AZ10" i="150"/>
  <c r="Z121" i="148"/>
  <c r="BA154" i="150"/>
  <c r="BA155" i="150" s="1"/>
  <c r="BA157" i="150" s="1"/>
  <c r="BA167" i="150" s="1"/>
  <c r="Y165" i="148" l="1"/>
  <c r="BA10" i="150"/>
  <c r="AA121" i="148"/>
  <c r="Z93" i="148"/>
  <c r="Z165" i="148" l="1"/>
  <c r="AB121" i="148"/>
  <c r="AA93" i="148"/>
  <c r="AA165" i="148" l="1"/>
  <c r="AB93" i="148"/>
  <c r="AC121" i="148"/>
  <c r="AB165" i="148" l="1"/>
  <c r="AC93" i="148"/>
  <c r="AD121" i="148"/>
  <c r="AC165" i="148" l="1"/>
  <c r="AE121" i="148"/>
  <c r="AD93" i="148"/>
  <c r="AD165" i="148" l="1"/>
  <c r="AF121" i="148"/>
  <c r="AE93" i="148"/>
  <c r="AE165" i="148" l="1"/>
  <c r="AG121" i="148"/>
  <c r="AF93" i="148"/>
  <c r="AF165" i="148" l="1"/>
  <c r="AH121" i="148"/>
  <c r="AG93" i="148"/>
  <c r="AG165" i="148" l="1"/>
  <c r="AH93" i="148"/>
  <c r="AI121" i="148"/>
  <c r="AH165" i="148" l="1"/>
  <c r="AI93" i="148"/>
  <c r="AJ121" i="148"/>
  <c r="AI165" i="148" l="1"/>
  <c r="AK121" i="148"/>
  <c r="AL121" i="148" s="1"/>
  <c r="AJ93" i="148"/>
  <c r="AL93" i="148" l="1"/>
  <c r="AM121" i="148"/>
  <c r="AN121" i="148" s="1"/>
  <c r="AO121" i="148" s="1"/>
  <c r="AP121" i="148" s="1"/>
  <c r="AQ121" i="148" s="1"/>
  <c r="AR121" i="148" s="1"/>
  <c r="AS121" i="148" s="1"/>
  <c r="AT121" i="148" s="1"/>
  <c r="AU121" i="148" s="1"/>
  <c r="AV121" i="148" s="1"/>
  <c r="AW121" i="148" s="1"/>
  <c r="AJ165" i="148"/>
  <c r="AK93" i="148"/>
  <c r="AK165" i="148" l="1"/>
  <c r="AL165" i="148" s="1"/>
  <c r="AL154" i="148" s="1"/>
  <c r="AM93" i="148" l="1"/>
  <c r="AM165" i="148" l="1"/>
  <c r="AN93" i="148"/>
  <c r="AN165" i="148" l="1"/>
  <c r="AO93" i="148"/>
  <c r="AO132" i="148" l="1"/>
  <c r="AN154" i="148"/>
  <c r="AN48" i="148" s="1"/>
  <c r="AO165" i="148"/>
  <c r="AP154" i="148"/>
  <c r="AP93" i="148"/>
  <c r="AQ132" i="148" l="1"/>
  <c r="AS132" i="148" s="1"/>
  <c r="AU132" i="148" s="1"/>
  <c r="AW132" i="148" s="1"/>
  <c r="AO154" i="148"/>
  <c r="AO48" i="148" s="1"/>
  <c r="AP165" i="148"/>
  <c r="BS154" i="150"/>
  <c r="AQ93" i="148"/>
  <c r="AQ154" i="148" l="1"/>
  <c r="AQ165" i="148"/>
  <c r="AP48" i="148"/>
  <c r="AR154" i="148"/>
  <c r="BT154" i="150"/>
  <c r="BT155" i="150" s="1"/>
  <c r="BT157" i="150" s="1"/>
  <c r="BT186" i="150" s="1"/>
  <c r="AR93" i="148"/>
  <c r="AR165" i="148" l="1"/>
  <c r="AQ48" i="148"/>
  <c r="AS154" i="148"/>
  <c r="BU154" i="150"/>
  <c r="BU155" i="150" s="1"/>
  <c r="BU157" i="150" s="1"/>
  <c r="BU187" i="150" s="1"/>
  <c r="AS93" i="148"/>
  <c r="BT10" i="150"/>
  <c r="AS165" i="148" l="1"/>
  <c r="AR48" i="148"/>
  <c r="AT154" i="148"/>
  <c r="BV154" i="150"/>
  <c r="BV155" i="150" s="1"/>
  <c r="BV157" i="150" s="1"/>
  <c r="BV188" i="150" s="1"/>
  <c r="AT93" i="148"/>
  <c r="BU10" i="150"/>
  <c r="AT165" i="148" l="1"/>
  <c r="AS48" i="148"/>
  <c r="AU154" i="148"/>
  <c r="AU93" i="148"/>
  <c r="BW154" i="150"/>
  <c r="BW155" i="150" s="1"/>
  <c r="BW157" i="150" s="1"/>
  <c r="BW189" i="150" s="1"/>
  <c r="BV10" i="150"/>
  <c r="AU165" i="148" l="1"/>
  <c r="AT48" i="148"/>
  <c r="AV154" i="148"/>
  <c r="AV93" i="148"/>
  <c r="BK121" i="148"/>
  <c r="BX154" i="150"/>
  <c r="BX155" i="150" s="1"/>
  <c r="BX157" i="150" s="1"/>
  <c r="BX190" i="150" s="1"/>
  <c r="BW10" i="150"/>
  <c r="AV165" i="148" l="1"/>
  <c r="AU48" i="148"/>
  <c r="BX10" i="150"/>
  <c r="AW154" i="148"/>
  <c r="BK154" i="148" s="1"/>
  <c r="BK153" i="148" s="1"/>
  <c r="BY154" i="150"/>
  <c r="BY155" i="150" s="1"/>
  <c r="BY157" i="150" s="1"/>
  <c r="BY191" i="150" s="1"/>
  <c r="AW93" i="148"/>
  <c r="BK93" i="148" s="1"/>
  <c r="M24" i="164" s="1"/>
  <c r="AW165" i="148" l="1"/>
  <c r="AV48" i="148"/>
  <c r="BY10" i="150"/>
  <c r="BK144" i="148"/>
  <c r="BK132" i="148" s="1"/>
  <c r="AW48" i="148" l="1"/>
  <c r="BK48" i="148" l="1"/>
  <c r="BK165" i="148" l="1"/>
  <c r="M8" i="164"/>
  <c r="BQ3" i="150" l="1"/>
  <c r="BU3" i="150" s="1"/>
  <c r="BS3" i="150" l="1"/>
  <c r="BW3" i="150" s="1"/>
  <c r="BT3" i="150"/>
  <c r="BY3" i="150"/>
  <c r="BY4" i="150" s="1"/>
  <c r="BY7" i="150" s="1"/>
  <c r="BR3" i="150"/>
  <c r="BV3" i="150" s="1"/>
  <c r="BW4" i="150"/>
  <c r="CP24" i="149"/>
  <c r="CP26" i="149" s="1"/>
  <c r="AK16" i="148"/>
  <c r="AJ16" i="148"/>
  <c r="AK11" i="148"/>
  <c r="AK17" i="148" s="1"/>
  <c r="BU7" i="75"/>
  <c r="BU66" i="75"/>
  <c r="BU63" i="75"/>
  <c r="BU43" i="75"/>
  <c r="BM100" i="150"/>
  <c r="BM4" i="150"/>
  <c r="BU24" i="75"/>
  <c r="AK280" i="148" s="1"/>
  <c r="BU14" i="75"/>
  <c r="BU16" i="75" s="1"/>
  <c r="BR154" i="150"/>
  <c r="BS155" i="150" s="1"/>
  <c r="BS157" i="150" s="1"/>
  <c r="BJ121" i="148"/>
  <c r="BJ111" i="148"/>
  <c r="BJ19" i="148"/>
  <c r="AQ292" i="148"/>
  <c r="AQ284" i="148"/>
  <c r="AR284" i="148" s="1"/>
  <c r="AS284" i="148" s="1"/>
  <c r="AQ283" i="148"/>
  <c r="AR283" i="148" s="1"/>
  <c r="AS283" i="148" s="1"/>
  <c r="AQ282" i="148"/>
  <c r="AR282" i="148" s="1"/>
  <c r="AS282" i="148" s="1"/>
  <c r="AP280" i="148"/>
  <c r="AP178" i="148"/>
  <c r="AP179" i="148" s="1"/>
  <c r="AP180" i="148" s="1"/>
  <c r="AP181" i="148" s="1"/>
  <c r="AP182" i="148" s="1"/>
  <c r="AP183" i="148" s="1"/>
  <c r="AP184" i="148" s="1"/>
  <c r="BJ154" i="148"/>
  <c r="AS140" i="148"/>
  <c r="AQ140" i="148"/>
  <c r="AS139" i="148"/>
  <c r="AQ139" i="148"/>
  <c r="AS138" i="148"/>
  <c r="AQ138" i="148"/>
  <c r="AS137" i="148"/>
  <c r="AS136" i="148"/>
  <c r="AS135" i="148"/>
  <c r="AQ135" i="148"/>
  <c r="AS134" i="148"/>
  <c r="AQ134" i="148"/>
  <c r="AS133" i="148"/>
  <c r="AS103" i="148"/>
  <c r="AR103" i="148"/>
  <c r="AQ103" i="148"/>
  <c r="AP103" i="148"/>
  <c r="BJ93" i="148"/>
  <c r="L24" i="164" s="1"/>
  <c r="AS81" i="148"/>
  <c r="BJ81" i="148" s="1"/>
  <c r="AR81" i="148"/>
  <c r="AQ81" i="148"/>
  <c r="AP81" i="148"/>
  <c r="BP6" i="75"/>
  <c r="BT6" i="75"/>
  <c r="AQ280" i="148" l="1"/>
  <c r="AT285" i="148"/>
  <c r="BZ24" i="75"/>
  <c r="M40" i="164"/>
  <c r="BU18" i="75"/>
  <c r="AK25" i="148"/>
  <c r="AK26" i="148" s="1"/>
  <c r="AK51" i="148"/>
  <c r="AK55" i="148"/>
  <c r="AK52" i="148"/>
  <c r="AK48" i="148"/>
  <c r="AK56" i="148"/>
  <c r="AK53" i="148"/>
  <c r="AK54" i="148"/>
  <c r="AK49" i="148"/>
  <c r="AK50" i="148"/>
  <c r="AK24" i="148"/>
  <c r="AK18" i="148"/>
  <c r="AK276" i="148"/>
  <c r="BU6" i="75"/>
  <c r="BS10" i="150"/>
  <c r="BS185" i="150"/>
  <c r="BJ144" i="148"/>
  <c r="BJ132" i="148" s="1"/>
  <c r="BJ153" i="148"/>
  <c r="BY5" i="150"/>
  <c r="BY8" i="150" s="1"/>
  <c r="BX3" i="150"/>
  <c r="BX4" i="150" s="1"/>
  <c r="BX7" i="150" s="1"/>
  <c r="CT3" i="150"/>
  <c r="R181" i="75" s="1"/>
  <c r="L62" i="164" s="1"/>
  <c r="BW5" i="150"/>
  <c r="BW8" i="150" s="1"/>
  <c r="BW7" i="150"/>
  <c r="BM5" i="150"/>
  <c r="BM8" i="150" s="1"/>
  <c r="BM7" i="150"/>
  <c r="CU3" i="150"/>
  <c r="BV4" i="150"/>
  <c r="BJ48" i="148"/>
  <c r="AR292" i="148"/>
  <c r="S153" i="75"/>
  <c r="T153" i="75" s="1"/>
  <c r="AJ277" i="148"/>
  <c r="AJ278" i="148"/>
  <c r="AJ279" i="148"/>
  <c r="AJ273" i="148"/>
  <c r="AJ178" i="148"/>
  <c r="AJ163" i="148"/>
  <c r="AJ103" i="148"/>
  <c r="CO24" i="149"/>
  <c r="CO26" i="149" s="1"/>
  <c r="AK30" i="148" l="1"/>
  <c r="AU285" i="148"/>
  <c r="CA24" i="75"/>
  <c r="AL62" i="148"/>
  <c r="AK208" i="148"/>
  <c r="AK59" i="148"/>
  <c r="AL72" i="148" s="1"/>
  <c r="AK58" i="148"/>
  <c r="AL71" i="148" s="1"/>
  <c r="AL68" i="148"/>
  <c r="AL63" i="148"/>
  <c r="AK209" i="148"/>
  <c r="AL64" i="148"/>
  <c r="AK210" i="148"/>
  <c r="AK57" i="148"/>
  <c r="AL70" i="148" s="1"/>
  <c r="AK207" i="148"/>
  <c r="AK154" i="148"/>
  <c r="AK132" i="148" s="1"/>
  <c r="AL65" i="148"/>
  <c r="AK211" i="148"/>
  <c r="AL67" i="148"/>
  <c r="AK213" i="148"/>
  <c r="AL66" i="148"/>
  <c r="AK212" i="148"/>
  <c r="AL69" i="148"/>
  <c r="AK215" i="148"/>
  <c r="S181" i="75"/>
  <c r="M62" i="164" s="1"/>
  <c r="BJ165" i="148"/>
  <c r="L8" i="164"/>
  <c r="M16" i="164" s="1"/>
  <c r="BK61" i="148"/>
  <c r="BX5" i="150"/>
  <c r="BX8" i="150" s="1"/>
  <c r="BV5" i="150"/>
  <c r="BV8" i="150" s="1"/>
  <c r="BV7" i="150"/>
  <c r="AS292" i="148"/>
  <c r="AS280" i="148" s="1"/>
  <c r="AR280" i="148"/>
  <c r="CB24" i="75" s="1"/>
  <c r="AJ179" i="148"/>
  <c r="AJ11" i="148"/>
  <c r="AK12" i="148" s="1"/>
  <c r="BL100" i="150"/>
  <c r="BT66" i="75"/>
  <c r="BT63" i="75"/>
  <c r="BT43" i="75"/>
  <c r="BT39" i="75"/>
  <c r="BT44" i="75" s="1"/>
  <c r="BT24" i="75"/>
  <c r="AJ280" i="148" s="1"/>
  <c r="AJ276" i="148" s="1"/>
  <c r="BT14" i="75"/>
  <c r="BT16" i="75" s="1"/>
  <c r="AW285" i="148" l="1"/>
  <c r="CC24" i="75"/>
  <c r="BJ292" i="148"/>
  <c r="BT18" i="75"/>
  <c r="AJ25" i="148"/>
  <c r="AJ30" i="148" s="1"/>
  <c r="AK205" i="148"/>
  <c r="AV285" i="148"/>
  <c r="BJ280" i="148"/>
  <c r="BK285" i="148" s="1"/>
  <c r="AJ17" i="148"/>
  <c r="AJ18" i="148"/>
  <c r="AJ26" i="148"/>
  <c r="AJ180" i="148"/>
  <c r="Q53" i="164"/>
  <c r="Q52" i="164"/>
  <c r="Q51" i="164"/>
  <c r="Q48" i="164"/>
  <c r="Q47" i="164"/>
  <c r="Q46" i="164"/>
  <c r="Q43" i="164"/>
  <c r="Q42" i="164"/>
  <c r="Q41" i="164"/>
  <c r="Q34" i="164"/>
  <c r="Q33" i="164"/>
  <c r="Q32" i="164"/>
  <c r="AJ53" i="148" l="1"/>
  <c r="AJ48" i="148"/>
  <c r="AJ56" i="148"/>
  <c r="AJ215" i="148" s="1"/>
  <c r="AJ24" i="148"/>
  <c r="AJ54" i="148"/>
  <c r="AJ213" i="148" s="1"/>
  <c r="AJ52" i="148"/>
  <c r="AJ211" i="148" s="1"/>
  <c r="AJ55" i="148"/>
  <c r="AJ49" i="148"/>
  <c r="AJ208" i="148" s="1"/>
  <c r="AJ51" i="148"/>
  <c r="AJ210" i="148" s="1"/>
  <c r="AJ174" i="148"/>
  <c r="AJ212" i="148"/>
  <c r="AJ181" i="148"/>
  <c r="AJ207" i="148" l="1"/>
  <c r="AJ154" i="148"/>
  <c r="AJ132" i="148" s="1"/>
  <c r="AJ58" i="148"/>
  <c r="AJ182" i="148"/>
  <c r="AJ184" i="148" l="1"/>
  <c r="AI280" i="148" l="1"/>
  <c r="AI279" i="148"/>
  <c r="AI278" i="148"/>
  <c r="AI273" i="148"/>
  <c r="AI163" i="148"/>
  <c r="AI103" i="148"/>
  <c r="AH103" i="148"/>
  <c r="AI81" i="148"/>
  <c r="AI16" i="148"/>
  <c r="AI11" i="148"/>
  <c r="AJ12" i="148" l="1"/>
  <c r="AI17" i="148"/>
  <c r="AI48" i="148" s="1"/>
  <c r="AI207" i="148" l="1"/>
  <c r="AI154" i="148"/>
  <c r="AI132" i="148" s="1"/>
  <c r="AI53" i="148"/>
  <c r="AI52" i="148"/>
  <c r="AI49" i="148"/>
  <c r="AI208" i="148" s="1"/>
  <c r="AI54" i="148"/>
  <c r="AI56" i="148"/>
  <c r="AI215" i="148" s="1"/>
  <c r="AI51" i="148"/>
  <c r="AI55" i="148"/>
  <c r="CN21" i="149"/>
  <c r="CO21" i="149" s="1"/>
  <c r="CN24" i="149"/>
  <c r="CN26" i="149" s="1"/>
  <c r="BS66" i="75"/>
  <c r="BS63" i="75"/>
  <c r="BS25" i="75"/>
  <c r="AI277" i="148" s="1"/>
  <c r="AI276" i="148" s="1"/>
  <c r="BR25" i="75"/>
  <c r="BS21" i="75"/>
  <c r="BS14" i="75"/>
  <c r="BS16" i="75" s="1"/>
  <c r="AI25" i="148" s="1"/>
  <c r="BK100" i="150"/>
  <c r="BS43" i="75"/>
  <c r="AI26" i="148" l="1"/>
  <c r="AI30" i="148"/>
  <c r="AJ115" i="148"/>
  <c r="CP21" i="149"/>
  <c r="AI115" i="148"/>
  <c r="AI85" i="148" s="1"/>
  <c r="AI58" i="148"/>
  <c r="BS26" i="75"/>
  <c r="AK115" i="148" l="1"/>
  <c r="AN115" i="148" s="1"/>
  <c r="AI179" i="148"/>
  <c r="BJ100" i="150"/>
  <c r="BJ4" i="150"/>
  <c r="AH273" i="148"/>
  <c r="AH279" i="148"/>
  <c r="AL284" i="148" s="1"/>
  <c r="AH278" i="148"/>
  <c r="AL283" i="148" s="1"/>
  <c r="AH277" i="148"/>
  <c r="AL282" i="148" s="1"/>
  <c r="AH196" i="148"/>
  <c r="AH197" i="148"/>
  <c r="AI197" i="148" s="1"/>
  <c r="AI210" i="148" s="1"/>
  <c r="AH198" i="148"/>
  <c r="AI198" i="148" s="1"/>
  <c r="AI211" i="148" s="1"/>
  <c r="AH199" i="148"/>
  <c r="AI199" i="148" s="1"/>
  <c r="AI212" i="148" s="1"/>
  <c r="AH200" i="148"/>
  <c r="AI200" i="148" s="1"/>
  <c r="AI213" i="148" s="1"/>
  <c r="AG193" i="148"/>
  <c r="AH163" i="148"/>
  <c r="CM21" i="149"/>
  <c r="CM24" i="149"/>
  <c r="CM26" i="149" s="1"/>
  <c r="AH16" i="148"/>
  <c r="AH11" i="148"/>
  <c r="BR66" i="75"/>
  <c r="BR7" i="75"/>
  <c r="BR63" i="75"/>
  <c r="BJ5" i="150" l="1"/>
  <c r="BJ8" i="150" s="1"/>
  <c r="BJ7" i="150"/>
  <c r="AH17" i="148"/>
  <c r="AH53" i="148" s="1"/>
  <c r="AI66" i="148" s="1"/>
  <c r="AH18" i="148"/>
  <c r="AH115" i="148"/>
  <c r="AI180" i="148"/>
  <c r="AH24" i="148" l="1"/>
  <c r="AH48" i="148"/>
  <c r="AH55" i="148"/>
  <c r="AI68" i="148" s="1"/>
  <c r="AH54" i="148"/>
  <c r="AI67" i="148" s="1"/>
  <c r="AH51" i="148"/>
  <c r="AI64" i="148" s="1"/>
  <c r="AH52" i="148"/>
  <c r="AI65" i="148" s="1"/>
  <c r="AH56" i="148"/>
  <c r="AI69" i="148" s="1"/>
  <c r="AH49" i="148"/>
  <c r="AI181" i="148"/>
  <c r="BR43" i="75"/>
  <c r="BR24" i="75"/>
  <c r="AH280" i="148" s="1"/>
  <c r="CQ10" i="150"/>
  <c r="AL178" i="148"/>
  <c r="AL179" i="148" s="1"/>
  <c r="AL180" i="148" s="1"/>
  <c r="AL181" i="148" s="1"/>
  <c r="AL182" i="148" s="1"/>
  <c r="AH207" i="148" l="1"/>
  <c r="AH154" i="148"/>
  <c r="AH132" i="148" s="1"/>
  <c r="AL285" i="148"/>
  <c r="AH276" i="148"/>
  <c r="AL281" i="148" s="1"/>
  <c r="AH58" i="148"/>
  <c r="AI71" i="148" s="1"/>
  <c r="AI62" i="148"/>
  <c r="AI182" i="148"/>
  <c r="O95" i="75"/>
  <c r="O102" i="75"/>
  <c r="O196" i="75"/>
  <c r="O179" i="75"/>
  <c r="O192" i="75"/>
  <c r="O190" i="75"/>
  <c r="O189" i="75"/>
  <c r="O194" i="75"/>
  <c r="O185" i="75"/>
  <c r="O175" i="75"/>
  <c r="O176" i="75"/>
  <c r="O177" i="75"/>
  <c r="O158" i="75"/>
  <c r="O159" i="75"/>
  <c r="N145" i="75"/>
  <c r="N138" i="75"/>
  <c r="N148" i="75" s="1"/>
  <c r="N136" i="75"/>
  <c r="N132" i="75"/>
  <c r="N126" i="75"/>
  <c r="N127" i="75" s="1"/>
  <c r="N117" i="75"/>
  <c r="O117" i="75"/>
  <c r="O126" i="75"/>
  <c r="O127" i="75" s="1"/>
  <c r="O132" i="75"/>
  <c r="O136" i="75"/>
  <c r="O138" i="75"/>
  <c r="O141" i="75"/>
  <c r="P188" i="75" s="1"/>
  <c r="N158" i="75"/>
  <c r="N159" i="75"/>
  <c r="AO138" i="148"/>
  <c r="BI100" i="150"/>
  <c r="AG280" i="148"/>
  <c r="AK285" i="148" s="1"/>
  <c r="AG279" i="148"/>
  <c r="AK284" i="148" s="1"/>
  <c r="AG278" i="148"/>
  <c r="AK283" i="148" s="1"/>
  <c r="AG277" i="148"/>
  <c r="AK282" i="148" s="1"/>
  <c r="AG273" i="148"/>
  <c r="AF193" i="148"/>
  <c r="AG163" i="148"/>
  <c r="CL24" i="149"/>
  <c r="AG103" i="148"/>
  <c r="AG34" i="148"/>
  <c r="AK34" i="148" s="1"/>
  <c r="AK33" i="148" s="1"/>
  <c r="AK29" i="148" s="1"/>
  <c r="AK28" i="148" s="1"/>
  <c r="AK31" i="148" s="1"/>
  <c r="BP64" i="75"/>
  <c r="BO64" i="75"/>
  <c r="BN64" i="75"/>
  <c r="BQ64" i="75"/>
  <c r="O174" i="75" l="1"/>
  <c r="O188" i="75"/>
  <c r="AK32" i="148"/>
  <c r="AK216" i="148"/>
  <c r="AG276" i="148"/>
  <c r="AK281" i="148" s="1"/>
  <c r="AK203" i="148" l="1"/>
  <c r="AK214" i="148"/>
  <c r="AG16" i="148"/>
  <c r="AG11" i="148"/>
  <c r="BQ66" i="75"/>
  <c r="BQ63" i="75"/>
  <c r="BQ43" i="75"/>
  <c r="AK204" i="148" l="1"/>
  <c r="AK201" i="148"/>
  <c r="AG17" i="148"/>
  <c r="AG54" i="148" s="1"/>
  <c r="AK13" i="148"/>
  <c r="AG18" i="148"/>
  <c r="AG33" i="148" s="1"/>
  <c r="AG29" i="148" s="1"/>
  <c r="AG51" i="148"/>
  <c r="AH12" i="148"/>
  <c r="AN282" i="148"/>
  <c r="BH278" i="148"/>
  <c r="AO136" i="148"/>
  <c r="AO139" i="148"/>
  <c r="AO140" i="148"/>
  <c r="AN283" i="148"/>
  <c r="AO134" i="148"/>
  <c r="AO133" i="148"/>
  <c r="AO137" i="148"/>
  <c r="AO135" i="148"/>
  <c r="T12" i="164"/>
  <c r="U12" i="164"/>
  <c r="V12" i="164"/>
  <c r="W12" i="164"/>
  <c r="X12" i="164"/>
  <c r="Y12" i="164"/>
  <c r="Z12" i="164"/>
  <c r="AA12" i="164"/>
  <c r="AB12" i="164"/>
  <c r="AC12" i="164"/>
  <c r="S12" i="164"/>
  <c r="AF279" i="148"/>
  <c r="AF278" i="148"/>
  <c r="AJ283" i="148" s="1"/>
  <c r="AF277" i="148"/>
  <c r="AJ282" i="148" s="1"/>
  <c r="AF273" i="148"/>
  <c r="AF163" i="148"/>
  <c r="CR10" i="150"/>
  <c r="CS10" i="150"/>
  <c r="CT10" i="150"/>
  <c r="CU10" i="150"/>
  <c r="CV10" i="150"/>
  <c r="BH100" i="150"/>
  <c r="AF103" i="148"/>
  <c r="CK24" i="149"/>
  <c r="AF34" i="148"/>
  <c r="AJ34" i="148" s="1"/>
  <c r="AF16" i="148"/>
  <c r="AF11" i="148"/>
  <c r="AJ13" i="148" s="1"/>
  <c r="CQ7" i="150"/>
  <c r="CR7" i="150" s="1"/>
  <c r="BP66" i="75"/>
  <c r="BP63" i="75"/>
  <c r="BP54" i="75"/>
  <c r="BP53" i="75"/>
  <c r="BP43" i="75"/>
  <c r="BP39" i="75"/>
  <c r="BP24" i="75"/>
  <c r="AF280" i="148" s="1"/>
  <c r="BP7" i="75"/>
  <c r="AI292" i="148"/>
  <c r="AJ292" i="148" s="1"/>
  <c r="AE40" i="148"/>
  <c r="AE38" i="148"/>
  <c r="AE45" i="148"/>
  <c r="AE41" i="148"/>
  <c r="AE42" i="148"/>
  <c r="AE279" i="148"/>
  <c r="AE278" i="148"/>
  <c r="AI283" i="148" s="1"/>
  <c r="AE277" i="148"/>
  <c r="AI282" i="148" s="1"/>
  <c r="AD199" i="148"/>
  <c r="AD198" i="148"/>
  <c r="AD197" i="148"/>
  <c r="AD196" i="148"/>
  <c r="AD202" i="148"/>
  <c r="AD200" i="148"/>
  <c r="AE163" i="148"/>
  <c r="CG16" i="149"/>
  <c r="CJ24" i="149"/>
  <c r="CJ30" i="149"/>
  <c r="AE273" i="148"/>
  <c r="AE193" i="148"/>
  <c r="AE103" i="148"/>
  <c r="AE16" i="148"/>
  <c r="AE34" i="148"/>
  <c r="AI34" i="148" s="1"/>
  <c r="AE11" i="148"/>
  <c r="AE18" i="148" s="1"/>
  <c r="BG100" i="150"/>
  <c r="BO66" i="75"/>
  <c r="BO7" i="75"/>
  <c r="BO63" i="75"/>
  <c r="BO43" i="75"/>
  <c r="BO24" i="75"/>
  <c r="BO14" i="75"/>
  <c r="BO16" i="75" s="1"/>
  <c r="S96" i="75"/>
  <c r="T96" i="75" s="1"/>
  <c r="CI30" i="149"/>
  <c r="CH30" i="149"/>
  <c r="CI12" i="149"/>
  <c r="CI24" i="149"/>
  <c r="AD273" i="148"/>
  <c r="AD279" i="148"/>
  <c r="AD278" i="148"/>
  <c r="AH283" i="148" s="1"/>
  <c r="AD277" i="148"/>
  <c r="AD193" i="148"/>
  <c r="AD163" i="148"/>
  <c r="AD103" i="148"/>
  <c r="AD81" i="148"/>
  <c r="AD16" i="148"/>
  <c r="AD11" i="148"/>
  <c r="AH13" i="148" s="1"/>
  <c r="BN7" i="75"/>
  <c r="BN66" i="75"/>
  <c r="BN63" i="75"/>
  <c r="BN24" i="75"/>
  <c r="AD280" i="148" s="1"/>
  <c r="BF4" i="150"/>
  <c r="BF100" i="150"/>
  <c r="BN43" i="75"/>
  <c r="BN10" i="75"/>
  <c r="BG115" i="148"/>
  <c r="AG85" i="148"/>
  <c r="BG85" i="148" s="1"/>
  <c r="AH85" i="148"/>
  <c r="BM7" i="75"/>
  <c r="N212" i="75"/>
  <c r="N196" i="75"/>
  <c r="N194" i="75"/>
  <c r="N185" i="75"/>
  <c r="N179" i="75"/>
  <c r="N175" i="75"/>
  <c r="N176" i="75"/>
  <c r="N177" i="75"/>
  <c r="N192" i="75"/>
  <c r="N190" i="75"/>
  <c r="N189" i="75"/>
  <c r="M192" i="75"/>
  <c r="M190" i="75"/>
  <c r="M189" i="75"/>
  <c r="N150" i="75"/>
  <c r="N107" i="75"/>
  <c r="M107" i="75"/>
  <c r="N102" i="75"/>
  <c r="N95" i="75"/>
  <c r="AC279" i="148"/>
  <c r="AG284" i="148" s="1"/>
  <c r="AC278" i="148"/>
  <c r="AG283" i="148" s="1"/>
  <c r="AC277" i="148"/>
  <c r="AG282" i="148" s="1"/>
  <c r="AC273" i="148"/>
  <c r="AB273" i="148"/>
  <c r="AC103" i="148"/>
  <c r="AC105" i="148"/>
  <c r="AC75" i="148" s="1"/>
  <c r="BF75" i="148" s="1"/>
  <c r="CH11" i="149"/>
  <c r="CH24" i="149"/>
  <c r="AC163" i="148"/>
  <c r="AC16" i="148"/>
  <c r="AC11" i="148"/>
  <c r="BM66" i="75"/>
  <c r="BM63" i="75"/>
  <c r="BM43" i="75"/>
  <c r="BE100" i="150"/>
  <c r="BM24" i="75"/>
  <c r="AC280" i="148" s="1"/>
  <c r="AG285" i="148" s="1"/>
  <c r="AC17" i="148"/>
  <c r="BG121" i="148"/>
  <c r="E50" i="164"/>
  <c r="AB84" i="148"/>
  <c r="AC84" i="148"/>
  <c r="BF84" i="148" s="1"/>
  <c r="BF114" i="148"/>
  <c r="D49" i="164"/>
  <c r="E49" i="164" s="1"/>
  <c r="F49" i="164" s="1"/>
  <c r="G49" i="164" s="1"/>
  <c r="H49" i="164" s="1"/>
  <c r="I49" i="164" s="1"/>
  <c r="J49" i="164" s="1"/>
  <c r="K49" i="164" s="1"/>
  <c r="L49" i="164" s="1"/>
  <c r="M49" i="164" s="1"/>
  <c r="N49" i="164" s="1"/>
  <c r="BB154" i="150"/>
  <c r="BC154" i="150"/>
  <c r="BD154" i="150"/>
  <c r="BE154" i="150"/>
  <c r="BF154" i="150"/>
  <c r="BG154" i="150"/>
  <c r="BH154" i="150"/>
  <c r="BI154" i="150"/>
  <c r="BJ154" i="150"/>
  <c r="BK154" i="150"/>
  <c r="BL154" i="150"/>
  <c r="BM154" i="150"/>
  <c r="BN154" i="150"/>
  <c r="BO154" i="150"/>
  <c r="BP154" i="150"/>
  <c r="BQ154" i="150"/>
  <c r="BR155" i="150" s="1"/>
  <c r="BR157" i="150" s="1"/>
  <c r="BN4" i="150"/>
  <c r="BN7" i="150" s="1"/>
  <c r="BI293" i="148"/>
  <c r="BI121" i="148"/>
  <c r="BI111" i="148"/>
  <c r="BI19" i="148"/>
  <c r="A8" i="150"/>
  <c r="A7" i="150"/>
  <c r="AB103" i="148"/>
  <c r="AO103" i="148"/>
  <c r="AN103" i="148"/>
  <c r="AM103" i="148"/>
  <c r="AL103" i="148"/>
  <c r="BI93" i="148"/>
  <c r="K24" i="164" s="1"/>
  <c r="AO81" i="148"/>
  <c r="BI81" i="148" s="1"/>
  <c r="AN81" i="148"/>
  <c r="AM81" i="148"/>
  <c r="BJ11" i="75"/>
  <c r="BF11" i="75"/>
  <c r="BB11" i="75"/>
  <c r="AX11" i="75"/>
  <c r="AW11" i="75"/>
  <c r="BI11" i="75"/>
  <c r="BE11" i="75"/>
  <c r="BA11" i="75"/>
  <c r="F20" i="164"/>
  <c r="G20" i="164"/>
  <c r="H20" i="164"/>
  <c r="I20" i="164"/>
  <c r="J20" i="164"/>
  <c r="E20" i="164"/>
  <c r="BL43" i="75"/>
  <c r="BO100" i="150"/>
  <c r="BP100" i="150" s="1"/>
  <c r="BQ100" i="150" s="1"/>
  <c r="BR100" i="150" s="1"/>
  <c r="BS100" i="150" s="1"/>
  <c r="BD100" i="150"/>
  <c r="CG19" i="149"/>
  <c r="AB277" i="148"/>
  <c r="AB278" i="148"/>
  <c r="AB279" i="148"/>
  <c r="AB163" i="148"/>
  <c r="AB104" i="148"/>
  <c r="AB74" i="148" s="1"/>
  <c r="AB105" i="148"/>
  <c r="AB75" i="148" s="1"/>
  <c r="CG30" i="149"/>
  <c r="CG24" i="149"/>
  <c r="AB16" i="148"/>
  <c r="AB11" i="148"/>
  <c r="BL63" i="75"/>
  <c r="BL66" i="75"/>
  <c r="BL39" i="75"/>
  <c r="BL24" i="75"/>
  <c r="BL21" i="75" s="1"/>
  <c r="BL26" i="75" s="1"/>
  <c r="BL69" i="75" s="1"/>
  <c r="AA163" i="148"/>
  <c r="AA104" i="148"/>
  <c r="AA74" i="148" s="1"/>
  <c r="AA105" i="148"/>
  <c r="CF16" i="149"/>
  <c r="AA109" i="148" s="1"/>
  <c r="AA79" i="148" s="1"/>
  <c r="CF30" i="149"/>
  <c r="CF24" i="149"/>
  <c r="Y103" i="148"/>
  <c r="Z103" i="148"/>
  <c r="AA103" i="148"/>
  <c r="AA277" i="148"/>
  <c r="AA278" i="148"/>
  <c r="AA279" i="148"/>
  <c r="Y273" i="148"/>
  <c r="Z273" i="148"/>
  <c r="AA273" i="148"/>
  <c r="AA16" i="148"/>
  <c r="AA11" i="148"/>
  <c r="AA17" i="148" s="1"/>
  <c r="BC100" i="150"/>
  <c r="CH16" i="149"/>
  <c r="AC109" i="148" s="1"/>
  <c r="AC79" i="148" s="1"/>
  <c r="BF79" i="148" s="1"/>
  <c r="AB109" i="148"/>
  <c r="AB79" i="148" s="1"/>
  <c r="BJ66" i="75"/>
  <c r="BK66" i="75"/>
  <c r="BK63" i="75"/>
  <c r="BK43" i="75"/>
  <c r="BK39" i="75"/>
  <c r="BK44" i="75" s="1"/>
  <c r="BK24" i="75"/>
  <c r="BK21" i="75" s="1"/>
  <c r="BK26" i="75" s="1"/>
  <c r="BK69" i="75" s="1"/>
  <c r="BK14" i="75"/>
  <c r="BK16" i="75" s="1"/>
  <c r="BK73" i="75" s="1"/>
  <c r="AA7" i="148" s="1"/>
  <c r="BK7" i="75"/>
  <c r="Z178" i="148"/>
  <c r="Z179" i="148" s="1"/>
  <c r="Z180" i="148" s="1"/>
  <c r="Z181" i="148" s="1"/>
  <c r="Z182" i="148" s="1"/>
  <c r="Z184" i="148" s="1"/>
  <c r="Z163" i="148"/>
  <c r="Z104" i="148"/>
  <c r="Z74" i="148" s="1"/>
  <c r="Z105" i="148"/>
  <c r="Z75" i="148" s="1"/>
  <c r="CE16" i="149"/>
  <c r="Z109" i="148" s="1"/>
  <c r="CE30" i="149"/>
  <c r="CE24" i="149"/>
  <c r="BJ7" i="75"/>
  <c r="Z277" i="148"/>
  <c r="Z278" i="148"/>
  <c r="Z288" i="148" s="1"/>
  <c r="Z279" i="148"/>
  <c r="Y11" i="148"/>
  <c r="Y17" i="148" s="1"/>
  <c r="Y48" i="148" s="1"/>
  <c r="Y16" i="148"/>
  <c r="Y81" i="148"/>
  <c r="Y93" i="148"/>
  <c r="BE93" i="148" s="1"/>
  <c r="Y104" i="148"/>
  <c r="Y74" i="148" s="1"/>
  <c r="BE74" i="148" s="1"/>
  <c r="Y105" i="148"/>
  <c r="Y75" i="148" s="1"/>
  <c r="BE75" i="148" s="1"/>
  <c r="Y163" i="148"/>
  <c r="Z16" i="148"/>
  <c r="Z11" i="148"/>
  <c r="BJ63" i="75"/>
  <c r="BJ43" i="75"/>
  <c r="BJ39" i="75"/>
  <c r="BB100" i="150"/>
  <c r="BJ24" i="75"/>
  <c r="BJ21" i="75" s="1"/>
  <c r="BJ26" i="75" s="1"/>
  <c r="BJ69" i="75" s="1"/>
  <c r="BJ14" i="75"/>
  <c r="BJ16" i="75" s="1"/>
  <c r="X273" i="148"/>
  <c r="W273" i="148"/>
  <c r="V273" i="148"/>
  <c r="AC193" i="148"/>
  <c r="AB193" i="148"/>
  <c r="AA193" i="148"/>
  <c r="Z193" i="148"/>
  <c r="Y193" i="148"/>
  <c r="X193" i="148"/>
  <c r="W193" i="148"/>
  <c r="V193" i="148"/>
  <c r="X103" i="148"/>
  <c r="W103" i="148"/>
  <c r="V103" i="148"/>
  <c r="BZ30" i="149"/>
  <c r="CA30" i="149"/>
  <c r="CB30" i="149"/>
  <c r="CC30" i="149"/>
  <c r="CD30" i="149"/>
  <c r="J77" i="164"/>
  <c r="J104" i="164" s="1"/>
  <c r="J24" i="163" s="1"/>
  <c r="J103" i="164"/>
  <c r="J102" i="164"/>
  <c r="BL4" i="150"/>
  <c r="BL7" i="150" s="1"/>
  <c r="BK4" i="150"/>
  <c r="BK7" i="150" s="1"/>
  <c r="BJ76" i="150"/>
  <c r="BK76" i="150" s="1"/>
  <c r="BL76" i="150" s="1"/>
  <c r="BM76" i="150" s="1"/>
  <c r="BN76" i="150" s="1"/>
  <c r="BO76" i="150" s="1"/>
  <c r="BP76" i="150" s="1"/>
  <c r="BQ76" i="150" s="1"/>
  <c r="BR76" i="150" s="1"/>
  <c r="BS76" i="150" s="1"/>
  <c r="BT76" i="150" s="1"/>
  <c r="BU76" i="150" s="1"/>
  <c r="BV76" i="150" s="1"/>
  <c r="BW76" i="150" s="1"/>
  <c r="BX76" i="150" s="1"/>
  <c r="BY76" i="150" s="1"/>
  <c r="BH295" i="148"/>
  <c r="BH293" i="148"/>
  <c r="BH121" i="148"/>
  <c r="BH111" i="148"/>
  <c r="BH19" i="148"/>
  <c r="BH93" i="148"/>
  <c r="J24" i="164" s="1"/>
  <c r="AK81" i="148"/>
  <c r="BH81" i="148" s="1"/>
  <c r="AJ81" i="148"/>
  <c r="AH81" i="148"/>
  <c r="CD16" i="149"/>
  <c r="Y109" i="148" s="1"/>
  <c r="Y79" i="148" s="1"/>
  <c r="BE79" i="148" s="1"/>
  <c r="CD24" i="149"/>
  <c r="L192" i="75"/>
  <c r="L189" i="75"/>
  <c r="L175" i="75"/>
  <c r="L177" i="75"/>
  <c r="Y279" i="148"/>
  <c r="Y278" i="148"/>
  <c r="Y277" i="148"/>
  <c r="CO3" i="150"/>
  <c r="M145" i="75"/>
  <c r="M143" i="75"/>
  <c r="M141" i="75"/>
  <c r="N188" i="75" s="1"/>
  <c r="M126" i="75"/>
  <c r="M117" i="75"/>
  <c r="M102" i="75"/>
  <c r="BA100" i="150"/>
  <c r="BI7" i="75"/>
  <c r="BI66" i="75"/>
  <c r="BI43" i="75"/>
  <c r="BI24" i="75"/>
  <c r="Y280" i="148" s="1"/>
  <c r="X163" i="148"/>
  <c r="X105" i="148"/>
  <c r="X75" i="148" s="1"/>
  <c r="X104" i="148"/>
  <c r="X74" i="148" s="1"/>
  <c r="CC16" i="149"/>
  <c r="X109" i="148" s="1"/>
  <c r="X79" i="148" s="1"/>
  <c r="CC24" i="149"/>
  <c r="X277" i="148"/>
  <c r="X278" i="148"/>
  <c r="X279" i="148"/>
  <c r="X16" i="148"/>
  <c r="X11" i="148"/>
  <c r="AW4" i="150"/>
  <c r="AW7" i="150" s="1"/>
  <c r="BF66" i="75"/>
  <c r="BG66" i="75"/>
  <c r="BH66" i="75"/>
  <c r="AZ100" i="150"/>
  <c r="BH43" i="75"/>
  <c r="BH24" i="75"/>
  <c r="X280" i="148" s="1"/>
  <c r="BH7" i="75"/>
  <c r="BH21" i="75"/>
  <c r="W105" i="148"/>
  <c r="W75" i="148" s="1"/>
  <c r="W104" i="148"/>
  <c r="W74" i="148" s="1"/>
  <c r="CB16" i="149"/>
  <c r="W109" i="148" s="1"/>
  <c r="W79" i="148" s="1"/>
  <c r="CB24" i="149"/>
  <c r="W163" i="148"/>
  <c r="W278" i="148"/>
  <c r="W288" i="148" s="1"/>
  <c r="W279" i="148"/>
  <c r="W16" i="148"/>
  <c r="W11" i="148"/>
  <c r="W17" i="148" s="1"/>
  <c r="W48" i="148" s="1"/>
  <c r="AY100" i="150"/>
  <c r="BG48" i="75"/>
  <c r="BG43" i="75"/>
  <c r="BG25" i="75"/>
  <c r="W277" i="148" s="1"/>
  <c r="BG24" i="75"/>
  <c r="W280" i="148" s="1"/>
  <c r="V163" i="148"/>
  <c r="V104" i="148"/>
  <c r="V74" i="148" s="1"/>
  <c r="V105" i="148"/>
  <c r="V75" i="148" s="1"/>
  <c r="V109" i="148"/>
  <c r="V79" i="148" s="1"/>
  <c r="CA24" i="149"/>
  <c r="V277" i="148"/>
  <c r="V278" i="148"/>
  <c r="V279" i="148"/>
  <c r="V16" i="148"/>
  <c r="V11" i="148"/>
  <c r="V17" i="148" s="1"/>
  <c r="V48" i="148" s="1"/>
  <c r="AX100" i="150"/>
  <c r="BF43" i="75"/>
  <c r="BF24" i="75"/>
  <c r="V280" i="148" s="1"/>
  <c r="CQ3" i="150"/>
  <c r="BH4" i="150"/>
  <c r="BG4" i="150"/>
  <c r="BG295" i="148"/>
  <c r="BG293" i="148"/>
  <c r="BG292" i="148"/>
  <c r="BG111" i="148"/>
  <c r="BG93" i="148"/>
  <c r="I24" i="164" s="1"/>
  <c r="AG81" i="148"/>
  <c r="BG81" i="148" s="1"/>
  <c r="AF81" i="148"/>
  <c r="AE81" i="148"/>
  <c r="BI4" i="150"/>
  <c r="U109" i="148"/>
  <c r="U79" i="148" s="1"/>
  <c r="BD79" i="148" s="1"/>
  <c r="U105" i="148"/>
  <c r="U75" i="148" s="1"/>
  <c r="BD75" i="148" s="1"/>
  <c r="U104" i="148"/>
  <c r="U74" i="148" s="1"/>
  <c r="BD74" i="148" s="1"/>
  <c r="BY24" i="149"/>
  <c r="BZ24" i="149"/>
  <c r="BX24" i="149"/>
  <c r="U11" i="148"/>
  <c r="U163" i="148"/>
  <c r="L159" i="75"/>
  <c r="L145" i="75"/>
  <c r="L143" i="75"/>
  <c r="K143" i="75"/>
  <c r="L141" i="75"/>
  <c r="M188" i="75" s="1"/>
  <c r="L136" i="75"/>
  <c r="L126" i="75"/>
  <c r="L127" i="75" s="1"/>
  <c r="L116" i="75"/>
  <c r="L176" i="75" s="1"/>
  <c r="L174" i="75" s="1"/>
  <c r="BE43" i="75"/>
  <c r="T104" i="148"/>
  <c r="T74" i="148" s="1"/>
  <c r="U16" i="148"/>
  <c r="U277" i="148"/>
  <c r="U278" i="148"/>
  <c r="U279" i="148"/>
  <c r="AW100" i="150"/>
  <c r="BE24" i="75"/>
  <c r="BE21" i="75" s="1"/>
  <c r="BE26" i="75" s="1"/>
  <c r="BE69" i="75" s="1"/>
  <c r="T105" i="148"/>
  <c r="T75" i="148" s="1"/>
  <c r="T109" i="148"/>
  <c r="T79" i="148" s="1"/>
  <c r="AU4" i="150"/>
  <c r="AV4" i="150"/>
  <c r="AV7" i="150" s="1"/>
  <c r="AV99" i="150"/>
  <c r="AV100" i="150" s="1"/>
  <c r="AU99" i="150"/>
  <c r="T277" i="148"/>
  <c r="T278" i="148"/>
  <c r="T279" i="148"/>
  <c r="X284" i="148" s="1"/>
  <c r="T21" i="148"/>
  <c r="T163" i="148" s="1"/>
  <c r="T16" i="148"/>
  <c r="S16" i="148"/>
  <c r="S104" i="148"/>
  <c r="S74" i="148" s="1"/>
  <c r="T11" i="148"/>
  <c r="BD66" i="75"/>
  <c r="BC63" i="75"/>
  <c r="BD54" i="75"/>
  <c r="BD43" i="75"/>
  <c r="BD39" i="75"/>
  <c r="BC43" i="75"/>
  <c r="BD24" i="75"/>
  <c r="BD21" i="75" s="1"/>
  <c r="BD26" i="75" s="1"/>
  <c r="BD69" i="75" s="1"/>
  <c r="BD10" i="75"/>
  <c r="BD56" i="75"/>
  <c r="BD7" i="75"/>
  <c r="S105" i="148"/>
  <c r="S75" i="148" s="1"/>
  <c r="S109" i="148"/>
  <c r="S279" i="148"/>
  <c r="S278" i="148"/>
  <c r="S277" i="148"/>
  <c r="S21" i="148"/>
  <c r="S11" i="148"/>
  <c r="BC81" i="75"/>
  <c r="BC78" i="75"/>
  <c r="BC72" i="75"/>
  <c r="BC71" i="75"/>
  <c r="BC70" i="75"/>
  <c r="BB63" i="75"/>
  <c r="BC24" i="75"/>
  <c r="BC21" i="75" s="1"/>
  <c r="BC26" i="75" s="1"/>
  <c r="BC69" i="75" s="1"/>
  <c r="BC39" i="75"/>
  <c r="BC14" i="75"/>
  <c r="BC16" i="75" s="1"/>
  <c r="BC10" i="75"/>
  <c r="AX32" i="75"/>
  <c r="AY32" i="75" s="1"/>
  <c r="R279" i="148"/>
  <c r="R278" i="148"/>
  <c r="R277" i="148"/>
  <c r="AT99" i="150"/>
  <c r="AT100" i="150" s="1"/>
  <c r="R104" i="148"/>
  <c r="R74" i="148" s="1"/>
  <c r="R105" i="148"/>
  <c r="R75" i="148" s="1"/>
  <c r="R109" i="148"/>
  <c r="R79" i="148" s="1"/>
  <c r="BW15" i="149"/>
  <c r="R108" i="148" s="1"/>
  <c r="BW14" i="149"/>
  <c r="BW24" i="149"/>
  <c r="R21" i="148"/>
  <c r="R16" i="148"/>
  <c r="R11" i="148"/>
  <c r="BB43" i="75"/>
  <c r="BB24" i="75"/>
  <c r="R280" i="148" s="1"/>
  <c r="CG66" i="75"/>
  <c r="CF66" i="75"/>
  <c r="CE66" i="75"/>
  <c r="CD66" i="75"/>
  <c r="CG8" i="75"/>
  <c r="CG7" i="75"/>
  <c r="CF7" i="75"/>
  <c r="CE7" i="75"/>
  <c r="CD7" i="75"/>
  <c r="CC66" i="75"/>
  <c r="CB66" i="75"/>
  <c r="CA66" i="75"/>
  <c r="BZ66" i="75"/>
  <c r="CC8" i="75"/>
  <c r="CC7" i="75"/>
  <c r="CB7" i="75"/>
  <c r="CA7" i="75"/>
  <c r="BZ7" i="75"/>
  <c r="BY66" i="75"/>
  <c r="BX66" i="75"/>
  <c r="BW66" i="75"/>
  <c r="BV66" i="75"/>
  <c r="BY8" i="75"/>
  <c r="BY7" i="75"/>
  <c r="BX7" i="75"/>
  <c r="BW7" i="75"/>
  <c r="BV7" i="75"/>
  <c r="BT7" i="75"/>
  <c r="BS7" i="75"/>
  <c r="BQ7" i="75"/>
  <c r="BL7" i="75"/>
  <c r="F50" i="164"/>
  <c r="Q279" i="148"/>
  <c r="Q278" i="148"/>
  <c r="Q277" i="148"/>
  <c r="Q39" i="148"/>
  <c r="Q46" i="148" s="1"/>
  <c r="P125" i="148"/>
  <c r="P123" i="148"/>
  <c r="Q123" i="148" s="1"/>
  <c r="R123" i="148" s="1"/>
  <c r="S123" i="148" s="1"/>
  <c r="T123" i="148" s="1"/>
  <c r="U123" i="148" s="1"/>
  <c r="V123" i="148" s="1"/>
  <c r="Q109" i="148"/>
  <c r="Q79" i="148" s="1"/>
  <c r="BC79" i="148" s="1"/>
  <c r="Q108" i="148"/>
  <c r="Q78" i="148" s="1"/>
  <c r="BC78" i="148" s="1"/>
  <c r="Q107" i="148"/>
  <c r="Q105" i="148"/>
  <c r="Q75" i="148" s="1"/>
  <c r="BC75" i="148" s="1"/>
  <c r="Q104" i="148"/>
  <c r="Q74" i="148" s="1"/>
  <c r="BC74" i="148" s="1"/>
  <c r="BU14" i="149"/>
  <c r="BU17" i="149"/>
  <c r="BV17" i="149" s="1"/>
  <c r="BU13" i="149"/>
  <c r="BV24" i="149"/>
  <c r="CP3" i="150"/>
  <c r="BD4" i="150"/>
  <c r="BC4" i="150"/>
  <c r="BC7" i="150" s="1"/>
  <c r="BB4" i="150"/>
  <c r="BF295" i="148"/>
  <c r="BF292" i="148"/>
  <c r="BF121" i="148"/>
  <c r="BF111" i="148"/>
  <c r="K192" i="75"/>
  <c r="Q125" i="148"/>
  <c r="R125" i="148" s="1"/>
  <c r="BE4" i="150"/>
  <c r="K145" i="75"/>
  <c r="K141" i="75"/>
  <c r="K135" i="75"/>
  <c r="K136" i="75" s="1"/>
  <c r="K132" i="75"/>
  <c r="BA114" i="75"/>
  <c r="BA110" i="75"/>
  <c r="K126" i="75"/>
  <c r="K127" i="75" s="1"/>
  <c r="AT32" i="75"/>
  <c r="AU32" i="75" s="1"/>
  <c r="BA63" i="75"/>
  <c r="BA43" i="75"/>
  <c r="AS99" i="150"/>
  <c r="AS100" i="150" s="1"/>
  <c r="BB97" i="75"/>
  <c r="BA24" i="75"/>
  <c r="Q280" i="148"/>
  <c r="Q16" i="148"/>
  <c r="Q21" i="148"/>
  <c r="Q163" i="148" s="1"/>
  <c r="Q11" i="148"/>
  <c r="C30" i="157"/>
  <c r="BF93" i="148"/>
  <c r="AC81" i="148"/>
  <c r="BF81" i="148" s="1"/>
  <c r="AB81" i="148"/>
  <c r="AA81" i="148"/>
  <c r="Z81" i="148"/>
  <c r="M22" i="164"/>
  <c r="C62" i="157"/>
  <c r="N110" i="164"/>
  <c r="N22" i="164"/>
  <c r="B19" i="164"/>
  <c r="B18" i="164"/>
  <c r="B17" i="164"/>
  <c r="B16" i="164"/>
  <c r="B15" i="164"/>
  <c r="B104" i="163" s="1"/>
  <c r="B14" i="164"/>
  <c r="B13" i="164"/>
  <c r="AZ63" i="75"/>
  <c r="H45" i="157"/>
  <c r="I45" i="157" s="1"/>
  <c r="J45" i="157" s="1"/>
  <c r="K45" i="157" s="1"/>
  <c r="H34" i="157"/>
  <c r="I34" i="157" s="1"/>
  <c r="J34" i="157" s="1"/>
  <c r="K34" i="157" s="1"/>
  <c r="L34" i="157" s="1"/>
  <c r="M34" i="157" s="1"/>
  <c r="O18" i="163"/>
  <c r="D40" i="164"/>
  <c r="D39" i="164"/>
  <c r="D38" i="164"/>
  <c r="D37" i="164"/>
  <c r="E40" i="164"/>
  <c r="E39" i="164"/>
  <c r="E38" i="164"/>
  <c r="E37" i="164"/>
  <c r="F40" i="164"/>
  <c r="F39" i="164"/>
  <c r="F38" i="164"/>
  <c r="F37" i="164"/>
  <c r="N37" i="164"/>
  <c r="I37" i="164"/>
  <c r="H37" i="164"/>
  <c r="G37" i="164"/>
  <c r="N38" i="164"/>
  <c r="I38" i="164"/>
  <c r="H38" i="164"/>
  <c r="G38" i="164"/>
  <c r="I39" i="164"/>
  <c r="H39" i="164"/>
  <c r="G39" i="164"/>
  <c r="M23" i="164"/>
  <c r="AY97" i="75"/>
  <c r="AY98" i="75"/>
  <c r="BA97" i="75"/>
  <c r="BA98" i="75" s="1"/>
  <c r="AZ97" i="75"/>
  <c r="AZ98" i="75"/>
  <c r="N23" i="164"/>
  <c r="N39" i="164"/>
  <c r="P278" i="148"/>
  <c r="P279" i="148"/>
  <c r="P238" i="148"/>
  <c r="BU18" i="149"/>
  <c r="P112" i="148" s="1"/>
  <c r="P82" i="148" s="1"/>
  <c r="P39" i="148"/>
  <c r="P109" i="148"/>
  <c r="P79" i="148" s="1"/>
  <c r="P108" i="148"/>
  <c r="P105" i="148"/>
  <c r="P104" i="148"/>
  <c r="P21" i="148"/>
  <c r="P16" i="148"/>
  <c r="P11" i="148"/>
  <c r="AR99" i="150"/>
  <c r="AR100" i="150" s="1"/>
  <c r="AZ48" i="75"/>
  <c r="AZ43" i="75"/>
  <c r="AZ25" i="75"/>
  <c r="P277" i="148"/>
  <c r="AZ24" i="75"/>
  <c r="P280" i="148" s="1"/>
  <c r="O16" i="163"/>
  <c r="G55" i="164"/>
  <c r="F55" i="164"/>
  <c r="F56" i="164"/>
  <c r="AS4" i="150"/>
  <c r="AT4" i="150"/>
  <c r="BE113" i="148"/>
  <c r="O277" i="148"/>
  <c r="O278" i="148"/>
  <c r="O279" i="148"/>
  <c r="O238" i="148"/>
  <c r="AQ99" i="150"/>
  <c r="AQ100" i="150" s="1"/>
  <c r="O112" i="148"/>
  <c r="O82" i="148" s="1"/>
  <c r="O110" i="148"/>
  <c r="O80" i="148" s="1"/>
  <c r="O109" i="148"/>
  <c r="O108" i="148"/>
  <c r="O78" i="148" s="1"/>
  <c r="O107" i="148"/>
  <c r="O77" i="148" s="1"/>
  <c r="O106" i="148"/>
  <c r="O76" i="148" s="1"/>
  <c r="O105" i="148"/>
  <c r="O75" i="148" s="1"/>
  <c r="O104" i="148"/>
  <c r="O21" i="148"/>
  <c r="O163" i="148" s="1"/>
  <c r="BT23" i="149"/>
  <c r="BU24" i="149" s="1"/>
  <c r="O16" i="148"/>
  <c r="O11" i="148"/>
  <c r="O17" i="148" s="1"/>
  <c r="O51" i="148" s="1"/>
  <c r="O210" i="148" s="1"/>
  <c r="AY63" i="75"/>
  <c r="AY43" i="75"/>
  <c r="AY39" i="75"/>
  <c r="AY24" i="75"/>
  <c r="AY21" i="75" s="1"/>
  <c r="AY26" i="75" s="1"/>
  <c r="AY69" i="75" s="1"/>
  <c r="T235" i="75"/>
  <c r="L82" i="157"/>
  <c r="M82" i="157" s="1"/>
  <c r="N127" i="164"/>
  <c r="N128" i="164"/>
  <c r="L46" i="164"/>
  <c r="N129" i="164"/>
  <c r="N4" i="163"/>
  <c r="N279" i="148"/>
  <c r="N278" i="148"/>
  <c r="N277" i="148"/>
  <c r="N112" i="148"/>
  <c r="N122" i="148" s="1"/>
  <c r="AP106" i="150" s="1"/>
  <c r="N110" i="148"/>
  <c r="N80" i="148" s="1"/>
  <c r="N109" i="148"/>
  <c r="N79" i="148" s="1"/>
  <c r="N108" i="148"/>
  <c r="N78" i="148" s="1"/>
  <c r="N107" i="148"/>
  <c r="N106" i="148"/>
  <c r="N76" i="148" s="1"/>
  <c r="N105" i="148"/>
  <c r="N104" i="148"/>
  <c r="N74" i="148" s="1"/>
  <c r="M104" i="148"/>
  <c r="M74" i="148" s="1"/>
  <c r="BB74" i="148" s="1"/>
  <c r="AP99" i="150"/>
  <c r="N21" i="148"/>
  <c r="BS23" i="149"/>
  <c r="N16" i="148"/>
  <c r="N11" i="148"/>
  <c r="AW63" i="75"/>
  <c r="AX63" i="75"/>
  <c r="AX43" i="75"/>
  <c r="AX24" i="75"/>
  <c r="N280" i="148" s="1"/>
  <c r="CC3" i="150"/>
  <c r="CD3" i="150"/>
  <c r="CE3" i="150"/>
  <c r="CF3" i="150"/>
  <c r="CG3" i="150"/>
  <c r="CH3" i="150"/>
  <c r="CI3" i="150"/>
  <c r="CI9" i="150" s="1"/>
  <c r="E182" i="75"/>
  <c r="F182" i="75"/>
  <c r="G182" i="75"/>
  <c r="J196" i="75"/>
  <c r="J194" i="75"/>
  <c r="J188" i="75"/>
  <c r="J183" i="75"/>
  <c r="G183" i="75"/>
  <c r="F183" i="75"/>
  <c r="E183" i="75"/>
  <c r="D183" i="75"/>
  <c r="H183" i="75"/>
  <c r="I183" i="75"/>
  <c r="D182" i="75"/>
  <c r="H182" i="75"/>
  <c r="I182" i="75"/>
  <c r="J277" i="148"/>
  <c r="N282" i="148" s="1"/>
  <c r="C7" i="75"/>
  <c r="D95" i="75"/>
  <c r="D187" i="75"/>
  <c r="AZ19" i="148"/>
  <c r="BA19" i="148"/>
  <c r="BB19" i="148"/>
  <c r="BC19" i="148"/>
  <c r="BD19" i="148"/>
  <c r="BE19" i="148"/>
  <c r="AZ292" i="148"/>
  <c r="BA292" i="148"/>
  <c r="BB292" i="148"/>
  <c r="BC292" i="148"/>
  <c r="AD34" i="148"/>
  <c r="AH34" i="148" s="1"/>
  <c r="BE292" i="148"/>
  <c r="BD292" i="148"/>
  <c r="C66" i="157"/>
  <c r="C67" i="157"/>
  <c r="C68" i="157"/>
  <c r="C65" i="157"/>
  <c r="AW103" i="75"/>
  <c r="J11" i="148"/>
  <c r="J294" i="148" s="1"/>
  <c r="CM3" i="150"/>
  <c r="AO99" i="150"/>
  <c r="M279" i="148"/>
  <c r="M278" i="148"/>
  <c r="M277" i="148"/>
  <c r="M125" i="148"/>
  <c r="N125" i="148" s="1"/>
  <c r="N97" i="148" s="1"/>
  <c r="M126" i="148"/>
  <c r="M112" i="148"/>
  <c r="M122" i="148" s="1"/>
  <c r="M110" i="148"/>
  <c r="M109" i="148"/>
  <c r="M79" i="148" s="1"/>
  <c r="BB79" i="148" s="1"/>
  <c r="M108" i="148"/>
  <c r="M78" i="148" s="1"/>
  <c r="BB78" i="148" s="1"/>
  <c r="M107" i="148"/>
  <c r="M77" i="148" s="1"/>
  <c r="BB77" i="148" s="1"/>
  <c r="M106" i="148"/>
  <c r="M76" i="148" s="1"/>
  <c r="BB76" i="148" s="1"/>
  <c r="M105" i="148"/>
  <c r="M75" i="148" s="1"/>
  <c r="BB75" i="148" s="1"/>
  <c r="M21" i="148"/>
  <c r="M163" i="148" s="1"/>
  <c r="BR23" i="149"/>
  <c r="M16" i="148"/>
  <c r="J143" i="75"/>
  <c r="J141" i="75"/>
  <c r="J158" i="75"/>
  <c r="J145" i="75"/>
  <c r="J135" i="75"/>
  <c r="K190" i="75"/>
  <c r="J131" i="75"/>
  <c r="J126" i="75"/>
  <c r="J127" i="75"/>
  <c r="BQ21" i="75"/>
  <c r="BQ26" i="75" s="1"/>
  <c r="J136" i="75"/>
  <c r="M11" i="148"/>
  <c r="AG291" i="148"/>
  <c r="AW43" i="75"/>
  <c r="AW24" i="75"/>
  <c r="M280" i="148" s="1"/>
  <c r="C137" i="163"/>
  <c r="C138" i="163"/>
  <c r="C139" i="163"/>
  <c r="O129" i="163"/>
  <c r="O130" i="163"/>
  <c r="O131" i="163"/>
  <c r="O132" i="163"/>
  <c r="B130" i="163"/>
  <c r="B137" i="163"/>
  <c r="B144" i="163"/>
  <c r="B131" i="163"/>
  <c r="B138" i="163"/>
  <c r="B145" i="163"/>
  <c r="B132" i="163"/>
  <c r="B139" i="163"/>
  <c r="B146" i="163"/>
  <c r="B129" i="163"/>
  <c r="B136" i="163"/>
  <c r="B143" i="163"/>
  <c r="H95" i="164"/>
  <c r="G95" i="164"/>
  <c r="G104" i="164"/>
  <c r="F95" i="164"/>
  <c r="F104" i="164"/>
  <c r="E95" i="164"/>
  <c r="E104" i="164"/>
  <c r="D95" i="164"/>
  <c r="D104" i="164"/>
  <c r="C95" i="164"/>
  <c r="C104" i="164"/>
  <c r="H94" i="164"/>
  <c r="G94" i="164"/>
  <c r="G103" i="164"/>
  <c r="F94" i="164"/>
  <c r="F103" i="164"/>
  <c r="E94" i="164"/>
  <c r="E103" i="164"/>
  <c r="D94" i="164"/>
  <c r="D103" i="164"/>
  <c r="C94" i="164"/>
  <c r="C103" i="164"/>
  <c r="K102" i="164"/>
  <c r="H93" i="164"/>
  <c r="G93" i="164"/>
  <c r="G102" i="164"/>
  <c r="F93" i="164"/>
  <c r="F102" i="164"/>
  <c r="E93" i="164"/>
  <c r="D93" i="164"/>
  <c r="C93" i="164"/>
  <c r="C102" i="164"/>
  <c r="F78" i="164"/>
  <c r="E78" i="164"/>
  <c r="D78" i="164"/>
  <c r="C78" i="164"/>
  <c r="F68" i="164"/>
  <c r="E68" i="164"/>
  <c r="D68" i="164"/>
  <c r="C68" i="164"/>
  <c r="B65" i="164"/>
  <c r="B75" i="164"/>
  <c r="B84" i="164"/>
  <c r="B93" i="164"/>
  <c r="B102" i="164"/>
  <c r="E56" i="164"/>
  <c r="D56" i="164"/>
  <c r="H55" i="164"/>
  <c r="E55" i="164"/>
  <c r="D55" i="164"/>
  <c r="H54" i="164"/>
  <c r="G54" i="164"/>
  <c r="F54" i="164"/>
  <c r="E54" i="164"/>
  <c r="D54" i="164"/>
  <c r="H53" i="164"/>
  <c r="G53" i="164"/>
  <c r="F53" i="164"/>
  <c r="E53" i="164"/>
  <c r="D53" i="164"/>
  <c r="E51" i="164"/>
  <c r="G50" i="164"/>
  <c r="H50" i="164"/>
  <c r="I50" i="164"/>
  <c r="G48" i="164"/>
  <c r="H48" i="164" s="1"/>
  <c r="J47" i="164"/>
  <c r="M46" i="164"/>
  <c r="N45" i="164"/>
  <c r="B37" i="164"/>
  <c r="B45" i="164"/>
  <c r="B53" i="164"/>
  <c r="B29" i="164"/>
  <c r="B27" i="164"/>
  <c r="B71" i="164"/>
  <c r="B81" i="164"/>
  <c r="B90" i="164"/>
  <c r="B99" i="164"/>
  <c r="B108" i="164"/>
  <c r="B26" i="164"/>
  <c r="B70" i="164"/>
  <c r="B80" i="164" s="1"/>
  <c r="B89" i="164" s="1"/>
  <c r="B98" i="164" s="1"/>
  <c r="B107" i="164" s="1"/>
  <c r="B25" i="164"/>
  <c r="B41" i="164"/>
  <c r="B49" i="164" s="1"/>
  <c r="B57" i="164" s="1"/>
  <c r="B24" i="164"/>
  <c r="B68" i="164"/>
  <c r="B78" i="164" s="1"/>
  <c r="B87" i="164" s="1"/>
  <c r="B96" i="164" s="1"/>
  <c r="B105" i="164" s="1"/>
  <c r="B23" i="164"/>
  <c r="B31" i="164"/>
  <c r="B22" i="164"/>
  <c r="B66" i="164"/>
  <c r="B76" i="164" s="1"/>
  <c r="B85" i="164" s="1"/>
  <c r="B94" i="164" s="1"/>
  <c r="B103" i="164" s="1"/>
  <c r="N20" i="164"/>
  <c r="M20" i="164"/>
  <c r="L20" i="164"/>
  <c r="K20" i="164"/>
  <c r="J92" i="164"/>
  <c r="J101" i="164"/>
  <c r="G92" i="164"/>
  <c r="G101" i="164"/>
  <c r="D20" i="164"/>
  <c r="C20" i="164"/>
  <c r="C92" i="164"/>
  <c r="C101" i="164"/>
  <c r="K92" i="164"/>
  <c r="K101" i="164"/>
  <c r="K64" i="164"/>
  <c r="K74" i="164"/>
  <c r="K83" i="164"/>
  <c r="I64" i="164"/>
  <c r="I74" i="164"/>
  <c r="I83" i="164"/>
  <c r="I92" i="164"/>
  <c r="I101" i="164" s="1"/>
  <c r="N53" i="164"/>
  <c r="N46" i="164"/>
  <c r="N54" i="164"/>
  <c r="K50" i="164"/>
  <c r="L50" i="164"/>
  <c r="M50" i="164"/>
  <c r="N50" i="164"/>
  <c r="K47" i="164"/>
  <c r="F51" i="164"/>
  <c r="B35" i="164"/>
  <c r="C64" i="164"/>
  <c r="C74" i="164"/>
  <c r="C83" i="164"/>
  <c r="B30" i="164"/>
  <c r="E92" i="164"/>
  <c r="E101" i="164"/>
  <c r="E64" i="164"/>
  <c r="E74" i="164"/>
  <c r="E83" i="164"/>
  <c r="M92" i="164"/>
  <c r="M101" i="164"/>
  <c r="M64" i="164"/>
  <c r="M74" i="164"/>
  <c r="M83" i="164"/>
  <c r="B32" i="164"/>
  <c r="B38" i="164"/>
  <c r="B46" i="164"/>
  <c r="B54" i="164" s="1"/>
  <c r="B40" i="164"/>
  <c r="B48" i="164" s="1"/>
  <c r="B56" i="164" s="1"/>
  <c r="G64" i="164"/>
  <c r="G74" i="164"/>
  <c r="G83" i="164"/>
  <c r="B67" i="164"/>
  <c r="B77" i="164" s="1"/>
  <c r="B86" i="164" s="1"/>
  <c r="B95" i="164" s="1"/>
  <c r="B104" i="164" s="1"/>
  <c r="B69" i="164"/>
  <c r="B79" i="164"/>
  <c r="B88" i="164" s="1"/>
  <c r="B97" i="164" s="1"/>
  <c r="B106" i="164" s="1"/>
  <c r="D92" i="164"/>
  <c r="D101" i="164"/>
  <c r="D64" i="164"/>
  <c r="D74" i="164"/>
  <c r="D83" i="164"/>
  <c r="L92" i="164"/>
  <c r="L101" i="164"/>
  <c r="L64" i="164"/>
  <c r="L74" i="164"/>
  <c r="L83" i="164"/>
  <c r="F92" i="164"/>
  <c r="F101" i="164"/>
  <c r="F64" i="164"/>
  <c r="F74" i="164"/>
  <c r="F83" i="164"/>
  <c r="J64" i="164"/>
  <c r="J74" i="164"/>
  <c r="J83" i="164"/>
  <c r="N92" i="164"/>
  <c r="N101" i="164"/>
  <c r="N64" i="164"/>
  <c r="N74" i="164"/>
  <c r="N83" i="164"/>
  <c r="B33" i="164"/>
  <c r="B34" i="164"/>
  <c r="B39" i="164"/>
  <c r="B47" i="164"/>
  <c r="B55" i="164" s="1"/>
  <c r="B42" i="164"/>
  <c r="B50" i="164" s="1"/>
  <c r="B58" i="164" s="1"/>
  <c r="B43" i="164"/>
  <c r="B51" i="164"/>
  <c r="B59" i="164"/>
  <c r="H92" i="164"/>
  <c r="H101" i="164"/>
  <c r="H64" i="164"/>
  <c r="H74" i="164"/>
  <c r="H83" i="164"/>
  <c r="D102" i="164"/>
  <c r="E102" i="164"/>
  <c r="L47" i="164"/>
  <c r="G51" i="164"/>
  <c r="K51" i="164"/>
  <c r="L51" i="164"/>
  <c r="M51" i="164"/>
  <c r="N51" i="164"/>
  <c r="M47" i="164"/>
  <c r="N47" i="164"/>
  <c r="N55" i="164"/>
  <c r="C135" i="163"/>
  <c r="C134" i="163"/>
  <c r="B128" i="163"/>
  <c r="B135" i="163"/>
  <c r="B142" i="163"/>
  <c r="B127" i="163"/>
  <c r="B134" i="163"/>
  <c r="B141" i="163"/>
  <c r="T242" i="163"/>
  <c r="Q242" i="163"/>
  <c r="S60" i="163"/>
  <c r="S61" i="163"/>
  <c r="S62" i="163"/>
  <c r="S63" i="163"/>
  <c r="S64" i="163"/>
  <c r="B241" i="163"/>
  <c r="B222" i="163"/>
  <c r="B186" i="163"/>
  <c r="B223" i="163"/>
  <c r="B187" i="163"/>
  <c r="B224" i="163"/>
  <c r="B188" i="163"/>
  <c r="B225" i="163"/>
  <c r="B189" i="163"/>
  <c r="B226" i="163"/>
  <c r="B190" i="163"/>
  <c r="B227" i="163"/>
  <c r="B191" i="163"/>
  <c r="B228" i="163"/>
  <c r="B192" i="163"/>
  <c r="B229" i="163"/>
  <c r="B193" i="163"/>
  <c r="B230" i="163"/>
  <c r="B194" i="163"/>
  <c r="B231" i="163"/>
  <c r="B195" i="163"/>
  <c r="B232" i="163"/>
  <c r="B196" i="163"/>
  <c r="B233" i="163"/>
  <c r="B197" i="163"/>
  <c r="B234" i="163"/>
  <c r="B198" i="163"/>
  <c r="B235" i="163"/>
  <c r="B199" i="163"/>
  <c r="B236" i="163"/>
  <c r="B200" i="163"/>
  <c r="B237" i="163"/>
  <c r="B201" i="163"/>
  <c r="B238" i="163"/>
  <c r="B202" i="163"/>
  <c r="B239" i="163"/>
  <c r="B203" i="163"/>
  <c r="B240" i="163"/>
  <c r="B204" i="163"/>
  <c r="B242" i="163"/>
  <c r="B206" i="163"/>
  <c r="B243" i="163"/>
  <c r="B207" i="163"/>
  <c r="B244" i="163"/>
  <c r="B208" i="163"/>
  <c r="B245" i="163"/>
  <c r="B209" i="163"/>
  <c r="B246" i="163"/>
  <c r="B210" i="163"/>
  <c r="B247" i="163"/>
  <c r="B211" i="163"/>
  <c r="B248" i="163"/>
  <c r="B212" i="163"/>
  <c r="B249" i="163"/>
  <c r="B213" i="163"/>
  <c r="B250" i="163"/>
  <c r="B214" i="163"/>
  <c r="B251" i="163"/>
  <c r="B215" i="163"/>
  <c r="B252" i="163"/>
  <c r="B216" i="163"/>
  <c r="B253" i="163"/>
  <c r="B217" i="163"/>
  <c r="B254" i="163"/>
  <c r="B218" i="163"/>
  <c r="B255" i="163"/>
  <c r="B219" i="163"/>
  <c r="B221" i="163"/>
  <c r="B185" i="163"/>
  <c r="B103" i="163"/>
  <c r="B105" i="163"/>
  <c r="B106" i="163"/>
  <c r="B107" i="163"/>
  <c r="B108" i="163"/>
  <c r="H102" i="164"/>
  <c r="B22" i="163"/>
  <c r="B30" i="163" s="1"/>
  <c r="B102" i="163"/>
  <c r="B28" i="163"/>
  <c r="B36" i="163" s="1"/>
  <c r="B27" i="163"/>
  <c r="B35" i="163" s="1"/>
  <c r="B23" i="163"/>
  <c r="B31" i="163" s="1"/>
  <c r="B25" i="163"/>
  <c r="B33" i="163" s="1"/>
  <c r="B26" i="163"/>
  <c r="B34" i="163" s="1"/>
  <c r="J110" i="75"/>
  <c r="AV103" i="75"/>
  <c r="AV131" i="75"/>
  <c r="AV135" i="75"/>
  <c r="T107" i="75"/>
  <c r="D84" i="163"/>
  <c r="E84" i="163"/>
  <c r="F84" i="163"/>
  <c r="G84" i="163"/>
  <c r="H84" i="163"/>
  <c r="I84" i="163"/>
  <c r="J84" i="163"/>
  <c r="K84" i="163"/>
  <c r="L84" i="163"/>
  <c r="M84" i="163"/>
  <c r="N84" i="163"/>
  <c r="E86" i="163"/>
  <c r="F86" i="163"/>
  <c r="G86" i="163"/>
  <c r="H86" i="163"/>
  <c r="I86" i="163"/>
  <c r="J86" i="163"/>
  <c r="K86" i="163"/>
  <c r="L86" i="163"/>
  <c r="M86" i="163"/>
  <c r="N86" i="163"/>
  <c r="D88" i="163"/>
  <c r="N88" i="163"/>
  <c r="H103" i="164"/>
  <c r="U65" i="163"/>
  <c r="T65" i="163"/>
  <c r="H104" i="164"/>
  <c r="BG7" i="75"/>
  <c r="BF7" i="75"/>
  <c r="BE295" i="148"/>
  <c r="BE111" i="148"/>
  <c r="I77" i="164"/>
  <c r="I104" i="164" s="1"/>
  <c r="I24" i="163" s="1"/>
  <c r="AZ4" i="150"/>
  <c r="AY4" i="150"/>
  <c r="AY7" i="150" s="1"/>
  <c r="AX4" i="150"/>
  <c r="BE81" i="148"/>
  <c r="X81" i="148"/>
  <c r="W81" i="148"/>
  <c r="V81" i="148"/>
  <c r="C63" i="163"/>
  <c r="C62" i="163"/>
  <c r="C61" i="163"/>
  <c r="G1" i="163"/>
  <c r="H1" i="163"/>
  <c r="I1" i="163"/>
  <c r="M75" i="164"/>
  <c r="C64" i="163"/>
  <c r="J1" i="163"/>
  <c r="K1" i="163"/>
  <c r="L1" i="163"/>
  <c r="M1" i="163"/>
  <c r="N1" i="163"/>
  <c r="O1" i="163"/>
  <c r="BA4" i="150"/>
  <c r="BA5" i="150" s="1"/>
  <c r="BA8" i="150" s="1"/>
  <c r="K103" i="164"/>
  <c r="K23" i="163" s="1"/>
  <c r="M102" i="164"/>
  <c r="M22" i="163" s="1"/>
  <c r="CT15" i="149"/>
  <c r="CT14" i="149"/>
  <c r="CT13" i="149"/>
  <c r="CT12" i="149"/>
  <c r="AZ82" i="148"/>
  <c r="BA82" i="148"/>
  <c r="C95" i="148"/>
  <c r="D95" i="148"/>
  <c r="E95" i="148"/>
  <c r="AZ95" i="148" s="1"/>
  <c r="F95" i="148"/>
  <c r="G95" i="148"/>
  <c r="H95" i="148"/>
  <c r="I95" i="148"/>
  <c r="BA95" i="148" s="1"/>
  <c r="C97" i="148"/>
  <c r="D97" i="148"/>
  <c r="E97" i="148"/>
  <c r="AZ97" i="148" s="1"/>
  <c r="F97" i="148"/>
  <c r="G97" i="148"/>
  <c r="H97" i="148"/>
  <c r="I97" i="148"/>
  <c r="BA97" i="148" s="1"/>
  <c r="L97" i="148"/>
  <c r="C98" i="148"/>
  <c r="D98" i="148"/>
  <c r="E98" i="148"/>
  <c r="AZ98" i="148" s="1"/>
  <c r="F98" i="148"/>
  <c r="G98" i="148"/>
  <c r="H98" i="148"/>
  <c r="I98" i="148"/>
  <c r="BA98" i="148" s="1"/>
  <c r="L98" i="148"/>
  <c r="C99" i="148"/>
  <c r="D99" i="148"/>
  <c r="E99" i="148"/>
  <c r="AZ99" i="148" s="1"/>
  <c r="F99" i="148"/>
  <c r="G99" i="148"/>
  <c r="H99" i="148"/>
  <c r="I99" i="148"/>
  <c r="BA99" i="148" s="1"/>
  <c r="C101" i="148"/>
  <c r="D101" i="148"/>
  <c r="E101" i="148"/>
  <c r="AZ101" i="148" s="1"/>
  <c r="F101" i="148"/>
  <c r="G101" i="148"/>
  <c r="H101" i="148"/>
  <c r="I101" i="148"/>
  <c r="BA101" i="148" s="1"/>
  <c r="B101" i="148"/>
  <c r="B95" i="148"/>
  <c r="B97" i="148"/>
  <c r="B99" i="148"/>
  <c r="B98" i="148"/>
  <c r="L81" i="148"/>
  <c r="M81" i="148"/>
  <c r="BB81" i="148" s="1"/>
  <c r="N81" i="148"/>
  <c r="O81" i="148"/>
  <c r="P81" i="148"/>
  <c r="Q81" i="148"/>
  <c r="BC81" i="148" s="1"/>
  <c r="R81" i="148"/>
  <c r="S81" i="148"/>
  <c r="T81" i="148"/>
  <c r="U81" i="148"/>
  <c r="BD81" i="148" s="1"/>
  <c r="AN99" i="150"/>
  <c r="AN100" i="150" s="1"/>
  <c r="L279" i="148"/>
  <c r="L278" i="148"/>
  <c r="P283" i="148" s="1"/>
  <c r="L277" i="148"/>
  <c r="P78" i="148"/>
  <c r="L110" i="148"/>
  <c r="L80" i="148" s="1"/>
  <c r="L109" i="148"/>
  <c r="L79" i="148" s="1"/>
  <c r="L108" i="148"/>
  <c r="L78" i="148" s="1"/>
  <c r="L107" i="148"/>
  <c r="L106" i="148"/>
  <c r="L76" i="148" s="1"/>
  <c r="L105" i="148"/>
  <c r="L75" i="148" s="1"/>
  <c r="L104" i="148"/>
  <c r="L21" i="148"/>
  <c r="L163" i="148" s="1"/>
  <c r="BQ23" i="149"/>
  <c r="L16" i="148"/>
  <c r="L11" i="148"/>
  <c r="AU24" i="75"/>
  <c r="AR24" i="75"/>
  <c r="AV43" i="75"/>
  <c r="AV70" i="75"/>
  <c r="AV71" i="75"/>
  <c r="AV72" i="75"/>
  <c r="AV63" i="75"/>
  <c r="AV24" i="75"/>
  <c r="L280" i="148" s="1"/>
  <c r="AV14" i="75"/>
  <c r="AV16" i="75"/>
  <c r="L25" i="148" s="1"/>
  <c r="BP21" i="75"/>
  <c r="BP26" i="75" s="1"/>
  <c r="BB295" i="148"/>
  <c r="BA295" i="148"/>
  <c r="AZ295" i="148"/>
  <c r="BC295" i="148"/>
  <c r="BD295" i="148"/>
  <c r="C113" i="164"/>
  <c r="R6" i="164" s="1"/>
  <c r="AN102" i="75"/>
  <c r="AO102" i="75"/>
  <c r="AP102" i="75"/>
  <c r="AQ102" i="75"/>
  <c r="AR102" i="75"/>
  <c r="AS102" i="75"/>
  <c r="AT102" i="75"/>
  <c r="AU102" i="75"/>
  <c r="AU104" i="75" s="1"/>
  <c r="AT103" i="75"/>
  <c r="AU103" i="75"/>
  <c r="AM102" i="75"/>
  <c r="AM97" i="75"/>
  <c r="AN97" i="75"/>
  <c r="AO97" i="75"/>
  <c r="AV97" i="75"/>
  <c r="AV98" i="75" s="1"/>
  <c r="I110" i="75"/>
  <c r="AP97" i="75"/>
  <c r="AQ97" i="75"/>
  <c r="AR97" i="75"/>
  <c r="AS97" i="75"/>
  <c r="AT97" i="75"/>
  <c r="AT98" i="75"/>
  <c r="AU97" i="75"/>
  <c r="AU98" i="75" s="1"/>
  <c r="AA229" i="75"/>
  <c r="Z229" i="75"/>
  <c r="Y229" i="75" s="1"/>
  <c r="X229" i="75" s="1"/>
  <c r="W229" i="75" s="1"/>
  <c r="V229" i="75" s="1"/>
  <c r="AT43" i="75"/>
  <c r="Q107" i="75"/>
  <c r="P107" i="75"/>
  <c r="O107" i="75"/>
  <c r="I63" i="75"/>
  <c r="N145" i="148"/>
  <c r="BB145" i="148"/>
  <c r="B111" i="148"/>
  <c r="B81" i="148" s="1"/>
  <c r="C111" i="148"/>
  <c r="C81" i="148" s="1"/>
  <c r="D111" i="148"/>
  <c r="E111" i="148"/>
  <c r="E81" i="148" s="1"/>
  <c r="AZ81" i="148" s="1"/>
  <c r="F111" i="148"/>
  <c r="F81" i="148" s="1"/>
  <c r="G111" i="148"/>
  <c r="H111" i="148"/>
  <c r="H81" i="148" s="1"/>
  <c r="I111" i="148"/>
  <c r="J111" i="148"/>
  <c r="J81" i="148" s="1"/>
  <c r="K111" i="148"/>
  <c r="K81" i="148" s="1"/>
  <c r="BC111" i="148"/>
  <c r="BD111" i="148"/>
  <c r="K279" i="148"/>
  <c r="K278" i="148"/>
  <c r="O283" i="148" s="1"/>
  <c r="K277" i="148"/>
  <c r="K110" i="148"/>
  <c r="K109" i="148"/>
  <c r="K108" i="148"/>
  <c r="K78" i="148" s="1"/>
  <c r="K107" i="148"/>
  <c r="K77" i="148" s="1"/>
  <c r="K106" i="148"/>
  <c r="K76" i="148" s="1"/>
  <c r="K105" i="148"/>
  <c r="K75" i="148" s="1"/>
  <c r="K104" i="148"/>
  <c r="K21" i="148"/>
  <c r="K163" i="148" s="1"/>
  <c r="BP23" i="149"/>
  <c r="K16" i="148"/>
  <c r="K11" i="148"/>
  <c r="AU7" i="75"/>
  <c r="AU63" i="75"/>
  <c r="AM99" i="150"/>
  <c r="AM100" i="150" s="1"/>
  <c r="K280" i="148"/>
  <c r="AO34" i="148"/>
  <c r="AS34" i="148" s="1"/>
  <c r="AW34" i="148" s="1"/>
  <c r="R152" i="77"/>
  <c r="AB151" i="77"/>
  <c r="J279" i="148"/>
  <c r="J278" i="148"/>
  <c r="Y200" i="77"/>
  <c r="Z200" i="77"/>
  <c r="BN21" i="75"/>
  <c r="BN26" i="75" s="1"/>
  <c r="J104" i="148"/>
  <c r="J74" i="148" s="1"/>
  <c r="J126" i="148"/>
  <c r="B1" i="75"/>
  <c r="K34" i="148"/>
  <c r="AM34" i="148"/>
  <c r="AQ34" i="148" s="1"/>
  <c r="AU34" i="148" s="1"/>
  <c r="J129" i="148"/>
  <c r="J101" i="148" s="1"/>
  <c r="J125" i="148"/>
  <c r="K125" i="148" s="1"/>
  <c r="J21" i="148"/>
  <c r="J163" i="148" s="1"/>
  <c r="J110" i="148"/>
  <c r="J80" i="148" s="1"/>
  <c r="J109" i="148"/>
  <c r="J79" i="148" s="1"/>
  <c r="J108" i="148"/>
  <c r="J78" i="148" s="1"/>
  <c r="J107" i="148"/>
  <c r="J106" i="148"/>
  <c r="J76" i="148" s="1"/>
  <c r="J105" i="148"/>
  <c r="J75" i="148" s="1"/>
  <c r="BO23" i="149"/>
  <c r="AL99" i="150"/>
  <c r="AL100" i="150" s="1"/>
  <c r="J16" i="148"/>
  <c r="AT7" i="75"/>
  <c r="AT70" i="75"/>
  <c r="AT71" i="75"/>
  <c r="AT72" i="75"/>
  <c r="AT63" i="75"/>
  <c r="AT24" i="75"/>
  <c r="J280" i="148" s="1"/>
  <c r="D128" i="75"/>
  <c r="E128" i="75"/>
  <c r="F128" i="75"/>
  <c r="G128" i="75"/>
  <c r="H128" i="75"/>
  <c r="I128" i="75"/>
  <c r="Z194" i="77"/>
  <c r="I141" i="75"/>
  <c r="D143" i="75"/>
  <c r="E143" i="75"/>
  <c r="F143" i="75"/>
  <c r="G143" i="75"/>
  <c r="H143" i="75"/>
  <c r="I143" i="75"/>
  <c r="I146" i="75"/>
  <c r="D147" i="75"/>
  <c r="D148" i="75" s="1"/>
  <c r="E147" i="75"/>
  <c r="F147" i="75"/>
  <c r="G147" i="75"/>
  <c r="H147" i="75"/>
  <c r="I147" i="75"/>
  <c r="Z198" i="77"/>
  <c r="J192" i="75"/>
  <c r="I145" i="75"/>
  <c r="AS145" i="75" s="1"/>
  <c r="AS157" i="75" s="1"/>
  <c r="D192" i="75"/>
  <c r="I191" i="75"/>
  <c r="Z306" i="77"/>
  <c r="I196" i="75"/>
  <c r="I194" i="75"/>
  <c r="Z287" i="77"/>
  <c r="Z279" i="77"/>
  <c r="I188" i="75"/>
  <c r="Z261" i="77"/>
  <c r="Z260" i="77"/>
  <c r="Z255" i="77"/>
  <c r="R272" i="77"/>
  <c r="S272" i="77"/>
  <c r="I181" i="75"/>
  <c r="I185" i="75"/>
  <c r="I198" i="75" s="1"/>
  <c r="I179" i="75"/>
  <c r="R7" i="164" s="1"/>
  <c r="E138" i="75"/>
  <c r="F138" i="75"/>
  <c r="G138" i="75"/>
  <c r="H138" i="75"/>
  <c r="I138" i="75"/>
  <c r="D138" i="75"/>
  <c r="U185" i="77" s="1"/>
  <c r="I135" i="75"/>
  <c r="Z182" i="77"/>
  <c r="Z180" i="77"/>
  <c r="Z154" i="77"/>
  <c r="Z163" i="77"/>
  <c r="I131" i="75"/>
  <c r="I116" i="75"/>
  <c r="E118" i="75"/>
  <c r="F118" i="75"/>
  <c r="G118" i="75"/>
  <c r="H118" i="75"/>
  <c r="I118" i="75"/>
  <c r="D118" i="75"/>
  <c r="H140" i="75"/>
  <c r="I133" i="75"/>
  <c r="E130" i="75"/>
  <c r="F130" i="75"/>
  <c r="G130" i="75"/>
  <c r="H130" i="75"/>
  <c r="I130" i="75"/>
  <c r="D130" i="75"/>
  <c r="D177" i="75" s="1"/>
  <c r="Z130" i="77"/>
  <c r="I115" i="75"/>
  <c r="A2" i="148"/>
  <c r="H63" i="75"/>
  <c r="G63" i="75"/>
  <c r="F63" i="75"/>
  <c r="E63" i="75"/>
  <c r="D63" i="75"/>
  <c r="D212" i="75"/>
  <c r="I32" i="75"/>
  <c r="AQ32" i="75" s="1"/>
  <c r="AQ31" i="75" s="1"/>
  <c r="H32" i="75"/>
  <c r="G32" i="75"/>
  <c r="F32" i="75"/>
  <c r="AD32" i="75" s="1"/>
  <c r="AD31" i="75" s="1"/>
  <c r="E32" i="75"/>
  <c r="AC32" i="75" s="1"/>
  <c r="AC31" i="75" s="1"/>
  <c r="D32" i="75"/>
  <c r="W32" i="75" s="1"/>
  <c r="W31" i="75" s="1"/>
  <c r="Y32" i="75"/>
  <c r="Y31" i="75" s="1"/>
  <c r="X32" i="75"/>
  <c r="X31" i="75" s="1"/>
  <c r="AB32" i="75"/>
  <c r="AB31" i="75" s="1"/>
  <c r="Z32" i="75"/>
  <c r="Z31" i="75" s="1"/>
  <c r="AA32" i="75"/>
  <c r="AA31" i="75" s="1"/>
  <c r="Z258" i="77"/>
  <c r="Z268" i="77"/>
  <c r="CK3" i="150"/>
  <c r="J243" i="142"/>
  <c r="I142" i="75"/>
  <c r="J137" i="142"/>
  <c r="I126" i="75"/>
  <c r="J129" i="142"/>
  <c r="I121" i="75"/>
  <c r="I120" i="75"/>
  <c r="I125" i="75"/>
  <c r="J212" i="75" s="1"/>
  <c r="E125" i="75"/>
  <c r="F212" i="75" s="1"/>
  <c r="F125" i="75"/>
  <c r="G212" i="75" s="1"/>
  <c r="G125" i="75"/>
  <c r="H125" i="75"/>
  <c r="D125" i="75"/>
  <c r="U88" i="77"/>
  <c r="N129" i="142"/>
  <c r="H212" i="75"/>
  <c r="I212" i="75"/>
  <c r="Z270" i="77"/>
  <c r="Y88" i="77"/>
  <c r="W45" i="75"/>
  <c r="X45" i="75"/>
  <c r="Y45" i="75"/>
  <c r="Z45" i="75"/>
  <c r="AA45" i="75"/>
  <c r="AB45" i="75"/>
  <c r="AB83" i="75" s="1"/>
  <c r="AC45" i="75"/>
  <c r="AD45" i="75"/>
  <c r="AE45" i="75"/>
  <c r="AF45" i="75"/>
  <c r="AG45" i="75"/>
  <c r="AH45" i="75"/>
  <c r="AH83" i="75" s="1"/>
  <c r="AI45" i="75"/>
  <c r="AJ45" i="75"/>
  <c r="AK45" i="75"/>
  <c r="AL45" i="75"/>
  <c r="AM45" i="75"/>
  <c r="AN45" i="75"/>
  <c r="AN46" i="75" s="1"/>
  <c r="AO45" i="75"/>
  <c r="AP45" i="75"/>
  <c r="AQ45" i="75"/>
  <c r="AR45" i="75"/>
  <c r="AS45" i="75"/>
  <c r="V45" i="75"/>
  <c r="Z46" i="75" s="1"/>
  <c r="E45" i="75"/>
  <c r="F45" i="75"/>
  <c r="G45" i="75"/>
  <c r="H45" i="75"/>
  <c r="D45" i="75"/>
  <c r="D83" i="75" s="1"/>
  <c r="E4" i="75"/>
  <c r="F4" i="75" s="1"/>
  <c r="G4" i="75" s="1"/>
  <c r="H4" i="75" s="1"/>
  <c r="Q126" i="75"/>
  <c r="R126" i="75" s="1"/>
  <c r="S126" i="75" s="1"/>
  <c r="E126" i="75"/>
  <c r="F126" i="75"/>
  <c r="G126" i="75"/>
  <c r="H126" i="75"/>
  <c r="D126" i="75"/>
  <c r="E122" i="75"/>
  <c r="F122" i="75"/>
  <c r="G122" i="75"/>
  <c r="G120" i="75" s="1"/>
  <c r="H122" i="75"/>
  <c r="D122" i="75"/>
  <c r="D120" i="75" s="1"/>
  <c r="E121" i="75"/>
  <c r="F121" i="75"/>
  <c r="G121" i="75"/>
  <c r="H121" i="75"/>
  <c r="D121" i="75"/>
  <c r="E124" i="75"/>
  <c r="F124" i="75"/>
  <c r="G124" i="75"/>
  <c r="G123" i="75" s="1"/>
  <c r="H124" i="75"/>
  <c r="D124" i="75"/>
  <c r="F120" i="75"/>
  <c r="EA38" i="77"/>
  <c r="ES36" i="77"/>
  <c r="AS37" i="75"/>
  <c r="AS38" i="75"/>
  <c r="AS103" i="75"/>
  <c r="AS104" i="75" s="1"/>
  <c r="A220" i="148"/>
  <c r="A221" i="148"/>
  <c r="A222" i="148"/>
  <c r="A223" i="148"/>
  <c r="A224" i="148"/>
  <c r="A225" i="148"/>
  <c r="A226" i="148"/>
  <c r="A227" i="148"/>
  <c r="A219" i="148"/>
  <c r="AZ146" i="148"/>
  <c r="BA146" i="148"/>
  <c r="BB146" i="148"/>
  <c r="BC146" i="148"/>
  <c r="BD146" i="148"/>
  <c r="AZ147" i="148"/>
  <c r="BA147" i="148"/>
  <c r="BB147" i="148"/>
  <c r="BC147" i="148"/>
  <c r="BD147" i="148"/>
  <c r="AZ148" i="148"/>
  <c r="BA148" i="148"/>
  <c r="BB148" i="148"/>
  <c r="BC148" i="148"/>
  <c r="BD148" i="148"/>
  <c r="AZ149" i="148"/>
  <c r="BA149" i="148"/>
  <c r="BB149" i="148"/>
  <c r="BC149" i="148"/>
  <c r="BD149" i="148"/>
  <c r="AZ150" i="148"/>
  <c r="BA150" i="148"/>
  <c r="BB150" i="148"/>
  <c r="BC150" i="148"/>
  <c r="BD150" i="148"/>
  <c r="AZ151" i="148"/>
  <c r="BA151" i="148"/>
  <c r="BB151" i="148"/>
  <c r="BC151" i="148"/>
  <c r="BD151" i="148"/>
  <c r="AZ152" i="148"/>
  <c r="BA152" i="148"/>
  <c r="BB152" i="148"/>
  <c r="BC152" i="148"/>
  <c r="BD152" i="148"/>
  <c r="CN3" i="150"/>
  <c r="AM106" i="150"/>
  <c r="AN106" i="150"/>
  <c r="AL106" i="150"/>
  <c r="AE99" i="150"/>
  <c r="AE100" i="150" s="1"/>
  <c r="AF99" i="150"/>
  <c r="AF100" i="150" s="1"/>
  <c r="AG99" i="150"/>
  <c r="AG100" i="150" s="1"/>
  <c r="AH99" i="150"/>
  <c r="AH100" i="150" s="1"/>
  <c r="AI99" i="150"/>
  <c r="AI100" i="150" s="1"/>
  <c r="AJ99" i="150"/>
  <c r="AJ100" i="150" s="1"/>
  <c r="AK99" i="150"/>
  <c r="AK100" i="150" s="1"/>
  <c r="AD99" i="150"/>
  <c r="AD100" i="150" s="1"/>
  <c r="I13" i="75"/>
  <c r="E3" i="148"/>
  <c r="D3" i="148"/>
  <c r="C3" i="148"/>
  <c r="B3" i="148"/>
  <c r="C104" i="148"/>
  <c r="D104" i="148"/>
  <c r="E104" i="148"/>
  <c r="E74" i="148" s="1"/>
  <c r="AZ74" i="148" s="1"/>
  <c r="F104" i="148"/>
  <c r="G104" i="148"/>
  <c r="H104" i="148"/>
  <c r="H74" i="148" s="1"/>
  <c r="I104" i="148"/>
  <c r="I74" i="148" s="1"/>
  <c r="BA74" i="148" s="1"/>
  <c r="C105" i="148"/>
  <c r="C75" i="148" s="1"/>
  <c r="D105" i="148"/>
  <c r="E105" i="148"/>
  <c r="E75" i="148" s="1"/>
  <c r="AZ75" i="148" s="1"/>
  <c r="F105" i="148"/>
  <c r="G105" i="148"/>
  <c r="H105" i="148"/>
  <c r="H75" i="148" s="1"/>
  <c r="I105" i="148"/>
  <c r="C106" i="148"/>
  <c r="C76" i="148" s="1"/>
  <c r="D106" i="148"/>
  <c r="D76" i="148" s="1"/>
  <c r="E106" i="148"/>
  <c r="F106" i="148"/>
  <c r="G106" i="148"/>
  <c r="G76" i="148" s="1"/>
  <c r="H106" i="148"/>
  <c r="H76" i="148" s="1"/>
  <c r="I106" i="148"/>
  <c r="I76" i="148" s="1"/>
  <c r="BA76" i="148" s="1"/>
  <c r="C107" i="148"/>
  <c r="C77" i="148" s="1"/>
  <c r="D107" i="148"/>
  <c r="D77" i="148" s="1"/>
  <c r="E107" i="148"/>
  <c r="E77" i="148" s="1"/>
  <c r="AZ77" i="148" s="1"/>
  <c r="F107" i="148"/>
  <c r="F77" i="148" s="1"/>
  <c r="G107" i="148"/>
  <c r="G77" i="148" s="1"/>
  <c r="H107" i="148"/>
  <c r="I107" i="148"/>
  <c r="I77" i="148" s="1"/>
  <c r="BA77" i="148" s="1"/>
  <c r="C108" i="148"/>
  <c r="D108" i="148"/>
  <c r="D78" i="148" s="1"/>
  <c r="E108" i="148"/>
  <c r="F108" i="148"/>
  <c r="F78" i="148" s="1"/>
  <c r="G108" i="148"/>
  <c r="G78" i="148" s="1"/>
  <c r="H108" i="148"/>
  <c r="H78" i="148" s="1"/>
  <c r="I108" i="148"/>
  <c r="I78" i="148" s="1"/>
  <c r="BA78" i="148" s="1"/>
  <c r="C109" i="148"/>
  <c r="C79" i="148" s="1"/>
  <c r="D109" i="148"/>
  <c r="E109" i="148"/>
  <c r="E79" i="148" s="1"/>
  <c r="AZ79" i="148" s="1"/>
  <c r="F109" i="148"/>
  <c r="F79" i="148" s="1"/>
  <c r="G109" i="148"/>
  <c r="G79" i="148" s="1"/>
  <c r="H109" i="148"/>
  <c r="I109" i="148"/>
  <c r="I79" i="148" s="1"/>
  <c r="BA79" i="148" s="1"/>
  <c r="C110" i="148"/>
  <c r="D110" i="148"/>
  <c r="D80" i="148" s="1"/>
  <c r="E110" i="148"/>
  <c r="E80" i="148" s="1"/>
  <c r="AZ80" i="148" s="1"/>
  <c r="F110" i="148"/>
  <c r="F80" i="148" s="1"/>
  <c r="G110" i="148"/>
  <c r="H110" i="148"/>
  <c r="H80" i="148" s="1"/>
  <c r="I110" i="148"/>
  <c r="I80" i="148" s="1"/>
  <c r="BA80" i="148" s="1"/>
  <c r="B105" i="148"/>
  <c r="B75" i="148" s="1"/>
  <c r="B106" i="148"/>
  <c r="B107" i="148"/>
  <c r="B108" i="148"/>
  <c r="B78" i="148" s="1"/>
  <c r="B109" i="148"/>
  <c r="B79" i="148" s="1"/>
  <c r="B110" i="148"/>
  <c r="B80" i="148" s="1"/>
  <c r="B104" i="148"/>
  <c r="AS66" i="75"/>
  <c r="AS50" i="75"/>
  <c r="AS42" i="75"/>
  <c r="AS40" i="75"/>
  <c r="AS13" i="75"/>
  <c r="C21" i="148"/>
  <c r="C163" i="148" s="1"/>
  <c r="D21" i="148"/>
  <c r="E21" i="148"/>
  <c r="E163" i="148" s="1"/>
  <c r="F21" i="148"/>
  <c r="F163" i="148" s="1"/>
  <c r="G21" i="148"/>
  <c r="G163" i="148" s="1"/>
  <c r="H21" i="148"/>
  <c r="I21" i="148"/>
  <c r="I163" i="148" s="1"/>
  <c r="B21" i="148"/>
  <c r="B163" i="148" s="1"/>
  <c r="AM108" i="150"/>
  <c r="AN108" i="150" s="1"/>
  <c r="AO108" i="150" s="1"/>
  <c r="AP108" i="150" s="1"/>
  <c r="AQ108" i="150" s="1"/>
  <c r="AR108" i="150" s="1"/>
  <c r="AS108" i="150" s="1"/>
  <c r="AT108" i="150" s="1"/>
  <c r="AU108" i="150" s="1"/>
  <c r="AV108" i="150" s="1"/>
  <c r="AW108" i="150" s="1"/>
  <c r="AX108" i="150" s="1"/>
  <c r="AY108" i="150" s="1"/>
  <c r="AZ108" i="150" s="1"/>
  <c r="BA108" i="150" s="1"/>
  <c r="BB108" i="150" s="1"/>
  <c r="BC108" i="150" s="1"/>
  <c r="BD108" i="150" s="1"/>
  <c r="BE108" i="150" s="1"/>
  <c r="BF108" i="150" s="1"/>
  <c r="BG108" i="150" s="1"/>
  <c r="BH108" i="150" s="1"/>
  <c r="BI108" i="150" s="1"/>
  <c r="BJ108" i="150" s="1"/>
  <c r="BK108" i="150" s="1"/>
  <c r="BL108" i="150" s="1"/>
  <c r="BM108" i="150" s="1"/>
  <c r="BN108" i="150" s="1"/>
  <c r="BO108" i="150" s="1"/>
  <c r="BP108" i="150" s="1"/>
  <c r="BQ108" i="150" s="1"/>
  <c r="BR108" i="150" s="1"/>
  <c r="BS108" i="150" s="1"/>
  <c r="BT108" i="150" s="1"/>
  <c r="BU108" i="150" s="1"/>
  <c r="BV108" i="150" s="1"/>
  <c r="BW108" i="150" s="1"/>
  <c r="BX108" i="150" s="1"/>
  <c r="BY108" i="150" s="1"/>
  <c r="AR4" i="150"/>
  <c r="AR7" i="150" s="1"/>
  <c r="AQ4" i="150"/>
  <c r="AQ7" i="150" s="1"/>
  <c r="AP4" i="150"/>
  <c r="AP7" i="150" s="1"/>
  <c r="AO4" i="150"/>
  <c r="AN4" i="150"/>
  <c r="AN7" i="150" s="1"/>
  <c r="AM4" i="150"/>
  <c r="AL4" i="150"/>
  <c r="AL5" i="150" s="1"/>
  <c r="AJ4" i="150"/>
  <c r="AJ5" i="150" s="1"/>
  <c r="BL50" i="150" s="1"/>
  <c r="BM50" i="150" s="1"/>
  <c r="BN50" i="150" s="1"/>
  <c r="BO50" i="150" s="1"/>
  <c r="BP50" i="150" s="1"/>
  <c r="BQ50" i="150" s="1"/>
  <c r="BR50" i="150" s="1"/>
  <c r="BS50" i="150" s="1"/>
  <c r="BT50" i="150" s="1"/>
  <c r="BU50" i="150" s="1"/>
  <c r="BV50" i="150" s="1"/>
  <c r="BW50" i="150" s="1"/>
  <c r="AI4" i="150"/>
  <c r="AE4" i="150"/>
  <c r="AC4" i="150"/>
  <c r="AC5" i="150" s="1"/>
  <c r="BE43" i="150" s="1"/>
  <c r="BF43" i="150" s="1"/>
  <c r="BG43" i="150" s="1"/>
  <c r="BH43" i="150" s="1"/>
  <c r="BI43" i="150" s="1"/>
  <c r="BJ43" i="150" s="1"/>
  <c r="BK43" i="150" s="1"/>
  <c r="BL43" i="150" s="1"/>
  <c r="BM43" i="150" s="1"/>
  <c r="BN43" i="150" s="1"/>
  <c r="BO43" i="150" s="1"/>
  <c r="BP43" i="150" s="1"/>
  <c r="AB4" i="150"/>
  <c r="AB5" i="150" s="1"/>
  <c r="BD42" i="150" s="1"/>
  <c r="BE42" i="150" s="1"/>
  <c r="BF42" i="150" s="1"/>
  <c r="BG42" i="150" s="1"/>
  <c r="BH42" i="150" s="1"/>
  <c r="BI42" i="150" s="1"/>
  <c r="BJ42" i="150" s="1"/>
  <c r="BK42" i="150" s="1"/>
  <c r="BL42" i="150" s="1"/>
  <c r="BM42" i="150" s="1"/>
  <c r="BN42" i="150" s="1"/>
  <c r="BO42" i="150" s="1"/>
  <c r="AA4" i="150"/>
  <c r="AA5" i="150" s="1"/>
  <c r="X4" i="150"/>
  <c r="X5" i="150" s="1"/>
  <c r="W4" i="150"/>
  <c r="T4" i="150"/>
  <c r="T5" i="150" s="1"/>
  <c r="AV34" i="150" s="1"/>
  <c r="AW34" i="150" s="1"/>
  <c r="AX34" i="150" s="1"/>
  <c r="AY34" i="150" s="1"/>
  <c r="AZ34" i="150" s="1"/>
  <c r="BA34" i="150" s="1"/>
  <c r="BB34" i="150" s="1"/>
  <c r="BC34" i="150" s="1"/>
  <c r="BD34" i="150" s="1"/>
  <c r="BE34" i="150" s="1"/>
  <c r="BF34" i="150" s="1"/>
  <c r="BG34" i="150" s="1"/>
  <c r="S4" i="150"/>
  <c r="S5" i="150" s="1"/>
  <c r="AU33" i="150" s="1"/>
  <c r="AV33" i="150" s="1"/>
  <c r="AW33" i="150" s="1"/>
  <c r="AX33" i="150" s="1"/>
  <c r="AY33" i="150" s="1"/>
  <c r="AZ33" i="150" s="1"/>
  <c r="BA33" i="150" s="1"/>
  <c r="BB33" i="150" s="1"/>
  <c r="BC33" i="150" s="1"/>
  <c r="BD33" i="150" s="1"/>
  <c r="BE33" i="150" s="1"/>
  <c r="BF33" i="150" s="1"/>
  <c r="O4" i="150"/>
  <c r="M4" i="150"/>
  <c r="M5" i="150" s="1"/>
  <c r="L4" i="150"/>
  <c r="K4" i="150"/>
  <c r="K5" i="150" s="1"/>
  <c r="H4" i="150"/>
  <c r="H5" i="150" s="1"/>
  <c r="G4" i="150"/>
  <c r="G5" i="150" s="1"/>
  <c r="AI21" i="150" s="1"/>
  <c r="AJ21" i="150" s="1"/>
  <c r="AK21" i="150" s="1"/>
  <c r="AL21" i="150" s="1"/>
  <c r="AM21" i="150" s="1"/>
  <c r="AN21" i="150" s="1"/>
  <c r="AO21" i="150" s="1"/>
  <c r="AP21" i="150" s="1"/>
  <c r="AQ21" i="150" s="1"/>
  <c r="AR21" i="150" s="1"/>
  <c r="AS21" i="150" s="1"/>
  <c r="AT21" i="150" s="1"/>
  <c r="D4" i="150"/>
  <c r="D5" i="150" s="1"/>
  <c r="D18" i="150" s="1"/>
  <c r="E18" i="150" s="1"/>
  <c r="F18" i="150" s="1"/>
  <c r="G18" i="150" s="1"/>
  <c r="H18" i="150" s="1"/>
  <c r="I18" i="150" s="1"/>
  <c r="J18" i="150" s="1"/>
  <c r="K18" i="150" s="1"/>
  <c r="L18" i="150" s="1"/>
  <c r="M18" i="150" s="1"/>
  <c r="N18" i="150" s="1"/>
  <c r="O18" i="150" s="1"/>
  <c r="P18" i="150" s="1"/>
  <c r="Q18" i="150" s="1"/>
  <c r="R18" i="150" s="1"/>
  <c r="S18" i="150" s="1"/>
  <c r="T18" i="150" s="1"/>
  <c r="U18" i="150" s="1"/>
  <c r="V18" i="150" s="1"/>
  <c r="W18" i="150" s="1"/>
  <c r="X18" i="150" s="1"/>
  <c r="Y18" i="150" s="1"/>
  <c r="Z18" i="150" s="1"/>
  <c r="AA18" i="150" s="1"/>
  <c r="AB18" i="150" s="1"/>
  <c r="AC18" i="150" s="1"/>
  <c r="AD18" i="150" s="1"/>
  <c r="AE18" i="150" s="1"/>
  <c r="C4" i="150"/>
  <c r="CL3" i="150"/>
  <c r="AF4" i="150"/>
  <c r="P4" i="150"/>
  <c r="L11" i="149"/>
  <c r="K11" i="149"/>
  <c r="J11" i="149"/>
  <c r="I11" i="149"/>
  <c r="H11" i="149"/>
  <c r="G11" i="149"/>
  <c r="F11" i="149"/>
  <c r="BA291" i="148"/>
  <c r="AZ291" i="148"/>
  <c r="BA241" i="148"/>
  <c r="C79" i="164" s="1"/>
  <c r="AZ241" i="148"/>
  <c r="I238" i="148"/>
  <c r="H238" i="148"/>
  <c r="G238" i="148"/>
  <c r="F238" i="148"/>
  <c r="E238" i="148"/>
  <c r="D238" i="148"/>
  <c r="C238" i="148"/>
  <c r="B238" i="148"/>
  <c r="BA230" i="148"/>
  <c r="C69" i="164" s="1"/>
  <c r="AZ230" i="148"/>
  <c r="BA208" i="148"/>
  <c r="C34" i="163" s="1"/>
  <c r="AZ208" i="148"/>
  <c r="I191" i="148"/>
  <c r="I190" i="148"/>
  <c r="I189" i="148"/>
  <c r="I188" i="148"/>
  <c r="M187" i="148"/>
  <c r="J173" i="148"/>
  <c r="K173" i="148" s="1"/>
  <c r="L173" i="148" s="1"/>
  <c r="H173" i="148"/>
  <c r="G173" i="148" s="1"/>
  <c r="F173" i="148" s="1"/>
  <c r="E173" i="148" s="1"/>
  <c r="D173" i="148" s="1"/>
  <c r="C173" i="148" s="1"/>
  <c r="B173" i="148" s="1"/>
  <c r="J171" i="148"/>
  <c r="K171" i="148" s="1"/>
  <c r="L171" i="148" s="1"/>
  <c r="H171" i="148"/>
  <c r="G171" i="148" s="1"/>
  <c r="F171" i="148" s="1"/>
  <c r="E171" i="148" s="1"/>
  <c r="D171" i="148" s="1"/>
  <c r="C171" i="148" s="1"/>
  <c r="B171" i="148" s="1"/>
  <c r="J170" i="148"/>
  <c r="K170" i="148" s="1"/>
  <c r="L170" i="148" s="1"/>
  <c r="H170" i="148"/>
  <c r="J169" i="148"/>
  <c r="H169" i="148"/>
  <c r="G169" i="148" s="1"/>
  <c r="J168" i="148"/>
  <c r="K168" i="148" s="1"/>
  <c r="L168" i="148" s="1"/>
  <c r="H168" i="148"/>
  <c r="H189" i="148" s="1"/>
  <c r="J167" i="148"/>
  <c r="J188" i="148" s="1"/>
  <c r="H167" i="148"/>
  <c r="N166" i="148"/>
  <c r="N187" i="148" s="1"/>
  <c r="BA155" i="148"/>
  <c r="AZ155" i="148"/>
  <c r="BA129" i="148"/>
  <c r="AZ129" i="148"/>
  <c r="BA127" i="148"/>
  <c r="AZ127" i="148"/>
  <c r="J127" i="148"/>
  <c r="K127" i="148" s="1"/>
  <c r="L127" i="148" s="1"/>
  <c r="BA126" i="148"/>
  <c r="AZ126" i="148"/>
  <c r="BA125" i="148"/>
  <c r="AZ125" i="148"/>
  <c r="BA123" i="148"/>
  <c r="AZ123" i="148"/>
  <c r="J123" i="148"/>
  <c r="J95" i="148"/>
  <c r="BA122" i="148"/>
  <c r="AZ122" i="148"/>
  <c r="BA112" i="148"/>
  <c r="AZ112" i="148"/>
  <c r="BA49" i="148"/>
  <c r="C9" i="164" s="1"/>
  <c r="AZ49" i="148"/>
  <c r="I46" i="148"/>
  <c r="H46" i="148"/>
  <c r="G46" i="148"/>
  <c r="F46" i="148"/>
  <c r="E46" i="148"/>
  <c r="D46" i="148"/>
  <c r="C46" i="148"/>
  <c r="B46" i="148"/>
  <c r="BA27" i="148"/>
  <c r="AZ27" i="148"/>
  <c r="I16" i="148"/>
  <c r="H16" i="148"/>
  <c r="G16" i="148"/>
  <c r="F16" i="148"/>
  <c r="E16" i="148"/>
  <c r="D16" i="148"/>
  <c r="C16" i="148"/>
  <c r="B16" i="148"/>
  <c r="BB3" i="148"/>
  <c r="K123" i="148"/>
  <c r="Q4" i="150"/>
  <c r="Q5" i="150" s="1"/>
  <c r="AS31" i="150" s="1"/>
  <c r="AT31" i="150" s="1"/>
  <c r="AU31" i="150" s="1"/>
  <c r="AV31" i="150" s="1"/>
  <c r="AW31" i="150" s="1"/>
  <c r="AX31" i="150" s="1"/>
  <c r="AY31" i="150" s="1"/>
  <c r="AZ31" i="150" s="1"/>
  <c r="BA31" i="150" s="1"/>
  <c r="BB31" i="150" s="1"/>
  <c r="BC31" i="150" s="1"/>
  <c r="BD31" i="150" s="1"/>
  <c r="AG4" i="150"/>
  <c r="B4" i="150"/>
  <c r="B5" i="150" s="1"/>
  <c r="B16" i="150" s="1"/>
  <c r="B93" i="150" s="1"/>
  <c r="F4" i="150"/>
  <c r="F5" i="150" s="1"/>
  <c r="AH20" i="150" s="1"/>
  <c r="AI20" i="150" s="1"/>
  <c r="AJ20" i="150" s="1"/>
  <c r="AK20" i="150" s="1"/>
  <c r="AL20" i="150" s="1"/>
  <c r="AM20" i="150" s="1"/>
  <c r="AN20" i="150" s="1"/>
  <c r="AO20" i="150" s="1"/>
  <c r="AP20" i="150" s="1"/>
  <c r="AQ20" i="150" s="1"/>
  <c r="AR20" i="150" s="1"/>
  <c r="AS20" i="150" s="1"/>
  <c r="J4" i="150"/>
  <c r="J5" i="150" s="1"/>
  <c r="N4" i="150"/>
  <c r="N5" i="150" s="1"/>
  <c r="N28" i="150" s="1"/>
  <c r="O28" i="150" s="1"/>
  <c r="P28" i="150" s="1"/>
  <c r="Q28" i="150" s="1"/>
  <c r="R28" i="150" s="1"/>
  <c r="S28" i="150" s="1"/>
  <c r="T28" i="150" s="1"/>
  <c r="U28" i="150" s="1"/>
  <c r="V28" i="150" s="1"/>
  <c r="W28" i="150" s="1"/>
  <c r="X28" i="150" s="1"/>
  <c r="Y28" i="150" s="1"/>
  <c r="Z28" i="150" s="1"/>
  <c r="AA28" i="150" s="1"/>
  <c r="AB28" i="150" s="1"/>
  <c r="AC28" i="150" s="1"/>
  <c r="AD28" i="150" s="1"/>
  <c r="AE28" i="150" s="1"/>
  <c r="AF28" i="150" s="1"/>
  <c r="AG28" i="150" s="1"/>
  <c r="AH28" i="150" s="1"/>
  <c r="AI28" i="150" s="1"/>
  <c r="AJ28" i="150" s="1"/>
  <c r="AK28" i="150" s="1"/>
  <c r="AL28" i="150" s="1"/>
  <c r="AM28" i="150" s="1"/>
  <c r="AN28" i="150" s="1"/>
  <c r="AO28" i="150" s="1"/>
  <c r="R4" i="150"/>
  <c r="V4" i="150"/>
  <c r="V5" i="150" s="1"/>
  <c r="AX36" i="150" s="1"/>
  <c r="AY36" i="150" s="1"/>
  <c r="AZ36" i="150" s="1"/>
  <c r="BA36" i="150" s="1"/>
  <c r="BB36" i="150" s="1"/>
  <c r="BC36" i="150" s="1"/>
  <c r="BD36" i="150" s="1"/>
  <c r="BE36" i="150" s="1"/>
  <c r="BF36" i="150" s="1"/>
  <c r="BG36" i="150" s="1"/>
  <c r="BH36" i="150" s="1"/>
  <c r="BI36" i="150" s="1"/>
  <c r="Z4" i="150"/>
  <c r="Z5" i="150" s="1"/>
  <c r="BB40" i="150" s="1"/>
  <c r="BC40" i="150" s="1"/>
  <c r="BD40" i="150" s="1"/>
  <c r="BE40" i="150" s="1"/>
  <c r="BF40" i="150" s="1"/>
  <c r="BG40" i="150" s="1"/>
  <c r="BH40" i="150" s="1"/>
  <c r="BI40" i="150" s="1"/>
  <c r="BJ40" i="150" s="1"/>
  <c r="BK40" i="150" s="1"/>
  <c r="BL40" i="150" s="1"/>
  <c r="BM40" i="150" s="1"/>
  <c r="AD4" i="150"/>
  <c r="AD5" i="150" s="1"/>
  <c r="AH4" i="150"/>
  <c r="AH5" i="150" s="1"/>
  <c r="BJ48" i="150" s="1"/>
  <c r="BK48" i="150" s="1"/>
  <c r="BL48" i="150" s="1"/>
  <c r="BM48" i="150" s="1"/>
  <c r="BN48" i="150" s="1"/>
  <c r="BO48" i="150" s="1"/>
  <c r="BP48" i="150" s="1"/>
  <c r="BQ48" i="150" s="1"/>
  <c r="BR48" i="150" s="1"/>
  <c r="BS48" i="150" s="1"/>
  <c r="BT48" i="150" s="1"/>
  <c r="BU48" i="150" s="1"/>
  <c r="CJ3" i="150"/>
  <c r="CJ11" i="150" s="1"/>
  <c r="I4" i="150"/>
  <c r="I5" i="150" s="1"/>
  <c r="Y4" i="150"/>
  <c r="E4" i="150"/>
  <c r="E5" i="150" s="1"/>
  <c r="AG19" i="150" s="1"/>
  <c r="AH19" i="150" s="1"/>
  <c r="AI19" i="150" s="1"/>
  <c r="AJ19" i="150" s="1"/>
  <c r="AK19" i="150" s="1"/>
  <c r="AL19" i="150" s="1"/>
  <c r="AM19" i="150" s="1"/>
  <c r="AN19" i="150" s="1"/>
  <c r="AO19" i="150" s="1"/>
  <c r="AP19" i="150" s="1"/>
  <c r="U4" i="150"/>
  <c r="U5" i="150" s="1"/>
  <c r="AW35" i="150" s="1"/>
  <c r="AX35" i="150" s="1"/>
  <c r="AY35" i="150" s="1"/>
  <c r="AZ35" i="150" s="1"/>
  <c r="BA35" i="150" s="1"/>
  <c r="BB35" i="150" s="1"/>
  <c r="BC35" i="150" s="1"/>
  <c r="BD35" i="150" s="1"/>
  <c r="BE35" i="150" s="1"/>
  <c r="BF35" i="150" s="1"/>
  <c r="BG35" i="150" s="1"/>
  <c r="AK4" i="150"/>
  <c r="K189" i="148"/>
  <c r="BF238" i="148"/>
  <c r="O95" i="148"/>
  <c r="P95" i="148"/>
  <c r="BF27" i="148"/>
  <c r="Q95" i="148"/>
  <c r="BC95" i="148" s="1"/>
  <c r="R95" i="148"/>
  <c r="S95" i="148"/>
  <c r="T95" i="148"/>
  <c r="U95" i="148"/>
  <c r="BD95" i="148" s="1"/>
  <c r="BD123" i="148"/>
  <c r="V95" i="148"/>
  <c r="W123" i="148"/>
  <c r="W95" i="148" s="1"/>
  <c r="K238" i="148"/>
  <c r="L238" i="148"/>
  <c r="D113" i="164"/>
  <c r="S6" i="164" s="1"/>
  <c r="M238" i="148"/>
  <c r="G113" i="164"/>
  <c r="V6" i="164" s="1"/>
  <c r="BB230" i="148"/>
  <c r="D69" i="164" s="1"/>
  <c r="BE27" i="148"/>
  <c r="E113" i="164"/>
  <c r="T6" i="164" s="1"/>
  <c r="Q238" i="148"/>
  <c r="F113" i="164"/>
  <c r="U6" i="164" s="1"/>
  <c r="S154" i="77"/>
  <c r="S163" i="77"/>
  <c r="T154" i="77"/>
  <c r="T163" i="77"/>
  <c r="U154" i="77"/>
  <c r="V154" i="77"/>
  <c r="W154" i="77"/>
  <c r="X154" i="77"/>
  <c r="Y154" i="77"/>
  <c r="R154" i="77"/>
  <c r="R163" i="77"/>
  <c r="S86" i="77"/>
  <c r="T86" i="77"/>
  <c r="U86" i="77"/>
  <c r="V86" i="77"/>
  <c r="W86" i="77"/>
  <c r="X86" i="77"/>
  <c r="Y86" i="77"/>
  <c r="R86" i="77"/>
  <c r="H133" i="75"/>
  <c r="H131" i="75"/>
  <c r="Y163" i="77"/>
  <c r="D133" i="75"/>
  <c r="U163" i="77"/>
  <c r="G131" i="75"/>
  <c r="X163" i="77"/>
  <c r="F131" i="75"/>
  <c r="W163" i="77"/>
  <c r="E133" i="75"/>
  <c r="E131" i="75"/>
  <c r="V163" i="77"/>
  <c r="F133" i="75"/>
  <c r="G133" i="75"/>
  <c r="F137" i="75"/>
  <c r="S295" i="77"/>
  <c r="T295" i="77"/>
  <c r="U295" i="77"/>
  <c r="V295" i="77"/>
  <c r="E191" i="75"/>
  <c r="W295" i="77"/>
  <c r="F191" i="75"/>
  <c r="X295" i="77"/>
  <c r="G191" i="75"/>
  <c r="Y295" i="77"/>
  <c r="H191" i="75"/>
  <c r="R295" i="77"/>
  <c r="X198" i="77"/>
  <c r="T198" i="77"/>
  <c r="W198" i="77"/>
  <c r="S198" i="77"/>
  <c r="R147" i="77"/>
  <c r="V147" i="77"/>
  <c r="Y147" i="77"/>
  <c r="U147" i="77"/>
  <c r="X147" i="77"/>
  <c r="T147" i="77"/>
  <c r="W147" i="77"/>
  <c r="S147" i="77"/>
  <c r="R182" i="77"/>
  <c r="R180" i="77"/>
  <c r="V182" i="77"/>
  <c r="V180" i="77"/>
  <c r="Y182" i="77"/>
  <c r="Y180" i="77"/>
  <c r="U182" i="77"/>
  <c r="U180" i="77"/>
  <c r="X182" i="77"/>
  <c r="X180" i="77"/>
  <c r="T182" i="77"/>
  <c r="T180" i="77"/>
  <c r="W182" i="77"/>
  <c r="W180" i="77"/>
  <c r="S182" i="77"/>
  <c r="S180" i="77"/>
  <c r="W204" i="77"/>
  <c r="T204" i="77"/>
  <c r="Y198" i="77"/>
  <c r="Y204" i="77"/>
  <c r="V198" i="77"/>
  <c r="V204" i="77"/>
  <c r="X204" i="77"/>
  <c r="R198" i="77"/>
  <c r="R204" i="77"/>
  <c r="S204" i="77"/>
  <c r="U198" i="77"/>
  <c r="U204" i="77"/>
  <c r="I107" i="75"/>
  <c r="AS3" i="75"/>
  <c r="AW3" i="75" s="1"/>
  <c r="BA3" i="75" s="1"/>
  <c r="BE3" i="75" s="1"/>
  <c r="BI3" i="75" s="1"/>
  <c r="BM3" i="75" s="1"/>
  <c r="BQ3" i="75" s="1"/>
  <c r="BU3" i="75" s="1"/>
  <c r="BY3" i="75" s="1"/>
  <c r="CC3" i="75" s="1"/>
  <c r="CG3" i="75" s="1"/>
  <c r="L107" i="75"/>
  <c r="K107" i="75"/>
  <c r="L4" i="75"/>
  <c r="M4" i="75" s="1"/>
  <c r="N4" i="75" s="1"/>
  <c r="O4" i="75" s="1"/>
  <c r="P4" i="75" s="1"/>
  <c r="Q4" i="75" s="1"/>
  <c r="R4" i="75" s="1"/>
  <c r="S4" i="75" s="1"/>
  <c r="T4" i="75" s="1"/>
  <c r="AX66" i="75"/>
  <c r="AY66" i="75"/>
  <c r="AZ66" i="75"/>
  <c r="BA66" i="75"/>
  <c r="BB66" i="75"/>
  <c r="BC66" i="75"/>
  <c r="BE66" i="75"/>
  <c r="AX7" i="75"/>
  <c r="AY7" i="75"/>
  <c r="AZ7" i="75"/>
  <c r="BA7" i="75"/>
  <c r="BB7" i="75"/>
  <c r="BC7" i="75"/>
  <c r="BE7" i="75"/>
  <c r="AA4" i="75"/>
  <c r="AE4" i="75" s="1"/>
  <c r="AI4" i="75" s="1"/>
  <c r="AM4" i="75" s="1"/>
  <c r="AQ4" i="75"/>
  <c r="AU4" i="75" s="1"/>
  <c r="AY4" i="75" s="1"/>
  <c r="BC4" i="75" s="1"/>
  <c r="BG4" i="75" s="1"/>
  <c r="BK4" i="75" s="1"/>
  <c r="BO4" i="75" s="1"/>
  <c r="BS4" i="75" s="1"/>
  <c r="BW4" i="75" s="1"/>
  <c r="CA4" i="75" s="1"/>
  <c r="CE4" i="75" s="1"/>
  <c r="AB4" i="75"/>
  <c r="AF4" i="75" s="1"/>
  <c r="AJ4" i="75" s="1"/>
  <c r="AN4" i="75" s="1"/>
  <c r="AR4" i="75" s="1"/>
  <c r="AV4" i="75" s="1"/>
  <c r="AZ4" i="75" s="1"/>
  <c r="BD4" i="75" s="1"/>
  <c r="BH4" i="75" s="1"/>
  <c r="BL4" i="75" s="1"/>
  <c r="BP4" i="75" s="1"/>
  <c r="BT4" i="75" s="1"/>
  <c r="BX4" i="75" s="1"/>
  <c r="CB4" i="75" s="1"/>
  <c r="CF4" i="75" s="1"/>
  <c r="AC4" i="75"/>
  <c r="AG4" i="75" s="1"/>
  <c r="AK4" i="75" s="1"/>
  <c r="AO4" i="75" s="1"/>
  <c r="AS4" i="75" s="1"/>
  <c r="AW4" i="75" s="1"/>
  <c r="BA4" i="75" s="1"/>
  <c r="BE4" i="75" s="1"/>
  <c r="BI4" i="75" s="1"/>
  <c r="BM4" i="75" s="1"/>
  <c r="BQ4" i="75" s="1"/>
  <c r="BU4" i="75" s="1"/>
  <c r="Z4" i="75"/>
  <c r="AD4" i="75" s="1"/>
  <c r="AH4" i="75" s="1"/>
  <c r="AL4" i="75" s="1"/>
  <c r="AP4" i="75" s="1"/>
  <c r="AT4" i="75" s="1"/>
  <c r="AX4" i="75" s="1"/>
  <c r="BB4" i="75" s="1"/>
  <c r="BF4" i="75" s="1"/>
  <c r="BJ4" i="75" s="1"/>
  <c r="BN4" i="75" s="1"/>
  <c r="BR4" i="75" s="1"/>
  <c r="BV4" i="75" s="1"/>
  <c r="BZ4" i="75" s="1"/>
  <c r="CD4" i="75" s="1"/>
  <c r="AJ308" i="77"/>
  <c r="AI308" i="77"/>
  <c r="AH308" i="77"/>
  <c r="AG308" i="77"/>
  <c r="AJ306" i="77"/>
  <c r="AI306" i="77"/>
  <c r="AH306" i="77"/>
  <c r="AG306" i="77"/>
  <c r="AJ303" i="77"/>
  <c r="AI303" i="77"/>
  <c r="AH303" i="77"/>
  <c r="AG303" i="77"/>
  <c r="AJ301" i="77"/>
  <c r="AI301" i="77"/>
  <c r="AH301" i="77"/>
  <c r="AG301" i="77"/>
  <c r="AJ299" i="77"/>
  <c r="AI299" i="77"/>
  <c r="AH299" i="77"/>
  <c r="AG299" i="77"/>
  <c r="AJ298" i="77"/>
  <c r="AI298" i="77"/>
  <c r="AH298" i="77"/>
  <c r="AG298" i="77"/>
  <c r="AJ297" i="77"/>
  <c r="AI297" i="77"/>
  <c r="AH297" i="77"/>
  <c r="AG297" i="77"/>
  <c r="AJ295" i="77"/>
  <c r="AI295" i="77"/>
  <c r="AH295" i="77"/>
  <c r="AG295" i="77"/>
  <c r="AJ294" i="77"/>
  <c r="AI294" i="77"/>
  <c r="AH294" i="77"/>
  <c r="AG294" i="77"/>
  <c r="AJ293" i="77"/>
  <c r="AI293" i="77"/>
  <c r="AH293" i="77"/>
  <c r="AG293" i="77"/>
  <c r="AJ291" i="77"/>
  <c r="AI291" i="77"/>
  <c r="AH291" i="77"/>
  <c r="AG291" i="77"/>
  <c r="AJ290" i="77"/>
  <c r="AI290" i="77"/>
  <c r="AH290" i="77"/>
  <c r="AG290" i="77"/>
  <c r="AJ289" i="77"/>
  <c r="AI289" i="77"/>
  <c r="AH289" i="77"/>
  <c r="AG289" i="77"/>
  <c r="AJ287" i="77"/>
  <c r="AI287" i="77"/>
  <c r="AH287" i="77"/>
  <c r="AG287" i="77"/>
  <c r="AJ286" i="77"/>
  <c r="AI286" i="77"/>
  <c r="AH286" i="77"/>
  <c r="AG286" i="77"/>
  <c r="AJ285" i="77"/>
  <c r="AI285" i="77"/>
  <c r="AH285" i="77"/>
  <c r="AG285" i="77"/>
  <c r="AJ284" i="77"/>
  <c r="AI284" i="77"/>
  <c r="AH284" i="77"/>
  <c r="AG284" i="77"/>
  <c r="AJ283" i="77"/>
  <c r="AI283" i="77"/>
  <c r="AH283" i="77"/>
  <c r="AG283" i="77"/>
  <c r="AJ281" i="77"/>
  <c r="AI281" i="77"/>
  <c r="AH281" i="77"/>
  <c r="AG281" i="77"/>
  <c r="AJ279" i="77"/>
  <c r="AI279" i="77"/>
  <c r="AH279" i="77"/>
  <c r="AG279" i="77"/>
  <c r="AJ278" i="77"/>
  <c r="AI278" i="77"/>
  <c r="AH278" i="77"/>
  <c r="AG278" i="77"/>
  <c r="AJ277" i="77"/>
  <c r="AI277" i="77"/>
  <c r="AH277" i="77"/>
  <c r="AG277" i="77"/>
  <c r="AJ276" i="77"/>
  <c r="AI276" i="77"/>
  <c r="AH276" i="77"/>
  <c r="AG276" i="77"/>
  <c r="AJ272" i="77"/>
  <c r="AI272" i="77"/>
  <c r="AH272" i="77"/>
  <c r="AG272" i="77"/>
  <c r="AJ270" i="77"/>
  <c r="AI270" i="77"/>
  <c r="AH270" i="77"/>
  <c r="AG270" i="77"/>
  <c r="AJ268" i="77"/>
  <c r="AI268" i="77"/>
  <c r="AH268" i="77"/>
  <c r="AG268" i="77"/>
  <c r="AJ267" i="77"/>
  <c r="AI267" i="77"/>
  <c r="AH267" i="77"/>
  <c r="AG267" i="77"/>
  <c r="AJ266" i="77"/>
  <c r="AI266" i="77"/>
  <c r="AH266" i="77"/>
  <c r="AG266" i="77"/>
  <c r="AJ265" i="77"/>
  <c r="AI265" i="77"/>
  <c r="AH265" i="77"/>
  <c r="AG265" i="77"/>
  <c r="AJ264" i="77"/>
  <c r="AI264" i="77"/>
  <c r="AH264" i="77"/>
  <c r="AG264" i="77"/>
  <c r="AJ263" i="77"/>
  <c r="AI263" i="77"/>
  <c r="AH263" i="77"/>
  <c r="AG263" i="77"/>
  <c r="AJ262" i="77"/>
  <c r="AI262" i="77"/>
  <c r="AH262" i="77"/>
  <c r="AG262" i="77"/>
  <c r="AJ261" i="77"/>
  <c r="AI261" i="77"/>
  <c r="AH261" i="77"/>
  <c r="AG261" i="77"/>
  <c r="AJ260" i="77"/>
  <c r="AI260" i="77"/>
  <c r="AH260" i="77"/>
  <c r="AG260" i="77"/>
  <c r="AJ258" i="77"/>
  <c r="AI258" i="77"/>
  <c r="AH258" i="77"/>
  <c r="AG258" i="77"/>
  <c r="AJ257" i="77"/>
  <c r="AI257" i="77"/>
  <c r="AH257" i="77"/>
  <c r="AG257" i="77"/>
  <c r="AJ256" i="77"/>
  <c r="AI256" i="77"/>
  <c r="AH256" i="77"/>
  <c r="AG256" i="77"/>
  <c r="AJ255" i="77"/>
  <c r="AI255" i="77"/>
  <c r="AH255" i="77"/>
  <c r="AG255" i="77"/>
  <c r="AJ253" i="77"/>
  <c r="AI253" i="77"/>
  <c r="AH253" i="77"/>
  <c r="AG253" i="77"/>
  <c r="AJ250" i="77"/>
  <c r="AI250" i="77"/>
  <c r="AH250" i="77"/>
  <c r="AG250" i="77"/>
  <c r="AJ246" i="77"/>
  <c r="AI246" i="77"/>
  <c r="AH246" i="77"/>
  <c r="AG246" i="77"/>
  <c r="AJ244" i="77"/>
  <c r="AI244" i="77"/>
  <c r="AH244" i="77"/>
  <c r="AG244" i="77"/>
  <c r="AJ243" i="77"/>
  <c r="AI243" i="77"/>
  <c r="AH243" i="77"/>
  <c r="AG243" i="77"/>
  <c r="AJ241" i="77"/>
  <c r="AI241" i="77"/>
  <c r="AH241" i="77"/>
  <c r="AG241" i="77"/>
  <c r="AJ240" i="77"/>
  <c r="AI240" i="77"/>
  <c r="AH240" i="77"/>
  <c r="AG240" i="77"/>
  <c r="AJ239" i="77"/>
  <c r="AI239" i="77"/>
  <c r="AH239" i="77"/>
  <c r="AG239" i="77"/>
  <c r="AJ237" i="77"/>
  <c r="AI237" i="77"/>
  <c r="AH237" i="77"/>
  <c r="AG237" i="77"/>
  <c r="AJ236" i="77"/>
  <c r="AI236" i="77"/>
  <c r="AH236" i="77"/>
  <c r="AG236" i="77"/>
  <c r="AJ235" i="77"/>
  <c r="AI235" i="77"/>
  <c r="AH235" i="77"/>
  <c r="AG235" i="77"/>
  <c r="AJ233" i="77"/>
  <c r="AI233" i="77"/>
  <c r="AH233" i="77"/>
  <c r="AG233" i="77"/>
  <c r="AJ230" i="77"/>
  <c r="AI230" i="77"/>
  <c r="AH230" i="77"/>
  <c r="AG230" i="77"/>
  <c r="AJ229" i="77"/>
  <c r="AI229" i="77"/>
  <c r="AH229" i="77"/>
  <c r="AG229" i="77"/>
  <c r="AJ228" i="77"/>
  <c r="AI228" i="77"/>
  <c r="AH228" i="77"/>
  <c r="AG228" i="77"/>
  <c r="AJ227" i="77"/>
  <c r="AI227" i="77"/>
  <c r="AH227" i="77"/>
  <c r="AG227" i="77"/>
  <c r="AJ226" i="77"/>
  <c r="AI226" i="77"/>
  <c r="AH226" i="77"/>
  <c r="AG226" i="77"/>
  <c r="AJ225" i="77"/>
  <c r="AI225" i="77"/>
  <c r="AH225" i="77"/>
  <c r="AG225" i="77"/>
  <c r="AJ223" i="77"/>
  <c r="AI223" i="77"/>
  <c r="AH223" i="77"/>
  <c r="AG223" i="77"/>
  <c r="AJ222" i="77"/>
  <c r="AI222" i="77"/>
  <c r="AH222" i="77"/>
  <c r="AG222" i="77"/>
  <c r="AJ221" i="77"/>
  <c r="AI221" i="77"/>
  <c r="AH221" i="77"/>
  <c r="AG221" i="77"/>
  <c r="AJ220" i="77"/>
  <c r="AI220" i="77"/>
  <c r="AH220" i="77"/>
  <c r="AG220" i="77"/>
  <c r="AJ219" i="77"/>
  <c r="AI219" i="77"/>
  <c r="AH219" i="77"/>
  <c r="AG219" i="77"/>
  <c r="AJ217" i="77"/>
  <c r="AI217" i="77"/>
  <c r="AH217" i="77"/>
  <c r="AG217" i="77"/>
  <c r="AJ216" i="77"/>
  <c r="AI216" i="77"/>
  <c r="AH216" i="77"/>
  <c r="AG216" i="77"/>
  <c r="AJ215" i="77"/>
  <c r="AI215" i="77"/>
  <c r="AH215" i="77"/>
  <c r="AG215" i="77"/>
  <c r="AJ214" i="77"/>
  <c r="AI214" i="77"/>
  <c r="AH214" i="77"/>
  <c r="AG214" i="77"/>
  <c r="AJ213" i="77"/>
  <c r="AI213" i="77"/>
  <c r="AH213" i="77"/>
  <c r="AG213" i="77"/>
  <c r="AJ210" i="77"/>
  <c r="AI210" i="77"/>
  <c r="AH210" i="77"/>
  <c r="AG210" i="77"/>
  <c r="AJ63" i="77"/>
  <c r="AI63" i="77"/>
  <c r="AH63" i="77"/>
  <c r="AG63" i="77"/>
  <c r="AJ61" i="77"/>
  <c r="AI61" i="77"/>
  <c r="AH61" i="77"/>
  <c r="AG61" i="77"/>
  <c r="AJ60" i="77"/>
  <c r="AI60" i="77"/>
  <c r="AH60" i="77"/>
  <c r="AG60" i="77"/>
  <c r="AJ59" i="77"/>
  <c r="AI59" i="77"/>
  <c r="AH59" i="77"/>
  <c r="AG59" i="77"/>
  <c r="AJ57" i="77"/>
  <c r="AI57" i="77"/>
  <c r="AH57" i="77"/>
  <c r="AG57" i="77"/>
  <c r="AJ56" i="77"/>
  <c r="AI56" i="77"/>
  <c r="AH56" i="77"/>
  <c r="AG56" i="77"/>
  <c r="AJ55" i="77"/>
  <c r="AI55" i="77"/>
  <c r="AH55" i="77"/>
  <c r="AG55" i="77"/>
  <c r="AJ51" i="77"/>
  <c r="AI51" i="77"/>
  <c r="AH51" i="77"/>
  <c r="AG51" i="77"/>
  <c r="AJ49" i="77"/>
  <c r="AI49" i="77"/>
  <c r="AH49" i="77"/>
  <c r="AG49" i="77"/>
  <c r="AJ48" i="77"/>
  <c r="AI48" i="77"/>
  <c r="AH48" i="77"/>
  <c r="AG48" i="77"/>
  <c r="AJ47" i="77"/>
  <c r="AI47" i="77"/>
  <c r="AH47" i="77"/>
  <c r="AG47" i="77"/>
  <c r="AJ46" i="77"/>
  <c r="AI46" i="77"/>
  <c r="AH46" i="77"/>
  <c r="AG46" i="77"/>
  <c r="AJ45" i="77"/>
  <c r="AI45" i="77"/>
  <c r="AH45" i="77"/>
  <c r="AG45" i="77"/>
  <c r="AJ44" i="77"/>
  <c r="AI44" i="77"/>
  <c r="AH44" i="77"/>
  <c r="AG44" i="77"/>
  <c r="AJ43" i="77"/>
  <c r="AI43" i="77"/>
  <c r="AH43" i="77"/>
  <c r="AG43" i="77"/>
  <c r="AJ42" i="77"/>
  <c r="AI42" i="77"/>
  <c r="AH42" i="77"/>
  <c r="AG42" i="77"/>
  <c r="AJ41" i="77"/>
  <c r="AI41" i="77"/>
  <c r="AH41" i="77"/>
  <c r="AG41" i="77"/>
  <c r="AJ40" i="77"/>
  <c r="AI40" i="77"/>
  <c r="AH40" i="77"/>
  <c r="AG40" i="77"/>
  <c r="AJ39" i="77"/>
  <c r="AI39" i="77"/>
  <c r="AH39" i="77"/>
  <c r="AG39" i="77"/>
  <c r="AJ38" i="77"/>
  <c r="AI38" i="77"/>
  <c r="AH38" i="77"/>
  <c r="AG38" i="77"/>
  <c r="AJ37" i="77"/>
  <c r="AI37" i="77"/>
  <c r="AH37" i="77"/>
  <c r="AG37" i="77"/>
  <c r="AJ36" i="77"/>
  <c r="AI36" i="77"/>
  <c r="AH36" i="77"/>
  <c r="AG36" i="77"/>
  <c r="AJ34" i="77"/>
  <c r="AI34" i="77"/>
  <c r="AH34" i="77"/>
  <c r="AG34" i="77"/>
  <c r="AJ33" i="77"/>
  <c r="AI33" i="77"/>
  <c r="AH33" i="77"/>
  <c r="AG33" i="77"/>
  <c r="AJ32" i="77"/>
  <c r="AI32" i="77"/>
  <c r="AH32" i="77"/>
  <c r="AG32" i="77"/>
  <c r="AJ28" i="77"/>
  <c r="AI28" i="77"/>
  <c r="AH28" i="77"/>
  <c r="AG28" i="77"/>
  <c r="AJ26" i="77"/>
  <c r="AI26" i="77"/>
  <c r="AH26" i="77"/>
  <c r="AG26" i="77"/>
  <c r="AJ25" i="77"/>
  <c r="AI25" i="77"/>
  <c r="AH25" i="77"/>
  <c r="AG25" i="77"/>
  <c r="AJ24" i="77"/>
  <c r="AI24" i="77"/>
  <c r="AH24" i="77"/>
  <c r="AG24" i="77"/>
  <c r="AJ23" i="77"/>
  <c r="AI23" i="77"/>
  <c r="AH23" i="77"/>
  <c r="AG23" i="77"/>
  <c r="AJ22" i="77"/>
  <c r="AI22" i="77"/>
  <c r="AH22" i="77"/>
  <c r="AG22" i="77"/>
  <c r="AJ18" i="77"/>
  <c r="AI18" i="77"/>
  <c r="AH18" i="77"/>
  <c r="AG18" i="77"/>
  <c r="AJ15" i="77"/>
  <c r="AI15" i="77"/>
  <c r="AH15" i="77"/>
  <c r="AG15" i="77"/>
  <c r="AJ14" i="77"/>
  <c r="AI14" i="77"/>
  <c r="AH14" i="77"/>
  <c r="AG14" i="77"/>
  <c r="AJ13" i="77"/>
  <c r="AI13" i="77"/>
  <c r="AH13" i="77"/>
  <c r="AG13" i="77"/>
  <c r="AJ10" i="77"/>
  <c r="AI10" i="77"/>
  <c r="AH10" i="77"/>
  <c r="AG10" i="77"/>
  <c r="AN7" i="77"/>
  <c r="AN48" i="77"/>
  <c r="AM7" i="77"/>
  <c r="AM48" i="77"/>
  <c r="AL7" i="77"/>
  <c r="AL13" i="77"/>
  <c r="AK7" i="77"/>
  <c r="AK63" i="77"/>
  <c r="AK10" i="77"/>
  <c r="AK15" i="77"/>
  <c r="AK24" i="77"/>
  <c r="AK22" i="77"/>
  <c r="AN32" i="77"/>
  <c r="AK33" i="77"/>
  <c r="AN10" i="77"/>
  <c r="AN15" i="77"/>
  <c r="AN24" i="77"/>
  <c r="AK13" i="77"/>
  <c r="AK18" i="77"/>
  <c r="AK25" i="77"/>
  <c r="AP7" i="77"/>
  <c r="AL308" i="77"/>
  <c r="AL306" i="77"/>
  <c r="AL303" i="77"/>
  <c r="AL301" i="77"/>
  <c r="AL299" i="77"/>
  <c r="AL298" i="77"/>
  <c r="AL297" i="77"/>
  <c r="AL295" i="77"/>
  <c r="AL294" i="77"/>
  <c r="AL293" i="77"/>
  <c r="AL291" i="77"/>
  <c r="AL290" i="77"/>
  <c r="AL289" i="77"/>
  <c r="AL287" i="77"/>
  <c r="AL286" i="77"/>
  <c r="AL285" i="77"/>
  <c r="AL284" i="77"/>
  <c r="AL283" i="77"/>
  <c r="AL281" i="77"/>
  <c r="AL279" i="77"/>
  <c r="AL278" i="77"/>
  <c r="AL277" i="77"/>
  <c r="AL276" i="77"/>
  <c r="AL272" i="77"/>
  <c r="AL270" i="77"/>
  <c r="AL268" i="77"/>
  <c r="AL267" i="77"/>
  <c r="AL266" i="77"/>
  <c r="AL265" i="77"/>
  <c r="AL264" i="77"/>
  <c r="AL260" i="77"/>
  <c r="AL255" i="77"/>
  <c r="AL61" i="77"/>
  <c r="AL56" i="77"/>
  <c r="AL48" i="77"/>
  <c r="AL44" i="77"/>
  <c r="AL261" i="77"/>
  <c r="AL256" i="77"/>
  <c r="AL63" i="77"/>
  <c r="AL262" i="77"/>
  <c r="AL257" i="77"/>
  <c r="AL250" i="77"/>
  <c r="AL246" i="77"/>
  <c r="AL244" i="77"/>
  <c r="AL243" i="77"/>
  <c r="AL241" i="77"/>
  <c r="AL240" i="77"/>
  <c r="AL239" i="77"/>
  <c r="AL237" i="77"/>
  <c r="AL236" i="77"/>
  <c r="AL235" i="77"/>
  <c r="AL233" i="77"/>
  <c r="AL230" i="77"/>
  <c r="AL229" i="77"/>
  <c r="AL228" i="77"/>
  <c r="AL227" i="77"/>
  <c r="AL226" i="77"/>
  <c r="AL225" i="77"/>
  <c r="AL223" i="77"/>
  <c r="AL222" i="77"/>
  <c r="AL221" i="77"/>
  <c r="AL220" i="77"/>
  <c r="AL219" i="77"/>
  <c r="AL217" i="77"/>
  <c r="AL263" i="77"/>
  <c r="AL258" i="77"/>
  <c r="AL253" i="77"/>
  <c r="AL60" i="77"/>
  <c r="AL14" i="77"/>
  <c r="AM15" i="77"/>
  <c r="AN18" i="77"/>
  <c r="AL23" i="77"/>
  <c r="AM24" i="77"/>
  <c r="AN25" i="77"/>
  <c r="AK26" i="77"/>
  <c r="AL28" i="77"/>
  <c r="AM32" i="77"/>
  <c r="AN33" i="77"/>
  <c r="AK34" i="77"/>
  <c r="AL36" i="77"/>
  <c r="AM37" i="77"/>
  <c r="AN38" i="77"/>
  <c r="AK39" i="77"/>
  <c r="AL40" i="77"/>
  <c r="AM41" i="77"/>
  <c r="AN42" i="77"/>
  <c r="AK43" i="77"/>
  <c r="AN44" i="77"/>
  <c r="AK45" i="77"/>
  <c r="AM46" i="77"/>
  <c r="AL51" i="77"/>
  <c r="AN55" i="77"/>
  <c r="AK56" i="77"/>
  <c r="AL59" i="77"/>
  <c r="AL210" i="77"/>
  <c r="AL216" i="77"/>
  <c r="AQ7" i="77"/>
  <c r="AM308" i="77"/>
  <c r="AM306" i="77"/>
  <c r="AM303" i="77"/>
  <c r="AM301" i="77"/>
  <c r="AM299" i="77"/>
  <c r="AM298" i="77"/>
  <c r="AM297" i="77"/>
  <c r="AM295" i="77"/>
  <c r="AM294" i="77"/>
  <c r="AM293" i="77"/>
  <c r="AM291" i="77"/>
  <c r="AM290" i="77"/>
  <c r="AM289" i="77"/>
  <c r="AM287" i="77"/>
  <c r="AM286" i="77"/>
  <c r="AM285" i="77"/>
  <c r="AM284" i="77"/>
  <c r="AM283" i="77"/>
  <c r="AM281" i="77"/>
  <c r="AM279" i="77"/>
  <c r="AM278" i="77"/>
  <c r="AM277" i="77"/>
  <c r="AM276" i="77"/>
  <c r="AM272" i="77"/>
  <c r="AM270" i="77"/>
  <c r="AM268" i="77"/>
  <c r="AM267" i="77"/>
  <c r="AM266" i="77"/>
  <c r="AM265" i="77"/>
  <c r="AM264" i="77"/>
  <c r="AM263" i="77"/>
  <c r="AM262" i="77"/>
  <c r="AM261" i="77"/>
  <c r="AM260" i="77"/>
  <c r="AM258" i="77"/>
  <c r="AM257" i="77"/>
  <c r="AM256" i="77"/>
  <c r="AM255" i="77"/>
  <c r="AM253" i="77"/>
  <c r="AM250" i="77"/>
  <c r="AM63" i="77"/>
  <c r="AM57" i="77"/>
  <c r="AM49" i="77"/>
  <c r="AM45" i="77"/>
  <c r="AM246" i="77"/>
  <c r="AM244" i="77"/>
  <c r="AM243" i="77"/>
  <c r="AM241" i="77"/>
  <c r="AM240" i="77"/>
  <c r="AM239" i="77"/>
  <c r="AM237" i="77"/>
  <c r="AM236" i="77"/>
  <c r="AM235" i="77"/>
  <c r="AM233" i="77"/>
  <c r="AM230" i="77"/>
  <c r="AM229" i="77"/>
  <c r="AM228" i="77"/>
  <c r="AM227" i="77"/>
  <c r="AM226" i="77"/>
  <c r="AM225" i="77"/>
  <c r="AM223" i="77"/>
  <c r="AM222" i="77"/>
  <c r="AM221" i="77"/>
  <c r="AM220" i="77"/>
  <c r="AM219" i="77"/>
  <c r="AM217" i="77"/>
  <c r="AM216" i="77"/>
  <c r="AM215" i="77"/>
  <c r="AM214" i="77"/>
  <c r="AM213" i="77"/>
  <c r="AM210" i="77"/>
  <c r="AM59" i="77"/>
  <c r="AM61" i="77"/>
  <c r="AL34" i="77"/>
  <c r="AM36" i="77"/>
  <c r="AN37" i="77"/>
  <c r="AK38" i="77"/>
  <c r="AL39" i="77"/>
  <c r="AM40" i="77"/>
  <c r="AN41" i="77"/>
  <c r="AK42" i="77"/>
  <c r="AL43" i="77"/>
  <c r="AL45" i="77"/>
  <c r="AL47" i="77"/>
  <c r="AK49" i="77"/>
  <c r="AM51" i="77"/>
  <c r="AM56" i="77"/>
  <c r="AM60" i="77"/>
  <c r="AL213" i="77"/>
  <c r="AR7" i="77"/>
  <c r="AN308" i="77"/>
  <c r="AN306" i="77"/>
  <c r="AN303" i="77"/>
  <c r="AN301" i="77"/>
  <c r="AN299" i="77"/>
  <c r="AN298" i="77"/>
  <c r="AN297" i="77"/>
  <c r="AN295" i="77"/>
  <c r="AN294" i="77"/>
  <c r="AN293" i="77"/>
  <c r="AN291" i="77"/>
  <c r="AN290" i="77"/>
  <c r="AN289" i="77"/>
  <c r="AN287" i="77"/>
  <c r="AN286" i="77"/>
  <c r="AN285" i="77"/>
  <c r="AN284" i="77"/>
  <c r="AN283" i="77"/>
  <c r="AN281" i="77"/>
  <c r="AN279" i="77"/>
  <c r="AN278" i="77"/>
  <c r="AN277" i="77"/>
  <c r="AN276" i="77"/>
  <c r="AN272" i="77"/>
  <c r="AN270" i="77"/>
  <c r="AN268" i="77"/>
  <c r="AN267" i="77"/>
  <c r="AN265" i="77"/>
  <c r="AN261" i="77"/>
  <c r="AN256" i="77"/>
  <c r="AN246" i="77"/>
  <c r="AN244" i="77"/>
  <c r="AN243" i="77"/>
  <c r="AN241" i="77"/>
  <c r="AN240" i="77"/>
  <c r="AN239" i="77"/>
  <c r="AN237" i="77"/>
  <c r="AN236" i="77"/>
  <c r="AN235" i="77"/>
  <c r="AN233" i="77"/>
  <c r="AN230" i="77"/>
  <c r="AN229" i="77"/>
  <c r="AN228" i="77"/>
  <c r="AN227" i="77"/>
  <c r="AN226" i="77"/>
  <c r="AN225" i="77"/>
  <c r="AN223" i="77"/>
  <c r="AN222" i="77"/>
  <c r="AN221" i="77"/>
  <c r="AN220" i="77"/>
  <c r="AN219" i="77"/>
  <c r="AN217" i="77"/>
  <c r="AN216" i="77"/>
  <c r="AN215" i="77"/>
  <c r="AN214" i="77"/>
  <c r="AN213" i="77"/>
  <c r="AN210" i="77"/>
  <c r="AN59" i="77"/>
  <c r="AN51" i="77"/>
  <c r="AN46" i="77"/>
  <c r="AN262" i="77"/>
  <c r="AN257" i="77"/>
  <c r="AN250" i="77"/>
  <c r="AN60" i="77"/>
  <c r="AN266" i="77"/>
  <c r="AN264" i="77"/>
  <c r="AN263" i="77"/>
  <c r="AN258" i="77"/>
  <c r="AN253" i="77"/>
  <c r="AN260" i="77"/>
  <c r="AN255" i="77"/>
  <c r="AN63" i="77"/>
  <c r="AN57" i="77"/>
  <c r="AM26" i="77"/>
  <c r="AN28" i="77"/>
  <c r="AK32" i="77"/>
  <c r="AL33" i="77"/>
  <c r="AM34" i="77"/>
  <c r="AN36" i="77"/>
  <c r="AK37" i="77"/>
  <c r="AL38" i="77"/>
  <c r="AM39" i="77"/>
  <c r="AN40" i="77"/>
  <c r="AK41" i="77"/>
  <c r="AL42" i="77"/>
  <c r="AM43" i="77"/>
  <c r="AK44" i="77"/>
  <c r="AN45" i="77"/>
  <c r="AK46" i="77"/>
  <c r="AM47" i="77"/>
  <c r="AL49" i="77"/>
  <c r="AL55" i="77"/>
  <c r="AN56" i="77"/>
  <c r="AK57" i="77"/>
  <c r="AN61" i="77"/>
  <c r="AL214" i="77"/>
  <c r="AM14" i="77"/>
  <c r="AL22" i="77"/>
  <c r="AM23" i="77"/>
  <c r="AL26" i="77"/>
  <c r="AM28" i="77"/>
  <c r="AL10" i="77"/>
  <c r="AM13" i="77"/>
  <c r="AN14" i="77"/>
  <c r="AL18" i="77"/>
  <c r="AM22" i="77"/>
  <c r="AN23" i="77"/>
  <c r="AL25" i="77"/>
  <c r="AO7" i="77"/>
  <c r="AK308" i="77"/>
  <c r="AK306" i="77"/>
  <c r="AK303" i="77"/>
  <c r="AK301" i="77"/>
  <c r="AK299" i="77"/>
  <c r="AK298" i="77"/>
  <c r="AK297" i="77"/>
  <c r="AK295" i="77"/>
  <c r="AK294" i="77"/>
  <c r="AK293" i="77"/>
  <c r="AK291" i="77"/>
  <c r="AK290" i="77"/>
  <c r="AK289" i="77"/>
  <c r="AK287" i="77"/>
  <c r="AK286" i="77"/>
  <c r="AK285" i="77"/>
  <c r="AK284" i="77"/>
  <c r="AK283" i="77"/>
  <c r="AK281" i="77"/>
  <c r="AK279" i="77"/>
  <c r="AK278" i="77"/>
  <c r="AK276" i="77"/>
  <c r="AK263" i="77"/>
  <c r="AK258" i="77"/>
  <c r="AK253" i="77"/>
  <c r="AK60" i="77"/>
  <c r="AK55" i="77"/>
  <c r="AK47" i="77"/>
  <c r="AK272" i="77"/>
  <c r="AK267" i="77"/>
  <c r="AK265" i="77"/>
  <c r="AK260" i="77"/>
  <c r="AK255" i="77"/>
  <c r="AK61" i="77"/>
  <c r="AK270" i="77"/>
  <c r="AK261" i="77"/>
  <c r="AK256" i="77"/>
  <c r="AK277" i="77"/>
  <c r="AK268" i="77"/>
  <c r="AK266" i="77"/>
  <c r="AK264" i="77"/>
  <c r="AK262" i="77"/>
  <c r="AK257" i="77"/>
  <c r="AK250" i="77"/>
  <c r="AK246" i="77"/>
  <c r="AK244" i="77"/>
  <c r="AK243" i="77"/>
  <c r="AK241" i="77"/>
  <c r="AK240" i="77"/>
  <c r="AK239" i="77"/>
  <c r="AK237" i="77"/>
  <c r="AK236" i="77"/>
  <c r="AK235" i="77"/>
  <c r="AK233" i="77"/>
  <c r="AK230" i="77"/>
  <c r="AK229" i="77"/>
  <c r="AK228" i="77"/>
  <c r="AK227" i="77"/>
  <c r="AK226" i="77"/>
  <c r="AK225" i="77"/>
  <c r="AK223" i="77"/>
  <c r="AK222" i="77"/>
  <c r="AK221" i="77"/>
  <c r="AK220" i="77"/>
  <c r="AK219" i="77"/>
  <c r="AK217" i="77"/>
  <c r="AK216" i="77"/>
  <c r="AK215" i="77"/>
  <c r="AK214" i="77"/>
  <c r="AK213" i="77"/>
  <c r="AK210" i="77"/>
  <c r="AK59" i="77"/>
  <c r="AM10" i="77"/>
  <c r="AN13" i="77"/>
  <c r="AK14" i="77"/>
  <c r="AL15" i="77"/>
  <c r="AM18" i="77"/>
  <c r="AN22" i="77"/>
  <c r="AK23" i="77"/>
  <c r="AL24" i="77"/>
  <c r="AM25" i="77"/>
  <c r="AN26" i="77"/>
  <c r="AK28" i="77"/>
  <c r="AL32" i="77"/>
  <c r="AM33" i="77"/>
  <c r="AN34" i="77"/>
  <c r="AK36" i="77"/>
  <c r="AL37" i="77"/>
  <c r="AM38" i="77"/>
  <c r="AN39" i="77"/>
  <c r="AK40" i="77"/>
  <c r="AL41" i="77"/>
  <c r="AM42" i="77"/>
  <c r="AN43" i="77"/>
  <c r="AM44" i="77"/>
  <c r="AL46" i="77"/>
  <c r="AN47" i="77"/>
  <c r="AK48" i="77"/>
  <c r="AN49" i="77"/>
  <c r="AK51" i="77"/>
  <c r="AM55" i="77"/>
  <c r="AL57" i="77"/>
  <c r="AL215" i="77"/>
  <c r="AG85" i="77"/>
  <c r="AH85" i="77"/>
  <c r="AI85" i="77"/>
  <c r="AJ85" i="77"/>
  <c r="AK85" i="77"/>
  <c r="AL85" i="77"/>
  <c r="AM85" i="77"/>
  <c r="AN85" i="77"/>
  <c r="AO85" i="77"/>
  <c r="AP85" i="77"/>
  <c r="AQ85" i="77"/>
  <c r="AR85" i="77"/>
  <c r="AS85" i="77"/>
  <c r="AT85" i="77"/>
  <c r="AU85" i="77"/>
  <c r="AV85" i="77"/>
  <c r="AW85" i="77"/>
  <c r="AX85" i="77"/>
  <c r="AY85" i="77"/>
  <c r="AZ85" i="77"/>
  <c r="CK85" i="77"/>
  <c r="CL85" i="77"/>
  <c r="CM85" i="77"/>
  <c r="CN85" i="77"/>
  <c r="AG86" i="77"/>
  <c r="AH86" i="77"/>
  <c r="AI86" i="77"/>
  <c r="AJ86" i="77"/>
  <c r="AK86" i="77"/>
  <c r="AL86" i="77"/>
  <c r="AM86" i="77"/>
  <c r="AN86" i="77"/>
  <c r="AO86" i="77"/>
  <c r="AP86" i="77"/>
  <c r="AQ86" i="77"/>
  <c r="AR86" i="77"/>
  <c r="AS86" i="77"/>
  <c r="AT86" i="77"/>
  <c r="AU86" i="77"/>
  <c r="AV86" i="77"/>
  <c r="AW86" i="77"/>
  <c r="AX86" i="77"/>
  <c r="AY86" i="77"/>
  <c r="AZ86" i="77"/>
  <c r="CK86" i="77"/>
  <c r="CL86" i="77"/>
  <c r="CM86" i="77"/>
  <c r="CN86" i="77"/>
  <c r="AG88" i="77"/>
  <c r="AH88" i="77"/>
  <c r="AI88" i="77"/>
  <c r="AJ88" i="77"/>
  <c r="AK88" i="77"/>
  <c r="AL88" i="77"/>
  <c r="AM88" i="77"/>
  <c r="AN88" i="77"/>
  <c r="AO88" i="77"/>
  <c r="AP88" i="77"/>
  <c r="AQ88" i="77"/>
  <c r="AR88" i="77"/>
  <c r="AS88" i="77"/>
  <c r="AT88" i="77"/>
  <c r="AU88" i="77"/>
  <c r="AV88" i="77"/>
  <c r="AW88" i="77"/>
  <c r="AX88" i="77"/>
  <c r="AY88" i="77"/>
  <c r="AZ88" i="77"/>
  <c r="CK88" i="77"/>
  <c r="CL88" i="77"/>
  <c r="CM88" i="77"/>
  <c r="CN88" i="77"/>
  <c r="AG89" i="77"/>
  <c r="AH89" i="77"/>
  <c r="AI89" i="77"/>
  <c r="AJ89" i="77"/>
  <c r="AK89" i="77"/>
  <c r="AL89" i="77"/>
  <c r="AM89" i="77"/>
  <c r="AN89" i="77"/>
  <c r="AO89" i="77"/>
  <c r="AP89" i="77"/>
  <c r="AQ89" i="77"/>
  <c r="AR89" i="77"/>
  <c r="AS89" i="77"/>
  <c r="AT89" i="77"/>
  <c r="AU89" i="77"/>
  <c r="AV89" i="77"/>
  <c r="AW89" i="77"/>
  <c r="AX89" i="77"/>
  <c r="AY89" i="77"/>
  <c r="AZ89" i="77"/>
  <c r="BA89" i="77"/>
  <c r="BB89" i="77"/>
  <c r="BC89" i="77"/>
  <c r="BD89" i="77"/>
  <c r="BE89" i="77"/>
  <c r="BF89" i="77"/>
  <c r="BG89" i="77"/>
  <c r="BH89" i="77"/>
  <c r="BI89" i="77"/>
  <c r="BJ89" i="77"/>
  <c r="BK89" i="77"/>
  <c r="BL89" i="77"/>
  <c r="BM89" i="77"/>
  <c r="BN89" i="77"/>
  <c r="BO89" i="77"/>
  <c r="BP89" i="77"/>
  <c r="BQ89" i="77"/>
  <c r="BR89" i="77"/>
  <c r="BS89" i="77"/>
  <c r="BT89" i="77"/>
  <c r="BU89" i="77"/>
  <c r="BV89" i="77"/>
  <c r="BW89" i="77"/>
  <c r="BX89" i="77"/>
  <c r="BY89" i="77"/>
  <c r="BZ89" i="77"/>
  <c r="CA89" i="77"/>
  <c r="CB89" i="77"/>
  <c r="CC89" i="77"/>
  <c r="CD89" i="77"/>
  <c r="CE89" i="77"/>
  <c r="CF89" i="77"/>
  <c r="CG89" i="77"/>
  <c r="CH89" i="77"/>
  <c r="CI89" i="77"/>
  <c r="CJ89" i="77"/>
  <c r="CK89" i="77"/>
  <c r="CL89" i="77"/>
  <c r="CM89" i="77"/>
  <c r="CN89" i="77"/>
  <c r="AG90" i="77"/>
  <c r="AH90" i="77"/>
  <c r="AI90" i="77"/>
  <c r="AJ90" i="77"/>
  <c r="AK90" i="77"/>
  <c r="AL90" i="77"/>
  <c r="AM90" i="77"/>
  <c r="AN90" i="77"/>
  <c r="AO90" i="77"/>
  <c r="AP90" i="77"/>
  <c r="AQ90" i="77"/>
  <c r="AR90" i="77"/>
  <c r="AS90" i="77"/>
  <c r="AT90" i="77"/>
  <c r="AU90" i="77"/>
  <c r="AV90" i="77"/>
  <c r="AW90" i="77"/>
  <c r="AX90" i="77"/>
  <c r="AY90" i="77"/>
  <c r="AZ90" i="77"/>
  <c r="BA90" i="77"/>
  <c r="BB90" i="77"/>
  <c r="BC90" i="77"/>
  <c r="BD90" i="77"/>
  <c r="BE90" i="77"/>
  <c r="BF90" i="77"/>
  <c r="BG90" i="77"/>
  <c r="BH90" i="77"/>
  <c r="BI90" i="77"/>
  <c r="BJ90" i="77"/>
  <c r="BK90" i="77"/>
  <c r="BL90" i="77"/>
  <c r="BM90" i="77"/>
  <c r="BN90" i="77"/>
  <c r="BO90" i="77"/>
  <c r="BP90" i="77"/>
  <c r="BQ90" i="77"/>
  <c r="BR90" i="77"/>
  <c r="BS90" i="77"/>
  <c r="BT90" i="77"/>
  <c r="BU90" i="77"/>
  <c r="BV90" i="77"/>
  <c r="BW90" i="77"/>
  <c r="BX90" i="77"/>
  <c r="BY90" i="77"/>
  <c r="BZ90" i="77"/>
  <c r="CA90" i="77"/>
  <c r="CB90" i="77"/>
  <c r="CC90" i="77"/>
  <c r="CD90" i="77"/>
  <c r="CE90" i="77"/>
  <c r="CF90" i="77"/>
  <c r="CG90" i="77"/>
  <c r="CH90" i="77"/>
  <c r="CI90" i="77"/>
  <c r="CJ90" i="77"/>
  <c r="CK90" i="77"/>
  <c r="CL90" i="77"/>
  <c r="CM90" i="77"/>
  <c r="CN90" i="77"/>
  <c r="AG91" i="77"/>
  <c r="AH91" i="77"/>
  <c r="AI91" i="77"/>
  <c r="AJ91" i="77"/>
  <c r="AK91" i="77"/>
  <c r="AL91" i="77"/>
  <c r="AM91" i="77"/>
  <c r="AN91" i="77"/>
  <c r="AO91" i="77"/>
  <c r="AP91" i="77"/>
  <c r="AQ91" i="77"/>
  <c r="AR91" i="77"/>
  <c r="AS91" i="77"/>
  <c r="AT91" i="77"/>
  <c r="AU91" i="77"/>
  <c r="AV91" i="77"/>
  <c r="AW91" i="77"/>
  <c r="AX91" i="77"/>
  <c r="AY91" i="77"/>
  <c r="AZ91" i="77"/>
  <c r="BA91" i="77"/>
  <c r="BB91" i="77"/>
  <c r="BC91" i="77"/>
  <c r="BD91" i="77"/>
  <c r="BE91" i="77"/>
  <c r="BF91" i="77"/>
  <c r="BG91" i="77"/>
  <c r="BH91" i="77"/>
  <c r="BI91" i="77"/>
  <c r="BJ91" i="77"/>
  <c r="BK91" i="77"/>
  <c r="BL91" i="77"/>
  <c r="BM91" i="77"/>
  <c r="BN91" i="77"/>
  <c r="BO91" i="77"/>
  <c r="BP91" i="77"/>
  <c r="BQ91" i="77"/>
  <c r="BR91" i="77"/>
  <c r="BS91" i="77"/>
  <c r="BT91" i="77"/>
  <c r="BU91" i="77"/>
  <c r="BV91" i="77"/>
  <c r="BW91" i="77"/>
  <c r="BX91" i="77"/>
  <c r="BY91" i="77"/>
  <c r="BZ91" i="77"/>
  <c r="CA91" i="77"/>
  <c r="CB91" i="77"/>
  <c r="CC91" i="77"/>
  <c r="CD91" i="77"/>
  <c r="CE91" i="77"/>
  <c r="CF91" i="77"/>
  <c r="CG91" i="77"/>
  <c r="CH91" i="77"/>
  <c r="CI91" i="77"/>
  <c r="CJ91" i="77"/>
  <c r="CK91" i="77"/>
  <c r="CL91" i="77"/>
  <c r="CM91" i="77"/>
  <c r="CN91" i="77"/>
  <c r="AG92" i="77"/>
  <c r="AH92" i="77"/>
  <c r="AI92" i="77"/>
  <c r="AJ92" i="77"/>
  <c r="AK92" i="77"/>
  <c r="AL92" i="77"/>
  <c r="AM92" i="77"/>
  <c r="AN92" i="77"/>
  <c r="AO92" i="77"/>
  <c r="AP92" i="77"/>
  <c r="AQ92" i="77"/>
  <c r="AR92" i="77"/>
  <c r="AS92" i="77"/>
  <c r="AT92" i="77"/>
  <c r="AU92" i="77"/>
  <c r="AV92" i="77"/>
  <c r="AW92" i="77"/>
  <c r="AX92" i="77"/>
  <c r="AY92" i="77"/>
  <c r="AZ92" i="77"/>
  <c r="BA92" i="77"/>
  <c r="BB92" i="77"/>
  <c r="BC92" i="77"/>
  <c r="BD92" i="77"/>
  <c r="BE92" i="77"/>
  <c r="BF92" i="77"/>
  <c r="BG92" i="77"/>
  <c r="BH92" i="77"/>
  <c r="BI92" i="77"/>
  <c r="BJ92" i="77"/>
  <c r="BK92" i="77"/>
  <c r="BL92" i="77"/>
  <c r="BM92" i="77"/>
  <c r="BN92" i="77"/>
  <c r="BO92" i="77"/>
  <c r="BP92" i="77"/>
  <c r="BQ92" i="77"/>
  <c r="BR92" i="77"/>
  <c r="BS92" i="77"/>
  <c r="BT92" i="77"/>
  <c r="BU92" i="77"/>
  <c r="BV92" i="77"/>
  <c r="BW92" i="77"/>
  <c r="BX92" i="77"/>
  <c r="BY92" i="77"/>
  <c r="BZ92" i="77"/>
  <c r="CA92" i="77"/>
  <c r="CB92" i="77"/>
  <c r="CC92" i="77"/>
  <c r="CD92" i="77"/>
  <c r="CE92" i="77"/>
  <c r="CF92" i="77"/>
  <c r="CG92" i="77"/>
  <c r="CH92" i="77"/>
  <c r="CI92" i="77"/>
  <c r="CJ92" i="77"/>
  <c r="CK92" i="77"/>
  <c r="CL92" i="77"/>
  <c r="CM92" i="77"/>
  <c r="CN92" i="77"/>
  <c r="AG93" i="77"/>
  <c r="AH93" i="77"/>
  <c r="AI93" i="77"/>
  <c r="AJ93" i="77"/>
  <c r="AK93" i="77"/>
  <c r="AL93" i="77"/>
  <c r="AM93" i="77"/>
  <c r="AN93" i="77"/>
  <c r="AO93" i="77"/>
  <c r="AP93" i="77"/>
  <c r="AQ93" i="77"/>
  <c r="AR93" i="77"/>
  <c r="AS93" i="77"/>
  <c r="AT93" i="77"/>
  <c r="AU93" i="77"/>
  <c r="AV93" i="77"/>
  <c r="AW93" i="77"/>
  <c r="AX93" i="77"/>
  <c r="AY93" i="77"/>
  <c r="AZ93" i="77"/>
  <c r="BA93" i="77"/>
  <c r="BB93" i="77"/>
  <c r="BC93" i="77"/>
  <c r="BD93" i="77"/>
  <c r="BE93" i="77"/>
  <c r="BF93" i="77"/>
  <c r="BG93" i="77"/>
  <c r="BH93" i="77"/>
  <c r="BI93" i="77"/>
  <c r="BJ93" i="77"/>
  <c r="BK93" i="77"/>
  <c r="BL93" i="77"/>
  <c r="BM93" i="77"/>
  <c r="BN93" i="77"/>
  <c r="BO93" i="77"/>
  <c r="BP93" i="77"/>
  <c r="BQ93" i="77"/>
  <c r="BR93" i="77"/>
  <c r="BS93" i="77"/>
  <c r="BT93" i="77"/>
  <c r="BU93" i="77"/>
  <c r="BV93" i="77"/>
  <c r="BW93" i="77"/>
  <c r="BX93" i="77"/>
  <c r="BY93" i="77"/>
  <c r="BZ93" i="77"/>
  <c r="CA93" i="77"/>
  <c r="CB93" i="77"/>
  <c r="CC93" i="77"/>
  <c r="CD93" i="77"/>
  <c r="CE93" i="77"/>
  <c r="CF93" i="77"/>
  <c r="CG93" i="77"/>
  <c r="CH93" i="77"/>
  <c r="CI93" i="77"/>
  <c r="CJ93" i="77"/>
  <c r="CK93" i="77"/>
  <c r="CL93" i="77"/>
  <c r="CM93" i="77"/>
  <c r="CN93" i="77"/>
  <c r="AG94" i="77"/>
  <c r="AH94" i="77"/>
  <c r="AI94" i="77"/>
  <c r="AJ94" i="77"/>
  <c r="AK94" i="77"/>
  <c r="AL94" i="77"/>
  <c r="AM94" i="77"/>
  <c r="AN94" i="77"/>
  <c r="AO94" i="77"/>
  <c r="AP94" i="77"/>
  <c r="AQ94" i="77"/>
  <c r="AR94" i="77"/>
  <c r="AS94" i="77"/>
  <c r="AT94" i="77"/>
  <c r="AU94" i="77"/>
  <c r="AV94" i="77"/>
  <c r="AW94" i="77"/>
  <c r="AX94" i="77"/>
  <c r="AY94" i="77"/>
  <c r="AZ94" i="77"/>
  <c r="BA94" i="77"/>
  <c r="BB94" i="77"/>
  <c r="BC94" i="77"/>
  <c r="BD94" i="77"/>
  <c r="BE94" i="77"/>
  <c r="BF94" i="77"/>
  <c r="BG94" i="77"/>
  <c r="BH94" i="77"/>
  <c r="BI94" i="77"/>
  <c r="BJ94" i="77"/>
  <c r="BK94" i="77"/>
  <c r="BL94" i="77"/>
  <c r="BM94" i="77"/>
  <c r="BN94" i="77"/>
  <c r="BO94" i="77"/>
  <c r="BP94" i="77"/>
  <c r="BQ94" i="77"/>
  <c r="BR94" i="77"/>
  <c r="BS94" i="77"/>
  <c r="BT94" i="77"/>
  <c r="BU94" i="77"/>
  <c r="BV94" i="77"/>
  <c r="BW94" i="77"/>
  <c r="BX94" i="77"/>
  <c r="BY94" i="77"/>
  <c r="BZ94" i="77"/>
  <c r="CA94" i="77"/>
  <c r="CB94" i="77"/>
  <c r="CC94" i="77"/>
  <c r="CD94" i="77"/>
  <c r="CE94" i="77"/>
  <c r="CF94" i="77"/>
  <c r="CG94" i="77"/>
  <c r="CH94" i="77"/>
  <c r="CI94" i="77"/>
  <c r="CJ94" i="77"/>
  <c r="CK94" i="77"/>
  <c r="CL94" i="77"/>
  <c r="CM94" i="77"/>
  <c r="CN94" i="77"/>
  <c r="AG95" i="77"/>
  <c r="AH95" i="77"/>
  <c r="AI95" i="77"/>
  <c r="AJ95" i="77"/>
  <c r="AK95" i="77"/>
  <c r="AL95" i="77"/>
  <c r="AM95" i="77"/>
  <c r="AN95" i="77"/>
  <c r="AO95" i="77"/>
  <c r="AP95" i="77"/>
  <c r="AQ95" i="77"/>
  <c r="AR95" i="77"/>
  <c r="AS95" i="77"/>
  <c r="AT95" i="77"/>
  <c r="AU95" i="77"/>
  <c r="AV95" i="77"/>
  <c r="AW95" i="77"/>
  <c r="AX95" i="77"/>
  <c r="AY95" i="77"/>
  <c r="AZ95" i="77"/>
  <c r="BA95" i="77"/>
  <c r="BB95" i="77"/>
  <c r="BC95" i="77"/>
  <c r="BD95" i="77"/>
  <c r="BE95" i="77"/>
  <c r="BF95" i="77"/>
  <c r="BG95" i="77"/>
  <c r="BH95" i="77"/>
  <c r="BI95" i="77"/>
  <c r="BJ95" i="77"/>
  <c r="BK95" i="77"/>
  <c r="BL95" i="77"/>
  <c r="BM95" i="77"/>
  <c r="BN95" i="77"/>
  <c r="BO95" i="77"/>
  <c r="BP95" i="77"/>
  <c r="CK95" i="77"/>
  <c r="CL95" i="77"/>
  <c r="CM95" i="77"/>
  <c r="CN95" i="77"/>
  <c r="AG96" i="77"/>
  <c r="AH96" i="77"/>
  <c r="AI96" i="77"/>
  <c r="AJ96" i="77"/>
  <c r="AK96" i="77"/>
  <c r="AL96" i="77"/>
  <c r="AM96" i="77"/>
  <c r="AN96" i="77"/>
  <c r="AO96" i="77"/>
  <c r="AP96" i="77"/>
  <c r="AQ96" i="77"/>
  <c r="AR96" i="77"/>
  <c r="AS96" i="77"/>
  <c r="AT96" i="77"/>
  <c r="AU96" i="77"/>
  <c r="AV96" i="77"/>
  <c r="AW96" i="77"/>
  <c r="AX96" i="77"/>
  <c r="AY96" i="77"/>
  <c r="AZ96" i="77"/>
  <c r="CK96" i="77"/>
  <c r="CL96" i="77"/>
  <c r="CM96" i="77"/>
  <c r="CN96" i="77"/>
  <c r="AG98" i="77"/>
  <c r="AH98" i="77"/>
  <c r="AI98" i="77"/>
  <c r="AJ98" i="77"/>
  <c r="AK98" i="77"/>
  <c r="AL98" i="77"/>
  <c r="AM98" i="77"/>
  <c r="AN98" i="77"/>
  <c r="AO98" i="77"/>
  <c r="AP98" i="77"/>
  <c r="AQ98" i="77"/>
  <c r="AR98" i="77"/>
  <c r="AS98" i="77"/>
  <c r="AT98" i="77"/>
  <c r="AU98" i="77"/>
  <c r="AV98" i="77"/>
  <c r="AW98" i="77"/>
  <c r="AX98" i="77"/>
  <c r="AY98" i="77"/>
  <c r="AZ98" i="77"/>
  <c r="CK98" i="77"/>
  <c r="CL98" i="77"/>
  <c r="CM98" i="77"/>
  <c r="CN98" i="77"/>
  <c r="AG99" i="77"/>
  <c r="AH99" i="77"/>
  <c r="AI99" i="77"/>
  <c r="AJ99" i="77"/>
  <c r="AK99" i="77"/>
  <c r="AL99" i="77"/>
  <c r="AM99" i="77"/>
  <c r="AN99" i="77"/>
  <c r="AO99" i="77"/>
  <c r="AP99" i="77"/>
  <c r="AQ99" i="77"/>
  <c r="AR99" i="77"/>
  <c r="AS99" i="77"/>
  <c r="AT99" i="77"/>
  <c r="AU99" i="77"/>
  <c r="AV99" i="77"/>
  <c r="AW99" i="77"/>
  <c r="AX99" i="77"/>
  <c r="AY99" i="77"/>
  <c r="AZ99" i="77"/>
  <c r="CK99" i="77"/>
  <c r="CL99" i="77"/>
  <c r="CM99" i="77"/>
  <c r="CN99" i="77"/>
  <c r="AG100" i="77"/>
  <c r="AH100" i="77"/>
  <c r="AI100" i="77"/>
  <c r="AJ100" i="77"/>
  <c r="AK100" i="77"/>
  <c r="AL100" i="77"/>
  <c r="AM100" i="77"/>
  <c r="AN100" i="77"/>
  <c r="AO100" i="77"/>
  <c r="AP100" i="77"/>
  <c r="AQ100" i="77"/>
  <c r="AR100" i="77"/>
  <c r="AS100" i="77"/>
  <c r="AT100" i="77"/>
  <c r="AU100" i="77"/>
  <c r="AV100" i="77"/>
  <c r="AW100" i="77"/>
  <c r="AX100" i="77"/>
  <c r="AY100" i="77"/>
  <c r="AZ100" i="77"/>
  <c r="CK100" i="77"/>
  <c r="CL100" i="77"/>
  <c r="CM100" i="77"/>
  <c r="CN100" i="77"/>
  <c r="AG101" i="77"/>
  <c r="AH101" i="77"/>
  <c r="AI101" i="77"/>
  <c r="AJ101" i="77"/>
  <c r="AK101" i="77"/>
  <c r="AL101" i="77"/>
  <c r="AM101" i="77"/>
  <c r="AN101" i="77"/>
  <c r="AO101" i="77"/>
  <c r="AP101" i="77"/>
  <c r="AQ101" i="77"/>
  <c r="AR101" i="77"/>
  <c r="AS101" i="77"/>
  <c r="AT101" i="77"/>
  <c r="AU101" i="77"/>
  <c r="AV101" i="77"/>
  <c r="AW101" i="77"/>
  <c r="AX101" i="77"/>
  <c r="AY101" i="77"/>
  <c r="AZ101" i="77"/>
  <c r="CK101" i="77"/>
  <c r="CL101" i="77"/>
  <c r="CM101" i="77"/>
  <c r="CN101" i="77"/>
  <c r="AG102" i="77"/>
  <c r="AH102" i="77"/>
  <c r="AI102" i="77"/>
  <c r="AJ102" i="77"/>
  <c r="AK102" i="77"/>
  <c r="AL102" i="77"/>
  <c r="AM102" i="77"/>
  <c r="AN102" i="77"/>
  <c r="AO102" i="77"/>
  <c r="AP102" i="77"/>
  <c r="AQ102" i="77"/>
  <c r="AR102" i="77"/>
  <c r="AS102" i="77"/>
  <c r="AT102" i="77"/>
  <c r="AU102" i="77"/>
  <c r="AV102" i="77"/>
  <c r="AW102" i="77"/>
  <c r="AX102" i="77"/>
  <c r="AY102" i="77"/>
  <c r="AZ102" i="77"/>
  <c r="CK102" i="77"/>
  <c r="CL102" i="77"/>
  <c r="CM102" i="77"/>
  <c r="CN102" i="77"/>
  <c r="AG104" i="77"/>
  <c r="AH104" i="77"/>
  <c r="AI104" i="77"/>
  <c r="AJ104" i="77"/>
  <c r="AK104" i="77"/>
  <c r="AL104" i="77"/>
  <c r="AM104" i="77"/>
  <c r="AN104" i="77"/>
  <c r="AO104" i="77"/>
  <c r="AP104" i="77"/>
  <c r="AQ104" i="77"/>
  <c r="AR104" i="77"/>
  <c r="AS104" i="77"/>
  <c r="AT104" i="77"/>
  <c r="AU104" i="77"/>
  <c r="AV104" i="77"/>
  <c r="AW104" i="77"/>
  <c r="AX104" i="77"/>
  <c r="AY104" i="77"/>
  <c r="AZ104" i="77"/>
  <c r="BA104" i="77"/>
  <c r="BB104" i="77"/>
  <c r="BC104" i="77"/>
  <c r="BD104" i="77"/>
  <c r="BE104" i="77"/>
  <c r="BF104" i="77"/>
  <c r="BG104" i="77"/>
  <c r="BH104" i="77"/>
  <c r="BI104" i="77"/>
  <c r="BJ104" i="77"/>
  <c r="BK104" i="77"/>
  <c r="BL104" i="77"/>
  <c r="BM104" i="77"/>
  <c r="BN104" i="77"/>
  <c r="BO104" i="77"/>
  <c r="BP104" i="77"/>
  <c r="BQ104" i="77"/>
  <c r="BR104" i="77"/>
  <c r="BS104" i="77"/>
  <c r="BT104" i="77"/>
  <c r="BU104" i="77"/>
  <c r="BV104" i="77"/>
  <c r="BW104" i="77"/>
  <c r="BX104" i="77"/>
  <c r="BY104" i="77"/>
  <c r="BZ104" i="77"/>
  <c r="CA104" i="77"/>
  <c r="CB104" i="77"/>
  <c r="CC104" i="77"/>
  <c r="CD104" i="77"/>
  <c r="CE104" i="77"/>
  <c r="CF104" i="77"/>
  <c r="CG104" i="77"/>
  <c r="CH104" i="77"/>
  <c r="CI104" i="77"/>
  <c r="CJ104" i="77"/>
  <c r="CK104" i="77"/>
  <c r="CL104" i="77"/>
  <c r="CM104" i="77"/>
  <c r="CN104" i="77"/>
  <c r="AG105" i="77"/>
  <c r="AH105" i="77"/>
  <c r="AI105" i="77"/>
  <c r="AJ105" i="77"/>
  <c r="AK105" i="77"/>
  <c r="AL105" i="77"/>
  <c r="AM105" i="77"/>
  <c r="AN105" i="77"/>
  <c r="AO105" i="77"/>
  <c r="AP105" i="77"/>
  <c r="AQ105" i="77"/>
  <c r="AR105" i="77"/>
  <c r="AS105" i="77"/>
  <c r="AT105" i="77"/>
  <c r="AU105" i="77"/>
  <c r="AV105" i="77"/>
  <c r="AW105" i="77"/>
  <c r="AX105" i="77"/>
  <c r="AY105" i="77"/>
  <c r="AZ105" i="77"/>
  <c r="BA105" i="77"/>
  <c r="BB105" i="77"/>
  <c r="BC105" i="77"/>
  <c r="BD105" i="77"/>
  <c r="BE105" i="77"/>
  <c r="BF105" i="77"/>
  <c r="BG105" i="77"/>
  <c r="BH105" i="77"/>
  <c r="BI105" i="77"/>
  <c r="BJ105" i="77"/>
  <c r="BK105" i="77"/>
  <c r="BL105" i="77"/>
  <c r="BM105" i="77"/>
  <c r="BN105" i="77"/>
  <c r="BO105" i="77"/>
  <c r="BP105" i="77"/>
  <c r="BQ105" i="77"/>
  <c r="BR105" i="77"/>
  <c r="BS105" i="77"/>
  <c r="BT105" i="77"/>
  <c r="BU105" i="77"/>
  <c r="BV105" i="77"/>
  <c r="BW105" i="77"/>
  <c r="BX105" i="77"/>
  <c r="BY105" i="77"/>
  <c r="BZ105" i="77"/>
  <c r="CA105" i="77"/>
  <c r="CB105" i="77"/>
  <c r="CC105" i="77"/>
  <c r="CD105" i="77"/>
  <c r="CE105" i="77"/>
  <c r="CF105" i="77"/>
  <c r="CG105" i="77"/>
  <c r="CH105" i="77"/>
  <c r="CI105" i="77"/>
  <c r="CJ105" i="77"/>
  <c r="CK105" i="77"/>
  <c r="CL105" i="77"/>
  <c r="CM105" i="77"/>
  <c r="CN105" i="77"/>
  <c r="AG106" i="77"/>
  <c r="AH106" i="77"/>
  <c r="AI106" i="77"/>
  <c r="AJ106" i="77"/>
  <c r="AK106" i="77"/>
  <c r="AL106" i="77"/>
  <c r="AM106" i="77"/>
  <c r="AN106" i="77"/>
  <c r="AO106" i="77"/>
  <c r="AP106" i="77"/>
  <c r="AQ106" i="77"/>
  <c r="AR106" i="77"/>
  <c r="AS106" i="77"/>
  <c r="AT106" i="77"/>
  <c r="AU106" i="77"/>
  <c r="AV106" i="77"/>
  <c r="AW106" i="77"/>
  <c r="AX106" i="77"/>
  <c r="AY106" i="77"/>
  <c r="AZ106" i="77"/>
  <c r="BA106" i="77"/>
  <c r="BB106" i="77"/>
  <c r="BC106" i="77"/>
  <c r="BD106" i="77"/>
  <c r="BE106" i="77"/>
  <c r="BF106" i="77"/>
  <c r="BG106" i="77"/>
  <c r="BH106" i="77"/>
  <c r="BI106" i="77"/>
  <c r="BJ106" i="77"/>
  <c r="BK106" i="77"/>
  <c r="BL106" i="77"/>
  <c r="BM106" i="77"/>
  <c r="BN106" i="77"/>
  <c r="BO106" i="77"/>
  <c r="BP106" i="77"/>
  <c r="BQ106" i="77"/>
  <c r="BR106" i="77"/>
  <c r="BS106" i="77"/>
  <c r="BT106" i="77"/>
  <c r="BU106" i="77"/>
  <c r="BV106" i="77"/>
  <c r="BW106" i="77"/>
  <c r="BX106" i="77"/>
  <c r="BY106" i="77"/>
  <c r="BZ106" i="77"/>
  <c r="CA106" i="77"/>
  <c r="CB106" i="77"/>
  <c r="CC106" i="77"/>
  <c r="CD106" i="77"/>
  <c r="CE106" i="77"/>
  <c r="CF106" i="77"/>
  <c r="CG106" i="77"/>
  <c r="CH106" i="77"/>
  <c r="CI106" i="77"/>
  <c r="CJ106" i="77"/>
  <c r="CK106" i="77"/>
  <c r="CL106" i="77"/>
  <c r="CM106" i="77"/>
  <c r="CN106" i="77"/>
  <c r="AG107" i="77"/>
  <c r="AH107" i="77"/>
  <c r="AI107" i="77"/>
  <c r="AJ107" i="77"/>
  <c r="AK107" i="77"/>
  <c r="AL107" i="77"/>
  <c r="AM107" i="77"/>
  <c r="AN107" i="77"/>
  <c r="AO107" i="77"/>
  <c r="AP107" i="77"/>
  <c r="AQ107" i="77"/>
  <c r="AR107" i="77"/>
  <c r="AS107" i="77"/>
  <c r="AT107" i="77"/>
  <c r="AU107" i="77"/>
  <c r="AV107" i="77"/>
  <c r="AW107" i="77"/>
  <c r="AX107" i="77"/>
  <c r="AY107" i="77"/>
  <c r="AZ107" i="77"/>
  <c r="BA107" i="77"/>
  <c r="BB107" i="77"/>
  <c r="BC107" i="77"/>
  <c r="BD107" i="77"/>
  <c r="BE107" i="77"/>
  <c r="BF107" i="77"/>
  <c r="BG107" i="77"/>
  <c r="BH107" i="77"/>
  <c r="BI107" i="77"/>
  <c r="BJ107" i="77"/>
  <c r="BK107" i="77"/>
  <c r="BL107" i="77"/>
  <c r="BM107" i="77"/>
  <c r="BN107" i="77"/>
  <c r="BO107" i="77"/>
  <c r="BP107" i="77"/>
  <c r="BQ107" i="77"/>
  <c r="BR107" i="77"/>
  <c r="BS107" i="77"/>
  <c r="BT107" i="77"/>
  <c r="BU107" i="77"/>
  <c r="BV107" i="77"/>
  <c r="BW107" i="77"/>
  <c r="BX107" i="77"/>
  <c r="BY107" i="77"/>
  <c r="BZ107" i="77"/>
  <c r="CA107" i="77"/>
  <c r="CB107" i="77"/>
  <c r="CC107" i="77"/>
  <c r="CD107" i="77"/>
  <c r="CE107" i="77"/>
  <c r="CF107" i="77"/>
  <c r="CG107" i="77"/>
  <c r="CH107" i="77"/>
  <c r="CI107" i="77"/>
  <c r="CJ107" i="77"/>
  <c r="CK107" i="77"/>
  <c r="CL107" i="77"/>
  <c r="CM107" i="77"/>
  <c r="CN107" i="77"/>
  <c r="AG108" i="77"/>
  <c r="AH108" i="77"/>
  <c r="AI108" i="77"/>
  <c r="AJ108" i="77"/>
  <c r="AK108" i="77"/>
  <c r="AL108" i="77"/>
  <c r="AM108" i="77"/>
  <c r="AN108" i="77"/>
  <c r="AO108" i="77"/>
  <c r="AP108" i="77"/>
  <c r="AQ108" i="77"/>
  <c r="AR108" i="77"/>
  <c r="AS108" i="77"/>
  <c r="AT108" i="77"/>
  <c r="AU108" i="77"/>
  <c r="AV108" i="77"/>
  <c r="AW108" i="77"/>
  <c r="AX108" i="77"/>
  <c r="AY108" i="77"/>
  <c r="AZ108" i="77"/>
  <c r="BA108" i="77"/>
  <c r="BB108" i="77"/>
  <c r="BC108" i="77"/>
  <c r="BD108" i="77"/>
  <c r="BE108" i="77"/>
  <c r="BF108" i="77"/>
  <c r="BG108" i="77"/>
  <c r="BH108" i="77"/>
  <c r="BI108" i="77"/>
  <c r="BJ108" i="77"/>
  <c r="BK108" i="77"/>
  <c r="BL108" i="77"/>
  <c r="BM108" i="77"/>
  <c r="BN108" i="77"/>
  <c r="BO108" i="77"/>
  <c r="BP108" i="77"/>
  <c r="BQ108" i="77"/>
  <c r="BR108" i="77"/>
  <c r="BS108" i="77"/>
  <c r="BT108" i="77"/>
  <c r="BU108" i="77"/>
  <c r="BV108" i="77"/>
  <c r="BW108" i="77"/>
  <c r="BX108" i="77"/>
  <c r="BY108" i="77"/>
  <c r="BZ108" i="77"/>
  <c r="CA108" i="77"/>
  <c r="CB108" i="77"/>
  <c r="CC108" i="77"/>
  <c r="CD108" i="77"/>
  <c r="CE108" i="77"/>
  <c r="CF108" i="77"/>
  <c r="CG108" i="77"/>
  <c r="CH108" i="77"/>
  <c r="CI108" i="77"/>
  <c r="CJ108" i="77"/>
  <c r="CK108" i="77"/>
  <c r="CL108" i="77"/>
  <c r="CM108" i="77"/>
  <c r="CN108" i="77"/>
  <c r="AG109" i="77"/>
  <c r="AH109" i="77"/>
  <c r="AI109" i="77"/>
  <c r="AJ109" i="77"/>
  <c r="AK109" i="77"/>
  <c r="AL109" i="77"/>
  <c r="AM109" i="77"/>
  <c r="AN109" i="77"/>
  <c r="AO109" i="77"/>
  <c r="AP109" i="77"/>
  <c r="AQ109" i="77"/>
  <c r="AR109" i="77"/>
  <c r="AS109" i="77"/>
  <c r="AT109" i="77"/>
  <c r="AU109" i="77"/>
  <c r="AV109" i="77"/>
  <c r="AW109" i="77"/>
  <c r="AX109" i="77"/>
  <c r="AY109" i="77"/>
  <c r="AZ109" i="77"/>
  <c r="BA109" i="77"/>
  <c r="BB109" i="77"/>
  <c r="BC109" i="77"/>
  <c r="BD109" i="77"/>
  <c r="BE109" i="77"/>
  <c r="BF109" i="77"/>
  <c r="BG109" i="77"/>
  <c r="BH109" i="77"/>
  <c r="BI109" i="77"/>
  <c r="BJ109" i="77"/>
  <c r="BK109" i="77"/>
  <c r="BL109" i="77"/>
  <c r="BM109" i="77"/>
  <c r="BN109" i="77"/>
  <c r="BO109" i="77"/>
  <c r="BP109" i="77"/>
  <c r="BQ109" i="77"/>
  <c r="BR109" i="77"/>
  <c r="BS109" i="77"/>
  <c r="BT109" i="77"/>
  <c r="BU109" i="77"/>
  <c r="BV109" i="77"/>
  <c r="BW109" i="77"/>
  <c r="BX109" i="77"/>
  <c r="BY109" i="77"/>
  <c r="BZ109" i="77"/>
  <c r="CA109" i="77"/>
  <c r="CB109" i="77"/>
  <c r="CC109" i="77"/>
  <c r="CD109" i="77"/>
  <c r="CE109" i="77"/>
  <c r="CF109" i="77"/>
  <c r="CG109" i="77"/>
  <c r="CH109" i="77"/>
  <c r="CI109" i="77"/>
  <c r="CJ109" i="77"/>
  <c r="CK109" i="77"/>
  <c r="CL109" i="77"/>
  <c r="CM109" i="77"/>
  <c r="CN109" i="77"/>
  <c r="AG110" i="77"/>
  <c r="AH110" i="77"/>
  <c r="AI110" i="77"/>
  <c r="AJ110" i="77"/>
  <c r="AK110" i="77"/>
  <c r="AL110" i="77"/>
  <c r="AM110" i="77"/>
  <c r="AN110" i="77"/>
  <c r="AO110" i="77"/>
  <c r="AP110" i="77"/>
  <c r="AQ110" i="77"/>
  <c r="AR110" i="77"/>
  <c r="AS110" i="77"/>
  <c r="AT110" i="77"/>
  <c r="AU110" i="77"/>
  <c r="AV110" i="77"/>
  <c r="AW110" i="77"/>
  <c r="AX110" i="77"/>
  <c r="AY110" i="77"/>
  <c r="AZ110" i="77"/>
  <c r="BA110" i="77"/>
  <c r="BB110" i="77"/>
  <c r="BC110" i="77"/>
  <c r="BD110" i="77"/>
  <c r="BE110" i="77"/>
  <c r="BF110" i="77"/>
  <c r="BG110" i="77"/>
  <c r="BH110" i="77"/>
  <c r="BI110" i="77"/>
  <c r="BJ110" i="77"/>
  <c r="BK110" i="77"/>
  <c r="BL110" i="77"/>
  <c r="BM110" i="77"/>
  <c r="BN110" i="77"/>
  <c r="BO110" i="77"/>
  <c r="BP110" i="77"/>
  <c r="BQ110" i="77"/>
  <c r="BR110" i="77"/>
  <c r="BS110" i="77"/>
  <c r="BT110" i="77"/>
  <c r="BU110" i="77"/>
  <c r="BV110" i="77"/>
  <c r="BW110" i="77"/>
  <c r="BX110" i="77"/>
  <c r="BY110" i="77"/>
  <c r="BZ110" i="77"/>
  <c r="CA110" i="77"/>
  <c r="CB110" i="77"/>
  <c r="CC110" i="77"/>
  <c r="CD110" i="77"/>
  <c r="CE110" i="77"/>
  <c r="CF110" i="77"/>
  <c r="CG110" i="77"/>
  <c r="CH110" i="77"/>
  <c r="CI110" i="77"/>
  <c r="CJ110" i="77"/>
  <c r="CK110" i="77"/>
  <c r="CL110" i="77"/>
  <c r="CM110" i="77"/>
  <c r="CN110" i="77"/>
  <c r="AG111" i="77"/>
  <c r="AH111" i="77"/>
  <c r="AI111" i="77"/>
  <c r="AJ111" i="77"/>
  <c r="AK111" i="77"/>
  <c r="AL111" i="77"/>
  <c r="AM111" i="77"/>
  <c r="AN111" i="77"/>
  <c r="AO111" i="77"/>
  <c r="AP111" i="77"/>
  <c r="AQ111" i="77"/>
  <c r="AR111" i="77"/>
  <c r="AS111" i="77"/>
  <c r="AT111" i="77"/>
  <c r="AU111" i="77"/>
  <c r="AV111" i="77"/>
  <c r="AW111" i="77"/>
  <c r="AX111" i="77"/>
  <c r="AY111" i="77"/>
  <c r="AZ111" i="77"/>
  <c r="BA111" i="77"/>
  <c r="BB111" i="77"/>
  <c r="BC111" i="77"/>
  <c r="BD111" i="77"/>
  <c r="BE111" i="77"/>
  <c r="BF111" i="77"/>
  <c r="BG111" i="77"/>
  <c r="BH111" i="77"/>
  <c r="BI111" i="77"/>
  <c r="BJ111" i="77"/>
  <c r="BK111" i="77"/>
  <c r="BL111" i="77"/>
  <c r="BM111" i="77"/>
  <c r="BN111" i="77"/>
  <c r="BO111" i="77"/>
  <c r="BP111" i="77"/>
  <c r="BQ111" i="77"/>
  <c r="BR111" i="77"/>
  <c r="BS111" i="77"/>
  <c r="BT111" i="77"/>
  <c r="BU111" i="77"/>
  <c r="BV111" i="77"/>
  <c r="BW111" i="77"/>
  <c r="BX111" i="77"/>
  <c r="BY111" i="77"/>
  <c r="BZ111" i="77"/>
  <c r="CA111" i="77"/>
  <c r="CB111" i="77"/>
  <c r="CC111" i="77"/>
  <c r="CD111" i="77"/>
  <c r="CE111" i="77"/>
  <c r="CF111" i="77"/>
  <c r="CG111" i="77"/>
  <c r="CH111" i="77"/>
  <c r="CI111" i="77"/>
  <c r="CJ111" i="77"/>
  <c r="CK111" i="77"/>
  <c r="CL111" i="77"/>
  <c r="CM111" i="77"/>
  <c r="CN111" i="77"/>
  <c r="AG112" i="77"/>
  <c r="AH112" i="77"/>
  <c r="AI112" i="77"/>
  <c r="AJ112" i="77"/>
  <c r="AK112" i="77"/>
  <c r="AL112" i="77"/>
  <c r="AM112" i="77"/>
  <c r="AN112" i="77"/>
  <c r="AO112" i="77"/>
  <c r="AP112" i="77"/>
  <c r="AQ112" i="77"/>
  <c r="AR112" i="77"/>
  <c r="AS112" i="77"/>
  <c r="AT112" i="77"/>
  <c r="AU112" i="77"/>
  <c r="AV112" i="77"/>
  <c r="AW112" i="77"/>
  <c r="AX112" i="77"/>
  <c r="AY112" i="77"/>
  <c r="AZ112" i="77"/>
  <c r="CK112" i="77"/>
  <c r="CL112" i="77"/>
  <c r="CM112" i="77"/>
  <c r="CN112" i="77"/>
  <c r="AG113" i="77"/>
  <c r="AH113" i="77"/>
  <c r="AI113" i="77"/>
  <c r="AJ113" i="77"/>
  <c r="AK113" i="77"/>
  <c r="AL113" i="77"/>
  <c r="AM113" i="77"/>
  <c r="AN113" i="77"/>
  <c r="AO113" i="77"/>
  <c r="AP113" i="77"/>
  <c r="AQ113" i="77"/>
  <c r="AR113" i="77"/>
  <c r="AS113" i="77"/>
  <c r="AT113" i="77"/>
  <c r="AU113" i="77"/>
  <c r="AV113" i="77"/>
  <c r="AW113" i="77"/>
  <c r="AX113" i="77"/>
  <c r="AY113" i="77"/>
  <c r="AZ113" i="77"/>
  <c r="BA113" i="77"/>
  <c r="BB113" i="77"/>
  <c r="BC113" i="77"/>
  <c r="BD113" i="77"/>
  <c r="BE113" i="77"/>
  <c r="BF113" i="77"/>
  <c r="BG113" i="77"/>
  <c r="BH113" i="77"/>
  <c r="BI113" i="77"/>
  <c r="BJ113" i="77"/>
  <c r="BK113" i="77"/>
  <c r="BL113" i="77"/>
  <c r="BM113" i="77"/>
  <c r="BN113" i="77"/>
  <c r="BO113" i="77"/>
  <c r="BP113" i="77"/>
  <c r="BQ113" i="77"/>
  <c r="BR113" i="77"/>
  <c r="BS113" i="77"/>
  <c r="BT113" i="77"/>
  <c r="BU113" i="77"/>
  <c r="BV113" i="77"/>
  <c r="BW113" i="77"/>
  <c r="BX113" i="77"/>
  <c r="BY113" i="77"/>
  <c r="BZ113" i="77"/>
  <c r="CA113" i="77"/>
  <c r="CB113" i="77"/>
  <c r="CC113" i="77"/>
  <c r="CD113" i="77"/>
  <c r="CE113" i="77"/>
  <c r="CF113" i="77"/>
  <c r="CG113" i="77"/>
  <c r="CH113" i="77"/>
  <c r="CI113" i="77"/>
  <c r="CJ113" i="77"/>
  <c r="CK113" i="77"/>
  <c r="CL113" i="77"/>
  <c r="CM113" i="77"/>
  <c r="CN113" i="77"/>
  <c r="AG114" i="77"/>
  <c r="AH114" i="77"/>
  <c r="AI114" i="77"/>
  <c r="AJ114" i="77"/>
  <c r="AK114" i="77"/>
  <c r="AL114" i="77"/>
  <c r="AM114" i="77"/>
  <c r="AN114" i="77"/>
  <c r="AO114" i="77"/>
  <c r="AP114" i="77"/>
  <c r="AQ114" i="77"/>
  <c r="AR114" i="77"/>
  <c r="AS114" i="77"/>
  <c r="AT114" i="77"/>
  <c r="AU114" i="77"/>
  <c r="AV114" i="77"/>
  <c r="AW114" i="77"/>
  <c r="AX114" i="77"/>
  <c r="AY114" i="77"/>
  <c r="AZ114" i="77"/>
  <c r="CK114" i="77"/>
  <c r="CL114" i="77"/>
  <c r="CM114" i="77"/>
  <c r="CN114" i="77"/>
  <c r="AG117" i="77"/>
  <c r="AH117" i="77"/>
  <c r="AI117" i="77"/>
  <c r="AJ117" i="77"/>
  <c r="AK117" i="77"/>
  <c r="AL117" i="77"/>
  <c r="AM117" i="77"/>
  <c r="AN117" i="77"/>
  <c r="AO117" i="77"/>
  <c r="AP117" i="77"/>
  <c r="AQ117" i="77"/>
  <c r="AR117" i="77"/>
  <c r="AS117" i="77"/>
  <c r="AT117" i="77"/>
  <c r="AU117" i="77"/>
  <c r="AV117" i="77"/>
  <c r="AW117" i="77"/>
  <c r="AX117" i="77"/>
  <c r="AY117" i="77"/>
  <c r="AZ117" i="77"/>
  <c r="BA117" i="77"/>
  <c r="BB117" i="77"/>
  <c r="BC117" i="77"/>
  <c r="BD117" i="77"/>
  <c r="BE117" i="77"/>
  <c r="BF117" i="77"/>
  <c r="BG117" i="77"/>
  <c r="BH117" i="77"/>
  <c r="BI117" i="77"/>
  <c r="BJ117" i="77"/>
  <c r="BK117" i="77"/>
  <c r="BL117" i="77"/>
  <c r="BM117" i="77"/>
  <c r="BN117" i="77"/>
  <c r="BO117" i="77"/>
  <c r="BP117" i="77"/>
  <c r="BQ117" i="77"/>
  <c r="BR117" i="77"/>
  <c r="BS117" i="77"/>
  <c r="BT117" i="77"/>
  <c r="BU117" i="77"/>
  <c r="BV117" i="77"/>
  <c r="BW117" i="77"/>
  <c r="BX117" i="77"/>
  <c r="BY117" i="77"/>
  <c r="BZ117" i="77"/>
  <c r="CA117" i="77"/>
  <c r="CB117" i="77"/>
  <c r="CC117" i="77"/>
  <c r="CD117" i="77"/>
  <c r="CE117" i="77"/>
  <c r="CF117" i="77"/>
  <c r="CG117" i="77"/>
  <c r="CH117" i="77"/>
  <c r="CI117" i="77"/>
  <c r="CJ117" i="77"/>
  <c r="CK117" i="77"/>
  <c r="CL117" i="77"/>
  <c r="CM117" i="77"/>
  <c r="CN117" i="77"/>
  <c r="AG118" i="77"/>
  <c r="AH118" i="77"/>
  <c r="AI118" i="77"/>
  <c r="AJ118" i="77"/>
  <c r="AK118" i="77"/>
  <c r="AL118" i="77"/>
  <c r="AM118" i="77"/>
  <c r="AN118" i="77"/>
  <c r="AO118" i="77"/>
  <c r="AP118" i="77"/>
  <c r="AQ118" i="77"/>
  <c r="AR118" i="77"/>
  <c r="AS118" i="77"/>
  <c r="AT118" i="77"/>
  <c r="AU118" i="77"/>
  <c r="AV118" i="77"/>
  <c r="AW118" i="77"/>
  <c r="AX118" i="77"/>
  <c r="AY118" i="77"/>
  <c r="AZ118" i="77"/>
  <c r="BA118" i="77"/>
  <c r="BB118" i="77"/>
  <c r="BC118" i="77"/>
  <c r="BD118" i="77"/>
  <c r="BE118" i="77"/>
  <c r="BF118" i="77"/>
  <c r="BG118" i="77"/>
  <c r="BH118" i="77"/>
  <c r="BI118" i="77"/>
  <c r="BJ118" i="77"/>
  <c r="BK118" i="77"/>
  <c r="BL118" i="77"/>
  <c r="BM118" i="77"/>
  <c r="BN118" i="77"/>
  <c r="BO118" i="77"/>
  <c r="BP118" i="77"/>
  <c r="BQ118" i="77"/>
  <c r="BR118" i="77"/>
  <c r="BS118" i="77"/>
  <c r="BT118" i="77"/>
  <c r="BU118" i="77"/>
  <c r="BV118" i="77"/>
  <c r="BW118" i="77"/>
  <c r="BX118" i="77"/>
  <c r="BY118" i="77"/>
  <c r="BZ118" i="77"/>
  <c r="CA118" i="77"/>
  <c r="CB118" i="77"/>
  <c r="CC118" i="77"/>
  <c r="CD118" i="77"/>
  <c r="CE118" i="77"/>
  <c r="CF118" i="77"/>
  <c r="CG118" i="77"/>
  <c r="CH118" i="77"/>
  <c r="CI118" i="77"/>
  <c r="CJ118" i="77"/>
  <c r="CK118" i="77"/>
  <c r="CL118" i="77"/>
  <c r="CM118" i="77"/>
  <c r="CN118" i="77"/>
  <c r="AG119" i="77"/>
  <c r="AH119" i="77"/>
  <c r="AI119" i="77"/>
  <c r="AJ119" i="77"/>
  <c r="AK119" i="77"/>
  <c r="AL119" i="77"/>
  <c r="AM119" i="77"/>
  <c r="AN119" i="77"/>
  <c r="AO119" i="77"/>
  <c r="AP119" i="77"/>
  <c r="AQ119" i="77"/>
  <c r="AR119" i="77"/>
  <c r="AS119" i="77"/>
  <c r="AT119" i="77"/>
  <c r="AU119" i="77"/>
  <c r="AV119" i="77"/>
  <c r="AW119" i="77"/>
  <c r="AX119" i="77"/>
  <c r="AY119" i="77"/>
  <c r="AZ119" i="77"/>
  <c r="BA119" i="77"/>
  <c r="BB119" i="77"/>
  <c r="BC119" i="77"/>
  <c r="BD119" i="77"/>
  <c r="BE119" i="77"/>
  <c r="BF119" i="77"/>
  <c r="BG119" i="77"/>
  <c r="BH119" i="77"/>
  <c r="BI119" i="77"/>
  <c r="BJ119" i="77"/>
  <c r="BK119" i="77"/>
  <c r="BL119" i="77"/>
  <c r="BM119" i="77"/>
  <c r="BN119" i="77"/>
  <c r="BO119" i="77"/>
  <c r="BP119" i="77"/>
  <c r="BQ119" i="77"/>
  <c r="BR119" i="77"/>
  <c r="BS119" i="77"/>
  <c r="BT119" i="77"/>
  <c r="BU119" i="77"/>
  <c r="BV119" i="77"/>
  <c r="BW119" i="77"/>
  <c r="BX119" i="77"/>
  <c r="BY119" i="77"/>
  <c r="BZ119" i="77"/>
  <c r="CA119" i="77"/>
  <c r="CB119" i="77"/>
  <c r="CC119" i="77"/>
  <c r="CD119" i="77"/>
  <c r="CE119" i="77"/>
  <c r="CF119" i="77"/>
  <c r="CG119" i="77"/>
  <c r="CH119" i="77"/>
  <c r="CI119" i="77"/>
  <c r="CJ119" i="77"/>
  <c r="CK119" i="77"/>
  <c r="CL119" i="77"/>
  <c r="CM119" i="77"/>
  <c r="CN119" i="77"/>
  <c r="AG120" i="77"/>
  <c r="AH120" i="77"/>
  <c r="AI120" i="77"/>
  <c r="AJ120" i="77"/>
  <c r="AK120" i="77"/>
  <c r="AL120" i="77"/>
  <c r="AM120" i="77"/>
  <c r="AN120" i="77"/>
  <c r="AO120" i="77"/>
  <c r="AP120" i="77"/>
  <c r="AQ120" i="77"/>
  <c r="AR120" i="77"/>
  <c r="AS120" i="77"/>
  <c r="AT120" i="77"/>
  <c r="AU120" i="77"/>
  <c r="AV120" i="77"/>
  <c r="AW120" i="77"/>
  <c r="AX120" i="77"/>
  <c r="AY120" i="77"/>
  <c r="AZ120" i="77"/>
  <c r="CK120" i="77"/>
  <c r="CL120" i="77"/>
  <c r="CM120" i="77"/>
  <c r="CN120" i="77"/>
  <c r="AG122" i="77"/>
  <c r="AH122" i="77"/>
  <c r="AI122" i="77"/>
  <c r="AJ122" i="77"/>
  <c r="AK122" i="77"/>
  <c r="AL122" i="77"/>
  <c r="AM122" i="77"/>
  <c r="AN122" i="77"/>
  <c r="AO122" i="77"/>
  <c r="AP122" i="77"/>
  <c r="AQ122" i="77"/>
  <c r="AR122" i="77"/>
  <c r="AS122" i="77"/>
  <c r="AT122" i="77"/>
  <c r="AU122" i="77"/>
  <c r="AV122" i="77"/>
  <c r="AW122" i="77"/>
  <c r="AX122" i="77"/>
  <c r="AY122" i="77"/>
  <c r="AZ122" i="77"/>
  <c r="BA122" i="77"/>
  <c r="BB122" i="77"/>
  <c r="BC122" i="77"/>
  <c r="BD122" i="77"/>
  <c r="BE122" i="77"/>
  <c r="BF122" i="77"/>
  <c r="BG122" i="77"/>
  <c r="BH122" i="77"/>
  <c r="BI122" i="77"/>
  <c r="BJ122" i="77"/>
  <c r="BK122" i="77"/>
  <c r="BL122" i="77"/>
  <c r="BM122" i="77"/>
  <c r="BN122" i="77"/>
  <c r="BO122" i="77"/>
  <c r="BP122" i="77"/>
  <c r="BQ122" i="77"/>
  <c r="BR122" i="77"/>
  <c r="BS122" i="77"/>
  <c r="BT122" i="77"/>
  <c r="BU122" i="77"/>
  <c r="BV122" i="77"/>
  <c r="BW122" i="77"/>
  <c r="BX122" i="77"/>
  <c r="BY122" i="77"/>
  <c r="BZ122" i="77"/>
  <c r="CA122" i="77"/>
  <c r="CB122" i="77"/>
  <c r="CC122" i="77"/>
  <c r="CD122" i="77"/>
  <c r="CE122" i="77"/>
  <c r="CF122" i="77"/>
  <c r="CG122" i="77"/>
  <c r="CH122" i="77"/>
  <c r="CI122" i="77"/>
  <c r="CJ122" i="77"/>
  <c r="CK122" i="77"/>
  <c r="CL122" i="77"/>
  <c r="CM122" i="77"/>
  <c r="CN122" i="77"/>
  <c r="AG123" i="77"/>
  <c r="AH123" i="77"/>
  <c r="AI123" i="77"/>
  <c r="AJ123" i="77"/>
  <c r="AK123" i="77"/>
  <c r="AL123" i="77"/>
  <c r="AM123" i="77"/>
  <c r="AN123" i="77"/>
  <c r="AO123" i="77"/>
  <c r="AP123" i="77"/>
  <c r="AQ123" i="77"/>
  <c r="AR123" i="77"/>
  <c r="AS123" i="77"/>
  <c r="AT123" i="77"/>
  <c r="AU123" i="77"/>
  <c r="AV123" i="77"/>
  <c r="AW123" i="77"/>
  <c r="AX123" i="77"/>
  <c r="AY123" i="77"/>
  <c r="AZ123" i="77"/>
  <c r="CK123" i="77"/>
  <c r="CL123" i="77"/>
  <c r="CM123" i="77"/>
  <c r="CN123" i="77"/>
  <c r="AG124" i="77"/>
  <c r="AH124" i="77"/>
  <c r="AI124" i="77"/>
  <c r="AJ124" i="77"/>
  <c r="AK124" i="77"/>
  <c r="AL124" i="77"/>
  <c r="AM124" i="77"/>
  <c r="AN124" i="77"/>
  <c r="AO124" i="77"/>
  <c r="AP124" i="77"/>
  <c r="AQ124" i="77"/>
  <c r="AR124" i="77"/>
  <c r="AS124" i="77"/>
  <c r="AT124" i="77"/>
  <c r="AU124" i="77"/>
  <c r="AV124" i="77"/>
  <c r="AW124" i="77"/>
  <c r="AX124" i="77"/>
  <c r="AY124" i="77"/>
  <c r="AZ124" i="77"/>
  <c r="BA124" i="77"/>
  <c r="BB124" i="77"/>
  <c r="BC124" i="77"/>
  <c r="BD124" i="77"/>
  <c r="BE124" i="77"/>
  <c r="BF124" i="77"/>
  <c r="BG124" i="77"/>
  <c r="BH124" i="77"/>
  <c r="BI124" i="77"/>
  <c r="BJ124" i="77"/>
  <c r="BK124" i="77"/>
  <c r="BL124" i="77"/>
  <c r="BM124" i="77"/>
  <c r="BN124" i="77"/>
  <c r="BO124" i="77"/>
  <c r="BP124" i="77"/>
  <c r="BQ124" i="77"/>
  <c r="BR124" i="77"/>
  <c r="BS124" i="77"/>
  <c r="BT124" i="77"/>
  <c r="BU124" i="77"/>
  <c r="BV124" i="77"/>
  <c r="BW124" i="77"/>
  <c r="BX124" i="77"/>
  <c r="BY124" i="77"/>
  <c r="BZ124" i="77"/>
  <c r="CA124" i="77"/>
  <c r="CB124" i="77"/>
  <c r="CC124" i="77"/>
  <c r="CD124" i="77"/>
  <c r="CE124" i="77"/>
  <c r="CF124" i="77"/>
  <c r="CG124" i="77"/>
  <c r="CH124" i="77"/>
  <c r="CI124" i="77"/>
  <c r="CJ124" i="77"/>
  <c r="CK124" i="77"/>
  <c r="CL124" i="77"/>
  <c r="CM124" i="77"/>
  <c r="CN124" i="77"/>
  <c r="AG125" i="77"/>
  <c r="AH125" i="77"/>
  <c r="AI125" i="77"/>
  <c r="AJ125" i="77"/>
  <c r="AK125" i="77"/>
  <c r="AL125" i="77"/>
  <c r="AM125" i="77"/>
  <c r="AN125" i="77"/>
  <c r="AO125" i="77"/>
  <c r="AP125" i="77"/>
  <c r="AQ125" i="77"/>
  <c r="AR125" i="77"/>
  <c r="AS125" i="77"/>
  <c r="AT125" i="77"/>
  <c r="AU125" i="77"/>
  <c r="AV125" i="77"/>
  <c r="AW125" i="77"/>
  <c r="AX125" i="77"/>
  <c r="AY125" i="77"/>
  <c r="AZ125" i="77"/>
  <c r="CK125" i="77"/>
  <c r="CL125" i="77"/>
  <c r="CM125" i="77"/>
  <c r="CN125" i="77"/>
  <c r="AG126" i="77"/>
  <c r="AH126" i="77"/>
  <c r="AI126" i="77"/>
  <c r="AJ126" i="77"/>
  <c r="AK126" i="77"/>
  <c r="AL126" i="77"/>
  <c r="AM126" i="77"/>
  <c r="AN126" i="77"/>
  <c r="AO126" i="77"/>
  <c r="AP126" i="77"/>
  <c r="AQ126" i="77"/>
  <c r="AR126" i="77"/>
  <c r="AS126" i="77"/>
  <c r="AT126" i="77"/>
  <c r="AU126" i="77"/>
  <c r="AV126" i="77"/>
  <c r="AW126" i="77"/>
  <c r="AX126" i="77"/>
  <c r="AY126" i="77"/>
  <c r="AZ126" i="77"/>
  <c r="BA126" i="77"/>
  <c r="BB126" i="77"/>
  <c r="BC126" i="77"/>
  <c r="BD126" i="77"/>
  <c r="BE126" i="77"/>
  <c r="BF126" i="77"/>
  <c r="BG126" i="77"/>
  <c r="BH126" i="77"/>
  <c r="BI126" i="77"/>
  <c r="BJ126" i="77"/>
  <c r="BK126" i="77"/>
  <c r="BL126" i="77"/>
  <c r="BM126" i="77"/>
  <c r="BN126" i="77"/>
  <c r="BO126" i="77"/>
  <c r="BP126" i="77"/>
  <c r="BQ126" i="77"/>
  <c r="BR126" i="77"/>
  <c r="BS126" i="77"/>
  <c r="BT126" i="77"/>
  <c r="BU126" i="77"/>
  <c r="BV126" i="77"/>
  <c r="BW126" i="77"/>
  <c r="BX126" i="77"/>
  <c r="BY126" i="77"/>
  <c r="BZ126" i="77"/>
  <c r="CA126" i="77"/>
  <c r="CB126" i="77"/>
  <c r="CC126" i="77"/>
  <c r="CD126" i="77"/>
  <c r="CE126" i="77"/>
  <c r="CF126" i="77"/>
  <c r="CG126" i="77"/>
  <c r="CH126" i="77"/>
  <c r="CI126" i="77"/>
  <c r="CJ126" i="77"/>
  <c r="CK126" i="77"/>
  <c r="CL126" i="77"/>
  <c r="CM126" i="77"/>
  <c r="CN126" i="77"/>
  <c r="AG127" i="77"/>
  <c r="AH127" i="77"/>
  <c r="AI127" i="77"/>
  <c r="AJ127" i="77"/>
  <c r="AK127" i="77"/>
  <c r="AL127" i="77"/>
  <c r="AM127" i="77"/>
  <c r="AN127" i="77"/>
  <c r="AO127" i="77"/>
  <c r="AP127" i="77"/>
  <c r="AQ127" i="77"/>
  <c r="AR127" i="77"/>
  <c r="AS127" i="77"/>
  <c r="AT127" i="77"/>
  <c r="AU127" i="77"/>
  <c r="AV127" i="77"/>
  <c r="AW127" i="77"/>
  <c r="AX127" i="77"/>
  <c r="AY127" i="77"/>
  <c r="AZ127" i="77"/>
  <c r="BA127" i="77"/>
  <c r="BB127" i="77"/>
  <c r="BC127" i="77"/>
  <c r="BD127" i="77"/>
  <c r="BE127" i="77"/>
  <c r="BF127" i="77"/>
  <c r="BG127" i="77"/>
  <c r="BH127" i="77"/>
  <c r="BI127" i="77"/>
  <c r="BJ127" i="77"/>
  <c r="BK127" i="77"/>
  <c r="BL127" i="77"/>
  <c r="BM127" i="77"/>
  <c r="BN127" i="77"/>
  <c r="BO127" i="77"/>
  <c r="BP127" i="77"/>
  <c r="BQ127" i="77"/>
  <c r="BR127" i="77"/>
  <c r="BS127" i="77"/>
  <c r="BT127" i="77"/>
  <c r="BU127" i="77"/>
  <c r="BV127" i="77"/>
  <c r="BW127" i="77"/>
  <c r="BX127" i="77"/>
  <c r="BY127" i="77"/>
  <c r="BZ127" i="77"/>
  <c r="CA127" i="77"/>
  <c r="CB127" i="77"/>
  <c r="CC127" i="77"/>
  <c r="CD127" i="77"/>
  <c r="CE127" i="77"/>
  <c r="CF127" i="77"/>
  <c r="CG127" i="77"/>
  <c r="CH127" i="77"/>
  <c r="CI127" i="77"/>
  <c r="CJ127" i="77"/>
  <c r="CK127" i="77"/>
  <c r="CL127" i="77"/>
  <c r="CM127" i="77"/>
  <c r="CN127" i="77"/>
  <c r="AG128" i="77"/>
  <c r="AH128" i="77"/>
  <c r="AI128" i="77"/>
  <c r="AJ128" i="77"/>
  <c r="AK128" i="77"/>
  <c r="AL128" i="77"/>
  <c r="AM128" i="77"/>
  <c r="AN128" i="77"/>
  <c r="AO128" i="77"/>
  <c r="AP128" i="77"/>
  <c r="AQ128" i="77"/>
  <c r="AR128" i="77"/>
  <c r="AS128" i="77"/>
  <c r="AT128" i="77"/>
  <c r="AU128" i="77"/>
  <c r="AV128" i="77"/>
  <c r="AW128" i="77"/>
  <c r="AX128" i="77"/>
  <c r="AY128" i="77"/>
  <c r="AZ128" i="77"/>
  <c r="CK128" i="77"/>
  <c r="CL128" i="77"/>
  <c r="CM128" i="77"/>
  <c r="CN128" i="77"/>
  <c r="AG129" i="77"/>
  <c r="AH129" i="77"/>
  <c r="AI129" i="77"/>
  <c r="AJ129" i="77"/>
  <c r="AK129" i="77"/>
  <c r="AL129" i="77"/>
  <c r="AM129" i="77"/>
  <c r="AN129" i="77"/>
  <c r="AO129" i="77"/>
  <c r="AP129" i="77"/>
  <c r="AQ129" i="77"/>
  <c r="AR129" i="77"/>
  <c r="AS129" i="77"/>
  <c r="AT129" i="77"/>
  <c r="AU129" i="77"/>
  <c r="AV129" i="77"/>
  <c r="AW129" i="77"/>
  <c r="AX129" i="77"/>
  <c r="AY129" i="77"/>
  <c r="AZ129" i="77"/>
  <c r="BA129" i="77"/>
  <c r="BB129" i="77"/>
  <c r="BC129" i="77"/>
  <c r="BD129" i="77"/>
  <c r="BE129" i="77"/>
  <c r="BF129" i="77"/>
  <c r="BG129" i="77"/>
  <c r="BH129" i="77"/>
  <c r="BI129" i="77"/>
  <c r="BJ129" i="77"/>
  <c r="BK129" i="77"/>
  <c r="BL129" i="77"/>
  <c r="BM129" i="77"/>
  <c r="BN129" i="77"/>
  <c r="BO129" i="77"/>
  <c r="BP129" i="77"/>
  <c r="BQ129" i="77"/>
  <c r="BR129" i="77"/>
  <c r="BS129" i="77"/>
  <c r="BT129" i="77"/>
  <c r="BU129" i="77"/>
  <c r="BV129" i="77"/>
  <c r="BW129" i="77"/>
  <c r="BX129" i="77"/>
  <c r="BY129" i="77"/>
  <c r="BZ129" i="77"/>
  <c r="CA129" i="77"/>
  <c r="CB129" i="77"/>
  <c r="CC129" i="77"/>
  <c r="CD129" i="77"/>
  <c r="CE129" i="77"/>
  <c r="CF129" i="77"/>
  <c r="CG129" i="77"/>
  <c r="CH129" i="77"/>
  <c r="CI129" i="77"/>
  <c r="CJ129" i="77"/>
  <c r="CK129" i="77"/>
  <c r="CL129" i="77"/>
  <c r="CM129" i="77"/>
  <c r="CN129" i="77"/>
  <c r="AG130" i="77"/>
  <c r="AH130" i="77"/>
  <c r="AI130" i="77"/>
  <c r="AJ130" i="77"/>
  <c r="AK130" i="77"/>
  <c r="AL130" i="77"/>
  <c r="AM130" i="77"/>
  <c r="AN130" i="77"/>
  <c r="AO130" i="77"/>
  <c r="AP130" i="77"/>
  <c r="AQ130" i="77"/>
  <c r="AR130" i="77"/>
  <c r="AS130" i="77"/>
  <c r="AT130" i="77"/>
  <c r="AU130" i="77"/>
  <c r="AV130" i="77"/>
  <c r="AW130" i="77"/>
  <c r="AX130" i="77"/>
  <c r="AY130" i="77"/>
  <c r="AZ130" i="77"/>
  <c r="CK130" i="77"/>
  <c r="CL130" i="77"/>
  <c r="CM130" i="77"/>
  <c r="CN130" i="77"/>
  <c r="AG132" i="77"/>
  <c r="AH132" i="77"/>
  <c r="AI132" i="77"/>
  <c r="AJ132" i="77"/>
  <c r="AK132" i="77"/>
  <c r="AL132" i="77"/>
  <c r="AM132" i="77"/>
  <c r="AN132" i="77"/>
  <c r="AO132" i="77"/>
  <c r="AP132" i="77"/>
  <c r="AQ132" i="77"/>
  <c r="AR132" i="77"/>
  <c r="AS132" i="77"/>
  <c r="AT132" i="77"/>
  <c r="AU132" i="77"/>
  <c r="AV132" i="77"/>
  <c r="AW132" i="77"/>
  <c r="AX132" i="77"/>
  <c r="AY132" i="77"/>
  <c r="AZ132" i="77"/>
  <c r="BA132" i="77"/>
  <c r="BB132" i="77"/>
  <c r="BC132" i="77"/>
  <c r="BD132" i="77"/>
  <c r="BE132" i="77"/>
  <c r="BF132" i="77"/>
  <c r="BG132" i="77"/>
  <c r="BH132" i="77"/>
  <c r="BI132" i="77"/>
  <c r="BJ132" i="77"/>
  <c r="BK132" i="77"/>
  <c r="BL132" i="77"/>
  <c r="BM132" i="77"/>
  <c r="BN132" i="77"/>
  <c r="BO132" i="77"/>
  <c r="BP132" i="77"/>
  <c r="BQ132" i="77"/>
  <c r="BR132" i="77"/>
  <c r="BS132" i="77"/>
  <c r="BT132" i="77"/>
  <c r="BU132" i="77"/>
  <c r="BV132" i="77"/>
  <c r="BW132" i="77"/>
  <c r="BX132" i="77"/>
  <c r="BY132" i="77"/>
  <c r="BZ132" i="77"/>
  <c r="CA132" i="77"/>
  <c r="CB132" i="77"/>
  <c r="CC132" i="77"/>
  <c r="CD132" i="77"/>
  <c r="CE132" i="77"/>
  <c r="CF132" i="77"/>
  <c r="CG132" i="77"/>
  <c r="CH132" i="77"/>
  <c r="CI132" i="77"/>
  <c r="CJ132" i="77"/>
  <c r="CK132" i="77"/>
  <c r="CL132" i="77"/>
  <c r="CM132" i="77"/>
  <c r="CN132" i="77"/>
  <c r="AG133" i="77"/>
  <c r="AH133" i="77"/>
  <c r="AI133" i="77"/>
  <c r="AJ133" i="77"/>
  <c r="AK133" i="77"/>
  <c r="AL133" i="77"/>
  <c r="AM133" i="77"/>
  <c r="AN133" i="77"/>
  <c r="AO133" i="77"/>
  <c r="AP133" i="77"/>
  <c r="AQ133" i="77"/>
  <c r="AR133" i="77"/>
  <c r="AS133" i="77"/>
  <c r="AT133" i="77"/>
  <c r="AU133" i="77"/>
  <c r="AV133" i="77"/>
  <c r="AW133" i="77"/>
  <c r="AX133" i="77"/>
  <c r="AY133" i="77"/>
  <c r="AZ133" i="77"/>
  <c r="BA133" i="77"/>
  <c r="BB133" i="77"/>
  <c r="BC133" i="77"/>
  <c r="BD133" i="77"/>
  <c r="BE133" i="77"/>
  <c r="BF133" i="77"/>
  <c r="BG133" i="77"/>
  <c r="BH133" i="77"/>
  <c r="BI133" i="77"/>
  <c r="BJ133" i="77"/>
  <c r="BK133" i="77"/>
  <c r="BL133" i="77"/>
  <c r="BM133" i="77"/>
  <c r="BN133" i="77"/>
  <c r="BO133" i="77"/>
  <c r="BP133" i="77"/>
  <c r="BQ133" i="77"/>
  <c r="BR133" i="77"/>
  <c r="BS133" i="77"/>
  <c r="BT133" i="77"/>
  <c r="BU133" i="77"/>
  <c r="BV133" i="77"/>
  <c r="BW133" i="77"/>
  <c r="BX133" i="77"/>
  <c r="BY133" i="77"/>
  <c r="BZ133" i="77"/>
  <c r="CA133" i="77"/>
  <c r="CB133" i="77"/>
  <c r="CC133" i="77"/>
  <c r="CD133" i="77"/>
  <c r="CE133" i="77"/>
  <c r="CF133" i="77"/>
  <c r="CG133" i="77"/>
  <c r="CH133" i="77"/>
  <c r="CI133" i="77"/>
  <c r="CJ133" i="77"/>
  <c r="CK133" i="77"/>
  <c r="CL133" i="77"/>
  <c r="CM133" i="77"/>
  <c r="CN133" i="77"/>
  <c r="AG134" i="77"/>
  <c r="AH134" i="77"/>
  <c r="AI134" i="77"/>
  <c r="AJ134" i="77"/>
  <c r="AK134" i="77"/>
  <c r="AL134" i="77"/>
  <c r="AM134" i="77"/>
  <c r="AN134" i="77"/>
  <c r="AO134" i="77"/>
  <c r="AP134" i="77"/>
  <c r="AQ134" i="77"/>
  <c r="AR134" i="77"/>
  <c r="AS134" i="77"/>
  <c r="AT134" i="77"/>
  <c r="AU134" i="77"/>
  <c r="AV134" i="77"/>
  <c r="AW134" i="77"/>
  <c r="AX134" i="77"/>
  <c r="AY134" i="77"/>
  <c r="AZ134" i="77"/>
  <c r="BA134" i="77"/>
  <c r="BB134" i="77"/>
  <c r="BC134" i="77"/>
  <c r="BD134" i="77"/>
  <c r="BE134" i="77"/>
  <c r="BF134" i="77"/>
  <c r="BG134" i="77"/>
  <c r="BH134" i="77"/>
  <c r="BI134" i="77"/>
  <c r="BJ134" i="77"/>
  <c r="BK134" i="77"/>
  <c r="BL134" i="77"/>
  <c r="BM134" i="77"/>
  <c r="BN134" i="77"/>
  <c r="BO134" i="77"/>
  <c r="BP134" i="77"/>
  <c r="BQ134" i="77"/>
  <c r="BR134" i="77"/>
  <c r="BS134" i="77"/>
  <c r="BT134" i="77"/>
  <c r="BU134" i="77"/>
  <c r="BV134" i="77"/>
  <c r="BW134" i="77"/>
  <c r="BX134" i="77"/>
  <c r="BY134" i="77"/>
  <c r="BZ134" i="77"/>
  <c r="CA134" i="77"/>
  <c r="CB134" i="77"/>
  <c r="CC134" i="77"/>
  <c r="CD134" i="77"/>
  <c r="CE134" i="77"/>
  <c r="CF134" i="77"/>
  <c r="CG134" i="77"/>
  <c r="CH134" i="77"/>
  <c r="CI134" i="77"/>
  <c r="CJ134" i="77"/>
  <c r="CK134" i="77"/>
  <c r="CL134" i="77"/>
  <c r="CM134" i="77"/>
  <c r="CN134" i="77"/>
  <c r="AG135" i="77"/>
  <c r="AH135" i="77"/>
  <c r="AI135" i="77"/>
  <c r="AJ135" i="77"/>
  <c r="AK135" i="77"/>
  <c r="AL135" i="77"/>
  <c r="AM135" i="77"/>
  <c r="AN135" i="77"/>
  <c r="AO135" i="77"/>
  <c r="AP135" i="77"/>
  <c r="AQ135" i="77"/>
  <c r="AR135" i="77"/>
  <c r="AS135" i="77"/>
  <c r="AT135" i="77"/>
  <c r="AU135" i="77"/>
  <c r="AV135" i="77"/>
  <c r="AW135" i="77"/>
  <c r="AX135" i="77"/>
  <c r="AY135" i="77"/>
  <c r="AZ135" i="77"/>
  <c r="BA135" i="77"/>
  <c r="BB135" i="77"/>
  <c r="BC135" i="77"/>
  <c r="BD135" i="77"/>
  <c r="BE135" i="77"/>
  <c r="BF135" i="77"/>
  <c r="BG135" i="77"/>
  <c r="BH135" i="77"/>
  <c r="BI135" i="77"/>
  <c r="BJ135" i="77"/>
  <c r="BK135" i="77"/>
  <c r="BL135" i="77"/>
  <c r="BM135" i="77"/>
  <c r="BN135" i="77"/>
  <c r="BO135" i="77"/>
  <c r="BP135" i="77"/>
  <c r="BQ135" i="77"/>
  <c r="BR135" i="77"/>
  <c r="BS135" i="77"/>
  <c r="BT135" i="77"/>
  <c r="BU135" i="77"/>
  <c r="BV135" i="77"/>
  <c r="BW135" i="77"/>
  <c r="BX135" i="77"/>
  <c r="BY135" i="77"/>
  <c r="BZ135" i="77"/>
  <c r="CA135" i="77"/>
  <c r="CB135" i="77"/>
  <c r="CC135" i="77"/>
  <c r="CD135" i="77"/>
  <c r="CE135" i="77"/>
  <c r="CF135" i="77"/>
  <c r="CG135" i="77"/>
  <c r="CH135" i="77"/>
  <c r="CI135" i="77"/>
  <c r="CJ135" i="77"/>
  <c r="CK135" i="77"/>
  <c r="CL135" i="77"/>
  <c r="CM135" i="77"/>
  <c r="CN135" i="77"/>
  <c r="AG136" i="77"/>
  <c r="AH136" i="77"/>
  <c r="AI136" i="77"/>
  <c r="AJ136" i="77"/>
  <c r="AK136" i="77"/>
  <c r="AL136" i="77"/>
  <c r="AM136" i="77"/>
  <c r="AN136" i="77"/>
  <c r="AO136" i="77"/>
  <c r="AP136" i="77"/>
  <c r="AQ136" i="77"/>
  <c r="AR136" i="77"/>
  <c r="AS136" i="77"/>
  <c r="AT136" i="77"/>
  <c r="AU136" i="77"/>
  <c r="AV136" i="77"/>
  <c r="AW136" i="77"/>
  <c r="AX136" i="77"/>
  <c r="AY136" i="77"/>
  <c r="AZ136" i="77"/>
  <c r="BA136" i="77"/>
  <c r="BB136" i="77"/>
  <c r="BC136" i="77"/>
  <c r="BD136" i="77"/>
  <c r="BE136" i="77"/>
  <c r="BF136" i="77"/>
  <c r="BG136" i="77"/>
  <c r="BH136" i="77"/>
  <c r="BI136" i="77"/>
  <c r="BJ136" i="77"/>
  <c r="BK136" i="77"/>
  <c r="BL136" i="77"/>
  <c r="BM136" i="77"/>
  <c r="BN136" i="77"/>
  <c r="BO136" i="77"/>
  <c r="BP136" i="77"/>
  <c r="BQ136" i="77"/>
  <c r="BR136" i="77"/>
  <c r="BS136" i="77"/>
  <c r="BT136" i="77"/>
  <c r="BU136" i="77"/>
  <c r="BV136" i="77"/>
  <c r="BW136" i="77"/>
  <c r="BX136" i="77"/>
  <c r="BY136" i="77"/>
  <c r="BZ136" i="77"/>
  <c r="CA136" i="77"/>
  <c r="CB136" i="77"/>
  <c r="CC136" i="77"/>
  <c r="CD136" i="77"/>
  <c r="CE136" i="77"/>
  <c r="CF136" i="77"/>
  <c r="CG136" i="77"/>
  <c r="CH136" i="77"/>
  <c r="CI136" i="77"/>
  <c r="CJ136" i="77"/>
  <c r="CK136" i="77"/>
  <c r="CL136" i="77"/>
  <c r="CM136" i="77"/>
  <c r="CN136" i="77"/>
  <c r="AG137" i="77"/>
  <c r="AH137" i="77"/>
  <c r="AI137" i="77"/>
  <c r="AJ137" i="77"/>
  <c r="AK137" i="77"/>
  <c r="AL137" i="77"/>
  <c r="AM137" i="77"/>
  <c r="AN137" i="77"/>
  <c r="AO137" i="77"/>
  <c r="AP137" i="77"/>
  <c r="AQ137" i="77"/>
  <c r="AR137" i="77"/>
  <c r="AS137" i="77"/>
  <c r="AT137" i="77"/>
  <c r="AU137" i="77"/>
  <c r="AV137" i="77"/>
  <c r="AW137" i="77"/>
  <c r="AX137" i="77"/>
  <c r="AY137" i="77"/>
  <c r="AZ137" i="77"/>
  <c r="CK137" i="77"/>
  <c r="CL137" i="77"/>
  <c r="CM137" i="77"/>
  <c r="CN137" i="77"/>
  <c r="AG138" i="77"/>
  <c r="AH138" i="77"/>
  <c r="AI138" i="77"/>
  <c r="AJ138" i="77"/>
  <c r="AK138" i="77"/>
  <c r="AL138" i="77"/>
  <c r="AM138" i="77"/>
  <c r="AN138" i="77"/>
  <c r="AO138" i="77"/>
  <c r="AP138" i="77"/>
  <c r="AQ138" i="77"/>
  <c r="AR138" i="77"/>
  <c r="AS138" i="77"/>
  <c r="AT138" i="77"/>
  <c r="AU138" i="77"/>
  <c r="AV138" i="77"/>
  <c r="AW138" i="77"/>
  <c r="AX138" i="77"/>
  <c r="AY138" i="77"/>
  <c r="AZ138" i="77"/>
  <c r="BA138" i="77"/>
  <c r="BB138" i="77"/>
  <c r="BC138" i="77"/>
  <c r="BD138" i="77"/>
  <c r="BE138" i="77"/>
  <c r="BF138" i="77"/>
  <c r="BG138" i="77"/>
  <c r="BH138" i="77"/>
  <c r="BI138" i="77"/>
  <c r="BJ138" i="77"/>
  <c r="BK138" i="77"/>
  <c r="BL138" i="77"/>
  <c r="BM138" i="77"/>
  <c r="BN138" i="77"/>
  <c r="BO138" i="77"/>
  <c r="BP138" i="77"/>
  <c r="BQ138" i="77"/>
  <c r="BR138" i="77"/>
  <c r="BS138" i="77"/>
  <c r="BT138" i="77"/>
  <c r="BU138" i="77"/>
  <c r="BV138" i="77"/>
  <c r="BW138" i="77"/>
  <c r="BX138" i="77"/>
  <c r="BY138" i="77"/>
  <c r="BZ138" i="77"/>
  <c r="CA138" i="77"/>
  <c r="CB138" i="77"/>
  <c r="CC138" i="77"/>
  <c r="CD138" i="77"/>
  <c r="CE138" i="77"/>
  <c r="CF138" i="77"/>
  <c r="CG138" i="77"/>
  <c r="CH138" i="77"/>
  <c r="CI138" i="77"/>
  <c r="CJ138" i="77"/>
  <c r="CK138" i="77"/>
  <c r="CL138" i="77"/>
  <c r="CM138" i="77"/>
  <c r="CN138" i="77"/>
  <c r="AG139" i="77"/>
  <c r="AH139" i="77"/>
  <c r="AI139" i="77"/>
  <c r="AJ139" i="77"/>
  <c r="AK139" i="77"/>
  <c r="AL139" i="77"/>
  <c r="AM139" i="77"/>
  <c r="AN139" i="77"/>
  <c r="AO139" i="77"/>
  <c r="AP139" i="77"/>
  <c r="AQ139" i="77"/>
  <c r="AR139" i="77"/>
  <c r="AS139" i="77"/>
  <c r="AT139" i="77"/>
  <c r="AU139" i="77"/>
  <c r="AV139" i="77"/>
  <c r="AW139" i="77"/>
  <c r="AX139" i="77"/>
  <c r="AY139" i="77"/>
  <c r="AZ139" i="77"/>
  <c r="CK139" i="77"/>
  <c r="CL139" i="77"/>
  <c r="CM139" i="77"/>
  <c r="CN139" i="77"/>
  <c r="AG140" i="77"/>
  <c r="AH140" i="77"/>
  <c r="AI140" i="77"/>
  <c r="AJ140" i="77"/>
  <c r="AK140" i="77"/>
  <c r="AL140" i="77"/>
  <c r="AM140" i="77"/>
  <c r="AN140" i="77"/>
  <c r="AO140" i="77"/>
  <c r="AP140" i="77"/>
  <c r="AQ140" i="77"/>
  <c r="AR140" i="77"/>
  <c r="AS140" i="77"/>
  <c r="AT140" i="77"/>
  <c r="AU140" i="77"/>
  <c r="AV140" i="77"/>
  <c r="AW140" i="77"/>
  <c r="AX140" i="77"/>
  <c r="AY140" i="77"/>
  <c r="AZ140" i="77"/>
  <c r="BA140" i="77"/>
  <c r="BB140" i="77"/>
  <c r="BC140" i="77"/>
  <c r="BD140" i="77"/>
  <c r="BE140" i="77"/>
  <c r="BF140" i="77"/>
  <c r="BG140" i="77"/>
  <c r="BH140" i="77"/>
  <c r="BI140" i="77"/>
  <c r="BJ140" i="77"/>
  <c r="BK140" i="77"/>
  <c r="BL140" i="77"/>
  <c r="BM140" i="77"/>
  <c r="BN140" i="77"/>
  <c r="BO140" i="77"/>
  <c r="BP140" i="77"/>
  <c r="BQ140" i="77"/>
  <c r="BR140" i="77"/>
  <c r="BS140" i="77"/>
  <c r="BT140" i="77"/>
  <c r="BU140" i="77"/>
  <c r="BV140" i="77"/>
  <c r="BW140" i="77"/>
  <c r="BX140" i="77"/>
  <c r="BY140" i="77"/>
  <c r="BZ140" i="77"/>
  <c r="CA140" i="77"/>
  <c r="CB140" i="77"/>
  <c r="CC140" i="77"/>
  <c r="CD140" i="77"/>
  <c r="CE140" i="77"/>
  <c r="CF140" i="77"/>
  <c r="CG140" i="77"/>
  <c r="CH140" i="77"/>
  <c r="CI140" i="77"/>
  <c r="CJ140" i="77"/>
  <c r="CK140" i="77"/>
  <c r="CL140" i="77"/>
  <c r="CM140" i="77"/>
  <c r="CN140" i="77"/>
  <c r="AG141" i="77"/>
  <c r="AH141" i="77"/>
  <c r="AI141" i="77"/>
  <c r="AJ141" i="77"/>
  <c r="AK141" i="77"/>
  <c r="AL141" i="77"/>
  <c r="AM141" i="77"/>
  <c r="AN141" i="77"/>
  <c r="AO141" i="77"/>
  <c r="AP141" i="77"/>
  <c r="AQ141" i="77"/>
  <c r="AR141" i="77"/>
  <c r="AS141" i="77"/>
  <c r="AT141" i="77"/>
  <c r="AU141" i="77"/>
  <c r="AV141" i="77"/>
  <c r="AW141" i="77"/>
  <c r="AX141" i="77"/>
  <c r="AY141" i="77"/>
  <c r="AZ141" i="77"/>
  <c r="CK141" i="77"/>
  <c r="CL141" i="77"/>
  <c r="CM141" i="77"/>
  <c r="CN141" i="77"/>
  <c r="AG142" i="77"/>
  <c r="AH142" i="77"/>
  <c r="AI142" i="77"/>
  <c r="AJ142" i="77"/>
  <c r="AK142" i="77"/>
  <c r="AL142" i="77"/>
  <c r="AM142" i="77"/>
  <c r="AN142" i="77"/>
  <c r="AO142" i="77"/>
  <c r="AP142" i="77"/>
  <c r="AQ142" i="77"/>
  <c r="AR142" i="77"/>
  <c r="AS142" i="77"/>
  <c r="AT142" i="77"/>
  <c r="AU142" i="77"/>
  <c r="AV142" i="77"/>
  <c r="AW142" i="77"/>
  <c r="AX142" i="77"/>
  <c r="AY142" i="77"/>
  <c r="AZ142" i="77"/>
  <c r="CK142" i="77"/>
  <c r="CL142" i="77"/>
  <c r="CM142" i="77"/>
  <c r="CN142" i="77"/>
  <c r="AG146" i="77"/>
  <c r="AH146" i="77"/>
  <c r="AI146" i="77"/>
  <c r="AJ146" i="77"/>
  <c r="AK146" i="77"/>
  <c r="AL146" i="77"/>
  <c r="AM146" i="77"/>
  <c r="AN146" i="77"/>
  <c r="AO146" i="77"/>
  <c r="AP146" i="77"/>
  <c r="AQ146" i="77"/>
  <c r="AR146" i="77"/>
  <c r="AS146" i="77"/>
  <c r="AT146" i="77"/>
  <c r="AU146" i="77"/>
  <c r="AV146" i="77"/>
  <c r="AW146" i="77"/>
  <c r="AX146" i="77"/>
  <c r="AY146" i="77"/>
  <c r="AZ146" i="77"/>
  <c r="CK146" i="77"/>
  <c r="CL146" i="77"/>
  <c r="CM146" i="77"/>
  <c r="CN146" i="77"/>
  <c r="AG147" i="77"/>
  <c r="AH147" i="77"/>
  <c r="AI147" i="77"/>
  <c r="AJ147" i="77"/>
  <c r="AK147" i="77"/>
  <c r="AL147" i="77"/>
  <c r="AM147" i="77"/>
  <c r="AN147" i="77"/>
  <c r="AO147" i="77"/>
  <c r="AP147" i="77"/>
  <c r="AQ147" i="77"/>
  <c r="AR147" i="77"/>
  <c r="AS147" i="77"/>
  <c r="AT147" i="77"/>
  <c r="AU147" i="77"/>
  <c r="AV147" i="77"/>
  <c r="AW147" i="77"/>
  <c r="AX147" i="77"/>
  <c r="AY147" i="77"/>
  <c r="AZ147" i="77"/>
  <c r="CK147" i="77"/>
  <c r="CL147" i="77"/>
  <c r="CM147" i="77"/>
  <c r="CN147" i="77"/>
  <c r="AG148" i="77"/>
  <c r="AH148" i="77"/>
  <c r="AI148" i="77"/>
  <c r="AJ148" i="77"/>
  <c r="AK148" i="77"/>
  <c r="AL148" i="77"/>
  <c r="AM148" i="77"/>
  <c r="AN148" i="77"/>
  <c r="AO148" i="77"/>
  <c r="AP148" i="77"/>
  <c r="AQ148" i="77"/>
  <c r="AR148" i="77"/>
  <c r="AS148" i="77"/>
  <c r="AT148" i="77"/>
  <c r="AU148" i="77"/>
  <c r="AV148" i="77"/>
  <c r="AW148" i="77"/>
  <c r="AX148" i="77"/>
  <c r="AY148" i="77"/>
  <c r="AZ148" i="77"/>
  <c r="BA148" i="77"/>
  <c r="BB148" i="77"/>
  <c r="BC148" i="77"/>
  <c r="BD148" i="77"/>
  <c r="BE148" i="77"/>
  <c r="BF148" i="77"/>
  <c r="BG148" i="77"/>
  <c r="BH148" i="77"/>
  <c r="BI148" i="77"/>
  <c r="BJ148" i="77"/>
  <c r="BK148" i="77"/>
  <c r="BL148" i="77"/>
  <c r="BM148" i="77"/>
  <c r="BN148" i="77"/>
  <c r="BO148" i="77"/>
  <c r="BP148" i="77"/>
  <c r="BQ148" i="77"/>
  <c r="BR148" i="77"/>
  <c r="BS148" i="77"/>
  <c r="BT148" i="77"/>
  <c r="BU148" i="77"/>
  <c r="BV148" i="77"/>
  <c r="BW148" i="77"/>
  <c r="BX148" i="77"/>
  <c r="BY148" i="77"/>
  <c r="BZ148" i="77"/>
  <c r="CA148" i="77"/>
  <c r="CB148" i="77"/>
  <c r="CC148" i="77"/>
  <c r="CD148" i="77"/>
  <c r="CE148" i="77"/>
  <c r="CF148" i="77"/>
  <c r="CG148" i="77"/>
  <c r="CH148" i="77"/>
  <c r="CI148" i="77"/>
  <c r="CJ148" i="77"/>
  <c r="CK148" i="77"/>
  <c r="CL148" i="77"/>
  <c r="CM148" i="77"/>
  <c r="CN148" i="77"/>
  <c r="AG149" i="77"/>
  <c r="AH149" i="77"/>
  <c r="AI149" i="77"/>
  <c r="AJ149" i="77"/>
  <c r="AK149" i="77"/>
  <c r="AL149" i="77"/>
  <c r="AM149" i="77"/>
  <c r="AN149" i="77"/>
  <c r="AO149" i="77"/>
  <c r="AP149" i="77"/>
  <c r="AQ149" i="77"/>
  <c r="AR149" i="77"/>
  <c r="AS149" i="77"/>
  <c r="AT149" i="77"/>
  <c r="AU149" i="77"/>
  <c r="AV149" i="77"/>
  <c r="AW149" i="77"/>
  <c r="AX149" i="77"/>
  <c r="AY149" i="77"/>
  <c r="AZ149" i="77"/>
  <c r="CK149" i="77"/>
  <c r="CL149" i="77"/>
  <c r="CM149" i="77"/>
  <c r="CN149" i="77"/>
  <c r="AG151" i="77"/>
  <c r="AH151" i="77"/>
  <c r="AI151" i="77"/>
  <c r="AJ151" i="77"/>
  <c r="AK151" i="77"/>
  <c r="AL151" i="77"/>
  <c r="AM151" i="77"/>
  <c r="AN151" i="77"/>
  <c r="AO151" i="77"/>
  <c r="AP151" i="77"/>
  <c r="AQ151" i="77"/>
  <c r="AR151" i="77"/>
  <c r="AS151" i="77"/>
  <c r="AT151" i="77"/>
  <c r="AU151" i="77"/>
  <c r="AV151" i="77"/>
  <c r="AW151" i="77"/>
  <c r="AX151" i="77"/>
  <c r="AY151" i="77"/>
  <c r="AZ151" i="77"/>
  <c r="CK151" i="77"/>
  <c r="CL151" i="77"/>
  <c r="CM151" i="77"/>
  <c r="CN151" i="77"/>
  <c r="AG152" i="77"/>
  <c r="AH152" i="77"/>
  <c r="AI152" i="77"/>
  <c r="AJ152" i="77"/>
  <c r="AK152" i="77"/>
  <c r="AL152" i="77"/>
  <c r="AM152" i="77"/>
  <c r="AN152" i="77"/>
  <c r="AO152" i="77"/>
  <c r="AP152" i="77"/>
  <c r="AQ152" i="77"/>
  <c r="AR152" i="77"/>
  <c r="AS152" i="77"/>
  <c r="AT152" i="77"/>
  <c r="AU152" i="77"/>
  <c r="AV152" i="77"/>
  <c r="AW152" i="77"/>
  <c r="AX152" i="77"/>
  <c r="AY152" i="77"/>
  <c r="AZ152" i="77"/>
  <c r="BA152" i="77"/>
  <c r="BB152" i="77"/>
  <c r="BC152" i="77"/>
  <c r="BD152" i="77"/>
  <c r="BE152" i="77"/>
  <c r="BF152" i="77"/>
  <c r="BG152" i="77"/>
  <c r="BH152" i="77"/>
  <c r="BI152" i="77"/>
  <c r="BJ152" i="77"/>
  <c r="BK152" i="77"/>
  <c r="BL152" i="77"/>
  <c r="BM152" i="77"/>
  <c r="BN152" i="77"/>
  <c r="BO152" i="77"/>
  <c r="BP152" i="77"/>
  <c r="BQ152" i="77"/>
  <c r="BR152" i="77"/>
  <c r="BS152" i="77"/>
  <c r="BT152" i="77"/>
  <c r="BU152" i="77"/>
  <c r="BV152" i="77"/>
  <c r="BW152" i="77"/>
  <c r="BX152" i="77"/>
  <c r="BY152" i="77"/>
  <c r="BZ152" i="77"/>
  <c r="CA152" i="77"/>
  <c r="CB152" i="77"/>
  <c r="CC152" i="77"/>
  <c r="CD152" i="77"/>
  <c r="CE152" i="77"/>
  <c r="CF152" i="77"/>
  <c r="CG152" i="77"/>
  <c r="CH152" i="77"/>
  <c r="CI152" i="77"/>
  <c r="CJ152" i="77"/>
  <c r="CK152" i="77"/>
  <c r="CL152" i="77"/>
  <c r="CM152" i="77"/>
  <c r="CN152" i="77"/>
  <c r="AG153" i="77"/>
  <c r="AH153" i="77"/>
  <c r="AI153" i="77"/>
  <c r="AJ153" i="77"/>
  <c r="AK153" i="77"/>
  <c r="AL153" i="77"/>
  <c r="AM153" i="77"/>
  <c r="AN153" i="77"/>
  <c r="AO153" i="77"/>
  <c r="AP153" i="77"/>
  <c r="AQ153" i="77"/>
  <c r="AR153" i="77"/>
  <c r="AS153" i="77"/>
  <c r="AT153" i="77"/>
  <c r="AU153" i="77"/>
  <c r="AV153" i="77"/>
  <c r="AW153" i="77"/>
  <c r="AX153" i="77"/>
  <c r="AY153" i="77"/>
  <c r="AZ153" i="77"/>
  <c r="BA153" i="77"/>
  <c r="BB153" i="77"/>
  <c r="BC153" i="77"/>
  <c r="BD153" i="77"/>
  <c r="BE153" i="77"/>
  <c r="BF153" i="77"/>
  <c r="BG153" i="77"/>
  <c r="BH153" i="77"/>
  <c r="BI153" i="77"/>
  <c r="BJ153" i="77"/>
  <c r="BK153" i="77"/>
  <c r="BL153" i="77"/>
  <c r="BM153" i="77"/>
  <c r="BN153" i="77"/>
  <c r="BO153" i="77"/>
  <c r="BP153" i="77"/>
  <c r="BQ153" i="77"/>
  <c r="BR153" i="77"/>
  <c r="BS153" i="77"/>
  <c r="BT153" i="77"/>
  <c r="BU153" i="77"/>
  <c r="BV153" i="77"/>
  <c r="BW153" i="77"/>
  <c r="BX153" i="77"/>
  <c r="BY153" i="77"/>
  <c r="BZ153" i="77"/>
  <c r="CA153" i="77"/>
  <c r="CB153" i="77"/>
  <c r="CC153" i="77"/>
  <c r="CD153" i="77"/>
  <c r="CE153" i="77"/>
  <c r="CF153" i="77"/>
  <c r="CG153" i="77"/>
  <c r="CH153" i="77"/>
  <c r="CI153" i="77"/>
  <c r="CJ153" i="77"/>
  <c r="CK153" i="77"/>
  <c r="CL153" i="77"/>
  <c r="CM153" i="77"/>
  <c r="CN153" i="77"/>
  <c r="AG154" i="77"/>
  <c r="AH154" i="77"/>
  <c r="AI154" i="77"/>
  <c r="AJ154" i="77"/>
  <c r="AK154" i="77"/>
  <c r="AL154" i="77"/>
  <c r="AM154" i="77"/>
  <c r="AN154" i="77"/>
  <c r="AO154" i="77"/>
  <c r="AP154" i="77"/>
  <c r="AQ154" i="77"/>
  <c r="AR154" i="77"/>
  <c r="AS154" i="77"/>
  <c r="AT154" i="77"/>
  <c r="AU154" i="77"/>
  <c r="AV154" i="77"/>
  <c r="AW154" i="77"/>
  <c r="AX154" i="77"/>
  <c r="AY154" i="77"/>
  <c r="AZ154" i="77"/>
  <c r="CK154" i="77"/>
  <c r="CL154" i="77"/>
  <c r="CM154" i="77"/>
  <c r="CN154" i="77"/>
  <c r="AG156" i="77"/>
  <c r="AH156" i="77"/>
  <c r="AI156" i="77"/>
  <c r="AJ156" i="77"/>
  <c r="AK156" i="77"/>
  <c r="AL156" i="77"/>
  <c r="AM156" i="77"/>
  <c r="AN156" i="77"/>
  <c r="AO156" i="77"/>
  <c r="AP156" i="77"/>
  <c r="AQ156" i="77"/>
  <c r="AR156" i="77"/>
  <c r="AS156" i="77"/>
  <c r="AT156" i="77"/>
  <c r="AU156" i="77"/>
  <c r="AV156" i="77"/>
  <c r="AW156" i="77"/>
  <c r="AX156" i="77"/>
  <c r="AY156" i="77"/>
  <c r="AZ156" i="77"/>
  <c r="BA156" i="77"/>
  <c r="BB156" i="77"/>
  <c r="BC156" i="77"/>
  <c r="BD156" i="77"/>
  <c r="BE156" i="77"/>
  <c r="BF156" i="77"/>
  <c r="BG156" i="77"/>
  <c r="BH156" i="77"/>
  <c r="BI156" i="77"/>
  <c r="BJ156" i="77"/>
  <c r="BK156" i="77"/>
  <c r="BL156" i="77"/>
  <c r="BM156" i="77"/>
  <c r="BN156" i="77"/>
  <c r="BO156" i="77"/>
  <c r="BP156" i="77"/>
  <c r="BQ156" i="77"/>
  <c r="BR156" i="77"/>
  <c r="BS156" i="77"/>
  <c r="BT156" i="77"/>
  <c r="BU156" i="77"/>
  <c r="BV156" i="77"/>
  <c r="BW156" i="77"/>
  <c r="BX156" i="77"/>
  <c r="BY156" i="77"/>
  <c r="BZ156" i="77"/>
  <c r="CA156" i="77"/>
  <c r="CB156" i="77"/>
  <c r="CC156" i="77"/>
  <c r="CD156" i="77"/>
  <c r="CE156" i="77"/>
  <c r="CF156" i="77"/>
  <c r="CG156" i="77"/>
  <c r="CH156" i="77"/>
  <c r="CI156" i="77"/>
  <c r="CJ156" i="77"/>
  <c r="CK156" i="77"/>
  <c r="CL156" i="77"/>
  <c r="CM156" i="77"/>
  <c r="CN156" i="77"/>
  <c r="AG157" i="77"/>
  <c r="AH157" i="77"/>
  <c r="AI157" i="77"/>
  <c r="AJ157" i="77"/>
  <c r="AK157" i="77"/>
  <c r="AL157" i="77"/>
  <c r="AM157" i="77"/>
  <c r="AN157" i="77"/>
  <c r="AO157" i="77"/>
  <c r="AP157" i="77"/>
  <c r="AQ157" i="77"/>
  <c r="AR157" i="77"/>
  <c r="AS157" i="77"/>
  <c r="AT157" i="77"/>
  <c r="AU157" i="77"/>
  <c r="AV157" i="77"/>
  <c r="AW157" i="77"/>
  <c r="AX157" i="77"/>
  <c r="AY157" i="77"/>
  <c r="AZ157" i="77"/>
  <c r="BA157" i="77"/>
  <c r="BB157" i="77"/>
  <c r="BC157" i="77"/>
  <c r="BD157" i="77"/>
  <c r="BE157" i="77"/>
  <c r="BF157" i="77"/>
  <c r="BG157" i="77"/>
  <c r="BH157" i="77"/>
  <c r="BI157" i="77"/>
  <c r="BJ157" i="77"/>
  <c r="BK157" i="77"/>
  <c r="BL157" i="77"/>
  <c r="BM157" i="77"/>
  <c r="BN157" i="77"/>
  <c r="BO157" i="77"/>
  <c r="BP157" i="77"/>
  <c r="BQ157" i="77"/>
  <c r="BR157" i="77"/>
  <c r="BS157" i="77"/>
  <c r="BT157" i="77"/>
  <c r="BU157" i="77"/>
  <c r="BV157" i="77"/>
  <c r="BW157" i="77"/>
  <c r="BX157" i="77"/>
  <c r="BY157" i="77"/>
  <c r="BZ157" i="77"/>
  <c r="CA157" i="77"/>
  <c r="CB157" i="77"/>
  <c r="CC157" i="77"/>
  <c r="CD157" i="77"/>
  <c r="CE157" i="77"/>
  <c r="CF157" i="77"/>
  <c r="CG157" i="77"/>
  <c r="CH157" i="77"/>
  <c r="CI157" i="77"/>
  <c r="CJ157" i="77"/>
  <c r="CK157" i="77"/>
  <c r="CL157" i="77"/>
  <c r="CM157" i="77"/>
  <c r="CN157" i="77"/>
  <c r="AG158" i="77"/>
  <c r="AH158" i="77"/>
  <c r="AI158" i="77"/>
  <c r="AJ158" i="77"/>
  <c r="AK158" i="77"/>
  <c r="AL158" i="77"/>
  <c r="AM158" i="77"/>
  <c r="AN158" i="77"/>
  <c r="AO158" i="77"/>
  <c r="AP158" i="77"/>
  <c r="AQ158" i="77"/>
  <c r="AR158" i="77"/>
  <c r="AS158" i="77"/>
  <c r="AT158" i="77"/>
  <c r="AU158" i="77"/>
  <c r="AV158" i="77"/>
  <c r="AW158" i="77"/>
  <c r="AX158" i="77"/>
  <c r="AY158" i="77"/>
  <c r="AZ158" i="77"/>
  <c r="BA158" i="77"/>
  <c r="BB158" i="77"/>
  <c r="BC158" i="77"/>
  <c r="BD158" i="77"/>
  <c r="BE158" i="77"/>
  <c r="BF158" i="77"/>
  <c r="BG158" i="77"/>
  <c r="BH158" i="77"/>
  <c r="BI158" i="77"/>
  <c r="BJ158" i="77"/>
  <c r="BK158" i="77"/>
  <c r="BL158" i="77"/>
  <c r="BM158" i="77"/>
  <c r="BN158" i="77"/>
  <c r="BO158" i="77"/>
  <c r="BP158" i="77"/>
  <c r="BQ158" i="77"/>
  <c r="BR158" i="77"/>
  <c r="BS158" i="77"/>
  <c r="BT158" i="77"/>
  <c r="BU158" i="77"/>
  <c r="BV158" i="77"/>
  <c r="BW158" i="77"/>
  <c r="BX158" i="77"/>
  <c r="BY158" i="77"/>
  <c r="BZ158" i="77"/>
  <c r="CA158" i="77"/>
  <c r="CB158" i="77"/>
  <c r="CC158" i="77"/>
  <c r="CD158" i="77"/>
  <c r="CE158" i="77"/>
  <c r="CF158" i="77"/>
  <c r="CG158" i="77"/>
  <c r="CH158" i="77"/>
  <c r="CI158" i="77"/>
  <c r="CJ158" i="77"/>
  <c r="CK158" i="77"/>
  <c r="CL158" i="77"/>
  <c r="CM158" i="77"/>
  <c r="CN158" i="77"/>
  <c r="AG159" i="77"/>
  <c r="AH159" i="77"/>
  <c r="AI159" i="77"/>
  <c r="AJ159" i="77"/>
  <c r="AK159" i="77"/>
  <c r="AL159" i="77"/>
  <c r="AM159" i="77"/>
  <c r="AN159" i="77"/>
  <c r="AO159" i="77"/>
  <c r="AP159" i="77"/>
  <c r="AQ159" i="77"/>
  <c r="AR159" i="77"/>
  <c r="AS159" i="77"/>
  <c r="AT159" i="77"/>
  <c r="AU159" i="77"/>
  <c r="AV159" i="77"/>
  <c r="AW159" i="77"/>
  <c r="AX159" i="77"/>
  <c r="AY159" i="77"/>
  <c r="AZ159" i="77"/>
  <c r="BA159" i="77"/>
  <c r="BB159" i="77"/>
  <c r="BC159" i="77"/>
  <c r="BD159" i="77"/>
  <c r="BE159" i="77"/>
  <c r="BF159" i="77"/>
  <c r="BG159" i="77"/>
  <c r="BH159" i="77"/>
  <c r="BI159" i="77"/>
  <c r="BJ159" i="77"/>
  <c r="BK159" i="77"/>
  <c r="BL159" i="77"/>
  <c r="BM159" i="77"/>
  <c r="BN159" i="77"/>
  <c r="BO159" i="77"/>
  <c r="BP159" i="77"/>
  <c r="BQ159" i="77"/>
  <c r="BR159" i="77"/>
  <c r="BS159" i="77"/>
  <c r="BT159" i="77"/>
  <c r="BU159" i="77"/>
  <c r="BV159" i="77"/>
  <c r="BW159" i="77"/>
  <c r="BX159" i="77"/>
  <c r="BY159" i="77"/>
  <c r="BZ159" i="77"/>
  <c r="CA159" i="77"/>
  <c r="CB159" i="77"/>
  <c r="CC159" i="77"/>
  <c r="CD159" i="77"/>
  <c r="CE159" i="77"/>
  <c r="CF159" i="77"/>
  <c r="CG159" i="77"/>
  <c r="CH159" i="77"/>
  <c r="CI159" i="77"/>
  <c r="CJ159" i="77"/>
  <c r="CK159" i="77"/>
  <c r="CL159" i="77"/>
  <c r="CM159" i="77"/>
  <c r="CN159" i="77"/>
  <c r="AG160" i="77"/>
  <c r="AH160" i="77"/>
  <c r="AI160" i="77"/>
  <c r="AJ160" i="77"/>
  <c r="AK160" i="77"/>
  <c r="AL160" i="77"/>
  <c r="AM160" i="77"/>
  <c r="AN160" i="77"/>
  <c r="AO160" i="77"/>
  <c r="AP160" i="77"/>
  <c r="AQ160" i="77"/>
  <c r="AR160" i="77"/>
  <c r="AS160" i="77"/>
  <c r="AT160" i="77"/>
  <c r="AU160" i="77"/>
  <c r="AV160" i="77"/>
  <c r="AW160" i="77"/>
  <c r="AX160" i="77"/>
  <c r="AY160" i="77"/>
  <c r="AZ160" i="77"/>
  <c r="BA160" i="77"/>
  <c r="BB160" i="77"/>
  <c r="BC160" i="77"/>
  <c r="BD160" i="77"/>
  <c r="BE160" i="77"/>
  <c r="BF160" i="77"/>
  <c r="BG160" i="77"/>
  <c r="BH160" i="77"/>
  <c r="BI160" i="77"/>
  <c r="BJ160" i="77"/>
  <c r="BK160" i="77"/>
  <c r="BL160" i="77"/>
  <c r="BM160" i="77"/>
  <c r="BN160" i="77"/>
  <c r="BO160" i="77"/>
  <c r="BP160" i="77"/>
  <c r="BQ160" i="77"/>
  <c r="BR160" i="77"/>
  <c r="BS160" i="77"/>
  <c r="BT160" i="77"/>
  <c r="BU160" i="77"/>
  <c r="BV160" i="77"/>
  <c r="BW160" i="77"/>
  <c r="BX160" i="77"/>
  <c r="BY160" i="77"/>
  <c r="BZ160" i="77"/>
  <c r="CA160" i="77"/>
  <c r="CB160" i="77"/>
  <c r="CC160" i="77"/>
  <c r="CD160" i="77"/>
  <c r="CE160" i="77"/>
  <c r="CF160" i="77"/>
  <c r="CG160" i="77"/>
  <c r="CH160" i="77"/>
  <c r="CI160" i="77"/>
  <c r="CJ160" i="77"/>
  <c r="CK160" i="77"/>
  <c r="CL160" i="77"/>
  <c r="CM160" i="77"/>
  <c r="CN160" i="77"/>
  <c r="AG161" i="77"/>
  <c r="AH161" i="77"/>
  <c r="AI161" i="77"/>
  <c r="AJ161" i="77"/>
  <c r="AK161" i="77"/>
  <c r="AL161" i="77"/>
  <c r="AM161" i="77"/>
  <c r="AN161" i="77"/>
  <c r="AO161" i="77"/>
  <c r="AP161" i="77"/>
  <c r="AQ161" i="77"/>
  <c r="AR161" i="77"/>
  <c r="AS161" i="77"/>
  <c r="AT161" i="77"/>
  <c r="AU161" i="77"/>
  <c r="AV161" i="77"/>
  <c r="AW161" i="77"/>
  <c r="AX161" i="77"/>
  <c r="AY161" i="77"/>
  <c r="AZ161" i="77"/>
  <c r="BA161" i="77"/>
  <c r="BB161" i="77"/>
  <c r="BC161" i="77"/>
  <c r="BD161" i="77"/>
  <c r="BE161" i="77"/>
  <c r="BF161" i="77"/>
  <c r="BG161" i="77"/>
  <c r="BH161" i="77"/>
  <c r="BI161" i="77"/>
  <c r="BJ161" i="77"/>
  <c r="BK161" i="77"/>
  <c r="BL161" i="77"/>
  <c r="BM161" i="77"/>
  <c r="BN161" i="77"/>
  <c r="BO161" i="77"/>
  <c r="BP161" i="77"/>
  <c r="BQ161" i="77"/>
  <c r="BR161" i="77"/>
  <c r="BS161" i="77"/>
  <c r="BT161" i="77"/>
  <c r="BU161" i="77"/>
  <c r="BV161" i="77"/>
  <c r="BW161" i="77"/>
  <c r="BX161" i="77"/>
  <c r="BY161" i="77"/>
  <c r="BZ161" i="77"/>
  <c r="CA161" i="77"/>
  <c r="CB161" i="77"/>
  <c r="CC161" i="77"/>
  <c r="CD161" i="77"/>
  <c r="CE161" i="77"/>
  <c r="CF161" i="77"/>
  <c r="CG161" i="77"/>
  <c r="CH161" i="77"/>
  <c r="CI161" i="77"/>
  <c r="CJ161" i="77"/>
  <c r="CK161" i="77"/>
  <c r="CL161" i="77"/>
  <c r="CM161" i="77"/>
  <c r="CN161" i="77"/>
  <c r="AG162" i="77"/>
  <c r="AH162" i="77"/>
  <c r="AI162" i="77"/>
  <c r="AJ162" i="77"/>
  <c r="AK162" i="77"/>
  <c r="AL162" i="77"/>
  <c r="AM162" i="77"/>
  <c r="AN162" i="77"/>
  <c r="AO162" i="77"/>
  <c r="AP162" i="77"/>
  <c r="AQ162" i="77"/>
  <c r="AR162" i="77"/>
  <c r="AS162" i="77"/>
  <c r="AT162" i="77"/>
  <c r="AU162" i="77"/>
  <c r="AV162" i="77"/>
  <c r="AW162" i="77"/>
  <c r="AX162" i="77"/>
  <c r="AY162" i="77"/>
  <c r="AZ162" i="77"/>
  <c r="BA162" i="77"/>
  <c r="BB162" i="77"/>
  <c r="BC162" i="77"/>
  <c r="BD162" i="77"/>
  <c r="BE162" i="77"/>
  <c r="BF162" i="77"/>
  <c r="BG162" i="77"/>
  <c r="BH162" i="77"/>
  <c r="BI162" i="77"/>
  <c r="BJ162" i="77"/>
  <c r="BK162" i="77"/>
  <c r="BL162" i="77"/>
  <c r="BM162" i="77"/>
  <c r="BN162" i="77"/>
  <c r="BO162" i="77"/>
  <c r="BP162" i="77"/>
  <c r="BQ162" i="77"/>
  <c r="BR162" i="77"/>
  <c r="BS162" i="77"/>
  <c r="BT162" i="77"/>
  <c r="BU162" i="77"/>
  <c r="BV162" i="77"/>
  <c r="BW162" i="77"/>
  <c r="BX162" i="77"/>
  <c r="BY162" i="77"/>
  <c r="BZ162" i="77"/>
  <c r="CA162" i="77"/>
  <c r="CB162" i="77"/>
  <c r="CC162" i="77"/>
  <c r="CD162" i="77"/>
  <c r="CE162" i="77"/>
  <c r="CF162" i="77"/>
  <c r="CG162" i="77"/>
  <c r="CH162" i="77"/>
  <c r="CI162" i="77"/>
  <c r="CJ162" i="77"/>
  <c r="CK162" i="77"/>
  <c r="CL162" i="77"/>
  <c r="CM162" i="77"/>
  <c r="CN162" i="77"/>
  <c r="AG163" i="77"/>
  <c r="AH163" i="77"/>
  <c r="AI163" i="77"/>
  <c r="AJ163" i="77"/>
  <c r="AK163" i="77"/>
  <c r="AL163" i="77"/>
  <c r="AM163" i="77"/>
  <c r="AN163" i="77"/>
  <c r="AO163" i="77"/>
  <c r="AP163" i="77"/>
  <c r="AQ163" i="77"/>
  <c r="AR163" i="77"/>
  <c r="AS163" i="77"/>
  <c r="AT163" i="77"/>
  <c r="AU163" i="77"/>
  <c r="AV163" i="77"/>
  <c r="AW163" i="77"/>
  <c r="AX163" i="77"/>
  <c r="AY163" i="77"/>
  <c r="AZ163" i="77"/>
  <c r="CK163" i="77"/>
  <c r="CL163" i="77"/>
  <c r="CM163" i="77"/>
  <c r="CN163" i="77"/>
  <c r="AG165" i="77"/>
  <c r="AH165" i="77"/>
  <c r="AI165" i="77"/>
  <c r="AJ165" i="77"/>
  <c r="AK165" i="77"/>
  <c r="AL165" i="77"/>
  <c r="AM165" i="77"/>
  <c r="AN165" i="77"/>
  <c r="AO165" i="77"/>
  <c r="AP165" i="77"/>
  <c r="AQ165" i="77"/>
  <c r="AR165" i="77"/>
  <c r="AS165" i="77"/>
  <c r="AT165" i="77"/>
  <c r="AU165" i="77"/>
  <c r="AV165" i="77"/>
  <c r="AW165" i="77"/>
  <c r="AX165" i="77"/>
  <c r="AY165" i="77"/>
  <c r="AZ165" i="77"/>
  <c r="CK165" i="77"/>
  <c r="CL165" i="77"/>
  <c r="CM165" i="77"/>
  <c r="CN165" i="77"/>
  <c r="AG168" i="77"/>
  <c r="AH168" i="77"/>
  <c r="AI168" i="77"/>
  <c r="AJ168" i="77"/>
  <c r="AK168" i="77"/>
  <c r="AL168" i="77"/>
  <c r="AM168" i="77"/>
  <c r="AN168" i="77"/>
  <c r="AO168" i="77"/>
  <c r="AP168" i="77"/>
  <c r="AQ168" i="77"/>
  <c r="AR168" i="77"/>
  <c r="AS168" i="77"/>
  <c r="AT168" i="77"/>
  <c r="AU168" i="77"/>
  <c r="AV168" i="77"/>
  <c r="AW168" i="77"/>
  <c r="AX168" i="77"/>
  <c r="AY168" i="77"/>
  <c r="AZ168" i="77"/>
  <c r="CK168" i="77"/>
  <c r="CL168" i="77"/>
  <c r="CM168" i="77"/>
  <c r="CN168" i="77"/>
  <c r="AG169" i="77"/>
  <c r="AH169" i="77"/>
  <c r="AI169" i="77"/>
  <c r="AJ169" i="77"/>
  <c r="AK169" i="77"/>
  <c r="AL169" i="77"/>
  <c r="AM169" i="77"/>
  <c r="AN169" i="77"/>
  <c r="AO169" i="77"/>
  <c r="AP169" i="77"/>
  <c r="AQ169" i="77"/>
  <c r="AR169" i="77"/>
  <c r="AS169" i="77"/>
  <c r="AT169" i="77"/>
  <c r="AU169" i="77"/>
  <c r="AV169" i="77"/>
  <c r="AW169" i="77"/>
  <c r="AX169" i="77"/>
  <c r="AY169" i="77"/>
  <c r="AZ169" i="77"/>
  <c r="CK169" i="77"/>
  <c r="CL169" i="77"/>
  <c r="CM169" i="77"/>
  <c r="CN169" i="77"/>
  <c r="AG170" i="77"/>
  <c r="AH170" i="77"/>
  <c r="AI170" i="77"/>
  <c r="AJ170" i="77"/>
  <c r="AK170" i="77"/>
  <c r="AL170" i="77"/>
  <c r="AM170" i="77"/>
  <c r="AN170" i="77"/>
  <c r="AO170" i="77"/>
  <c r="AP170" i="77"/>
  <c r="AQ170" i="77"/>
  <c r="AR170" i="77"/>
  <c r="AS170" i="77"/>
  <c r="AT170" i="77"/>
  <c r="AU170" i="77"/>
  <c r="AV170" i="77"/>
  <c r="AW170" i="77"/>
  <c r="AX170" i="77"/>
  <c r="AY170" i="77"/>
  <c r="AZ170" i="77"/>
  <c r="BA170" i="77"/>
  <c r="BB170" i="77"/>
  <c r="BC170" i="77"/>
  <c r="BD170" i="77"/>
  <c r="BE170" i="77"/>
  <c r="BF170" i="77"/>
  <c r="BG170" i="77"/>
  <c r="BH170" i="77"/>
  <c r="BI170" i="77"/>
  <c r="BJ170" i="77"/>
  <c r="BK170" i="77"/>
  <c r="BL170" i="77"/>
  <c r="BM170" i="77"/>
  <c r="BN170" i="77"/>
  <c r="BO170" i="77"/>
  <c r="BP170" i="77"/>
  <c r="BQ170" i="77"/>
  <c r="BR170" i="77"/>
  <c r="BS170" i="77"/>
  <c r="BT170" i="77"/>
  <c r="BU170" i="77"/>
  <c r="BV170" i="77"/>
  <c r="BW170" i="77"/>
  <c r="BX170" i="77"/>
  <c r="BY170" i="77"/>
  <c r="BZ170" i="77"/>
  <c r="CA170" i="77"/>
  <c r="CB170" i="77"/>
  <c r="CC170" i="77"/>
  <c r="CD170" i="77"/>
  <c r="CE170" i="77"/>
  <c r="CF170" i="77"/>
  <c r="CG170" i="77"/>
  <c r="CH170" i="77"/>
  <c r="CI170" i="77"/>
  <c r="CJ170" i="77"/>
  <c r="CK170" i="77"/>
  <c r="CL170" i="77"/>
  <c r="CM170" i="77"/>
  <c r="CN170" i="77"/>
  <c r="AG171" i="77"/>
  <c r="AH171" i="77"/>
  <c r="AI171" i="77"/>
  <c r="AJ171" i="77"/>
  <c r="AK171" i="77"/>
  <c r="AL171" i="77"/>
  <c r="AM171" i="77"/>
  <c r="AN171" i="77"/>
  <c r="AO171" i="77"/>
  <c r="AP171" i="77"/>
  <c r="AQ171" i="77"/>
  <c r="AR171" i="77"/>
  <c r="AS171" i="77"/>
  <c r="AT171" i="77"/>
  <c r="AU171" i="77"/>
  <c r="AV171" i="77"/>
  <c r="AW171" i="77"/>
  <c r="AX171" i="77"/>
  <c r="AY171" i="77"/>
  <c r="AZ171" i="77"/>
  <c r="CK171" i="77"/>
  <c r="CL171" i="77"/>
  <c r="CM171" i="77"/>
  <c r="CN171" i="77"/>
  <c r="AG172" i="77"/>
  <c r="AH172" i="77"/>
  <c r="AI172" i="77"/>
  <c r="AJ172" i="77"/>
  <c r="AK172" i="77"/>
  <c r="AL172" i="77"/>
  <c r="AM172" i="77"/>
  <c r="AN172" i="77"/>
  <c r="AO172" i="77"/>
  <c r="AP172" i="77"/>
  <c r="AQ172" i="77"/>
  <c r="AR172" i="77"/>
  <c r="AS172" i="77"/>
  <c r="AT172" i="77"/>
  <c r="AU172" i="77"/>
  <c r="AV172" i="77"/>
  <c r="AW172" i="77"/>
  <c r="AX172" i="77"/>
  <c r="AY172" i="77"/>
  <c r="AZ172" i="77"/>
  <c r="BA172" i="77"/>
  <c r="BB172" i="77"/>
  <c r="BC172" i="77"/>
  <c r="BD172" i="77"/>
  <c r="BE172" i="77"/>
  <c r="BF172" i="77"/>
  <c r="BG172" i="77"/>
  <c r="BH172" i="77"/>
  <c r="BI172" i="77"/>
  <c r="BJ172" i="77"/>
  <c r="BK172" i="77"/>
  <c r="BL172" i="77"/>
  <c r="BM172" i="77"/>
  <c r="BN172" i="77"/>
  <c r="BO172" i="77"/>
  <c r="BP172" i="77"/>
  <c r="BQ172" i="77"/>
  <c r="BR172" i="77"/>
  <c r="BS172" i="77"/>
  <c r="BT172" i="77"/>
  <c r="BU172" i="77"/>
  <c r="BV172" i="77"/>
  <c r="BW172" i="77"/>
  <c r="BX172" i="77"/>
  <c r="BY172" i="77"/>
  <c r="BZ172" i="77"/>
  <c r="CA172" i="77"/>
  <c r="CB172" i="77"/>
  <c r="CC172" i="77"/>
  <c r="CD172" i="77"/>
  <c r="CE172" i="77"/>
  <c r="CF172" i="77"/>
  <c r="CG172" i="77"/>
  <c r="CH172" i="77"/>
  <c r="CI172" i="77"/>
  <c r="CJ172" i="77"/>
  <c r="CK172" i="77"/>
  <c r="CL172" i="77"/>
  <c r="CM172" i="77"/>
  <c r="CN172" i="77"/>
  <c r="AG173" i="77"/>
  <c r="AH173" i="77"/>
  <c r="AI173" i="77"/>
  <c r="AJ173" i="77"/>
  <c r="AK173" i="77"/>
  <c r="AL173" i="77"/>
  <c r="AM173" i="77"/>
  <c r="AN173" i="77"/>
  <c r="AO173" i="77"/>
  <c r="AP173" i="77"/>
  <c r="AQ173" i="77"/>
  <c r="AR173" i="77"/>
  <c r="AS173" i="77"/>
  <c r="AT173" i="77"/>
  <c r="AU173" i="77"/>
  <c r="AV173" i="77"/>
  <c r="AW173" i="77"/>
  <c r="AX173" i="77"/>
  <c r="AY173" i="77"/>
  <c r="AZ173" i="77"/>
  <c r="BA173" i="77"/>
  <c r="BB173" i="77"/>
  <c r="BC173" i="77"/>
  <c r="BD173" i="77"/>
  <c r="BE173" i="77"/>
  <c r="BF173" i="77"/>
  <c r="BG173" i="77"/>
  <c r="BH173" i="77"/>
  <c r="BI173" i="77"/>
  <c r="BJ173" i="77"/>
  <c r="BK173" i="77"/>
  <c r="BL173" i="77"/>
  <c r="BM173" i="77"/>
  <c r="BN173" i="77"/>
  <c r="BO173" i="77"/>
  <c r="BP173" i="77"/>
  <c r="BQ173" i="77"/>
  <c r="BR173" i="77"/>
  <c r="BS173" i="77"/>
  <c r="BT173" i="77"/>
  <c r="BU173" i="77"/>
  <c r="BV173" i="77"/>
  <c r="BW173" i="77"/>
  <c r="BX173" i="77"/>
  <c r="BY173" i="77"/>
  <c r="BZ173" i="77"/>
  <c r="CA173" i="77"/>
  <c r="CB173" i="77"/>
  <c r="CC173" i="77"/>
  <c r="CD173" i="77"/>
  <c r="CE173" i="77"/>
  <c r="CF173" i="77"/>
  <c r="CG173" i="77"/>
  <c r="CH173" i="77"/>
  <c r="CI173" i="77"/>
  <c r="CJ173" i="77"/>
  <c r="CK173" i="77"/>
  <c r="CL173" i="77"/>
  <c r="CM173" i="77"/>
  <c r="CN173" i="77"/>
  <c r="AG174" i="77"/>
  <c r="AH174" i="77"/>
  <c r="AI174" i="77"/>
  <c r="AJ174" i="77"/>
  <c r="AK174" i="77"/>
  <c r="AL174" i="77"/>
  <c r="AM174" i="77"/>
  <c r="AN174" i="77"/>
  <c r="AO174" i="77"/>
  <c r="AP174" i="77"/>
  <c r="AQ174" i="77"/>
  <c r="AR174" i="77"/>
  <c r="AS174" i="77"/>
  <c r="AT174" i="77"/>
  <c r="AU174" i="77"/>
  <c r="AV174" i="77"/>
  <c r="AW174" i="77"/>
  <c r="AX174" i="77"/>
  <c r="AY174" i="77"/>
  <c r="AZ174" i="77"/>
  <c r="BA174" i="77"/>
  <c r="BB174" i="77"/>
  <c r="BC174" i="77"/>
  <c r="BD174" i="77"/>
  <c r="BE174" i="77"/>
  <c r="BF174" i="77"/>
  <c r="BG174" i="77"/>
  <c r="BH174" i="77"/>
  <c r="BI174" i="77"/>
  <c r="BJ174" i="77"/>
  <c r="BK174" i="77"/>
  <c r="BL174" i="77"/>
  <c r="BM174" i="77"/>
  <c r="BN174" i="77"/>
  <c r="BO174" i="77"/>
  <c r="BP174" i="77"/>
  <c r="BQ174" i="77"/>
  <c r="BR174" i="77"/>
  <c r="BS174" i="77"/>
  <c r="BT174" i="77"/>
  <c r="BU174" i="77"/>
  <c r="BV174" i="77"/>
  <c r="BW174" i="77"/>
  <c r="BX174" i="77"/>
  <c r="BY174" i="77"/>
  <c r="BZ174" i="77"/>
  <c r="CA174" i="77"/>
  <c r="CB174" i="77"/>
  <c r="CC174" i="77"/>
  <c r="CD174" i="77"/>
  <c r="CE174" i="77"/>
  <c r="CF174" i="77"/>
  <c r="CG174" i="77"/>
  <c r="CH174" i="77"/>
  <c r="CI174" i="77"/>
  <c r="CJ174" i="77"/>
  <c r="CK174" i="77"/>
  <c r="CL174" i="77"/>
  <c r="CM174" i="77"/>
  <c r="CN174" i="77"/>
  <c r="AG175" i="77"/>
  <c r="AH175" i="77"/>
  <c r="AI175" i="77"/>
  <c r="AJ175" i="77"/>
  <c r="AK175" i="77"/>
  <c r="AL175" i="77"/>
  <c r="AM175" i="77"/>
  <c r="AN175" i="77"/>
  <c r="AO175" i="77"/>
  <c r="AP175" i="77"/>
  <c r="AQ175" i="77"/>
  <c r="AR175" i="77"/>
  <c r="AS175" i="77"/>
  <c r="AT175" i="77"/>
  <c r="AU175" i="77"/>
  <c r="AV175" i="77"/>
  <c r="AW175" i="77"/>
  <c r="AX175" i="77"/>
  <c r="AY175" i="77"/>
  <c r="AZ175" i="77"/>
  <c r="BA175" i="77"/>
  <c r="BB175" i="77"/>
  <c r="BC175" i="77"/>
  <c r="BD175" i="77"/>
  <c r="BE175" i="77"/>
  <c r="BF175" i="77"/>
  <c r="BG175" i="77"/>
  <c r="BH175" i="77"/>
  <c r="BI175" i="77"/>
  <c r="BJ175" i="77"/>
  <c r="BK175" i="77"/>
  <c r="BL175" i="77"/>
  <c r="BM175" i="77"/>
  <c r="BN175" i="77"/>
  <c r="BO175" i="77"/>
  <c r="BP175" i="77"/>
  <c r="BQ175" i="77"/>
  <c r="BR175" i="77"/>
  <c r="BS175" i="77"/>
  <c r="BT175" i="77"/>
  <c r="BU175" i="77"/>
  <c r="BV175" i="77"/>
  <c r="BW175" i="77"/>
  <c r="BX175" i="77"/>
  <c r="BY175" i="77"/>
  <c r="BZ175" i="77"/>
  <c r="CA175" i="77"/>
  <c r="CB175" i="77"/>
  <c r="CC175" i="77"/>
  <c r="CD175" i="77"/>
  <c r="CE175" i="77"/>
  <c r="CF175" i="77"/>
  <c r="CG175" i="77"/>
  <c r="CH175" i="77"/>
  <c r="CI175" i="77"/>
  <c r="CJ175" i="77"/>
  <c r="CK175" i="77"/>
  <c r="CL175" i="77"/>
  <c r="CM175" i="77"/>
  <c r="CN175" i="77"/>
  <c r="AG176" i="77"/>
  <c r="AH176" i="77"/>
  <c r="AI176" i="77"/>
  <c r="AJ176" i="77"/>
  <c r="AK176" i="77"/>
  <c r="AL176" i="77"/>
  <c r="AM176" i="77"/>
  <c r="AN176" i="77"/>
  <c r="AO176" i="77"/>
  <c r="AP176" i="77"/>
  <c r="AQ176" i="77"/>
  <c r="AR176" i="77"/>
  <c r="AS176" i="77"/>
  <c r="AT176" i="77"/>
  <c r="AU176" i="77"/>
  <c r="AV176" i="77"/>
  <c r="AW176" i="77"/>
  <c r="AX176" i="77"/>
  <c r="AY176" i="77"/>
  <c r="AZ176" i="77"/>
  <c r="BA176" i="77"/>
  <c r="BB176" i="77"/>
  <c r="BC176" i="77"/>
  <c r="BD176" i="77"/>
  <c r="BE176" i="77"/>
  <c r="BF176" i="77"/>
  <c r="BG176" i="77"/>
  <c r="BH176" i="77"/>
  <c r="BI176" i="77"/>
  <c r="BJ176" i="77"/>
  <c r="BK176" i="77"/>
  <c r="BL176" i="77"/>
  <c r="BM176" i="77"/>
  <c r="BN176" i="77"/>
  <c r="BO176" i="77"/>
  <c r="BP176" i="77"/>
  <c r="BQ176" i="77"/>
  <c r="BR176" i="77"/>
  <c r="BS176" i="77"/>
  <c r="BT176" i="77"/>
  <c r="BU176" i="77"/>
  <c r="BV176" i="77"/>
  <c r="BW176" i="77"/>
  <c r="BX176" i="77"/>
  <c r="BY176" i="77"/>
  <c r="BZ176" i="77"/>
  <c r="CA176" i="77"/>
  <c r="CB176" i="77"/>
  <c r="CC176" i="77"/>
  <c r="CD176" i="77"/>
  <c r="CE176" i="77"/>
  <c r="CF176" i="77"/>
  <c r="CG176" i="77"/>
  <c r="CH176" i="77"/>
  <c r="CI176" i="77"/>
  <c r="CJ176" i="77"/>
  <c r="CK176" i="77"/>
  <c r="CL176" i="77"/>
  <c r="CM176" i="77"/>
  <c r="CN176" i="77"/>
  <c r="AG177" i="77"/>
  <c r="AH177" i="77"/>
  <c r="AI177" i="77"/>
  <c r="AJ177" i="77"/>
  <c r="AK177" i="77"/>
  <c r="AL177" i="77"/>
  <c r="AM177" i="77"/>
  <c r="AN177" i="77"/>
  <c r="AO177" i="77"/>
  <c r="AP177" i="77"/>
  <c r="AQ177" i="77"/>
  <c r="AR177" i="77"/>
  <c r="AS177" i="77"/>
  <c r="AT177" i="77"/>
  <c r="AU177" i="77"/>
  <c r="AV177" i="77"/>
  <c r="AW177" i="77"/>
  <c r="AX177" i="77"/>
  <c r="AY177" i="77"/>
  <c r="AZ177" i="77"/>
  <c r="CK177" i="77"/>
  <c r="CL177" i="77"/>
  <c r="CM177" i="77"/>
  <c r="CN177" i="77"/>
  <c r="AG178" i="77"/>
  <c r="AH178" i="77"/>
  <c r="AI178" i="77"/>
  <c r="AJ178" i="77"/>
  <c r="AK178" i="77"/>
  <c r="AL178" i="77"/>
  <c r="AM178" i="77"/>
  <c r="AN178" i="77"/>
  <c r="AO178" i="77"/>
  <c r="AP178" i="77"/>
  <c r="AQ178" i="77"/>
  <c r="AR178" i="77"/>
  <c r="AS178" i="77"/>
  <c r="AT178" i="77"/>
  <c r="AU178" i="77"/>
  <c r="AV178" i="77"/>
  <c r="AW178" i="77"/>
  <c r="AX178" i="77"/>
  <c r="AY178" i="77"/>
  <c r="AZ178" i="77"/>
  <c r="CK178" i="77"/>
  <c r="CL178" i="77"/>
  <c r="CM178" i="77"/>
  <c r="CN178" i="77"/>
  <c r="AG179" i="77"/>
  <c r="AH179" i="77"/>
  <c r="AI179" i="77"/>
  <c r="AJ179" i="77"/>
  <c r="AK179" i="77"/>
  <c r="AL179" i="77"/>
  <c r="AM179" i="77"/>
  <c r="AN179" i="77"/>
  <c r="AO179" i="77"/>
  <c r="AP179" i="77"/>
  <c r="AQ179" i="77"/>
  <c r="AR179" i="77"/>
  <c r="AS179" i="77"/>
  <c r="AT179" i="77"/>
  <c r="AU179" i="77"/>
  <c r="AV179" i="77"/>
  <c r="AW179" i="77"/>
  <c r="AX179" i="77"/>
  <c r="AY179" i="77"/>
  <c r="AZ179" i="77"/>
  <c r="BA179" i="77"/>
  <c r="BB179" i="77"/>
  <c r="BC179" i="77"/>
  <c r="BD179" i="77"/>
  <c r="BE179" i="77"/>
  <c r="BF179" i="77"/>
  <c r="BG179" i="77"/>
  <c r="BH179" i="77"/>
  <c r="BI179" i="77"/>
  <c r="BJ179" i="77"/>
  <c r="BK179" i="77"/>
  <c r="BL179" i="77"/>
  <c r="BM179" i="77"/>
  <c r="BN179" i="77"/>
  <c r="BO179" i="77"/>
  <c r="BP179" i="77"/>
  <c r="BQ179" i="77"/>
  <c r="BR179" i="77"/>
  <c r="BS179" i="77"/>
  <c r="BT179" i="77"/>
  <c r="BU179" i="77"/>
  <c r="BV179" i="77"/>
  <c r="BW179" i="77"/>
  <c r="BX179" i="77"/>
  <c r="BY179" i="77"/>
  <c r="BZ179" i="77"/>
  <c r="CA179" i="77"/>
  <c r="CB179" i="77"/>
  <c r="CC179" i="77"/>
  <c r="CD179" i="77"/>
  <c r="CE179" i="77"/>
  <c r="CF179" i="77"/>
  <c r="CG179" i="77"/>
  <c r="CH179" i="77"/>
  <c r="CI179" i="77"/>
  <c r="CJ179" i="77"/>
  <c r="CK179" i="77"/>
  <c r="CL179" i="77"/>
  <c r="CM179" i="77"/>
  <c r="CN179" i="77"/>
  <c r="AG180" i="77"/>
  <c r="AH180" i="77"/>
  <c r="AI180" i="77"/>
  <c r="AJ180" i="77"/>
  <c r="AK180" i="77"/>
  <c r="AL180" i="77"/>
  <c r="AM180" i="77"/>
  <c r="AN180" i="77"/>
  <c r="AO180" i="77"/>
  <c r="AP180" i="77"/>
  <c r="AQ180" i="77"/>
  <c r="AR180" i="77"/>
  <c r="AS180" i="77"/>
  <c r="AT180" i="77"/>
  <c r="AU180" i="77"/>
  <c r="AV180" i="77"/>
  <c r="AW180" i="77"/>
  <c r="AX180" i="77"/>
  <c r="AY180" i="77"/>
  <c r="AZ180" i="77"/>
  <c r="CK180" i="77"/>
  <c r="CL180" i="77"/>
  <c r="CM180" i="77"/>
  <c r="CN180" i="77"/>
  <c r="AG181" i="77"/>
  <c r="AH181" i="77"/>
  <c r="AI181" i="77"/>
  <c r="AJ181" i="77"/>
  <c r="AK181" i="77"/>
  <c r="AL181" i="77"/>
  <c r="AM181" i="77"/>
  <c r="AN181" i="77"/>
  <c r="AO181" i="77"/>
  <c r="AP181" i="77"/>
  <c r="AQ181" i="77"/>
  <c r="AR181" i="77"/>
  <c r="AS181" i="77"/>
  <c r="AT181" i="77"/>
  <c r="AU181" i="77"/>
  <c r="AV181" i="77"/>
  <c r="AW181" i="77"/>
  <c r="AX181" i="77"/>
  <c r="AY181" i="77"/>
  <c r="AZ181" i="77"/>
  <c r="BA181" i="77"/>
  <c r="BB181" i="77"/>
  <c r="BC181" i="77"/>
  <c r="BD181" i="77"/>
  <c r="BE181" i="77"/>
  <c r="BF181" i="77"/>
  <c r="BG181" i="77"/>
  <c r="BH181" i="77"/>
  <c r="BI181" i="77"/>
  <c r="BJ181" i="77"/>
  <c r="BK181" i="77"/>
  <c r="BL181" i="77"/>
  <c r="BM181" i="77"/>
  <c r="BN181" i="77"/>
  <c r="BO181" i="77"/>
  <c r="BP181" i="77"/>
  <c r="BQ181" i="77"/>
  <c r="BR181" i="77"/>
  <c r="BS181" i="77"/>
  <c r="BT181" i="77"/>
  <c r="BU181" i="77"/>
  <c r="BV181" i="77"/>
  <c r="BW181" i="77"/>
  <c r="BX181" i="77"/>
  <c r="BY181" i="77"/>
  <c r="BZ181" i="77"/>
  <c r="CA181" i="77"/>
  <c r="CB181" i="77"/>
  <c r="CC181" i="77"/>
  <c r="CD181" i="77"/>
  <c r="CE181" i="77"/>
  <c r="CF181" i="77"/>
  <c r="CG181" i="77"/>
  <c r="CH181" i="77"/>
  <c r="CI181" i="77"/>
  <c r="CJ181" i="77"/>
  <c r="CK181" i="77"/>
  <c r="CL181" i="77"/>
  <c r="CM181" i="77"/>
  <c r="CN181" i="77"/>
  <c r="AG182" i="77"/>
  <c r="AH182" i="77"/>
  <c r="AI182" i="77"/>
  <c r="AJ182" i="77"/>
  <c r="AK182" i="77"/>
  <c r="AL182" i="77"/>
  <c r="AM182" i="77"/>
  <c r="AN182" i="77"/>
  <c r="AO182" i="77"/>
  <c r="AP182" i="77"/>
  <c r="AQ182" i="77"/>
  <c r="AR182" i="77"/>
  <c r="AS182" i="77"/>
  <c r="AT182" i="77"/>
  <c r="AU182" i="77"/>
  <c r="AV182" i="77"/>
  <c r="AW182" i="77"/>
  <c r="AX182" i="77"/>
  <c r="AY182" i="77"/>
  <c r="AZ182" i="77"/>
  <c r="CK182" i="77"/>
  <c r="CL182" i="77"/>
  <c r="CM182" i="77"/>
  <c r="CN182" i="77"/>
  <c r="AG183" i="77"/>
  <c r="AH183" i="77"/>
  <c r="AI183" i="77"/>
  <c r="AJ183" i="77"/>
  <c r="AK183" i="77"/>
  <c r="AL183" i="77"/>
  <c r="AM183" i="77"/>
  <c r="AN183" i="77"/>
  <c r="AO183" i="77"/>
  <c r="AP183" i="77"/>
  <c r="AQ183" i="77"/>
  <c r="AR183" i="77"/>
  <c r="AS183" i="77"/>
  <c r="AT183" i="77"/>
  <c r="AU183" i="77"/>
  <c r="AV183" i="77"/>
  <c r="AW183" i="77"/>
  <c r="AX183" i="77"/>
  <c r="AY183" i="77"/>
  <c r="AZ183" i="77"/>
  <c r="BA183" i="77"/>
  <c r="BB183" i="77"/>
  <c r="BC183" i="77"/>
  <c r="BD183" i="77"/>
  <c r="BE183" i="77"/>
  <c r="BF183" i="77"/>
  <c r="BG183" i="77"/>
  <c r="BH183" i="77"/>
  <c r="BI183" i="77"/>
  <c r="BJ183" i="77"/>
  <c r="BK183" i="77"/>
  <c r="BL183" i="77"/>
  <c r="BM183" i="77"/>
  <c r="BN183" i="77"/>
  <c r="BO183" i="77"/>
  <c r="BP183" i="77"/>
  <c r="BQ183" i="77"/>
  <c r="BR183" i="77"/>
  <c r="BS183" i="77"/>
  <c r="BT183" i="77"/>
  <c r="BU183" i="77"/>
  <c r="BV183" i="77"/>
  <c r="BW183" i="77"/>
  <c r="BX183" i="77"/>
  <c r="BY183" i="77"/>
  <c r="BZ183" i="77"/>
  <c r="CA183" i="77"/>
  <c r="CB183" i="77"/>
  <c r="CC183" i="77"/>
  <c r="CD183" i="77"/>
  <c r="CE183" i="77"/>
  <c r="CF183" i="77"/>
  <c r="CG183" i="77"/>
  <c r="CH183" i="77"/>
  <c r="CI183" i="77"/>
  <c r="CJ183" i="77"/>
  <c r="CK183" i="77"/>
  <c r="CL183" i="77"/>
  <c r="CM183" i="77"/>
  <c r="CN183" i="77"/>
  <c r="AG184" i="77"/>
  <c r="AH184" i="77"/>
  <c r="AI184" i="77"/>
  <c r="AJ184" i="77"/>
  <c r="AK184" i="77"/>
  <c r="AL184" i="77"/>
  <c r="AM184" i="77"/>
  <c r="AN184" i="77"/>
  <c r="AO184" i="77"/>
  <c r="AP184" i="77"/>
  <c r="AQ184" i="77"/>
  <c r="AR184" i="77"/>
  <c r="AS184" i="77"/>
  <c r="AT184" i="77"/>
  <c r="AU184" i="77"/>
  <c r="AV184" i="77"/>
  <c r="AW184" i="77"/>
  <c r="AX184" i="77"/>
  <c r="AY184" i="77"/>
  <c r="AZ184" i="77"/>
  <c r="CK184" i="77"/>
  <c r="CL184" i="77"/>
  <c r="CM184" i="77"/>
  <c r="CN184" i="77"/>
  <c r="AG185" i="77"/>
  <c r="AH185" i="77"/>
  <c r="AI185" i="77"/>
  <c r="AJ185" i="77"/>
  <c r="AK185" i="77"/>
  <c r="AL185" i="77"/>
  <c r="AM185" i="77"/>
  <c r="AN185" i="77"/>
  <c r="AO185" i="77"/>
  <c r="AP185" i="77"/>
  <c r="AQ185" i="77"/>
  <c r="AR185" i="77"/>
  <c r="AS185" i="77"/>
  <c r="AT185" i="77"/>
  <c r="AU185" i="77"/>
  <c r="AV185" i="77"/>
  <c r="AW185" i="77"/>
  <c r="AX185" i="77"/>
  <c r="AY185" i="77"/>
  <c r="AZ185" i="77"/>
  <c r="CK185" i="77"/>
  <c r="CL185" i="77"/>
  <c r="CM185" i="77"/>
  <c r="CN185" i="77"/>
  <c r="AG187" i="77"/>
  <c r="AH187" i="77"/>
  <c r="AI187" i="77"/>
  <c r="AJ187" i="77"/>
  <c r="AK187" i="77"/>
  <c r="AL187" i="77"/>
  <c r="AM187" i="77"/>
  <c r="AN187" i="77"/>
  <c r="AO187" i="77"/>
  <c r="AP187" i="77"/>
  <c r="AQ187" i="77"/>
  <c r="AR187" i="77"/>
  <c r="AS187" i="77"/>
  <c r="AT187" i="77"/>
  <c r="AU187" i="77"/>
  <c r="AV187" i="77"/>
  <c r="AW187" i="77"/>
  <c r="AX187" i="77"/>
  <c r="AY187" i="77"/>
  <c r="AZ187" i="77"/>
  <c r="BA187" i="77"/>
  <c r="BB187" i="77"/>
  <c r="BC187" i="77"/>
  <c r="BD187" i="77"/>
  <c r="BE187" i="77"/>
  <c r="BF187" i="77"/>
  <c r="BG187" i="77"/>
  <c r="BH187" i="77"/>
  <c r="BI187" i="77"/>
  <c r="BJ187" i="77"/>
  <c r="BK187" i="77"/>
  <c r="BL187" i="77"/>
  <c r="BM187" i="77"/>
  <c r="BN187" i="77"/>
  <c r="BO187" i="77"/>
  <c r="BP187" i="77"/>
  <c r="BQ187" i="77"/>
  <c r="BR187" i="77"/>
  <c r="BS187" i="77"/>
  <c r="BT187" i="77"/>
  <c r="BU187" i="77"/>
  <c r="BV187" i="77"/>
  <c r="BW187" i="77"/>
  <c r="BX187" i="77"/>
  <c r="BY187" i="77"/>
  <c r="BZ187" i="77"/>
  <c r="CA187" i="77"/>
  <c r="CB187" i="77"/>
  <c r="CC187" i="77"/>
  <c r="CD187" i="77"/>
  <c r="CE187" i="77"/>
  <c r="CF187" i="77"/>
  <c r="CG187" i="77"/>
  <c r="CH187" i="77"/>
  <c r="CI187" i="77"/>
  <c r="CJ187" i="77"/>
  <c r="CK187" i="77"/>
  <c r="CL187" i="77"/>
  <c r="CM187" i="77"/>
  <c r="CN187" i="77"/>
  <c r="AG188" i="77"/>
  <c r="AH188" i="77"/>
  <c r="AI188" i="77"/>
  <c r="AJ188" i="77"/>
  <c r="AK188" i="77"/>
  <c r="AL188" i="77"/>
  <c r="AM188" i="77"/>
  <c r="AN188" i="77"/>
  <c r="AO188" i="77"/>
  <c r="AP188" i="77"/>
  <c r="AQ188" i="77"/>
  <c r="AR188" i="77"/>
  <c r="AS188" i="77"/>
  <c r="AT188" i="77"/>
  <c r="AU188" i="77"/>
  <c r="AV188" i="77"/>
  <c r="AW188" i="77"/>
  <c r="AX188" i="77"/>
  <c r="AY188" i="77"/>
  <c r="AZ188" i="77"/>
  <c r="BA188" i="77"/>
  <c r="BB188" i="77"/>
  <c r="BC188" i="77"/>
  <c r="BD188" i="77"/>
  <c r="BE188" i="77"/>
  <c r="BF188" i="77"/>
  <c r="BG188" i="77"/>
  <c r="BH188" i="77"/>
  <c r="BI188" i="77"/>
  <c r="BJ188" i="77"/>
  <c r="BK188" i="77"/>
  <c r="BL188" i="77"/>
  <c r="BM188" i="77"/>
  <c r="BN188" i="77"/>
  <c r="BO188" i="77"/>
  <c r="BP188" i="77"/>
  <c r="BQ188" i="77"/>
  <c r="BR188" i="77"/>
  <c r="BS188" i="77"/>
  <c r="BT188" i="77"/>
  <c r="BU188" i="77"/>
  <c r="BV188" i="77"/>
  <c r="BW188" i="77"/>
  <c r="BX188" i="77"/>
  <c r="BY188" i="77"/>
  <c r="BZ188" i="77"/>
  <c r="CA188" i="77"/>
  <c r="CB188" i="77"/>
  <c r="CC188" i="77"/>
  <c r="CD188" i="77"/>
  <c r="CE188" i="77"/>
  <c r="CF188" i="77"/>
  <c r="CG188" i="77"/>
  <c r="CH188" i="77"/>
  <c r="CI188" i="77"/>
  <c r="CJ188" i="77"/>
  <c r="CK188" i="77"/>
  <c r="CL188" i="77"/>
  <c r="CM188" i="77"/>
  <c r="CN188" i="77"/>
  <c r="AG189" i="77"/>
  <c r="AH189" i="77"/>
  <c r="AI189" i="77"/>
  <c r="AJ189" i="77"/>
  <c r="AK189" i="77"/>
  <c r="AL189" i="77"/>
  <c r="AM189" i="77"/>
  <c r="AN189" i="77"/>
  <c r="AO189" i="77"/>
  <c r="AP189" i="77"/>
  <c r="AQ189" i="77"/>
  <c r="AR189" i="77"/>
  <c r="AS189" i="77"/>
  <c r="AT189" i="77"/>
  <c r="AU189" i="77"/>
  <c r="AV189" i="77"/>
  <c r="AW189" i="77"/>
  <c r="AX189" i="77"/>
  <c r="AY189" i="77"/>
  <c r="AZ189" i="77"/>
  <c r="CK189" i="77"/>
  <c r="CL189" i="77"/>
  <c r="CM189" i="77"/>
  <c r="CN189" i="77"/>
  <c r="AG190" i="77"/>
  <c r="AH190" i="77"/>
  <c r="AI190" i="77"/>
  <c r="AJ190" i="77"/>
  <c r="AK190" i="77"/>
  <c r="AL190" i="77"/>
  <c r="AM190" i="77"/>
  <c r="AN190" i="77"/>
  <c r="AO190" i="77"/>
  <c r="AP190" i="77"/>
  <c r="AQ190" i="77"/>
  <c r="AR190" i="77"/>
  <c r="AS190" i="77"/>
  <c r="AT190" i="77"/>
  <c r="AU190" i="77"/>
  <c r="AV190" i="77"/>
  <c r="AW190" i="77"/>
  <c r="AX190" i="77"/>
  <c r="AY190" i="77"/>
  <c r="AZ190" i="77"/>
  <c r="CK190" i="77"/>
  <c r="CL190" i="77"/>
  <c r="CM190" i="77"/>
  <c r="CN190" i="77"/>
  <c r="AG191" i="77"/>
  <c r="AH191" i="77"/>
  <c r="AI191" i="77"/>
  <c r="AJ191" i="77"/>
  <c r="AK191" i="77"/>
  <c r="AL191" i="77"/>
  <c r="AM191" i="77"/>
  <c r="AN191" i="77"/>
  <c r="AO191" i="77"/>
  <c r="AP191" i="77"/>
  <c r="AQ191" i="77"/>
  <c r="AR191" i="77"/>
  <c r="AS191" i="77"/>
  <c r="AT191" i="77"/>
  <c r="AU191" i="77"/>
  <c r="AV191" i="77"/>
  <c r="AW191" i="77"/>
  <c r="AX191" i="77"/>
  <c r="AY191" i="77"/>
  <c r="AZ191" i="77"/>
  <c r="CK191" i="77"/>
  <c r="CL191" i="77"/>
  <c r="CM191" i="77"/>
  <c r="CN191" i="77"/>
  <c r="AG192" i="77"/>
  <c r="AH192" i="77"/>
  <c r="AI192" i="77"/>
  <c r="AJ192" i="77"/>
  <c r="AK192" i="77"/>
  <c r="AL192" i="77"/>
  <c r="AM192" i="77"/>
  <c r="AN192" i="77"/>
  <c r="AO192" i="77"/>
  <c r="AP192" i="77"/>
  <c r="AQ192" i="77"/>
  <c r="AR192" i="77"/>
  <c r="AS192" i="77"/>
  <c r="AT192" i="77"/>
  <c r="AU192" i="77"/>
  <c r="AV192" i="77"/>
  <c r="AW192" i="77"/>
  <c r="AX192" i="77"/>
  <c r="AY192" i="77"/>
  <c r="AZ192" i="77"/>
  <c r="CK192" i="77"/>
  <c r="CL192" i="77"/>
  <c r="CM192" i="77"/>
  <c r="CN192" i="77"/>
  <c r="AG193" i="77"/>
  <c r="AH193" i="77"/>
  <c r="AI193" i="77"/>
  <c r="AJ193" i="77"/>
  <c r="AK193" i="77"/>
  <c r="AL193" i="77"/>
  <c r="AM193" i="77"/>
  <c r="AN193" i="77"/>
  <c r="AO193" i="77"/>
  <c r="AP193" i="77"/>
  <c r="AQ193" i="77"/>
  <c r="AR193" i="77"/>
  <c r="AS193" i="77"/>
  <c r="AT193" i="77"/>
  <c r="AU193" i="77"/>
  <c r="AV193" i="77"/>
  <c r="AW193" i="77"/>
  <c r="AX193" i="77"/>
  <c r="AY193" i="77"/>
  <c r="AZ193" i="77"/>
  <c r="CK193" i="77"/>
  <c r="CL193" i="77"/>
  <c r="CM193" i="77"/>
  <c r="CN193" i="77"/>
  <c r="AG194" i="77"/>
  <c r="AH194" i="77"/>
  <c r="AI194" i="77"/>
  <c r="AJ194" i="77"/>
  <c r="AK194" i="77"/>
  <c r="AL194" i="77"/>
  <c r="AM194" i="77"/>
  <c r="AN194" i="77"/>
  <c r="AO194" i="77"/>
  <c r="AP194" i="77"/>
  <c r="AQ194" i="77"/>
  <c r="AR194" i="77"/>
  <c r="AS194" i="77"/>
  <c r="AT194" i="77"/>
  <c r="AU194" i="77"/>
  <c r="AV194" i="77"/>
  <c r="AW194" i="77"/>
  <c r="AX194" i="77"/>
  <c r="AY194" i="77"/>
  <c r="AZ194" i="77"/>
  <c r="CK194" i="77"/>
  <c r="CL194" i="77"/>
  <c r="CM194" i="77"/>
  <c r="CN194" i="77"/>
  <c r="AG195" i="77"/>
  <c r="AH195" i="77"/>
  <c r="AI195" i="77"/>
  <c r="AJ195" i="77"/>
  <c r="AK195" i="77"/>
  <c r="AL195" i="77"/>
  <c r="AM195" i="77"/>
  <c r="AN195" i="77"/>
  <c r="AO195" i="77"/>
  <c r="AP195" i="77"/>
  <c r="AQ195" i="77"/>
  <c r="AR195" i="77"/>
  <c r="AS195" i="77"/>
  <c r="AT195" i="77"/>
  <c r="AU195" i="77"/>
  <c r="AV195" i="77"/>
  <c r="AW195" i="77"/>
  <c r="AX195" i="77"/>
  <c r="AY195" i="77"/>
  <c r="AZ195" i="77"/>
  <c r="BA195" i="77"/>
  <c r="BB195" i="77"/>
  <c r="BC195" i="77"/>
  <c r="BD195" i="77"/>
  <c r="BE195" i="77"/>
  <c r="BF195" i="77"/>
  <c r="BG195" i="77"/>
  <c r="BH195" i="77"/>
  <c r="BI195" i="77"/>
  <c r="BJ195" i="77"/>
  <c r="BK195" i="77"/>
  <c r="BL195" i="77"/>
  <c r="BM195" i="77"/>
  <c r="BN195" i="77"/>
  <c r="BO195" i="77"/>
  <c r="BP195" i="77"/>
  <c r="BQ195" i="77"/>
  <c r="BR195" i="77"/>
  <c r="BS195" i="77"/>
  <c r="BT195" i="77"/>
  <c r="BU195" i="77"/>
  <c r="BV195" i="77"/>
  <c r="BW195" i="77"/>
  <c r="BX195" i="77"/>
  <c r="BY195" i="77"/>
  <c r="BZ195" i="77"/>
  <c r="CA195" i="77"/>
  <c r="CB195" i="77"/>
  <c r="CC195" i="77"/>
  <c r="CD195" i="77"/>
  <c r="CE195" i="77"/>
  <c r="CF195" i="77"/>
  <c r="CG195" i="77"/>
  <c r="CH195" i="77"/>
  <c r="CI195" i="77"/>
  <c r="CJ195" i="77"/>
  <c r="CK195" i="77"/>
  <c r="CL195" i="77"/>
  <c r="CM195" i="77"/>
  <c r="CN195" i="77"/>
  <c r="AG196" i="77"/>
  <c r="AH196" i="77"/>
  <c r="AI196" i="77"/>
  <c r="AJ196" i="77"/>
  <c r="AK196" i="77"/>
  <c r="AL196" i="77"/>
  <c r="AM196" i="77"/>
  <c r="AN196" i="77"/>
  <c r="AO196" i="77"/>
  <c r="AP196" i="77"/>
  <c r="AQ196" i="77"/>
  <c r="AR196" i="77"/>
  <c r="AS196" i="77"/>
  <c r="AT196" i="77"/>
  <c r="AU196" i="77"/>
  <c r="AV196" i="77"/>
  <c r="AW196" i="77"/>
  <c r="AX196" i="77"/>
  <c r="AY196" i="77"/>
  <c r="AZ196" i="77"/>
  <c r="CK196" i="77"/>
  <c r="CL196" i="77"/>
  <c r="CM196" i="77"/>
  <c r="CN196" i="77"/>
  <c r="AG197" i="77"/>
  <c r="AH197" i="77"/>
  <c r="AI197" i="77"/>
  <c r="AJ197" i="77"/>
  <c r="AK197" i="77"/>
  <c r="AL197" i="77"/>
  <c r="AM197" i="77"/>
  <c r="AN197" i="77"/>
  <c r="AO197" i="77"/>
  <c r="AP197" i="77"/>
  <c r="AQ197" i="77"/>
  <c r="AR197" i="77"/>
  <c r="AS197" i="77"/>
  <c r="AT197" i="77"/>
  <c r="AU197" i="77"/>
  <c r="AV197" i="77"/>
  <c r="AW197" i="77"/>
  <c r="AX197" i="77"/>
  <c r="AY197" i="77"/>
  <c r="AZ197" i="77"/>
  <c r="CK197" i="77"/>
  <c r="CL197" i="77"/>
  <c r="CM197" i="77"/>
  <c r="CN197" i="77"/>
  <c r="AG198" i="77"/>
  <c r="AH198" i="77"/>
  <c r="AI198" i="77"/>
  <c r="AJ198" i="77"/>
  <c r="AK198" i="77"/>
  <c r="AL198" i="77"/>
  <c r="AM198" i="77"/>
  <c r="AN198" i="77"/>
  <c r="AO198" i="77"/>
  <c r="AP198" i="77"/>
  <c r="AQ198" i="77"/>
  <c r="AR198" i="77"/>
  <c r="AS198" i="77"/>
  <c r="AT198" i="77"/>
  <c r="AU198" i="77"/>
  <c r="AV198" i="77"/>
  <c r="AW198" i="77"/>
  <c r="AX198" i="77"/>
  <c r="AY198" i="77"/>
  <c r="AZ198" i="77"/>
  <c r="CK198" i="77"/>
  <c r="CL198" i="77"/>
  <c r="CM198" i="77"/>
  <c r="CN198" i="77"/>
  <c r="AG199" i="77"/>
  <c r="AH199" i="77"/>
  <c r="AI199" i="77"/>
  <c r="AJ199" i="77"/>
  <c r="AK199" i="77"/>
  <c r="AL199" i="77"/>
  <c r="AM199" i="77"/>
  <c r="AN199" i="77"/>
  <c r="AO199" i="77"/>
  <c r="AP199" i="77"/>
  <c r="AQ199" i="77"/>
  <c r="AR199" i="77"/>
  <c r="AS199" i="77"/>
  <c r="AT199" i="77"/>
  <c r="AU199" i="77"/>
  <c r="AV199" i="77"/>
  <c r="AW199" i="77"/>
  <c r="AX199" i="77"/>
  <c r="AY199" i="77"/>
  <c r="AZ199" i="77"/>
  <c r="BA199" i="77"/>
  <c r="BB199" i="77"/>
  <c r="BC199" i="77"/>
  <c r="BD199" i="77"/>
  <c r="BE199" i="77"/>
  <c r="BF199" i="77"/>
  <c r="BG199" i="77"/>
  <c r="BH199" i="77"/>
  <c r="BI199" i="77"/>
  <c r="BJ199" i="77"/>
  <c r="BK199" i="77"/>
  <c r="BL199" i="77"/>
  <c r="BM199" i="77"/>
  <c r="BN199" i="77"/>
  <c r="BO199" i="77"/>
  <c r="BP199" i="77"/>
  <c r="BQ199" i="77"/>
  <c r="BR199" i="77"/>
  <c r="BS199" i="77"/>
  <c r="BT199" i="77"/>
  <c r="BU199" i="77"/>
  <c r="BV199" i="77"/>
  <c r="BW199" i="77"/>
  <c r="BX199" i="77"/>
  <c r="BY199" i="77"/>
  <c r="BZ199" i="77"/>
  <c r="CA199" i="77"/>
  <c r="CB199" i="77"/>
  <c r="CC199" i="77"/>
  <c r="CD199" i="77"/>
  <c r="CE199" i="77"/>
  <c r="CF199" i="77"/>
  <c r="CG199" i="77"/>
  <c r="CH199" i="77"/>
  <c r="CI199" i="77"/>
  <c r="CJ199" i="77"/>
  <c r="CK199" i="77"/>
  <c r="CL199" i="77"/>
  <c r="CM199" i="77"/>
  <c r="CN199" i="77"/>
  <c r="AG200" i="77"/>
  <c r="AH200" i="77"/>
  <c r="AI200" i="77"/>
  <c r="AJ200" i="77"/>
  <c r="AK200" i="77"/>
  <c r="AL200" i="77"/>
  <c r="AM200" i="77"/>
  <c r="AN200" i="77"/>
  <c r="AO200" i="77"/>
  <c r="AP200" i="77"/>
  <c r="AQ200" i="77"/>
  <c r="AR200" i="77"/>
  <c r="AS200" i="77"/>
  <c r="AT200" i="77"/>
  <c r="AU200" i="77"/>
  <c r="AV200" i="77"/>
  <c r="AW200" i="77"/>
  <c r="AX200" i="77"/>
  <c r="AY200" i="77"/>
  <c r="AZ200" i="77"/>
  <c r="CK200" i="77"/>
  <c r="CL200" i="77"/>
  <c r="CM200" i="77"/>
  <c r="CN200" i="77"/>
  <c r="AG201" i="77"/>
  <c r="AH201" i="77"/>
  <c r="AI201" i="77"/>
  <c r="AJ201" i="77"/>
  <c r="AK201" i="77"/>
  <c r="AL201" i="77"/>
  <c r="AM201" i="77"/>
  <c r="AN201" i="77"/>
  <c r="AO201" i="77"/>
  <c r="AP201" i="77"/>
  <c r="AQ201" i="77"/>
  <c r="AR201" i="77"/>
  <c r="AS201" i="77"/>
  <c r="AT201" i="77"/>
  <c r="AU201" i="77"/>
  <c r="AV201" i="77"/>
  <c r="AW201" i="77"/>
  <c r="AX201" i="77"/>
  <c r="AY201" i="77"/>
  <c r="AZ201" i="77"/>
  <c r="BA201" i="77"/>
  <c r="BB201" i="77"/>
  <c r="BC201" i="77"/>
  <c r="BD201" i="77"/>
  <c r="BE201" i="77"/>
  <c r="BF201" i="77"/>
  <c r="BG201" i="77"/>
  <c r="BH201" i="77"/>
  <c r="BI201" i="77"/>
  <c r="BJ201" i="77"/>
  <c r="BK201" i="77"/>
  <c r="BL201" i="77"/>
  <c r="BM201" i="77"/>
  <c r="BN201" i="77"/>
  <c r="BO201" i="77"/>
  <c r="BP201" i="77"/>
  <c r="BQ201" i="77"/>
  <c r="BR201" i="77"/>
  <c r="BS201" i="77"/>
  <c r="BT201" i="77"/>
  <c r="BU201" i="77"/>
  <c r="BV201" i="77"/>
  <c r="BW201" i="77"/>
  <c r="BX201" i="77"/>
  <c r="BY201" i="77"/>
  <c r="BZ201" i="77"/>
  <c r="CA201" i="77"/>
  <c r="CB201" i="77"/>
  <c r="CC201" i="77"/>
  <c r="CD201" i="77"/>
  <c r="CE201" i="77"/>
  <c r="CF201" i="77"/>
  <c r="CG201" i="77"/>
  <c r="CH201" i="77"/>
  <c r="CI201" i="77"/>
  <c r="CJ201" i="77"/>
  <c r="CK201" i="77"/>
  <c r="CL201" i="77"/>
  <c r="CM201" i="77"/>
  <c r="CN201" i="77"/>
  <c r="AG202" i="77"/>
  <c r="AH202" i="77"/>
  <c r="AI202" i="77"/>
  <c r="AJ202" i="77"/>
  <c r="AK202" i="77"/>
  <c r="AL202" i="77"/>
  <c r="AM202" i="77"/>
  <c r="AN202" i="77"/>
  <c r="AO202" i="77"/>
  <c r="AP202" i="77"/>
  <c r="AQ202" i="77"/>
  <c r="AR202" i="77"/>
  <c r="AS202" i="77"/>
  <c r="AT202" i="77"/>
  <c r="AU202" i="77"/>
  <c r="AV202" i="77"/>
  <c r="AW202" i="77"/>
  <c r="AX202" i="77"/>
  <c r="AY202" i="77"/>
  <c r="AZ202" i="77"/>
  <c r="CK202" i="77"/>
  <c r="CL202" i="77"/>
  <c r="CM202" i="77"/>
  <c r="CN202" i="77"/>
  <c r="AG203" i="77"/>
  <c r="AH203" i="77"/>
  <c r="AI203" i="77"/>
  <c r="AJ203" i="77"/>
  <c r="AK203" i="77"/>
  <c r="AL203" i="77"/>
  <c r="AM203" i="77"/>
  <c r="AN203" i="77"/>
  <c r="AO203" i="77"/>
  <c r="AP203" i="77"/>
  <c r="AQ203" i="77"/>
  <c r="AR203" i="77"/>
  <c r="AS203" i="77"/>
  <c r="AT203" i="77"/>
  <c r="AU203" i="77"/>
  <c r="AV203" i="77"/>
  <c r="AW203" i="77"/>
  <c r="AX203" i="77"/>
  <c r="AY203" i="77"/>
  <c r="AZ203" i="77"/>
  <c r="BA203" i="77"/>
  <c r="BB203" i="77"/>
  <c r="BC203" i="77"/>
  <c r="BD203" i="77"/>
  <c r="BE203" i="77"/>
  <c r="BF203" i="77"/>
  <c r="BG203" i="77"/>
  <c r="BH203" i="77"/>
  <c r="BI203" i="77"/>
  <c r="BJ203" i="77"/>
  <c r="BK203" i="77"/>
  <c r="BL203" i="77"/>
  <c r="BM203" i="77"/>
  <c r="BN203" i="77"/>
  <c r="BO203" i="77"/>
  <c r="BP203" i="77"/>
  <c r="BQ203" i="77"/>
  <c r="BR203" i="77"/>
  <c r="BS203" i="77"/>
  <c r="BT203" i="77"/>
  <c r="BU203" i="77"/>
  <c r="BV203" i="77"/>
  <c r="BW203" i="77"/>
  <c r="BX203" i="77"/>
  <c r="BY203" i="77"/>
  <c r="BZ203" i="77"/>
  <c r="CA203" i="77"/>
  <c r="CB203" i="77"/>
  <c r="CC203" i="77"/>
  <c r="CD203" i="77"/>
  <c r="CE203" i="77"/>
  <c r="CF203" i="77"/>
  <c r="CG203" i="77"/>
  <c r="CH203" i="77"/>
  <c r="CI203" i="77"/>
  <c r="CJ203" i="77"/>
  <c r="CK203" i="77"/>
  <c r="CL203" i="77"/>
  <c r="CM203" i="77"/>
  <c r="CN203" i="77"/>
  <c r="AG204" i="77"/>
  <c r="AH204" i="77"/>
  <c r="AI204" i="77"/>
  <c r="AJ204" i="77"/>
  <c r="AK204" i="77"/>
  <c r="AL204" i="77"/>
  <c r="AM204" i="77"/>
  <c r="AN204" i="77"/>
  <c r="AO204" i="77"/>
  <c r="AP204" i="77"/>
  <c r="AQ204" i="77"/>
  <c r="AR204" i="77"/>
  <c r="AS204" i="77"/>
  <c r="AT204" i="77"/>
  <c r="AU204" i="77"/>
  <c r="AV204" i="77"/>
  <c r="AW204" i="77"/>
  <c r="AX204" i="77"/>
  <c r="AY204" i="77"/>
  <c r="AZ204" i="77"/>
  <c r="CK204" i="77"/>
  <c r="CL204" i="77"/>
  <c r="CM204" i="77"/>
  <c r="CN204" i="77"/>
  <c r="AG205" i="77"/>
  <c r="AH205" i="77"/>
  <c r="AI205" i="77"/>
  <c r="AJ205" i="77"/>
  <c r="AK205" i="77"/>
  <c r="AL205" i="77"/>
  <c r="AM205" i="77"/>
  <c r="AN205" i="77"/>
  <c r="AO205" i="77"/>
  <c r="AP205" i="77"/>
  <c r="AQ205" i="77"/>
  <c r="AR205" i="77"/>
  <c r="AS205" i="77"/>
  <c r="AT205" i="77"/>
  <c r="AU205" i="77"/>
  <c r="AV205" i="77"/>
  <c r="AW205" i="77"/>
  <c r="AX205" i="77"/>
  <c r="AY205" i="77"/>
  <c r="AZ205" i="77"/>
  <c r="CK205" i="77"/>
  <c r="CL205" i="77"/>
  <c r="CM205" i="77"/>
  <c r="CN205" i="77"/>
  <c r="AH84" i="77"/>
  <c r="AI84" i="77"/>
  <c r="AJ84" i="77"/>
  <c r="AK84" i="77"/>
  <c r="AL84" i="77"/>
  <c r="AM84" i="77"/>
  <c r="AN84" i="77"/>
  <c r="AO84" i="77"/>
  <c r="AP84" i="77"/>
  <c r="AQ84" i="77"/>
  <c r="AR84" i="77"/>
  <c r="AS84" i="77"/>
  <c r="AT84" i="77"/>
  <c r="AU84" i="77"/>
  <c r="AV84" i="77"/>
  <c r="AW84" i="77"/>
  <c r="AX84" i="77"/>
  <c r="AY84" i="77"/>
  <c r="AZ84" i="77"/>
  <c r="CK84" i="77"/>
  <c r="CL84" i="77"/>
  <c r="CM84" i="77"/>
  <c r="CN84" i="77"/>
  <c r="AG84" i="77"/>
  <c r="AV7" i="77"/>
  <c r="AR308" i="77"/>
  <c r="AR306" i="77"/>
  <c r="AR303" i="77"/>
  <c r="AR301" i="77"/>
  <c r="AR299" i="77"/>
  <c r="AR298" i="77"/>
  <c r="AR297" i="77"/>
  <c r="AR295" i="77"/>
  <c r="AR294" i="77"/>
  <c r="AR293" i="77"/>
  <c r="AR291" i="77"/>
  <c r="AR290" i="77"/>
  <c r="AR289" i="77"/>
  <c r="AR287" i="77"/>
  <c r="AR286" i="77"/>
  <c r="AR285" i="77"/>
  <c r="AR284" i="77"/>
  <c r="AR283" i="77"/>
  <c r="AR281" i="77"/>
  <c r="AR279" i="77"/>
  <c r="AR278" i="77"/>
  <c r="AR277" i="77"/>
  <c r="AR276" i="77"/>
  <c r="AR272" i="77"/>
  <c r="AR270" i="77"/>
  <c r="AR268" i="77"/>
  <c r="AR266" i="77"/>
  <c r="AR264" i="77"/>
  <c r="AR260" i="77"/>
  <c r="AR255" i="77"/>
  <c r="AR246" i="77"/>
  <c r="AR244" i="77"/>
  <c r="AR243" i="77"/>
  <c r="AR241" i="77"/>
  <c r="AR240" i="77"/>
  <c r="AR239" i="77"/>
  <c r="AR237" i="77"/>
  <c r="AR236" i="77"/>
  <c r="AR235" i="77"/>
  <c r="AR233" i="77"/>
  <c r="AR230" i="77"/>
  <c r="AR229" i="77"/>
  <c r="AR228" i="77"/>
  <c r="AR227" i="77"/>
  <c r="AR226" i="77"/>
  <c r="AR225" i="77"/>
  <c r="AR223" i="77"/>
  <c r="AR222" i="77"/>
  <c r="AR221" i="77"/>
  <c r="AR220" i="77"/>
  <c r="AR219" i="77"/>
  <c r="AR217" i="77"/>
  <c r="AR216" i="77"/>
  <c r="AR215" i="77"/>
  <c r="AR214" i="77"/>
  <c r="AR213" i="77"/>
  <c r="AR210" i="77"/>
  <c r="AR59" i="77"/>
  <c r="AR51" i="77"/>
  <c r="AR46" i="77"/>
  <c r="AR261" i="77"/>
  <c r="AR256" i="77"/>
  <c r="AR60" i="77"/>
  <c r="AR267" i="77"/>
  <c r="AR265" i="77"/>
  <c r="AR262" i="77"/>
  <c r="AR257" i="77"/>
  <c r="AR250" i="77"/>
  <c r="AR263" i="77"/>
  <c r="AR258" i="77"/>
  <c r="AR253" i="77"/>
  <c r="AR63" i="77"/>
  <c r="AR57" i="77"/>
  <c r="AR61" i="77"/>
  <c r="AR55" i="77"/>
  <c r="AR44" i="77"/>
  <c r="AR43" i="77"/>
  <c r="AR39" i="77"/>
  <c r="AR34" i="77"/>
  <c r="AR26" i="77"/>
  <c r="AR22" i="77"/>
  <c r="AR13" i="77"/>
  <c r="AR23" i="77"/>
  <c r="AR32" i="77"/>
  <c r="AR15" i="77"/>
  <c r="AR49" i="77"/>
  <c r="AR47" i="77"/>
  <c r="AR40" i="77"/>
  <c r="AR36" i="77"/>
  <c r="AR28" i="77"/>
  <c r="AR14" i="77"/>
  <c r="AR24" i="77"/>
  <c r="AR56" i="77"/>
  <c r="AR45" i="77"/>
  <c r="AR41" i="77"/>
  <c r="AR37" i="77"/>
  <c r="AR48" i="77"/>
  <c r="AR42" i="77"/>
  <c r="AR38" i="77"/>
  <c r="AR33" i="77"/>
  <c r="AR25" i="77"/>
  <c r="AR18" i="77"/>
  <c r="AR10" i="77"/>
  <c r="AU7" i="77"/>
  <c r="AQ308" i="77"/>
  <c r="AQ306" i="77"/>
  <c r="AQ303" i="77"/>
  <c r="AQ301" i="77"/>
  <c r="AQ299" i="77"/>
  <c r="AQ298" i="77"/>
  <c r="AQ297" i="77"/>
  <c r="AQ295" i="77"/>
  <c r="AQ294" i="77"/>
  <c r="AQ293" i="77"/>
  <c r="AQ291" i="77"/>
  <c r="AQ290" i="77"/>
  <c r="AQ289" i="77"/>
  <c r="AQ287" i="77"/>
  <c r="AQ286" i="77"/>
  <c r="AQ285" i="77"/>
  <c r="AQ284" i="77"/>
  <c r="AQ283" i="77"/>
  <c r="AQ281" i="77"/>
  <c r="AQ279" i="77"/>
  <c r="AQ278" i="77"/>
  <c r="AQ277" i="77"/>
  <c r="AQ276" i="77"/>
  <c r="AQ272" i="77"/>
  <c r="AQ270" i="77"/>
  <c r="AQ268" i="77"/>
  <c r="AQ267" i="77"/>
  <c r="AQ266" i="77"/>
  <c r="AQ265" i="77"/>
  <c r="AQ264" i="77"/>
  <c r="AQ263" i="77"/>
  <c r="AQ262" i="77"/>
  <c r="AQ261" i="77"/>
  <c r="AQ260" i="77"/>
  <c r="AQ258" i="77"/>
  <c r="AQ257" i="77"/>
  <c r="AQ256" i="77"/>
  <c r="AQ255" i="77"/>
  <c r="AQ253" i="77"/>
  <c r="AQ250" i="77"/>
  <c r="AQ63" i="77"/>
  <c r="AQ57" i="77"/>
  <c r="AQ49" i="77"/>
  <c r="AQ45" i="77"/>
  <c r="AQ246" i="77"/>
  <c r="AQ244" i="77"/>
  <c r="AQ243" i="77"/>
  <c r="AQ241" i="77"/>
  <c r="AQ240" i="77"/>
  <c r="AQ239" i="77"/>
  <c r="AQ237" i="77"/>
  <c r="AQ236" i="77"/>
  <c r="AQ235" i="77"/>
  <c r="AQ233" i="77"/>
  <c r="AQ230" i="77"/>
  <c r="AQ229" i="77"/>
  <c r="AQ228" i="77"/>
  <c r="AQ227" i="77"/>
  <c r="AQ226" i="77"/>
  <c r="AQ225" i="77"/>
  <c r="AQ223" i="77"/>
  <c r="AQ222" i="77"/>
  <c r="AQ221" i="77"/>
  <c r="AQ220" i="77"/>
  <c r="AQ219" i="77"/>
  <c r="AQ217" i="77"/>
  <c r="AQ216" i="77"/>
  <c r="AQ215" i="77"/>
  <c r="AQ214" i="77"/>
  <c r="AQ213" i="77"/>
  <c r="AQ210" i="77"/>
  <c r="AQ59" i="77"/>
  <c r="AQ61" i="77"/>
  <c r="AQ48" i="77"/>
  <c r="AQ46" i="77"/>
  <c r="AQ42" i="77"/>
  <c r="AQ38" i="77"/>
  <c r="AQ33" i="77"/>
  <c r="AQ25" i="77"/>
  <c r="AQ18" i="77"/>
  <c r="AQ10" i="77"/>
  <c r="AQ22" i="77"/>
  <c r="AQ13" i="77"/>
  <c r="AQ60" i="77"/>
  <c r="AQ55" i="77"/>
  <c r="AQ44" i="77"/>
  <c r="AQ43" i="77"/>
  <c r="AQ39" i="77"/>
  <c r="AQ34" i="77"/>
  <c r="AQ26" i="77"/>
  <c r="AQ23" i="77"/>
  <c r="AQ14" i="77"/>
  <c r="AQ47" i="77"/>
  <c r="AQ40" i="77"/>
  <c r="AQ36" i="77"/>
  <c r="AQ28" i="77"/>
  <c r="AQ56" i="77"/>
  <c r="AQ51" i="77"/>
  <c r="AQ41" i="77"/>
  <c r="AQ37" i="77"/>
  <c r="AQ32" i="77"/>
  <c r="AQ24" i="77"/>
  <c r="AQ15" i="77"/>
  <c r="AS7" i="77"/>
  <c r="AO308" i="77"/>
  <c r="AO306" i="77"/>
  <c r="AO303" i="77"/>
  <c r="AO301" i="77"/>
  <c r="AO299" i="77"/>
  <c r="AO298" i="77"/>
  <c r="AO297" i="77"/>
  <c r="AO295" i="77"/>
  <c r="AO294" i="77"/>
  <c r="AO293" i="77"/>
  <c r="AO291" i="77"/>
  <c r="AO290" i="77"/>
  <c r="AO289" i="77"/>
  <c r="AO287" i="77"/>
  <c r="AO286" i="77"/>
  <c r="AO285" i="77"/>
  <c r="AO284" i="77"/>
  <c r="AO283" i="77"/>
  <c r="AO281" i="77"/>
  <c r="AO279" i="77"/>
  <c r="AO278" i="77"/>
  <c r="AO272" i="77"/>
  <c r="AO262" i="77"/>
  <c r="AO257" i="77"/>
  <c r="AO250" i="77"/>
  <c r="AO60" i="77"/>
  <c r="AO55" i="77"/>
  <c r="AO47" i="77"/>
  <c r="AO270" i="77"/>
  <c r="AO266" i="77"/>
  <c r="AO264" i="77"/>
  <c r="AO263" i="77"/>
  <c r="AO258" i="77"/>
  <c r="AO253" i="77"/>
  <c r="AO61" i="77"/>
  <c r="AO277" i="77"/>
  <c r="AO268" i="77"/>
  <c r="AO260" i="77"/>
  <c r="AO255" i="77"/>
  <c r="AO276" i="77"/>
  <c r="AO267" i="77"/>
  <c r="AO265" i="77"/>
  <c r="AO261" i="77"/>
  <c r="AO256" i="77"/>
  <c r="AO246" i="77"/>
  <c r="AO244" i="77"/>
  <c r="AO243" i="77"/>
  <c r="AO241" i="77"/>
  <c r="AO240" i="77"/>
  <c r="AO239" i="77"/>
  <c r="AO237" i="77"/>
  <c r="AO236" i="77"/>
  <c r="AO235" i="77"/>
  <c r="AO233" i="77"/>
  <c r="AO230" i="77"/>
  <c r="AO229" i="77"/>
  <c r="AO228" i="77"/>
  <c r="AO227" i="77"/>
  <c r="AO226" i="77"/>
  <c r="AO225" i="77"/>
  <c r="AO223" i="77"/>
  <c r="AO222" i="77"/>
  <c r="AO221" i="77"/>
  <c r="AO220" i="77"/>
  <c r="AO219" i="77"/>
  <c r="AO217" i="77"/>
  <c r="AO216" i="77"/>
  <c r="AO215" i="77"/>
  <c r="AO214" i="77"/>
  <c r="AO213" i="77"/>
  <c r="AO210" i="77"/>
  <c r="AO59" i="77"/>
  <c r="AO63" i="77"/>
  <c r="AO56" i="77"/>
  <c r="AO45" i="77"/>
  <c r="AO40" i="77"/>
  <c r="AO36" i="77"/>
  <c r="AO28" i="77"/>
  <c r="AO23" i="77"/>
  <c r="AO14" i="77"/>
  <c r="AO15" i="77"/>
  <c r="AO51" i="77"/>
  <c r="AO48" i="77"/>
  <c r="AO41" i="77"/>
  <c r="AO37" i="77"/>
  <c r="AO32" i="77"/>
  <c r="AO24" i="77"/>
  <c r="AO25" i="77"/>
  <c r="AO18" i="77"/>
  <c r="AO10" i="77"/>
  <c r="AO46" i="77"/>
  <c r="AO44" i="77"/>
  <c r="AO42" i="77"/>
  <c r="AO38" i="77"/>
  <c r="AO33" i="77"/>
  <c r="AO57" i="77"/>
  <c r="AO49" i="77"/>
  <c r="AO43" i="77"/>
  <c r="AO39" i="77"/>
  <c r="AO34" i="77"/>
  <c r="AO26" i="77"/>
  <c r="AO22" i="77"/>
  <c r="AO13" i="77"/>
  <c r="AT7" i="77"/>
  <c r="AP308" i="77"/>
  <c r="AP306" i="77"/>
  <c r="AP303" i="77"/>
  <c r="AP301" i="77"/>
  <c r="AP299" i="77"/>
  <c r="AP298" i="77"/>
  <c r="AP297" i="77"/>
  <c r="AP295" i="77"/>
  <c r="AP294" i="77"/>
  <c r="AP293" i="77"/>
  <c r="AP291" i="77"/>
  <c r="AP290" i="77"/>
  <c r="AP289" i="77"/>
  <c r="AP287" i="77"/>
  <c r="AP286" i="77"/>
  <c r="AP285" i="77"/>
  <c r="AP284" i="77"/>
  <c r="AP283" i="77"/>
  <c r="AP281" i="77"/>
  <c r="AP279" i="77"/>
  <c r="AP278" i="77"/>
  <c r="AP277" i="77"/>
  <c r="AP276" i="77"/>
  <c r="AP272" i="77"/>
  <c r="AP270" i="77"/>
  <c r="AP268" i="77"/>
  <c r="AP267" i="77"/>
  <c r="AP266" i="77"/>
  <c r="AP265" i="77"/>
  <c r="AP264" i="77"/>
  <c r="AP263" i="77"/>
  <c r="AP258" i="77"/>
  <c r="AP253" i="77"/>
  <c r="AP61" i="77"/>
  <c r="AP56" i="77"/>
  <c r="AP48" i="77"/>
  <c r="AP44" i="77"/>
  <c r="AP260" i="77"/>
  <c r="AP255" i="77"/>
  <c r="AP63" i="77"/>
  <c r="AP261" i="77"/>
  <c r="AP256" i="77"/>
  <c r="AP246" i="77"/>
  <c r="AP244" i="77"/>
  <c r="AP243" i="77"/>
  <c r="AP241" i="77"/>
  <c r="AP240" i="77"/>
  <c r="AP239" i="77"/>
  <c r="AP237" i="77"/>
  <c r="AP236" i="77"/>
  <c r="AP235" i="77"/>
  <c r="AP233" i="77"/>
  <c r="AP230" i="77"/>
  <c r="AP229" i="77"/>
  <c r="AP228" i="77"/>
  <c r="AP227" i="77"/>
  <c r="AP226" i="77"/>
  <c r="AP225" i="77"/>
  <c r="AP223" i="77"/>
  <c r="AP222" i="77"/>
  <c r="AP221" i="77"/>
  <c r="AP220" i="77"/>
  <c r="AP219" i="77"/>
  <c r="AP217" i="77"/>
  <c r="AP262" i="77"/>
  <c r="AP257" i="77"/>
  <c r="AP250" i="77"/>
  <c r="AP60" i="77"/>
  <c r="AP214" i="77"/>
  <c r="AP51" i="77"/>
  <c r="AP41" i="77"/>
  <c r="AP37" i="77"/>
  <c r="AP32" i="77"/>
  <c r="AP24" i="77"/>
  <c r="AP15" i="77"/>
  <c r="AP25" i="77"/>
  <c r="AP13" i="77"/>
  <c r="AP213" i="77"/>
  <c r="AP46" i="77"/>
  <c r="AP42" i="77"/>
  <c r="AP38" i="77"/>
  <c r="AP33" i="77"/>
  <c r="AP18" i="77"/>
  <c r="AP10" i="77"/>
  <c r="AP26" i="77"/>
  <c r="AP216" i="77"/>
  <c r="AP210" i="77"/>
  <c r="AP59" i="77"/>
  <c r="AP57" i="77"/>
  <c r="AP55" i="77"/>
  <c r="AP49" i="77"/>
  <c r="AP43" i="77"/>
  <c r="AP39" i="77"/>
  <c r="AP34" i="77"/>
  <c r="AP22" i="77"/>
  <c r="AP215" i="77"/>
  <c r="AP47" i="77"/>
  <c r="AP45" i="77"/>
  <c r="AP40" i="77"/>
  <c r="AP36" i="77"/>
  <c r="AP28" i="77"/>
  <c r="AP23" i="77"/>
  <c r="AP14" i="77"/>
  <c r="M102" i="77"/>
  <c r="M308" i="77"/>
  <c r="M306" i="77"/>
  <c r="M303" i="77"/>
  <c r="M301" i="77"/>
  <c r="M300" i="77"/>
  <c r="M299" i="77"/>
  <c r="M298" i="77"/>
  <c r="M297" i="77"/>
  <c r="M295" i="77"/>
  <c r="M294" i="77"/>
  <c r="M293" i="77"/>
  <c r="M291" i="77"/>
  <c r="M290" i="77"/>
  <c r="M289" i="77"/>
  <c r="M287" i="77"/>
  <c r="M286" i="77"/>
  <c r="M285" i="77"/>
  <c r="M284" i="77"/>
  <c r="M283" i="77"/>
  <c r="M281" i="77"/>
  <c r="M279" i="77"/>
  <c r="M278" i="77"/>
  <c r="M277" i="77"/>
  <c r="M276" i="77"/>
  <c r="M272" i="77"/>
  <c r="M273" i="77" s="1"/>
  <c r="M270" i="77"/>
  <c r="M268" i="77"/>
  <c r="M267" i="77"/>
  <c r="M266" i="77"/>
  <c r="M265" i="77"/>
  <c r="M264" i="77"/>
  <c r="M263" i="77"/>
  <c r="M262" i="77"/>
  <c r="M261" i="77"/>
  <c r="M260" i="77"/>
  <c r="M258" i="77"/>
  <c r="M257" i="77"/>
  <c r="M256" i="77"/>
  <c r="M255" i="77"/>
  <c r="M253" i="77"/>
  <c r="M250" i="77"/>
  <c r="M246" i="77"/>
  <c r="M247" i="77" s="1"/>
  <c r="M241" i="77"/>
  <c r="M237" i="77"/>
  <c r="M233" i="77"/>
  <c r="M230" i="77"/>
  <c r="M229" i="77"/>
  <c r="M228" i="77"/>
  <c r="M227" i="77"/>
  <c r="M226" i="77"/>
  <c r="M225" i="77"/>
  <c r="M223" i="77"/>
  <c r="M222" i="77"/>
  <c r="M221" i="77"/>
  <c r="M220" i="77"/>
  <c r="M219" i="77"/>
  <c r="M217" i="77"/>
  <c r="M216" i="77"/>
  <c r="M215" i="77"/>
  <c r="M214" i="77"/>
  <c r="M210" i="77"/>
  <c r="M204" i="77"/>
  <c r="M202" i="77"/>
  <c r="M200" i="77"/>
  <c r="M198" i="77"/>
  <c r="M197" i="77"/>
  <c r="M196" i="77"/>
  <c r="M195" i="77"/>
  <c r="M194" i="77"/>
  <c r="M193" i="77"/>
  <c r="M192" i="77"/>
  <c r="M191" i="77"/>
  <c r="M190" i="77"/>
  <c r="M189" i="77"/>
  <c r="M184" i="77"/>
  <c r="M185" i="77" s="1"/>
  <c r="M182" i="77"/>
  <c r="M180" i="77"/>
  <c r="M179" i="77"/>
  <c r="M178" i="77"/>
  <c r="M177" i="77"/>
  <c r="M176" i="77"/>
  <c r="M175" i="77"/>
  <c r="M174" i="77"/>
  <c r="M171" i="77"/>
  <c r="M169" i="77"/>
  <c r="M168" i="77"/>
  <c r="M165" i="77"/>
  <c r="M163" i="77"/>
  <c r="M162" i="77"/>
  <c r="M161" i="77"/>
  <c r="M160" i="77"/>
  <c r="M159" i="77"/>
  <c r="M158" i="77"/>
  <c r="M157" i="77"/>
  <c r="M156" i="77"/>
  <c r="M154" i="77"/>
  <c r="M153" i="77"/>
  <c r="M152" i="77"/>
  <c r="M151" i="77"/>
  <c r="M149" i="77"/>
  <c r="M148" i="77"/>
  <c r="M147" i="77"/>
  <c r="M146" i="77"/>
  <c r="M141" i="77"/>
  <c r="M139" i="77"/>
  <c r="M137" i="77"/>
  <c r="M136" i="77"/>
  <c r="M135" i="77"/>
  <c r="M134" i="77"/>
  <c r="M133" i="77"/>
  <c r="M132" i="77"/>
  <c r="M130" i="77"/>
  <c r="M129" i="77"/>
  <c r="M128" i="77"/>
  <c r="M127" i="77"/>
  <c r="M126" i="77"/>
  <c r="M125" i="77"/>
  <c r="M123" i="77"/>
  <c r="M120" i="77"/>
  <c r="M119" i="77"/>
  <c r="M118" i="77"/>
  <c r="M117" i="77"/>
  <c r="M114" i="77"/>
  <c r="M112" i="77"/>
  <c r="M111" i="77"/>
  <c r="M110" i="77"/>
  <c r="M109" i="77"/>
  <c r="M108" i="77"/>
  <c r="M107" i="77"/>
  <c r="M106" i="77"/>
  <c r="M105" i="77"/>
  <c r="M104" i="77"/>
  <c r="M96" i="77"/>
  <c r="M95" i="77"/>
  <c r="M94" i="77"/>
  <c r="M93" i="77"/>
  <c r="M92" i="77"/>
  <c r="M91" i="77"/>
  <c r="M90" i="77"/>
  <c r="M89" i="77"/>
  <c r="M88" i="77"/>
  <c r="M86" i="77"/>
  <c r="M85" i="77"/>
  <c r="M84" i="77"/>
  <c r="AR50" i="75"/>
  <c r="AQ50" i="75"/>
  <c r="AP50" i="75"/>
  <c r="AO50" i="75"/>
  <c r="AN50" i="75"/>
  <c r="AM50" i="75"/>
  <c r="AL50" i="75"/>
  <c r="AK50" i="75"/>
  <c r="AJ50" i="75"/>
  <c r="AI50" i="75"/>
  <c r="AH50" i="75"/>
  <c r="AG50" i="75"/>
  <c r="AF50" i="75"/>
  <c r="AE50" i="75"/>
  <c r="AD50" i="75"/>
  <c r="AC50" i="75"/>
  <c r="AB50" i="75"/>
  <c r="AA50" i="75"/>
  <c r="Z50" i="75"/>
  <c r="Y50" i="75"/>
  <c r="X50" i="75"/>
  <c r="W50" i="75"/>
  <c r="V50" i="75"/>
  <c r="M77" i="77"/>
  <c r="M72" i="77"/>
  <c r="Q61" i="77"/>
  <c r="P61" i="77"/>
  <c r="O61" i="77"/>
  <c r="N61" i="77"/>
  <c r="M61" i="77"/>
  <c r="M57" i="77"/>
  <c r="M56" i="77"/>
  <c r="M55" i="77"/>
  <c r="M48" i="77"/>
  <c r="M46" i="77"/>
  <c r="M45" i="77"/>
  <c r="M44" i="77"/>
  <c r="M43" i="77"/>
  <c r="M42" i="77"/>
  <c r="M40" i="77"/>
  <c r="M39" i="77"/>
  <c r="M37" i="77"/>
  <c r="M36" i="77"/>
  <c r="M33" i="77"/>
  <c r="M32" i="77"/>
  <c r="M25" i="77"/>
  <c r="M24" i="77"/>
  <c r="M23" i="77"/>
  <c r="M22" i="77"/>
  <c r="M13" i="77"/>
  <c r="M15" i="77" s="1"/>
  <c r="M10" i="77"/>
  <c r="N7" i="77"/>
  <c r="N300" i="77"/>
  <c r="AZ7" i="77"/>
  <c r="AV308" i="77"/>
  <c r="AV306" i="77"/>
  <c r="AV303" i="77"/>
  <c r="AV301" i="77"/>
  <c r="AV299" i="77"/>
  <c r="AV298" i="77"/>
  <c r="AV297" i="77"/>
  <c r="AV295" i="77"/>
  <c r="AV294" i="77"/>
  <c r="AV293" i="77"/>
  <c r="AV291" i="77"/>
  <c r="AV290" i="77"/>
  <c r="AV289" i="77"/>
  <c r="AV287" i="77"/>
  <c r="AV286" i="77"/>
  <c r="AV285" i="77"/>
  <c r="AV284" i="77"/>
  <c r="AV283" i="77"/>
  <c r="AV281" i="77"/>
  <c r="AV279" i="77"/>
  <c r="AV278" i="77"/>
  <c r="AV277" i="77"/>
  <c r="AV276" i="77"/>
  <c r="AV272" i="77"/>
  <c r="AV270" i="77"/>
  <c r="AV268" i="77"/>
  <c r="AV267" i="77"/>
  <c r="AV265" i="77"/>
  <c r="AV263" i="77"/>
  <c r="AV258" i="77"/>
  <c r="AV253" i="77"/>
  <c r="AV246" i="77"/>
  <c r="AV244" i="77"/>
  <c r="AV243" i="77"/>
  <c r="AV241" i="77"/>
  <c r="AV240" i="77"/>
  <c r="AV239" i="77"/>
  <c r="AV237" i="77"/>
  <c r="AV236" i="77"/>
  <c r="AV235" i="77"/>
  <c r="AV233" i="77"/>
  <c r="AV230" i="77"/>
  <c r="AV229" i="77"/>
  <c r="AV228" i="77"/>
  <c r="AV227" i="77"/>
  <c r="AV226" i="77"/>
  <c r="AV225" i="77"/>
  <c r="AV223" i="77"/>
  <c r="AV222" i="77"/>
  <c r="AV221" i="77"/>
  <c r="AV220" i="77"/>
  <c r="AV219" i="77"/>
  <c r="AV217" i="77"/>
  <c r="AV216" i="77"/>
  <c r="AV215" i="77"/>
  <c r="AV214" i="77"/>
  <c r="AV213" i="77"/>
  <c r="AV210" i="77"/>
  <c r="AV59" i="77"/>
  <c r="AV51" i="77"/>
  <c r="AV46" i="77"/>
  <c r="AV260" i="77"/>
  <c r="AV255" i="77"/>
  <c r="AV60" i="77"/>
  <c r="AV266" i="77"/>
  <c r="AV264" i="77"/>
  <c r="AV261" i="77"/>
  <c r="AV256" i="77"/>
  <c r="AV262" i="77"/>
  <c r="AV257" i="77"/>
  <c r="AV250" i="77"/>
  <c r="AV63" i="77"/>
  <c r="AV57" i="77"/>
  <c r="AV48" i="77"/>
  <c r="AV43" i="77"/>
  <c r="AV39" i="77"/>
  <c r="AV34" i="77"/>
  <c r="AV26" i="77"/>
  <c r="AV22" i="77"/>
  <c r="AV13" i="77"/>
  <c r="AV14" i="77"/>
  <c r="AV55" i="77"/>
  <c r="AV44" i="77"/>
  <c r="AV40" i="77"/>
  <c r="AV36" i="77"/>
  <c r="AV28" i="77"/>
  <c r="AV23" i="77"/>
  <c r="AV32" i="77"/>
  <c r="AV15" i="77"/>
  <c r="AV49" i="77"/>
  <c r="AV47" i="77"/>
  <c r="AV41" i="77"/>
  <c r="AV37" i="77"/>
  <c r="AV24" i="77"/>
  <c r="AV61" i="77"/>
  <c r="AV56" i="77"/>
  <c r="AV45" i="77"/>
  <c r="AV42" i="77"/>
  <c r="AV38" i="77"/>
  <c r="AV33" i="77"/>
  <c r="AV25" i="77"/>
  <c r="AV18" i="77"/>
  <c r="AV10" i="77"/>
  <c r="AX7" i="77"/>
  <c r="AT308" i="77"/>
  <c r="AT306" i="77"/>
  <c r="AT303" i="77"/>
  <c r="AT301" i="77"/>
  <c r="AT299" i="77"/>
  <c r="AT298" i="77"/>
  <c r="AT297" i="77"/>
  <c r="AT295" i="77"/>
  <c r="AT294" i="77"/>
  <c r="AT293" i="77"/>
  <c r="AT291" i="77"/>
  <c r="AT290" i="77"/>
  <c r="AT289" i="77"/>
  <c r="AT287" i="77"/>
  <c r="AT286" i="77"/>
  <c r="AT285" i="77"/>
  <c r="AT284" i="77"/>
  <c r="AT283" i="77"/>
  <c r="AT281" i="77"/>
  <c r="AT279" i="77"/>
  <c r="AT278" i="77"/>
  <c r="AT277" i="77"/>
  <c r="AT276" i="77"/>
  <c r="AT272" i="77"/>
  <c r="AT270" i="77"/>
  <c r="AT268" i="77"/>
  <c r="AT267" i="77"/>
  <c r="AT266" i="77"/>
  <c r="AT265" i="77"/>
  <c r="AT264" i="77"/>
  <c r="AT262" i="77"/>
  <c r="AT257" i="77"/>
  <c r="AT250" i="77"/>
  <c r="AT61" i="77"/>
  <c r="AT56" i="77"/>
  <c r="AT48" i="77"/>
  <c r="AT44" i="77"/>
  <c r="AT263" i="77"/>
  <c r="AT258" i="77"/>
  <c r="AT253" i="77"/>
  <c r="AT63" i="77"/>
  <c r="AT260" i="77"/>
  <c r="AT255" i="77"/>
  <c r="AT246" i="77"/>
  <c r="AT244" i="77"/>
  <c r="AT243" i="77"/>
  <c r="AT241" i="77"/>
  <c r="AT240" i="77"/>
  <c r="AT239" i="77"/>
  <c r="AT237" i="77"/>
  <c r="AT236" i="77"/>
  <c r="AT235" i="77"/>
  <c r="AT233" i="77"/>
  <c r="AT230" i="77"/>
  <c r="AT229" i="77"/>
  <c r="AT228" i="77"/>
  <c r="AT227" i="77"/>
  <c r="AT226" i="77"/>
  <c r="AT225" i="77"/>
  <c r="AT223" i="77"/>
  <c r="AT222" i="77"/>
  <c r="AT221" i="77"/>
  <c r="AT220" i="77"/>
  <c r="AT219" i="77"/>
  <c r="AT217" i="77"/>
  <c r="AT261" i="77"/>
  <c r="AT256" i="77"/>
  <c r="AT60" i="77"/>
  <c r="AT213" i="77"/>
  <c r="AT57" i="77"/>
  <c r="AT47" i="77"/>
  <c r="AT45" i="77"/>
  <c r="AT41" i="77"/>
  <c r="AT37" i="77"/>
  <c r="AT32" i="77"/>
  <c r="AT24" i="77"/>
  <c r="AT15" i="77"/>
  <c r="AT25" i="77"/>
  <c r="AT18" i="77"/>
  <c r="AT10" i="77"/>
  <c r="AT22" i="77"/>
  <c r="AT216" i="77"/>
  <c r="AT210" i="77"/>
  <c r="AT59" i="77"/>
  <c r="AT51" i="77"/>
  <c r="AT42" i="77"/>
  <c r="AT38" i="77"/>
  <c r="AT33" i="77"/>
  <c r="AT215" i="77"/>
  <c r="AT46" i="77"/>
  <c r="AT43" i="77"/>
  <c r="AT39" i="77"/>
  <c r="AT34" i="77"/>
  <c r="AT26" i="77"/>
  <c r="AT13" i="77"/>
  <c r="AT214" i="77"/>
  <c r="AT55" i="77"/>
  <c r="AT49" i="77"/>
  <c r="AT40" i="77"/>
  <c r="AT36" i="77"/>
  <c r="AT28" i="77"/>
  <c r="AT23" i="77"/>
  <c r="AT14" i="77"/>
  <c r="AW7" i="77"/>
  <c r="AS308" i="77"/>
  <c r="AS306" i="77"/>
  <c r="AS303" i="77"/>
  <c r="AS301" i="77"/>
  <c r="AS299" i="77"/>
  <c r="AS298" i="77"/>
  <c r="AS297" i="77"/>
  <c r="AS295" i="77"/>
  <c r="AS294" i="77"/>
  <c r="AS293" i="77"/>
  <c r="AS291" i="77"/>
  <c r="AS290" i="77"/>
  <c r="AS289" i="77"/>
  <c r="AS287" i="77"/>
  <c r="AS286" i="77"/>
  <c r="AS285" i="77"/>
  <c r="AS284" i="77"/>
  <c r="AS283" i="77"/>
  <c r="AS281" i="77"/>
  <c r="AS279" i="77"/>
  <c r="AS278" i="77"/>
  <c r="AS270" i="77"/>
  <c r="AS261" i="77"/>
  <c r="AS256" i="77"/>
  <c r="AS60" i="77"/>
  <c r="AS55" i="77"/>
  <c r="AS47" i="77"/>
  <c r="AS277" i="77"/>
  <c r="AS268" i="77"/>
  <c r="AS267" i="77"/>
  <c r="AS265" i="77"/>
  <c r="AS262" i="77"/>
  <c r="AS257" i="77"/>
  <c r="AS250" i="77"/>
  <c r="AS61" i="77"/>
  <c r="AS276" i="77"/>
  <c r="AS263" i="77"/>
  <c r="AS258" i="77"/>
  <c r="AS253" i="77"/>
  <c r="AS272" i="77"/>
  <c r="AS266" i="77"/>
  <c r="AS264" i="77"/>
  <c r="AS260" i="77"/>
  <c r="AS255" i="77"/>
  <c r="AS246" i="77"/>
  <c r="AS244" i="77"/>
  <c r="AS243" i="77"/>
  <c r="AS241" i="77"/>
  <c r="AS240" i="77"/>
  <c r="AS239" i="77"/>
  <c r="AS237" i="77"/>
  <c r="AS236" i="77"/>
  <c r="AS235" i="77"/>
  <c r="AS233" i="77"/>
  <c r="AS230" i="77"/>
  <c r="AS229" i="77"/>
  <c r="AS228" i="77"/>
  <c r="AS227" i="77"/>
  <c r="AS226" i="77"/>
  <c r="AS225" i="77"/>
  <c r="AS223" i="77"/>
  <c r="AS222" i="77"/>
  <c r="AS221" i="77"/>
  <c r="AS220" i="77"/>
  <c r="AS219" i="77"/>
  <c r="AS217" i="77"/>
  <c r="AS216" i="77"/>
  <c r="AS215" i="77"/>
  <c r="AS214" i="77"/>
  <c r="AS213" i="77"/>
  <c r="AS210" i="77"/>
  <c r="AS59" i="77"/>
  <c r="AS49" i="77"/>
  <c r="AS40" i="77"/>
  <c r="AS36" i="77"/>
  <c r="AS28" i="77"/>
  <c r="AS23" i="77"/>
  <c r="AS14" i="77"/>
  <c r="AS24" i="77"/>
  <c r="AS15" i="77"/>
  <c r="AS33" i="77"/>
  <c r="AS18" i="77"/>
  <c r="AS57" i="77"/>
  <c r="AS56" i="77"/>
  <c r="AS45" i="77"/>
  <c r="AS41" i="77"/>
  <c r="AS37" i="77"/>
  <c r="AS32" i="77"/>
  <c r="AS51" i="77"/>
  <c r="AS48" i="77"/>
  <c r="AS42" i="77"/>
  <c r="AS38" i="77"/>
  <c r="AS25" i="77"/>
  <c r="AS10" i="77"/>
  <c r="AS63" i="77"/>
  <c r="AS46" i="77"/>
  <c r="AS44" i="77"/>
  <c r="AS43" i="77"/>
  <c r="AS39" i="77"/>
  <c r="AS34" i="77"/>
  <c r="AS26" i="77"/>
  <c r="AS22" i="77"/>
  <c r="AS13" i="77"/>
  <c r="AY7" i="77"/>
  <c r="AU308" i="77"/>
  <c r="AU306" i="77"/>
  <c r="AU303" i="77"/>
  <c r="AU301" i="77"/>
  <c r="AU299" i="77"/>
  <c r="AU298" i="77"/>
  <c r="AU297" i="77"/>
  <c r="AU295" i="77"/>
  <c r="AU294" i="77"/>
  <c r="AU293" i="77"/>
  <c r="AU291" i="77"/>
  <c r="AU290" i="77"/>
  <c r="AU289" i="77"/>
  <c r="AU287" i="77"/>
  <c r="AU286" i="77"/>
  <c r="AU285" i="77"/>
  <c r="AU284" i="77"/>
  <c r="AU283" i="77"/>
  <c r="AU281" i="77"/>
  <c r="AU279" i="77"/>
  <c r="AU278" i="77"/>
  <c r="AU277" i="77"/>
  <c r="AU276" i="77"/>
  <c r="AU272" i="77"/>
  <c r="AU270" i="77"/>
  <c r="AU268" i="77"/>
  <c r="AU267" i="77"/>
  <c r="AU266" i="77"/>
  <c r="AU265" i="77"/>
  <c r="AU264" i="77"/>
  <c r="AU263" i="77"/>
  <c r="AU262" i="77"/>
  <c r="AU261" i="77"/>
  <c r="AU260" i="77"/>
  <c r="AU258" i="77"/>
  <c r="AU257" i="77"/>
  <c r="AU256" i="77"/>
  <c r="AU255" i="77"/>
  <c r="AU253" i="77"/>
  <c r="AU250" i="77"/>
  <c r="AU63" i="77"/>
  <c r="AU57" i="77"/>
  <c r="AU49" i="77"/>
  <c r="AU45" i="77"/>
  <c r="AU246" i="77"/>
  <c r="AU244" i="77"/>
  <c r="AU243" i="77"/>
  <c r="AU241" i="77"/>
  <c r="AU240" i="77"/>
  <c r="AU239" i="77"/>
  <c r="AU237" i="77"/>
  <c r="AU236" i="77"/>
  <c r="AU235" i="77"/>
  <c r="AU233" i="77"/>
  <c r="AU230" i="77"/>
  <c r="AU229" i="77"/>
  <c r="AU228" i="77"/>
  <c r="AU227" i="77"/>
  <c r="AU226" i="77"/>
  <c r="AU225" i="77"/>
  <c r="AU223" i="77"/>
  <c r="AU222" i="77"/>
  <c r="AU221" i="77"/>
  <c r="AU220" i="77"/>
  <c r="AU219" i="77"/>
  <c r="AU217" i="77"/>
  <c r="AU216" i="77"/>
  <c r="AU215" i="77"/>
  <c r="AU214" i="77"/>
  <c r="AU213" i="77"/>
  <c r="AU210" i="77"/>
  <c r="AU59" i="77"/>
  <c r="AU61" i="77"/>
  <c r="AU60" i="77"/>
  <c r="AU56" i="77"/>
  <c r="AU51" i="77"/>
  <c r="AU42" i="77"/>
  <c r="AU38" i="77"/>
  <c r="AU33" i="77"/>
  <c r="AU25" i="77"/>
  <c r="AU18" i="77"/>
  <c r="AU10" i="77"/>
  <c r="AU13" i="77"/>
  <c r="AU28" i="77"/>
  <c r="AU23" i="77"/>
  <c r="AU48" i="77"/>
  <c r="AU46" i="77"/>
  <c r="AU43" i="77"/>
  <c r="AU39" i="77"/>
  <c r="AU34" i="77"/>
  <c r="AU26" i="77"/>
  <c r="AU22" i="77"/>
  <c r="AU55" i="77"/>
  <c r="AU44" i="77"/>
  <c r="AU40" i="77"/>
  <c r="AU36" i="77"/>
  <c r="AU14" i="77"/>
  <c r="AU47" i="77"/>
  <c r="AU41" i="77"/>
  <c r="AU37" i="77"/>
  <c r="AU32" i="77"/>
  <c r="AU24" i="77"/>
  <c r="AU15" i="77"/>
  <c r="O7" i="77"/>
  <c r="O300" i="77"/>
  <c r="N85" i="77"/>
  <c r="N88" i="77"/>
  <c r="N90" i="77"/>
  <c r="N92" i="77"/>
  <c r="N94" i="77"/>
  <c r="N96" i="77"/>
  <c r="N105" i="77"/>
  <c r="N107" i="77"/>
  <c r="N109" i="77"/>
  <c r="N111" i="77"/>
  <c r="N114" i="77"/>
  <c r="N118" i="77"/>
  <c r="N120" i="77"/>
  <c r="N125" i="77"/>
  <c r="N127" i="77"/>
  <c r="N129" i="77"/>
  <c r="N132" i="77"/>
  <c r="N134" i="77"/>
  <c r="N136" i="77"/>
  <c r="N139" i="77"/>
  <c r="N146" i="77"/>
  <c r="N148" i="77"/>
  <c r="N151" i="77"/>
  <c r="N153" i="77"/>
  <c r="N156" i="77"/>
  <c r="N158" i="77"/>
  <c r="N160" i="77"/>
  <c r="N162" i="77"/>
  <c r="N165" i="77"/>
  <c r="N169" i="77"/>
  <c r="N171" i="77"/>
  <c r="N175" i="77"/>
  <c r="N177" i="77"/>
  <c r="N179" i="77"/>
  <c r="N182" i="77"/>
  <c r="N189" i="77"/>
  <c r="N191" i="77"/>
  <c r="N193" i="77"/>
  <c r="N195" i="77"/>
  <c r="N197" i="77"/>
  <c r="N200" i="77"/>
  <c r="N204" i="77"/>
  <c r="N205" i="77" s="1"/>
  <c r="N214" i="77"/>
  <c r="N216" i="77"/>
  <c r="N219" i="77"/>
  <c r="N221" i="77"/>
  <c r="N223" i="77"/>
  <c r="N226" i="77"/>
  <c r="N228" i="77"/>
  <c r="N230" i="77"/>
  <c r="N237" i="77"/>
  <c r="N246" i="77"/>
  <c r="N247" i="77" s="1"/>
  <c r="N253" i="77"/>
  <c r="N256" i="77"/>
  <c r="N258" i="77"/>
  <c r="N261" i="77"/>
  <c r="N263" i="77"/>
  <c r="N265" i="77"/>
  <c r="N272" i="77"/>
  <c r="N273" i="77" s="1"/>
  <c r="N285" i="77"/>
  <c r="N295" i="77"/>
  <c r="N308" i="77"/>
  <c r="N268" i="77"/>
  <c r="N283" i="77"/>
  <c r="N293" i="77"/>
  <c r="N303" i="77"/>
  <c r="N102" i="77"/>
  <c r="N84" i="77"/>
  <c r="N86" i="77"/>
  <c r="N89" i="77"/>
  <c r="N91" i="77"/>
  <c r="N93" i="77"/>
  <c r="N95" i="77"/>
  <c r="N104" i="77"/>
  <c r="N106" i="77"/>
  <c r="N108" i="77"/>
  <c r="N110" i="77"/>
  <c r="N112" i="77"/>
  <c r="N117" i="77"/>
  <c r="N119" i="77"/>
  <c r="N123" i="77"/>
  <c r="N126" i="77"/>
  <c r="N128" i="77"/>
  <c r="N130" i="77"/>
  <c r="N133" i="77"/>
  <c r="N135" i="77"/>
  <c r="N137" i="77"/>
  <c r="N141" i="77"/>
  <c r="N147" i="77"/>
  <c r="N149" i="77"/>
  <c r="N152" i="77"/>
  <c r="N154" i="77"/>
  <c r="N157" i="77"/>
  <c r="N159" i="77"/>
  <c r="N161" i="77"/>
  <c r="N163" i="77"/>
  <c r="N168" i="77"/>
  <c r="N174" i="77"/>
  <c r="N176" i="77"/>
  <c r="N178" i="77"/>
  <c r="N180" i="77"/>
  <c r="N184" i="77"/>
  <c r="N185" i="77" s="1"/>
  <c r="N190" i="77"/>
  <c r="N192" i="77"/>
  <c r="N194" i="77"/>
  <c r="N196" i="77"/>
  <c r="N198" i="77"/>
  <c r="N202" i="77"/>
  <c r="N210" i="77"/>
  <c r="N215" i="77"/>
  <c r="N217" i="77"/>
  <c r="N220" i="77"/>
  <c r="N222" i="77"/>
  <c r="N225" i="77"/>
  <c r="N227" i="77"/>
  <c r="N229" i="77"/>
  <c r="N233" i="77"/>
  <c r="N241" i="77"/>
  <c r="N250" i="77"/>
  <c r="N255" i="77"/>
  <c r="N257" i="77"/>
  <c r="N260" i="77"/>
  <c r="N262" i="77"/>
  <c r="N264" i="77"/>
  <c r="N266" i="77"/>
  <c r="N279" i="77"/>
  <c r="N290" i="77"/>
  <c r="N306" i="77"/>
  <c r="N301" i="77"/>
  <c r="N299" i="77"/>
  <c r="N297" i="77"/>
  <c r="N294" i="77"/>
  <c r="N291" i="77"/>
  <c r="N289" i="77"/>
  <c r="N286" i="77"/>
  <c r="N284" i="77"/>
  <c r="N281" i="77"/>
  <c r="N278" i="77"/>
  <c r="N276" i="77"/>
  <c r="N270" i="77"/>
  <c r="N267" i="77"/>
  <c r="N277" i="77"/>
  <c r="N287" i="77"/>
  <c r="N298" i="77"/>
  <c r="N13" i="77"/>
  <c r="N15" i="77" s="1"/>
  <c r="N25" i="77"/>
  <c r="N37" i="77"/>
  <c r="N43" i="77"/>
  <c r="N48" i="77"/>
  <c r="N77" i="77"/>
  <c r="N22" i="77"/>
  <c r="N32" i="77"/>
  <c r="N39" i="77"/>
  <c r="N44" i="77"/>
  <c r="N55" i="77"/>
  <c r="N72" i="77"/>
  <c r="N23" i="77"/>
  <c r="N33" i="77"/>
  <c r="N40" i="77"/>
  <c r="N45" i="77"/>
  <c r="N56" i="77"/>
  <c r="N10" i="77"/>
  <c r="N11" i="77" s="1"/>
  <c r="N24" i="77"/>
  <c r="N36" i="77"/>
  <c r="N42" i="77"/>
  <c r="N46" i="77"/>
  <c r="N57" i="77"/>
  <c r="O267" i="77"/>
  <c r="O176" i="77"/>
  <c r="O108" i="77"/>
  <c r="O301" i="77"/>
  <c r="O148" i="77"/>
  <c r="O33" i="77"/>
  <c r="O92" i="77"/>
  <c r="O193" i="77"/>
  <c r="O308" i="77"/>
  <c r="O123" i="77"/>
  <c r="O219" i="77"/>
  <c r="O46" i="77"/>
  <c r="O89" i="77"/>
  <c r="O160" i="77"/>
  <c r="O125" i="77"/>
  <c r="O154" i="77"/>
  <c r="O196" i="77"/>
  <c r="O233" i="77"/>
  <c r="O279" i="77"/>
  <c r="O281" i="77"/>
  <c r="O285" i="77"/>
  <c r="O45" i="77"/>
  <c r="O10" i="77"/>
  <c r="O11" i="77" s="1"/>
  <c r="O94" i="77"/>
  <c r="O111" i="77"/>
  <c r="O147" i="77"/>
  <c r="O169" i="77"/>
  <c r="O198" i="77"/>
  <c r="O221" i="77"/>
  <c r="O250" i="77"/>
  <c r="O264" i="77"/>
  <c r="O293" i="77"/>
  <c r="O77" i="77"/>
  <c r="O36" i="77"/>
  <c r="O114" i="77"/>
  <c r="O136" i="77"/>
  <c r="O168" i="77"/>
  <c r="O130" i="77"/>
  <c r="O195" i="77"/>
  <c r="O210" i="77"/>
  <c r="O229" i="77"/>
  <c r="O261" i="77"/>
  <c r="O289" i="77"/>
  <c r="O72" i="77"/>
  <c r="O44" i="77"/>
  <c r="O32" i="77"/>
  <c r="O43" i="77"/>
  <c r="O25" i="77"/>
  <c r="P7" i="77"/>
  <c r="P293" i="77"/>
  <c r="O93" i="77"/>
  <c r="O112" i="77"/>
  <c r="O86" i="77"/>
  <c r="O106" i="77"/>
  <c r="O96" i="77"/>
  <c r="O120" i="77"/>
  <c r="O146" i="77"/>
  <c r="O165" i="77"/>
  <c r="O128" i="77"/>
  <c r="O152" i="77"/>
  <c r="O174" i="77"/>
  <c r="O129" i="77"/>
  <c r="O153" i="77"/>
  <c r="O175" i="77"/>
  <c r="O135" i="77"/>
  <c r="O159" i="77"/>
  <c r="O180" i="77"/>
  <c r="O177" i="77"/>
  <c r="O200" i="77"/>
  <c r="O202" i="77"/>
  <c r="O197" i="77"/>
  <c r="O226" i="77"/>
  <c r="O217" i="77"/>
  <c r="O246" i="77"/>
  <c r="O247" i="77" s="1"/>
  <c r="O223" i="77"/>
  <c r="O215" i="77"/>
  <c r="O241" i="77"/>
  <c r="O253" i="77"/>
  <c r="O276" i="77"/>
  <c r="O268" i="77"/>
  <c r="O265" i="77"/>
  <c r="O286" i="77"/>
  <c r="O102" i="77"/>
  <c r="O298" i="77"/>
  <c r="O294" i="77"/>
  <c r="O290" i="77"/>
  <c r="O57" i="77"/>
  <c r="O42" i="77"/>
  <c r="O24" i="77"/>
  <c r="O85" i="77"/>
  <c r="O105" i="77"/>
  <c r="O91" i="77"/>
  <c r="O110" i="77"/>
  <c r="O127" i="77"/>
  <c r="O151" i="77"/>
  <c r="O171" i="77"/>
  <c r="O133" i="77"/>
  <c r="O157" i="77"/>
  <c r="O178" i="77"/>
  <c r="O134" i="77"/>
  <c r="O158" i="77"/>
  <c r="O119" i="77"/>
  <c r="O141" i="77"/>
  <c r="O163" i="77"/>
  <c r="O190" i="77"/>
  <c r="O182" i="77"/>
  <c r="O184" i="77"/>
  <c r="O185" i="77" s="1"/>
  <c r="O179" i="77"/>
  <c r="O204" i="77"/>
  <c r="O230" i="77"/>
  <c r="O222" i="77"/>
  <c r="O257" i="77"/>
  <c r="O228" i="77"/>
  <c r="O220" i="77"/>
  <c r="O266" i="77"/>
  <c r="O258" i="77"/>
  <c r="O255" i="77"/>
  <c r="O277" i="77"/>
  <c r="O270" i="77"/>
  <c r="O291" i="77"/>
  <c r="O283" i="77"/>
  <c r="O303" i="77"/>
  <c r="O299" i="77"/>
  <c r="O295" i="77"/>
  <c r="O56" i="77"/>
  <c r="O40" i="77"/>
  <c r="O23" i="77"/>
  <c r="O55" i="77"/>
  <c r="O39" i="77"/>
  <c r="O22" i="77"/>
  <c r="O48" i="77"/>
  <c r="O37" i="77"/>
  <c r="O13" i="77"/>
  <c r="O15" i="77" s="1"/>
  <c r="O84" i="77"/>
  <c r="O104" i="77"/>
  <c r="O90" i="77"/>
  <c r="O109" i="77"/>
  <c r="O95" i="77"/>
  <c r="O88" i="77"/>
  <c r="O107" i="77"/>
  <c r="O132" i="77"/>
  <c r="O156" i="77"/>
  <c r="O117" i="77"/>
  <c r="O137" i="77"/>
  <c r="O161" i="77"/>
  <c r="O118" i="77"/>
  <c r="O139" i="77"/>
  <c r="O162" i="77"/>
  <c r="O126" i="77"/>
  <c r="O149" i="77"/>
  <c r="O194" i="77"/>
  <c r="O191" i="77"/>
  <c r="O192" i="77"/>
  <c r="O189" i="77"/>
  <c r="O216" i="77"/>
  <c r="O262" i="77"/>
  <c r="O227" i="77"/>
  <c r="O214" i="77"/>
  <c r="O237" i="77"/>
  <c r="O225" i="77"/>
  <c r="O272" i="77"/>
  <c r="O273" i="77" s="1"/>
  <c r="O263" i="77"/>
  <c r="O260" i="77"/>
  <c r="O256" i="77"/>
  <c r="O278" i="77"/>
  <c r="O297" i="77"/>
  <c r="O287" i="77"/>
  <c r="O284" i="77"/>
  <c r="O306" i="77"/>
  <c r="BC7" i="77"/>
  <c r="AY308" i="77"/>
  <c r="AY306" i="77"/>
  <c r="AY303" i="77"/>
  <c r="AY301" i="77"/>
  <c r="AY299" i="77"/>
  <c r="AY298" i="77"/>
  <c r="AY297" i="77"/>
  <c r="AY295" i="77"/>
  <c r="AY294" i="77"/>
  <c r="AY293" i="77"/>
  <c r="AY291" i="77"/>
  <c r="AY290" i="77"/>
  <c r="AY289" i="77"/>
  <c r="AY287" i="77"/>
  <c r="AY286" i="77"/>
  <c r="AY285" i="77"/>
  <c r="AY284" i="77"/>
  <c r="AY283" i="77"/>
  <c r="AY281" i="77"/>
  <c r="AY279" i="77"/>
  <c r="AY278" i="77"/>
  <c r="AY277" i="77"/>
  <c r="AY276" i="77"/>
  <c r="AY272" i="77"/>
  <c r="AY270" i="77"/>
  <c r="AY268" i="77"/>
  <c r="AY267" i="77"/>
  <c r="AY266" i="77"/>
  <c r="AY265" i="77"/>
  <c r="AY264" i="77"/>
  <c r="AY263" i="77"/>
  <c r="AY262" i="77"/>
  <c r="AY261" i="77"/>
  <c r="AY260" i="77"/>
  <c r="AY258" i="77"/>
  <c r="AY257" i="77"/>
  <c r="AY256" i="77"/>
  <c r="AY255" i="77"/>
  <c r="AY253" i="77"/>
  <c r="AY250" i="77"/>
  <c r="AY63" i="77"/>
  <c r="AY57" i="77"/>
  <c r="AY49" i="77"/>
  <c r="AY45" i="77"/>
  <c r="AY246" i="77"/>
  <c r="AY244" i="77"/>
  <c r="AY243" i="77"/>
  <c r="AY241" i="77"/>
  <c r="AY240" i="77"/>
  <c r="AY239" i="77"/>
  <c r="AY237" i="77"/>
  <c r="AY236" i="77"/>
  <c r="AY235" i="77"/>
  <c r="AY233" i="77"/>
  <c r="AY230" i="77"/>
  <c r="AY229" i="77"/>
  <c r="AY228" i="77"/>
  <c r="AY227" i="77"/>
  <c r="AY226" i="77"/>
  <c r="AY225" i="77"/>
  <c r="AY223" i="77"/>
  <c r="AY222" i="77"/>
  <c r="AY221" i="77"/>
  <c r="AY220" i="77"/>
  <c r="AY219" i="77"/>
  <c r="AY217" i="77"/>
  <c r="AY216" i="77"/>
  <c r="AY215" i="77"/>
  <c r="AY214" i="77"/>
  <c r="AY213" i="77"/>
  <c r="AY210" i="77"/>
  <c r="AY59" i="77"/>
  <c r="AY61" i="77"/>
  <c r="AY47" i="77"/>
  <c r="AY42" i="77"/>
  <c r="AY38" i="77"/>
  <c r="AY33" i="77"/>
  <c r="AY25" i="77"/>
  <c r="AY18" i="77"/>
  <c r="AY10" i="77"/>
  <c r="AY22" i="77"/>
  <c r="AY23" i="77"/>
  <c r="AY14" i="77"/>
  <c r="AY56" i="77"/>
  <c r="AY51" i="77"/>
  <c r="AY43" i="77"/>
  <c r="AY39" i="77"/>
  <c r="AY34" i="77"/>
  <c r="AY26" i="77"/>
  <c r="AY13" i="77"/>
  <c r="AY28" i="77"/>
  <c r="AY48" i="77"/>
  <c r="AY46" i="77"/>
  <c r="AY40" i="77"/>
  <c r="AY36" i="77"/>
  <c r="AY60" i="77"/>
  <c r="AY55" i="77"/>
  <c r="AY44" i="77"/>
  <c r="AY41" i="77"/>
  <c r="AY37" i="77"/>
  <c r="AY32" i="77"/>
  <c r="AY24" i="77"/>
  <c r="AY15" i="77"/>
  <c r="BA7" i="77"/>
  <c r="AW308" i="77"/>
  <c r="AW306" i="77"/>
  <c r="AW303" i="77"/>
  <c r="AW301" i="77"/>
  <c r="AW299" i="77"/>
  <c r="AW298" i="77"/>
  <c r="AW297" i="77"/>
  <c r="AW295" i="77"/>
  <c r="AW294" i="77"/>
  <c r="AW293" i="77"/>
  <c r="AW291" i="77"/>
  <c r="AW290" i="77"/>
  <c r="AW289" i="77"/>
  <c r="AW287" i="77"/>
  <c r="AW286" i="77"/>
  <c r="AW285" i="77"/>
  <c r="AW284" i="77"/>
  <c r="AW283" i="77"/>
  <c r="AW281" i="77"/>
  <c r="AW279" i="77"/>
  <c r="AW278" i="77"/>
  <c r="AW277" i="77"/>
  <c r="AW268" i="77"/>
  <c r="AW260" i="77"/>
  <c r="AW255" i="77"/>
  <c r="AW60" i="77"/>
  <c r="AW55" i="77"/>
  <c r="AW47" i="77"/>
  <c r="AW276" i="77"/>
  <c r="AW266" i="77"/>
  <c r="AW264" i="77"/>
  <c r="AW261" i="77"/>
  <c r="AW256" i="77"/>
  <c r="AW61" i="77"/>
  <c r="AW272" i="77"/>
  <c r="AW262" i="77"/>
  <c r="AW257" i="77"/>
  <c r="AW250" i="77"/>
  <c r="AW270" i="77"/>
  <c r="AW267" i="77"/>
  <c r="AW265" i="77"/>
  <c r="AW263" i="77"/>
  <c r="AW258" i="77"/>
  <c r="AW253" i="77"/>
  <c r="AW246" i="77"/>
  <c r="AW244" i="77"/>
  <c r="AW243" i="77"/>
  <c r="AW241" i="77"/>
  <c r="AW240" i="77"/>
  <c r="AW239" i="77"/>
  <c r="AW237" i="77"/>
  <c r="AW236" i="77"/>
  <c r="AW235" i="77"/>
  <c r="AW233" i="77"/>
  <c r="AW230" i="77"/>
  <c r="AW229" i="77"/>
  <c r="AW228" i="77"/>
  <c r="AW227" i="77"/>
  <c r="AW226" i="77"/>
  <c r="AW225" i="77"/>
  <c r="AW223" i="77"/>
  <c r="AW222" i="77"/>
  <c r="AW221" i="77"/>
  <c r="AW220" i="77"/>
  <c r="AW219" i="77"/>
  <c r="AW217" i="77"/>
  <c r="AW216" i="77"/>
  <c r="AW215" i="77"/>
  <c r="AW214" i="77"/>
  <c r="AW213" i="77"/>
  <c r="AW210" i="77"/>
  <c r="AW59" i="77"/>
  <c r="AW46" i="77"/>
  <c r="AW44" i="77"/>
  <c r="AW40" i="77"/>
  <c r="AW36" i="77"/>
  <c r="AW28" i="77"/>
  <c r="AW23" i="77"/>
  <c r="AW14" i="77"/>
  <c r="AW24" i="77"/>
  <c r="AW25" i="77"/>
  <c r="AW18" i="77"/>
  <c r="AW10" i="77"/>
  <c r="AW49" i="77"/>
  <c r="AW41" i="77"/>
  <c r="AW37" i="77"/>
  <c r="AW32" i="77"/>
  <c r="AW15" i="77"/>
  <c r="AW63" i="77"/>
  <c r="AW56" i="77"/>
  <c r="AW45" i="77"/>
  <c r="AW42" i="77"/>
  <c r="AW38" i="77"/>
  <c r="AW33" i="77"/>
  <c r="AW57" i="77"/>
  <c r="AW51" i="77"/>
  <c r="AW48" i="77"/>
  <c r="AW43" i="77"/>
  <c r="AW39" i="77"/>
  <c r="AW34" i="77"/>
  <c r="AW26" i="77"/>
  <c r="AW22" i="77"/>
  <c r="AW13" i="77"/>
  <c r="BB7" i="77"/>
  <c r="AX308" i="77"/>
  <c r="AX306" i="77"/>
  <c r="AX303" i="77"/>
  <c r="AX301" i="77"/>
  <c r="AX299" i="77"/>
  <c r="AX298" i="77"/>
  <c r="AX297" i="77"/>
  <c r="AX295" i="77"/>
  <c r="AX294" i="77"/>
  <c r="AX293" i="77"/>
  <c r="AX291" i="77"/>
  <c r="AX290" i="77"/>
  <c r="AX289" i="77"/>
  <c r="AX287" i="77"/>
  <c r="AX286" i="77"/>
  <c r="AX285" i="77"/>
  <c r="AX284" i="77"/>
  <c r="AX283" i="77"/>
  <c r="AX281" i="77"/>
  <c r="AX279" i="77"/>
  <c r="AX278" i="77"/>
  <c r="AX277" i="77"/>
  <c r="AX276" i="77"/>
  <c r="AX272" i="77"/>
  <c r="AX270" i="77"/>
  <c r="AX268" i="77"/>
  <c r="AX267" i="77"/>
  <c r="AX266" i="77"/>
  <c r="AX265" i="77"/>
  <c r="AX264" i="77"/>
  <c r="AX263" i="77"/>
  <c r="AX261" i="77"/>
  <c r="AX256" i="77"/>
  <c r="AX61" i="77"/>
  <c r="AX56" i="77"/>
  <c r="AX48" i="77"/>
  <c r="AX44" i="77"/>
  <c r="AX262" i="77"/>
  <c r="AX257" i="77"/>
  <c r="AX250" i="77"/>
  <c r="AX63" i="77"/>
  <c r="AX258" i="77"/>
  <c r="AX253" i="77"/>
  <c r="AX246" i="77"/>
  <c r="AX244" i="77"/>
  <c r="AX243" i="77"/>
  <c r="AX241" i="77"/>
  <c r="AX240" i="77"/>
  <c r="AX239" i="77"/>
  <c r="AX237" i="77"/>
  <c r="AX236" i="77"/>
  <c r="AX235" i="77"/>
  <c r="AX233" i="77"/>
  <c r="AX230" i="77"/>
  <c r="AX229" i="77"/>
  <c r="AX228" i="77"/>
  <c r="AX227" i="77"/>
  <c r="AX226" i="77"/>
  <c r="AX225" i="77"/>
  <c r="AX223" i="77"/>
  <c r="AX222" i="77"/>
  <c r="AX221" i="77"/>
  <c r="AX220" i="77"/>
  <c r="AX219" i="77"/>
  <c r="AX217" i="77"/>
  <c r="AX260" i="77"/>
  <c r="AX255" i="77"/>
  <c r="AX60" i="77"/>
  <c r="AX216" i="77"/>
  <c r="AX210" i="77"/>
  <c r="AX59" i="77"/>
  <c r="AX55" i="77"/>
  <c r="AX49" i="77"/>
  <c r="AX41" i="77"/>
  <c r="AX37" i="77"/>
  <c r="AX32" i="77"/>
  <c r="AX24" i="77"/>
  <c r="AX15" i="77"/>
  <c r="AX18" i="77"/>
  <c r="AX10" i="77"/>
  <c r="AX26" i="77"/>
  <c r="AX13" i="77"/>
  <c r="AX215" i="77"/>
  <c r="AX47" i="77"/>
  <c r="AX45" i="77"/>
  <c r="AX42" i="77"/>
  <c r="AX38" i="77"/>
  <c r="AX33" i="77"/>
  <c r="AX25" i="77"/>
  <c r="AX22" i="77"/>
  <c r="AX214" i="77"/>
  <c r="AX57" i="77"/>
  <c r="AX51" i="77"/>
  <c r="AX43" i="77"/>
  <c r="AX39" i="77"/>
  <c r="AX34" i="77"/>
  <c r="AX213" i="77"/>
  <c r="AX46" i="77"/>
  <c r="AX40" i="77"/>
  <c r="AX36" i="77"/>
  <c r="AX28" i="77"/>
  <c r="AX23" i="77"/>
  <c r="AX14" i="77"/>
  <c r="BD7" i="77"/>
  <c r="AZ308" i="77"/>
  <c r="AZ306" i="77"/>
  <c r="AZ303" i="77"/>
  <c r="AZ301" i="77"/>
  <c r="AZ299" i="77"/>
  <c r="AZ298" i="77"/>
  <c r="AZ297" i="77"/>
  <c r="AZ295" i="77"/>
  <c r="AZ294" i="77"/>
  <c r="AZ293" i="77"/>
  <c r="AZ291" i="77"/>
  <c r="AZ290" i="77"/>
  <c r="AZ289" i="77"/>
  <c r="AZ287" i="77"/>
  <c r="AZ286" i="77"/>
  <c r="AZ285" i="77"/>
  <c r="AZ284" i="77"/>
  <c r="AZ283" i="77"/>
  <c r="AZ281" i="77"/>
  <c r="AZ279" i="77"/>
  <c r="AZ278" i="77"/>
  <c r="AZ277" i="77"/>
  <c r="AZ276" i="77"/>
  <c r="AZ272" i="77"/>
  <c r="AZ270" i="77"/>
  <c r="AZ268" i="77"/>
  <c r="AZ266" i="77"/>
  <c r="AZ264" i="77"/>
  <c r="AZ262" i="77"/>
  <c r="AZ257" i="77"/>
  <c r="AZ250" i="77"/>
  <c r="AZ246" i="77"/>
  <c r="AZ244" i="77"/>
  <c r="AZ243" i="77"/>
  <c r="AZ241" i="77"/>
  <c r="AZ240" i="77"/>
  <c r="AZ239" i="77"/>
  <c r="AZ237" i="77"/>
  <c r="AZ236" i="77"/>
  <c r="AZ235" i="77"/>
  <c r="AZ233" i="77"/>
  <c r="AZ230" i="77"/>
  <c r="AZ229" i="77"/>
  <c r="AZ228" i="77"/>
  <c r="AZ227" i="77"/>
  <c r="AZ226" i="77"/>
  <c r="AZ225" i="77"/>
  <c r="AZ223" i="77"/>
  <c r="AZ222" i="77"/>
  <c r="AZ221" i="77"/>
  <c r="AZ220" i="77"/>
  <c r="AZ219" i="77"/>
  <c r="AZ217" i="77"/>
  <c r="AZ216" i="77"/>
  <c r="AZ215" i="77"/>
  <c r="AZ214" i="77"/>
  <c r="AZ213" i="77"/>
  <c r="AZ210" i="77"/>
  <c r="AZ59" i="77"/>
  <c r="AZ51" i="77"/>
  <c r="AZ46" i="77"/>
  <c r="AZ258" i="77"/>
  <c r="AZ253" i="77"/>
  <c r="AZ60" i="77"/>
  <c r="AZ267" i="77"/>
  <c r="AZ265" i="77"/>
  <c r="AZ263" i="77"/>
  <c r="AZ260" i="77"/>
  <c r="AZ255" i="77"/>
  <c r="AZ261" i="77"/>
  <c r="AZ256" i="77"/>
  <c r="AZ63" i="77"/>
  <c r="AZ57" i="77"/>
  <c r="AZ56" i="77"/>
  <c r="AZ45" i="77"/>
  <c r="AZ43" i="77"/>
  <c r="AZ39" i="77"/>
  <c r="AZ34" i="77"/>
  <c r="AZ26" i="77"/>
  <c r="AZ22" i="77"/>
  <c r="AZ13" i="77"/>
  <c r="AZ23" i="77"/>
  <c r="AZ14" i="77"/>
  <c r="AZ24" i="77"/>
  <c r="AZ15" i="77"/>
  <c r="AZ48" i="77"/>
  <c r="AZ40" i="77"/>
  <c r="AZ36" i="77"/>
  <c r="AZ28" i="77"/>
  <c r="AZ61" i="77"/>
  <c r="AZ55" i="77"/>
  <c r="AZ44" i="77"/>
  <c r="AZ41" i="77"/>
  <c r="AZ37" i="77"/>
  <c r="AZ32" i="77"/>
  <c r="AZ49" i="77"/>
  <c r="AZ47" i="77"/>
  <c r="AZ42" i="77"/>
  <c r="AZ38" i="77"/>
  <c r="AZ33" i="77"/>
  <c r="AZ25" i="77"/>
  <c r="AZ18" i="77"/>
  <c r="AZ10" i="77"/>
  <c r="P300" i="77"/>
  <c r="P86" i="77"/>
  <c r="P46" i="77"/>
  <c r="P137" i="77"/>
  <c r="P178" i="77"/>
  <c r="P130" i="77"/>
  <c r="P229" i="77"/>
  <c r="P37" i="77"/>
  <c r="P246" i="77"/>
  <c r="P247" i="77" s="1"/>
  <c r="P125" i="77"/>
  <c r="P45" i="77"/>
  <c r="P114" i="77"/>
  <c r="P169" i="77"/>
  <c r="P44" i="77"/>
  <c r="P108" i="77"/>
  <c r="P160" i="77"/>
  <c r="P180" i="77"/>
  <c r="P272" i="77"/>
  <c r="P273" i="77" s="1"/>
  <c r="P57" i="77"/>
  <c r="P77" i="77"/>
  <c r="P84" i="77"/>
  <c r="P139" i="77"/>
  <c r="P297" i="77"/>
  <c r="Q7" i="77"/>
  <c r="Q293" i="77"/>
  <c r="P89" i="77"/>
  <c r="P94" i="77"/>
  <c r="P106" i="77"/>
  <c r="P154" i="77"/>
  <c r="P136" i="77"/>
  <c r="P117" i="77"/>
  <c r="P161" i="77"/>
  <c r="P148" i="77"/>
  <c r="P193" i="77"/>
  <c r="P182" i="77"/>
  <c r="P202" i="77"/>
  <c r="P210" i="77"/>
  <c r="P256" i="77"/>
  <c r="P255" i="77"/>
  <c r="P102" i="77"/>
  <c r="P289" i="77"/>
  <c r="P287" i="77"/>
  <c r="P291" i="77"/>
  <c r="P295" i="77"/>
  <c r="P268" i="77"/>
  <c r="P281" i="77"/>
  <c r="P258" i="77"/>
  <c r="P266" i="77"/>
  <c r="P284" i="77"/>
  <c r="P237" i="77"/>
  <c r="P214" i="77"/>
  <c r="P227" i="77"/>
  <c r="P265" i="77"/>
  <c r="P216" i="77"/>
  <c r="P220" i="77"/>
  <c r="P192" i="77"/>
  <c r="P195" i="77"/>
  <c r="P194" i="77"/>
  <c r="P204" i="77"/>
  <c r="P205" i="77" s="1"/>
  <c r="P179" i="77"/>
  <c r="P158" i="77"/>
  <c r="P134" i="77"/>
  <c r="P174" i="77"/>
  <c r="P152" i="77"/>
  <c r="P128" i="77"/>
  <c r="P171" i="77"/>
  <c r="P151" i="77"/>
  <c r="P127" i="77"/>
  <c r="P163" i="77"/>
  <c r="P141" i="77"/>
  <c r="P119" i="77"/>
  <c r="P95" i="77"/>
  <c r="P105" i="77"/>
  <c r="P85" i="77"/>
  <c r="P111" i="77"/>
  <c r="P92" i="77"/>
  <c r="P72" i="77"/>
  <c r="P32" i="77"/>
  <c r="P48" i="77"/>
  <c r="P13" i="77"/>
  <c r="P15" i="77" s="1"/>
  <c r="P42" i="77"/>
  <c r="P33" i="77"/>
  <c r="P303" i="77"/>
  <c r="P283" i="77"/>
  <c r="P286" i="77"/>
  <c r="P264" i="77"/>
  <c r="P276" i="77"/>
  <c r="P253" i="77"/>
  <c r="P278" i="77"/>
  <c r="P228" i="77"/>
  <c r="P261" i="77"/>
  <c r="P222" i="77"/>
  <c r="P230" i="77"/>
  <c r="P215" i="77"/>
  <c r="P184" i="77"/>
  <c r="P185" i="77" s="1"/>
  <c r="P191" i="77"/>
  <c r="P190" i="77"/>
  <c r="P197" i="77"/>
  <c r="P175" i="77"/>
  <c r="P129" i="77"/>
  <c r="P168" i="77"/>
  <c r="P147" i="77"/>
  <c r="P123" i="77"/>
  <c r="P165" i="77"/>
  <c r="P146" i="77"/>
  <c r="P120" i="77"/>
  <c r="P135" i="77"/>
  <c r="P110" i="77"/>
  <c r="P91" i="77"/>
  <c r="P112" i="77"/>
  <c r="P93" i="77"/>
  <c r="P88" i="77"/>
  <c r="P55" i="77"/>
  <c r="P22" i="77"/>
  <c r="P36" i="77"/>
  <c r="P56" i="77"/>
  <c r="P23" i="77"/>
  <c r="P279" i="77"/>
  <c r="P217" i="77"/>
  <c r="P226" i="77"/>
  <c r="P306" i="77"/>
  <c r="P290" i="77"/>
  <c r="P262" i="77"/>
  <c r="P241" i="77"/>
  <c r="P153" i="77"/>
  <c r="P159" i="77"/>
  <c r="P107" i="77"/>
  <c r="P43" i="77"/>
  <c r="P299" i="77"/>
  <c r="P298" i="77"/>
  <c r="P301" i="77"/>
  <c r="P308" i="77"/>
  <c r="P285" i="77"/>
  <c r="P260" i="77"/>
  <c r="P267" i="77"/>
  <c r="P257" i="77"/>
  <c r="P270" i="77"/>
  <c r="P223" i="77"/>
  <c r="P90" i="77"/>
  <c r="P149" i="77"/>
  <c r="P132" i="77"/>
  <c r="P177" i="77"/>
  <c r="P157" i="77"/>
  <c r="P189" i="77"/>
  <c r="P198" i="77"/>
  <c r="P196" i="77"/>
  <c r="P221" i="77"/>
  <c r="P219" i="77"/>
  <c r="P263" i="77"/>
  <c r="P10" i="77"/>
  <c r="P11" i="77" s="1"/>
  <c r="P40" i="77"/>
  <c r="P24" i="77"/>
  <c r="P25" i="77"/>
  <c r="P39" i="77"/>
  <c r="P96" i="77"/>
  <c r="P104" i="77"/>
  <c r="P109" i="77"/>
  <c r="P126" i="77"/>
  <c r="P156" i="77"/>
  <c r="P133" i="77"/>
  <c r="P118" i="77"/>
  <c r="P162" i="77"/>
  <c r="P176" i="77"/>
  <c r="P200" i="77"/>
  <c r="P225" i="77"/>
  <c r="P233" i="77"/>
  <c r="P250" i="77"/>
  <c r="P277" i="77"/>
  <c r="P294" i="77"/>
  <c r="BH7" i="77"/>
  <c r="BD298" i="77"/>
  <c r="BD297" i="77"/>
  <c r="BD244" i="77"/>
  <c r="BD243" i="77"/>
  <c r="BD241" i="77"/>
  <c r="BD240" i="77"/>
  <c r="BD239" i="77"/>
  <c r="BD237" i="77"/>
  <c r="BD236" i="77"/>
  <c r="BD235" i="77"/>
  <c r="BD233" i="77"/>
  <c r="BD230" i="77"/>
  <c r="BD229" i="77"/>
  <c r="BD228" i="77"/>
  <c r="BD227" i="77"/>
  <c r="BD226" i="77"/>
  <c r="BD225" i="77"/>
  <c r="BD223" i="77"/>
  <c r="BD222" i="77"/>
  <c r="BD221" i="77"/>
  <c r="BD220" i="77"/>
  <c r="BD219" i="77"/>
  <c r="BD217" i="77"/>
  <c r="BD216" i="77"/>
  <c r="BD215" i="77"/>
  <c r="BD214" i="77"/>
  <c r="BD213" i="77"/>
  <c r="BD210" i="77"/>
  <c r="BD59" i="77"/>
  <c r="BD250" i="77"/>
  <c r="BD60" i="77"/>
  <c r="BD57" i="77"/>
  <c r="BD14" i="77"/>
  <c r="BF7" i="77"/>
  <c r="BB298" i="77"/>
  <c r="BB297" i="77"/>
  <c r="BB250" i="77"/>
  <c r="BB244" i="77"/>
  <c r="BB243" i="77"/>
  <c r="BB241" i="77"/>
  <c r="BB240" i="77"/>
  <c r="BB239" i="77"/>
  <c r="BB237" i="77"/>
  <c r="BB236" i="77"/>
  <c r="BB235" i="77"/>
  <c r="BB233" i="77"/>
  <c r="BB230" i="77"/>
  <c r="BB229" i="77"/>
  <c r="BB228" i="77"/>
  <c r="BB227" i="77"/>
  <c r="BB226" i="77"/>
  <c r="BB225" i="77"/>
  <c r="BB223" i="77"/>
  <c r="BB222" i="77"/>
  <c r="BB221" i="77"/>
  <c r="BB220" i="77"/>
  <c r="BB219" i="77"/>
  <c r="BB217" i="77"/>
  <c r="BB60" i="77"/>
  <c r="BB215" i="77"/>
  <c r="BB57" i="77"/>
  <c r="BB214" i="77"/>
  <c r="BB213" i="77"/>
  <c r="BB216" i="77"/>
  <c r="BB210" i="77"/>
  <c r="BB59" i="77"/>
  <c r="BB14" i="77"/>
  <c r="BE7" i="77"/>
  <c r="BA298" i="77"/>
  <c r="BA297" i="77"/>
  <c r="BA60" i="77"/>
  <c r="BA250" i="77"/>
  <c r="BA244" i="77"/>
  <c r="BA243" i="77"/>
  <c r="BA241" i="77"/>
  <c r="BA240" i="77"/>
  <c r="BA239" i="77"/>
  <c r="BA237" i="77"/>
  <c r="BA236" i="77"/>
  <c r="BA235" i="77"/>
  <c r="BA233" i="77"/>
  <c r="BA230" i="77"/>
  <c r="BA229" i="77"/>
  <c r="BA228" i="77"/>
  <c r="BA227" i="77"/>
  <c r="BA226" i="77"/>
  <c r="BA225" i="77"/>
  <c r="BA223" i="77"/>
  <c r="BA222" i="77"/>
  <c r="BA221" i="77"/>
  <c r="BA220" i="77"/>
  <c r="BA219" i="77"/>
  <c r="BA217" i="77"/>
  <c r="BA216" i="77"/>
  <c r="BA215" i="77"/>
  <c r="BA214" i="77"/>
  <c r="BA213" i="77"/>
  <c r="BA210" i="77"/>
  <c r="BA59" i="77"/>
  <c r="BA14" i="77"/>
  <c r="BA57" i="77"/>
  <c r="BG7" i="77"/>
  <c r="BC298" i="77"/>
  <c r="BC297" i="77"/>
  <c r="BC250" i="77"/>
  <c r="BC57" i="77"/>
  <c r="BC244" i="77"/>
  <c r="BC243" i="77"/>
  <c r="BC241" i="77"/>
  <c r="BC240" i="77"/>
  <c r="BC239" i="77"/>
  <c r="BC237" i="77"/>
  <c r="BC236" i="77"/>
  <c r="BC235" i="77"/>
  <c r="BC233" i="77"/>
  <c r="BC230" i="77"/>
  <c r="BC229" i="77"/>
  <c r="BC228" i="77"/>
  <c r="BC227" i="77"/>
  <c r="BC226" i="77"/>
  <c r="BC225" i="77"/>
  <c r="BC223" i="77"/>
  <c r="BC222" i="77"/>
  <c r="BC221" i="77"/>
  <c r="BC220" i="77"/>
  <c r="BC219" i="77"/>
  <c r="BC217" i="77"/>
  <c r="BC216" i="77"/>
  <c r="BC215" i="77"/>
  <c r="BC214" i="77"/>
  <c r="BC213" i="77"/>
  <c r="BC210" i="77"/>
  <c r="BC59" i="77"/>
  <c r="BC14" i="77"/>
  <c r="BC60" i="77"/>
  <c r="Q165" i="77"/>
  <c r="Q262" i="77"/>
  <c r="Q24" i="77"/>
  <c r="Q192" i="77"/>
  <c r="Q118" i="77"/>
  <c r="Q200" i="77"/>
  <c r="Q96" i="77"/>
  <c r="Q290" i="77"/>
  <c r="Q32" i="77"/>
  <c r="R7" i="77"/>
  <c r="Q135" i="77"/>
  <c r="Q230" i="77"/>
  <c r="Q228" i="77"/>
  <c r="Q72" i="77"/>
  <c r="Q57" i="77"/>
  <c r="Q139" i="77"/>
  <c r="Q123" i="77"/>
  <c r="Q233" i="77"/>
  <c r="Q283" i="77"/>
  <c r="Q147" i="77"/>
  <c r="Q267" i="77"/>
  <c r="Q84" i="77"/>
  <c r="Q159" i="77"/>
  <c r="Q189" i="77"/>
  <c r="Q281" i="77"/>
  <c r="Q45" i="77"/>
  <c r="Q86" i="77"/>
  <c r="Q104" i="77"/>
  <c r="Q162" i="77"/>
  <c r="Q120" i="77"/>
  <c r="Q210" i="77"/>
  <c r="Q220" i="77"/>
  <c r="Q246" i="77"/>
  <c r="Q247" i="77" s="1"/>
  <c r="Q301" i="77"/>
  <c r="Q37" i="77"/>
  <c r="Q106" i="77"/>
  <c r="Q94" i="77"/>
  <c r="Q112" i="77"/>
  <c r="Q146" i="77"/>
  <c r="Q168" i="77"/>
  <c r="Q198" i="77"/>
  <c r="Q255" i="77"/>
  <c r="Q270" i="77"/>
  <c r="Q294" i="77"/>
  <c r="Q298" i="77"/>
  <c r="Q39" i="77"/>
  <c r="Q91" i="77"/>
  <c r="Q110" i="77"/>
  <c r="Q89" i="77"/>
  <c r="Q108" i="77"/>
  <c r="Q125" i="77"/>
  <c r="Q148" i="77"/>
  <c r="Q169" i="77"/>
  <c r="Q119" i="77"/>
  <c r="Q141" i="77"/>
  <c r="Q163" i="77"/>
  <c r="Q127" i="77"/>
  <c r="Q151" i="77"/>
  <c r="Q171" i="77"/>
  <c r="Q128" i="77"/>
  <c r="Q152" i="77"/>
  <c r="Q174" i="77"/>
  <c r="Q196" i="77"/>
  <c r="Q193" i="77"/>
  <c r="Q180" i="77"/>
  <c r="Q182" i="77"/>
  <c r="Q214" i="77"/>
  <c r="Q237" i="77"/>
  <c r="Q225" i="77"/>
  <c r="Q216" i="77"/>
  <c r="Q217" i="77"/>
  <c r="Q264" i="77"/>
  <c r="Q256" i="77"/>
  <c r="Q278" i="77"/>
  <c r="Q266" i="77"/>
  <c r="Q253" i="77"/>
  <c r="Q276" i="77"/>
  <c r="Q299" i="77"/>
  <c r="Q295" i="77"/>
  <c r="Q286" i="77"/>
  <c r="Q102" i="77"/>
  <c r="Q303" i="77"/>
  <c r="Q56" i="77"/>
  <c r="Q43" i="77"/>
  <c r="Q33" i="77"/>
  <c r="Q95" i="77"/>
  <c r="Q88" i="77"/>
  <c r="Q107" i="77"/>
  <c r="Q93" i="77"/>
  <c r="Q85" i="77"/>
  <c r="Q105" i="77"/>
  <c r="Q129" i="77"/>
  <c r="Q153" i="77"/>
  <c r="Q175" i="77"/>
  <c r="Q126" i="77"/>
  <c r="Q149" i="77"/>
  <c r="Q132" i="77"/>
  <c r="Q156" i="77"/>
  <c r="Q177" i="77"/>
  <c r="Q133" i="77"/>
  <c r="Q157" i="77"/>
  <c r="Q178" i="77"/>
  <c r="Q202" i="77"/>
  <c r="Q197" i="77"/>
  <c r="Q190" i="77"/>
  <c r="Q191" i="77"/>
  <c r="Q219" i="77"/>
  <c r="Q260" i="77"/>
  <c r="Q229" i="77"/>
  <c r="Q221" i="77"/>
  <c r="Q222" i="77"/>
  <c r="Q268" i="77"/>
  <c r="Q261" i="77"/>
  <c r="Q250" i="77"/>
  <c r="Q272" i="77"/>
  <c r="Q273" i="77" s="1"/>
  <c r="Q258" i="77"/>
  <c r="Q284" i="77"/>
  <c r="Q306" i="77"/>
  <c r="Q300" i="77"/>
  <c r="Q291" i="77"/>
  <c r="Q287" i="77"/>
  <c r="Q23" i="77"/>
  <c r="Q36" i="77"/>
  <c r="Q44" i="77"/>
  <c r="Q42" i="77"/>
  <c r="Q13" i="77"/>
  <c r="Q15" i="77" s="1"/>
  <c r="Q48" i="77"/>
  <c r="Q22" i="77"/>
  <c r="Q55" i="77"/>
  <c r="Q40" i="77"/>
  <c r="Q10" i="77"/>
  <c r="Q46" i="77"/>
  <c r="Q25" i="77"/>
  <c r="Q77" i="77"/>
  <c r="Q92" i="77"/>
  <c r="Q111" i="77"/>
  <c r="Q90" i="77"/>
  <c r="Q109" i="77"/>
  <c r="Q134" i="77"/>
  <c r="Q158" i="77"/>
  <c r="Q176" i="77"/>
  <c r="Q130" i="77"/>
  <c r="Q154" i="77"/>
  <c r="Q114" i="77"/>
  <c r="Q136" i="77"/>
  <c r="Q160" i="77"/>
  <c r="Q117" i="77"/>
  <c r="Q137" i="77"/>
  <c r="Q161" i="77"/>
  <c r="Q184" i="77"/>
  <c r="Q185" i="77" s="1"/>
  <c r="Q179" i="77"/>
  <c r="Q204" i="77"/>
  <c r="Q194" i="77"/>
  <c r="Q195" i="77"/>
  <c r="Q223" i="77"/>
  <c r="Q215" i="77"/>
  <c r="Q241" i="77"/>
  <c r="Q226" i="77"/>
  <c r="Q227" i="77"/>
  <c r="Q277" i="77"/>
  <c r="Q265" i="77"/>
  <c r="Q257" i="77"/>
  <c r="Q279" i="77"/>
  <c r="Q263" i="77"/>
  <c r="Q289" i="77"/>
  <c r="Q285" i="77"/>
  <c r="Q308" i="77"/>
  <c r="Q297" i="77"/>
  <c r="BK7" i="77"/>
  <c r="BG298" i="77"/>
  <c r="BG297" i="77"/>
  <c r="BG250" i="77"/>
  <c r="BG57" i="77"/>
  <c r="BG244" i="77"/>
  <c r="BG243" i="77"/>
  <c r="BG241" i="77"/>
  <c r="BG240" i="77"/>
  <c r="BG239" i="77"/>
  <c r="BG237" i="77"/>
  <c r="BG236" i="77"/>
  <c r="BG235" i="77"/>
  <c r="BG233" i="77"/>
  <c r="BG230" i="77"/>
  <c r="BG229" i="77"/>
  <c r="BG228" i="77"/>
  <c r="BG227" i="77"/>
  <c r="BG226" i="77"/>
  <c r="BG225" i="77"/>
  <c r="BG223" i="77"/>
  <c r="BG222" i="77"/>
  <c r="BG221" i="77"/>
  <c r="BG220" i="77"/>
  <c r="BG219" i="77"/>
  <c r="BG217" i="77"/>
  <c r="BG216" i="77"/>
  <c r="BG215" i="77"/>
  <c r="BG214" i="77"/>
  <c r="BG213" i="77"/>
  <c r="BG210" i="77"/>
  <c r="BG59" i="77"/>
  <c r="BG14" i="77"/>
  <c r="BG60" i="77"/>
  <c r="BI7" i="77"/>
  <c r="BE298" i="77"/>
  <c r="BE297" i="77"/>
  <c r="BE250" i="77"/>
  <c r="BE60" i="77"/>
  <c r="BE244" i="77"/>
  <c r="BE243" i="77"/>
  <c r="BE241" i="77"/>
  <c r="BE240" i="77"/>
  <c r="BE239" i="77"/>
  <c r="BE237" i="77"/>
  <c r="BE236" i="77"/>
  <c r="BE235" i="77"/>
  <c r="BE233" i="77"/>
  <c r="BE230" i="77"/>
  <c r="BE229" i="77"/>
  <c r="BE228" i="77"/>
  <c r="BE227" i="77"/>
  <c r="BE226" i="77"/>
  <c r="BE225" i="77"/>
  <c r="BE223" i="77"/>
  <c r="BE222" i="77"/>
  <c r="BE221" i="77"/>
  <c r="BE220" i="77"/>
  <c r="BE219" i="77"/>
  <c r="BE217" i="77"/>
  <c r="BE216" i="77"/>
  <c r="BE215" i="77"/>
  <c r="BE214" i="77"/>
  <c r="BE213" i="77"/>
  <c r="BE210" i="77"/>
  <c r="BE59" i="77"/>
  <c r="BE14" i="77"/>
  <c r="BE57" i="77"/>
  <c r="BJ7" i="77"/>
  <c r="BF298" i="77"/>
  <c r="BF297" i="77"/>
  <c r="BF57" i="77"/>
  <c r="BF244" i="77"/>
  <c r="BF243" i="77"/>
  <c r="BF241" i="77"/>
  <c r="BF240" i="77"/>
  <c r="BF239" i="77"/>
  <c r="BF237" i="77"/>
  <c r="BF236" i="77"/>
  <c r="BF235" i="77"/>
  <c r="BF233" i="77"/>
  <c r="BF230" i="77"/>
  <c r="BF229" i="77"/>
  <c r="BF228" i="77"/>
  <c r="BF227" i="77"/>
  <c r="BF226" i="77"/>
  <c r="BF225" i="77"/>
  <c r="BF223" i="77"/>
  <c r="BF222" i="77"/>
  <c r="BF221" i="77"/>
  <c r="BF220" i="77"/>
  <c r="BF219" i="77"/>
  <c r="BF217" i="77"/>
  <c r="BF250" i="77"/>
  <c r="BF60" i="77"/>
  <c r="BF214" i="77"/>
  <c r="BF213" i="77"/>
  <c r="BF216" i="77"/>
  <c r="BF210" i="77"/>
  <c r="BF59" i="77"/>
  <c r="BF215" i="77"/>
  <c r="BF14" i="77"/>
  <c r="BL7" i="77"/>
  <c r="BH298" i="77"/>
  <c r="BH297" i="77"/>
  <c r="BH244" i="77"/>
  <c r="BH243" i="77"/>
  <c r="BH241" i="77"/>
  <c r="BH240" i="77"/>
  <c r="BH239" i="77"/>
  <c r="BH237" i="77"/>
  <c r="BH236" i="77"/>
  <c r="BH235" i="77"/>
  <c r="BH233" i="77"/>
  <c r="BH230" i="77"/>
  <c r="BH229" i="77"/>
  <c r="BH228" i="77"/>
  <c r="BH227" i="77"/>
  <c r="BH226" i="77"/>
  <c r="BH225" i="77"/>
  <c r="BH223" i="77"/>
  <c r="BH222" i="77"/>
  <c r="BH221" i="77"/>
  <c r="BH220" i="77"/>
  <c r="BH219" i="77"/>
  <c r="BH217" i="77"/>
  <c r="BH216" i="77"/>
  <c r="BH215" i="77"/>
  <c r="BH214" i="77"/>
  <c r="BH213" i="77"/>
  <c r="BH210" i="77"/>
  <c r="BH59" i="77"/>
  <c r="BH60" i="77"/>
  <c r="BH250" i="77"/>
  <c r="BH57" i="77"/>
  <c r="BH14" i="77"/>
  <c r="R107" i="77"/>
  <c r="R104" i="77"/>
  <c r="R250" i="77"/>
  <c r="R159" i="77"/>
  <c r="S7" i="77"/>
  <c r="R105" i="77"/>
  <c r="R106" i="77"/>
  <c r="R111" i="77"/>
  <c r="R108" i="77"/>
  <c r="R157" i="77"/>
  <c r="R130" i="77"/>
  <c r="R158" i="77"/>
  <c r="R156" i="77"/>
  <c r="R109" i="77"/>
  <c r="R110" i="77"/>
  <c r="R161" i="77"/>
  <c r="R162" i="77"/>
  <c r="R160" i="77"/>
  <c r="BP7" i="77"/>
  <c r="BL298" i="77"/>
  <c r="BL297" i="77"/>
  <c r="BL244" i="77"/>
  <c r="BL243" i="77"/>
  <c r="BL241" i="77"/>
  <c r="BL240" i="77"/>
  <c r="BL239" i="77"/>
  <c r="BL237" i="77"/>
  <c r="BL236" i="77"/>
  <c r="BL235" i="77"/>
  <c r="BL233" i="77"/>
  <c r="BL230" i="77"/>
  <c r="BL229" i="77"/>
  <c r="BL228" i="77"/>
  <c r="BL227" i="77"/>
  <c r="BL226" i="77"/>
  <c r="BL225" i="77"/>
  <c r="BL223" i="77"/>
  <c r="BL222" i="77"/>
  <c r="BL221" i="77"/>
  <c r="BL220" i="77"/>
  <c r="BL219" i="77"/>
  <c r="BL217" i="77"/>
  <c r="BL216" i="77"/>
  <c r="BL215" i="77"/>
  <c r="BL214" i="77"/>
  <c r="BL213" i="77"/>
  <c r="BL210" i="77"/>
  <c r="BL59" i="77"/>
  <c r="BL60" i="77"/>
  <c r="BL250" i="77"/>
  <c r="BL57" i="77"/>
  <c r="BL14" i="77"/>
  <c r="BN7" i="77"/>
  <c r="BJ298" i="77"/>
  <c r="BJ297" i="77"/>
  <c r="BJ250" i="77"/>
  <c r="BJ57" i="77"/>
  <c r="BJ244" i="77"/>
  <c r="BJ243" i="77"/>
  <c r="BJ241" i="77"/>
  <c r="BJ240" i="77"/>
  <c r="BJ239" i="77"/>
  <c r="BJ237" i="77"/>
  <c r="BJ236" i="77"/>
  <c r="BJ235" i="77"/>
  <c r="BJ233" i="77"/>
  <c r="BJ230" i="77"/>
  <c r="BJ229" i="77"/>
  <c r="BJ228" i="77"/>
  <c r="BJ227" i="77"/>
  <c r="BJ226" i="77"/>
  <c r="BJ225" i="77"/>
  <c r="BJ223" i="77"/>
  <c r="BJ222" i="77"/>
  <c r="BJ221" i="77"/>
  <c r="BJ220" i="77"/>
  <c r="BJ219" i="77"/>
  <c r="BJ217" i="77"/>
  <c r="BJ60" i="77"/>
  <c r="BJ213" i="77"/>
  <c r="BJ216" i="77"/>
  <c r="BJ210" i="77"/>
  <c r="BJ59" i="77"/>
  <c r="BJ215" i="77"/>
  <c r="BJ214" i="77"/>
  <c r="BJ14" i="77"/>
  <c r="BM7" i="77"/>
  <c r="BI298" i="77"/>
  <c r="BI297" i="77"/>
  <c r="BI60" i="77"/>
  <c r="BI250" i="77"/>
  <c r="BI244" i="77"/>
  <c r="BI243" i="77"/>
  <c r="BI241" i="77"/>
  <c r="BI240" i="77"/>
  <c r="BI239" i="77"/>
  <c r="BI237" i="77"/>
  <c r="BI236" i="77"/>
  <c r="BI235" i="77"/>
  <c r="BI233" i="77"/>
  <c r="BI230" i="77"/>
  <c r="BI229" i="77"/>
  <c r="BI228" i="77"/>
  <c r="BI227" i="77"/>
  <c r="BI226" i="77"/>
  <c r="BI225" i="77"/>
  <c r="BI223" i="77"/>
  <c r="BI222" i="77"/>
  <c r="BI221" i="77"/>
  <c r="BI220" i="77"/>
  <c r="BI219" i="77"/>
  <c r="BI217" i="77"/>
  <c r="BI216" i="77"/>
  <c r="BI215" i="77"/>
  <c r="BI214" i="77"/>
  <c r="BI213" i="77"/>
  <c r="BI210" i="77"/>
  <c r="BI59" i="77"/>
  <c r="BI14" i="77"/>
  <c r="BI57" i="77"/>
  <c r="BO7" i="77"/>
  <c r="BK298" i="77"/>
  <c r="BK297" i="77"/>
  <c r="BK250" i="77"/>
  <c r="BK57" i="77"/>
  <c r="BK244" i="77"/>
  <c r="BK243" i="77"/>
  <c r="BK241" i="77"/>
  <c r="BK240" i="77"/>
  <c r="BK239" i="77"/>
  <c r="BK237" i="77"/>
  <c r="BK236" i="77"/>
  <c r="BK235" i="77"/>
  <c r="BK233" i="77"/>
  <c r="BK230" i="77"/>
  <c r="BK229" i="77"/>
  <c r="BK228" i="77"/>
  <c r="BK227" i="77"/>
  <c r="BK226" i="77"/>
  <c r="BK225" i="77"/>
  <c r="BK223" i="77"/>
  <c r="BK222" i="77"/>
  <c r="BK221" i="77"/>
  <c r="BK220" i="77"/>
  <c r="BK219" i="77"/>
  <c r="BK217" i="77"/>
  <c r="BK216" i="77"/>
  <c r="BK215" i="77"/>
  <c r="BK214" i="77"/>
  <c r="BK213" i="77"/>
  <c r="BK210" i="77"/>
  <c r="BK59" i="77"/>
  <c r="BK60" i="77"/>
  <c r="BK14" i="77"/>
  <c r="S250" i="77"/>
  <c r="S162" i="77"/>
  <c r="S161" i="77"/>
  <c r="S107" i="77"/>
  <c r="S159" i="77"/>
  <c r="T7" i="77"/>
  <c r="S105" i="77"/>
  <c r="S111" i="77"/>
  <c r="S104" i="77"/>
  <c r="S106" i="77"/>
  <c r="S156" i="77"/>
  <c r="S108" i="77"/>
  <c r="S109" i="77"/>
  <c r="S110" i="77"/>
  <c r="S160" i="77"/>
  <c r="S157" i="77"/>
  <c r="S130" i="77"/>
  <c r="S158" i="77"/>
  <c r="BS7" i="77"/>
  <c r="BO298" i="77"/>
  <c r="BO297" i="77"/>
  <c r="BO250" i="77"/>
  <c r="BO57" i="77"/>
  <c r="BO244" i="77"/>
  <c r="BO243" i="77"/>
  <c r="BO241" i="77"/>
  <c r="BO240" i="77"/>
  <c r="BO239" i="77"/>
  <c r="BO237" i="77"/>
  <c r="BO236" i="77"/>
  <c r="BO235" i="77"/>
  <c r="BO233" i="77"/>
  <c r="BO230" i="77"/>
  <c r="BO229" i="77"/>
  <c r="BO228" i="77"/>
  <c r="BO227" i="77"/>
  <c r="BO226" i="77"/>
  <c r="BO225" i="77"/>
  <c r="BO223" i="77"/>
  <c r="BO222" i="77"/>
  <c r="BO221" i="77"/>
  <c r="BO220" i="77"/>
  <c r="BO219" i="77"/>
  <c r="BO217" i="77"/>
  <c r="BO216" i="77"/>
  <c r="BO215" i="77"/>
  <c r="BO214" i="77"/>
  <c r="BO213" i="77"/>
  <c r="BO210" i="77"/>
  <c r="BO59" i="77"/>
  <c r="BO14" i="77"/>
  <c r="BO60" i="77"/>
  <c r="BQ7" i="77"/>
  <c r="BM298" i="77"/>
  <c r="BM297" i="77"/>
  <c r="BM60" i="77"/>
  <c r="BM250" i="77"/>
  <c r="BM244" i="77"/>
  <c r="BM243" i="77"/>
  <c r="BM241" i="77"/>
  <c r="BM240" i="77"/>
  <c r="BM239" i="77"/>
  <c r="BM237" i="77"/>
  <c r="BM236" i="77"/>
  <c r="BM235" i="77"/>
  <c r="BM233" i="77"/>
  <c r="BM230" i="77"/>
  <c r="BM229" i="77"/>
  <c r="BM228" i="77"/>
  <c r="BM227" i="77"/>
  <c r="BM226" i="77"/>
  <c r="BM225" i="77"/>
  <c r="BM223" i="77"/>
  <c r="BM222" i="77"/>
  <c r="BM221" i="77"/>
  <c r="BM220" i="77"/>
  <c r="BM219" i="77"/>
  <c r="BM217" i="77"/>
  <c r="BM216" i="77"/>
  <c r="BM215" i="77"/>
  <c r="BM214" i="77"/>
  <c r="BM213" i="77"/>
  <c r="BM210" i="77"/>
  <c r="BM59" i="77"/>
  <c r="BM14" i="77"/>
  <c r="BM57" i="77"/>
  <c r="BR7" i="77"/>
  <c r="BN298" i="77"/>
  <c r="BN297" i="77"/>
  <c r="BN250" i="77"/>
  <c r="BN57" i="77"/>
  <c r="BN244" i="77"/>
  <c r="BN243" i="77"/>
  <c r="BN241" i="77"/>
  <c r="BN240" i="77"/>
  <c r="BN239" i="77"/>
  <c r="BN237" i="77"/>
  <c r="BN236" i="77"/>
  <c r="BN235" i="77"/>
  <c r="BN233" i="77"/>
  <c r="BN230" i="77"/>
  <c r="BN229" i="77"/>
  <c r="BN228" i="77"/>
  <c r="BN227" i="77"/>
  <c r="BN226" i="77"/>
  <c r="BN225" i="77"/>
  <c r="BN223" i="77"/>
  <c r="BN222" i="77"/>
  <c r="BN221" i="77"/>
  <c r="BN220" i="77"/>
  <c r="BN219" i="77"/>
  <c r="BN217" i="77"/>
  <c r="BN60" i="77"/>
  <c r="BN216" i="77"/>
  <c r="BN210" i="77"/>
  <c r="BN59" i="77"/>
  <c r="BN215" i="77"/>
  <c r="BN214" i="77"/>
  <c r="BN213" i="77"/>
  <c r="BN14" i="77"/>
  <c r="BT7" i="77"/>
  <c r="BP298" i="77"/>
  <c r="BP297" i="77"/>
  <c r="BP250" i="77"/>
  <c r="BP244" i="77"/>
  <c r="BP243" i="77"/>
  <c r="BP241" i="77"/>
  <c r="BP240" i="77"/>
  <c r="BP239" i="77"/>
  <c r="BP237" i="77"/>
  <c r="BP236" i="77"/>
  <c r="BP235" i="77"/>
  <c r="BP233" i="77"/>
  <c r="BP230" i="77"/>
  <c r="BP229" i="77"/>
  <c r="BP228" i="77"/>
  <c r="BP227" i="77"/>
  <c r="BP226" i="77"/>
  <c r="BP225" i="77"/>
  <c r="BP223" i="77"/>
  <c r="BP222" i="77"/>
  <c r="BP221" i="77"/>
  <c r="BP220" i="77"/>
  <c r="BP219" i="77"/>
  <c r="BP217" i="77"/>
  <c r="BP216" i="77"/>
  <c r="BP215" i="77"/>
  <c r="BP214" i="77"/>
  <c r="BP213" i="77"/>
  <c r="BP210" i="77"/>
  <c r="BP59" i="77"/>
  <c r="BP60" i="77"/>
  <c r="BP57" i="77"/>
  <c r="BP14" i="77"/>
  <c r="T250" i="77"/>
  <c r="T161" i="77"/>
  <c r="T105" i="77"/>
  <c r="T106" i="77"/>
  <c r="T107" i="77"/>
  <c r="U7" i="77"/>
  <c r="T104" i="77"/>
  <c r="T162" i="77"/>
  <c r="T160" i="77"/>
  <c r="T157" i="77"/>
  <c r="T130" i="77"/>
  <c r="T158" i="77"/>
  <c r="T111" i="77"/>
  <c r="T108" i="77"/>
  <c r="T109" i="77"/>
  <c r="T110" i="77"/>
  <c r="T159" i="77"/>
  <c r="T156" i="77"/>
  <c r="BX7" i="77"/>
  <c r="BT298" i="77"/>
  <c r="BT297" i="77"/>
  <c r="BT244" i="77"/>
  <c r="BT243" i="77"/>
  <c r="BT241" i="77"/>
  <c r="BT240" i="77"/>
  <c r="BT239" i="77"/>
  <c r="BT237" i="77"/>
  <c r="BT236" i="77"/>
  <c r="BT235" i="77"/>
  <c r="BT233" i="77"/>
  <c r="BT230" i="77"/>
  <c r="BT229" i="77"/>
  <c r="BT228" i="77"/>
  <c r="BT227" i="77"/>
  <c r="BT226" i="77"/>
  <c r="BT225" i="77"/>
  <c r="BT223" i="77"/>
  <c r="BT222" i="77"/>
  <c r="BT221" i="77"/>
  <c r="BT220" i="77"/>
  <c r="BT219" i="77"/>
  <c r="BT217" i="77"/>
  <c r="BT216" i="77"/>
  <c r="BT215" i="77"/>
  <c r="BT214" i="77"/>
  <c r="BT213" i="77"/>
  <c r="BT210" i="77"/>
  <c r="BT59" i="77"/>
  <c r="BT250" i="77"/>
  <c r="BT60" i="77"/>
  <c r="BT57" i="77"/>
  <c r="BT14" i="77"/>
  <c r="BV7" i="77"/>
  <c r="BR298" i="77"/>
  <c r="BR297" i="77"/>
  <c r="BR57" i="77"/>
  <c r="BR250" i="77"/>
  <c r="BR244" i="77"/>
  <c r="BR243" i="77"/>
  <c r="BR241" i="77"/>
  <c r="BR240" i="77"/>
  <c r="BR239" i="77"/>
  <c r="BR237" i="77"/>
  <c r="BR236" i="77"/>
  <c r="BR235" i="77"/>
  <c r="BR233" i="77"/>
  <c r="BR230" i="77"/>
  <c r="BR229" i="77"/>
  <c r="BR228" i="77"/>
  <c r="BR227" i="77"/>
  <c r="BR226" i="77"/>
  <c r="BR225" i="77"/>
  <c r="BR223" i="77"/>
  <c r="BR222" i="77"/>
  <c r="BR221" i="77"/>
  <c r="BR220" i="77"/>
  <c r="BR219" i="77"/>
  <c r="BR217" i="77"/>
  <c r="BR60" i="77"/>
  <c r="BR215" i="77"/>
  <c r="BR214" i="77"/>
  <c r="BR213" i="77"/>
  <c r="BR216" i="77"/>
  <c r="BR210" i="77"/>
  <c r="BR59" i="77"/>
  <c r="BR14" i="77"/>
  <c r="BU7" i="77"/>
  <c r="BQ298" i="77"/>
  <c r="BQ297" i="77"/>
  <c r="BQ60" i="77"/>
  <c r="BQ250" i="77"/>
  <c r="BQ244" i="77"/>
  <c r="BQ243" i="77"/>
  <c r="BQ241" i="77"/>
  <c r="BQ240" i="77"/>
  <c r="BQ239" i="77"/>
  <c r="BQ237" i="77"/>
  <c r="BQ236" i="77"/>
  <c r="BQ235" i="77"/>
  <c r="BQ233" i="77"/>
  <c r="BQ230" i="77"/>
  <c r="BQ229" i="77"/>
  <c r="BQ228" i="77"/>
  <c r="BQ227" i="77"/>
  <c r="BQ226" i="77"/>
  <c r="BQ225" i="77"/>
  <c r="BQ223" i="77"/>
  <c r="BQ222" i="77"/>
  <c r="BQ221" i="77"/>
  <c r="BQ220" i="77"/>
  <c r="BQ219" i="77"/>
  <c r="BQ217" i="77"/>
  <c r="BQ216" i="77"/>
  <c r="BQ215" i="77"/>
  <c r="BQ214" i="77"/>
  <c r="BQ213" i="77"/>
  <c r="BQ210" i="77"/>
  <c r="BQ59" i="77"/>
  <c r="BQ57" i="77"/>
  <c r="BQ14" i="77"/>
  <c r="BW7" i="77"/>
  <c r="BS298" i="77"/>
  <c r="BS297" i="77"/>
  <c r="BS250" i="77"/>
  <c r="BS57" i="77"/>
  <c r="BS244" i="77"/>
  <c r="BS243" i="77"/>
  <c r="BS241" i="77"/>
  <c r="BS240" i="77"/>
  <c r="BS239" i="77"/>
  <c r="BS237" i="77"/>
  <c r="BS236" i="77"/>
  <c r="BS235" i="77"/>
  <c r="BS233" i="77"/>
  <c r="BS230" i="77"/>
  <c r="BS229" i="77"/>
  <c r="BS228" i="77"/>
  <c r="BS227" i="77"/>
  <c r="BS226" i="77"/>
  <c r="BS225" i="77"/>
  <c r="BS223" i="77"/>
  <c r="BS222" i="77"/>
  <c r="BS221" i="77"/>
  <c r="BS220" i="77"/>
  <c r="BS219" i="77"/>
  <c r="BS217" i="77"/>
  <c r="BS216" i="77"/>
  <c r="BS215" i="77"/>
  <c r="BS214" i="77"/>
  <c r="BS213" i="77"/>
  <c r="BS210" i="77"/>
  <c r="BS59" i="77"/>
  <c r="BS60" i="77"/>
  <c r="BS14" i="77"/>
  <c r="L117" i="75"/>
  <c r="U108" i="77"/>
  <c r="U106" i="77"/>
  <c r="U104" i="77"/>
  <c r="U159" i="77"/>
  <c r="D140" i="75"/>
  <c r="U162" i="77"/>
  <c r="U107" i="77"/>
  <c r="U105" i="77"/>
  <c r="U157" i="77"/>
  <c r="U250" i="77"/>
  <c r="U111" i="77"/>
  <c r="U109" i="77"/>
  <c r="U161" i="77"/>
  <c r="U57" i="77"/>
  <c r="D50" i="75" s="1"/>
  <c r="U110" i="77"/>
  <c r="U156" i="77"/>
  <c r="V7" i="77"/>
  <c r="U130" i="77"/>
  <c r="U158" i="77"/>
  <c r="U160" i="77"/>
  <c r="CA7" i="77"/>
  <c r="BW298" i="77"/>
  <c r="BW297" i="77"/>
  <c r="BW250" i="77"/>
  <c r="BW57" i="77"/>
  <c r="BW244" i="77"/>
  <c r="BW243" i="77"/>
  <c r="BW241" i="77"/>
  <c r="BW240" i="77"/>
  <c r="BW239" i="77"/>
  <c r="BW237" i="77"/>
  <c r="BW236" i="77"/>
  <c r="BW235" i="77"/>
  <c r="BW233" i="77"/>
  <c r="BW230" i="77"/>
  <c r="BW229" i="77"/>
  <c r="BW228" i="77"/>
  <c r="BW227" i="77"/>
  <c r="BW226" i="77"/>
  <c r="BW225" i="77"/>
  <c r="BW223" i="77"/>
  <c r="BW222" i="77"/>
  <c r="BW221" i="77"/>
  <c r="BW220" i="77"/>
  <c r="BW219" i="77"/>
  <c r="BW217" i="77"/>
  <c r="BW216" i="77"/>
  <c r="BW215" i="77"/>
  <c r="BW214" i="77"/>
  <c r="BW213" i="77"/>
  <c r="BW210" i="77"/>
  <c r="BW59" i="77"/>
  <c r="BW14" i="77"/>
  <c r="BW60" i="77"/>
  <c r="BY7" i="77"/>
  <c r="BU298" i="77"/>
  <c r="BU297" i="77"/>
  <c r="BU250" i="77"/>
  <c r="BU60" i="77"/>
  <c r="BU244" i="77"/>
  <c r="BU243" i="77"/>
  <c r="BU241" i="77"/>
  <c r="BU240" i="77"/>
  <c r="BU239" i="77"/>
  <c r="BU237" i="77"/>
  <c r="BU236" i="77"/>
  <c r="BU235" i="77"/>
  <c r="BU233" i="77"/>
  <c r="BU230" i="77"/>
  <c r="BU229" i="77"/>
  <c r="BU228" i="77"/>
  <c r="BU227" i="77"/>
  <c r="BU226" i="77"/>
  <c r="BU225" i="77"/>
  <c r="BU223" i="77"/>
  <c r="BU222" i="77"/>
  <c r="BU221" i="77"/>
  <c r="BU220" i="77"/>
  <c r="BU219" i="77"/>
  <c r="BU217" i="77"/>
  <c r="BU216" i="77"/>
  <c r="BU215" i="77"/>
  <c r="BU214" i="77"/>
  <c r="BU213" i="77"/>
  <c r="BU210" i="77"/>
  <c r="BU59" i="77"/>
  <c r="BU14" i="77"/>
  <c r="BU57" i="77"/>
  <c r="BZ7" i="77"/>
  <c r="BV298" i="77"/>
  <c r="BV297" i="77"/>
  <c r="BV57" i="77"/>
  <c r="BV244" i="77"/>
  <c r="BV243" i="77"/>
  <c r="BV241" i="77"/>
  <c r="BV240" i="77"/>
  <c r="BV239" i="77"/>
  <c r="BV237" i="77"/>
  <c r="BV236" i="77"/>
  <c r="BV235" i="77"/>
  <c r="BV233" i="77"/>
  <c r="BV230" i="77"/>
  <c r="BV229" i="77"/>
  <c r="BV228" i="77"/>
  <c r="BV227" i="77"/>
  <c r="BV226" i="77"/>
  <c r="BV225" i="77"/>
  <c r="BV223" i="77"/>
  <c r="BV222" i="77"/>
  <c r="BV221" i="77"/>
  <c r="BV220" i="77"/>
  <c r="BV219" i="77"/>
  <c r="BV217" i="77"/>
  <c r="BV250" i="77"/>
  <c r="BV60" i="77"/>
  <c r="BV214" i="77"/>
  <c r="BV213" i="77"/>
  <c r="BV216" i="77"/>
  <c r="BV210" i="77"/>
  <c r="BV59" i="77"/>
  <c r="BV215" i="77"/>
  <c r="BV14" i="77"/>
  <c r="CB7" i="77"/>
  <c r="BX298" i="77"/>
  <c r="BX297" i="77"/>
  <c r="BX244" i="77"/>
  <c r="BX243" i="77"/>
  <c r="BX241" i="77"/>
  <c r="BX240" i="77"/>
  <c r="BX239" i="77"/>
  <c r="BX237" i="77"/>
  <c r="BX236" i="77"/>
  <c r="BX235" i="77"/>
  <c r="BX233" i="77"/>
  <c r="BX230" i="77"/>
  <c r="BX229" i="77"/>
  <c r="BX228" i="77"/>
  <c r="BX227" i="77"/>
  <c r="BX226" i="77"/>
  <c r="BX225" i="77"/>
  <c r="BX223" i="77"/>
  <c r="BX222" i="77"/>
  <c r="BX221" i="77"/>
  <c r="BX220" i="77"/>
  <c r="BX219" i="77"/>
  <c r="BX217" i="77"/>
  <c r="BX216" i="77"/>
  <c r="BX215" i="77"/>
  <c r="BX214" i="77"/>
  <c r="BX213" i="77"/>
  <c r="BX210" i="77"/>
  <c r="BX59" i="77"/>
  <c r="BX60" i="77"/>
  <c r="BX250" i="77"/>
  <c r="BX57" i="77"/>
  <c r="BX14" i="77"/>
  <c r="W7" i="77"/>
  <c r="V162" i="77"/>
  <c r="V161" i="77"/>
  <c r="V105" i="77"/>
  <c r="V110" i="77"/>
  <c r="E140" i="75"/>
  <c r="V104" i="77"/>
  <c r="V160" i="77"/>
  <c r="V109" i="77"/>
  <c r="V159" i="77"/>
  <c r="V250" i="77"/>
  <c r="V57" i="77"/>
  <c r="E50" i="75" s="1"/>
  <c r="V107" i="77"/>
  <c r="V156" i="77"/>
  <c r="V106" i="77"/>
  <c r="V111" i="77"/>
  <c r="V108" i="77"/>
  <c r="V157" i="77"/>
  <c r="V130" i="77"/>
  <c r="V158" i="77"/>
  <c r="CC7" i="77"/>
  <c r="BY298" i="77"/>
  <c r="BY297" i="77"/>
  <c r="BY60" i="77"/>
  <c r="BY250" i="77"/>
  <c r="BY244" i="77"/>
  <c r="BY243" i="77"/>
  <c r="BY241" i="77"/>
  <c r="BY240" i="77"/>
  <c r="BY239" i="77"/>
  <c r="BY237" i="77"/>
  <c r="BY236" i="77"/>
  <c r="BY235" i="77"/>
  <c r="BY233" i="77"/>
  <c r="BY230" i="77"/>
  <c r="BY229" i="77"/>
  <c r="BY228" i="77"/>
  <c r="BY227" i="77"/>
  <c r="BY226" i="77"/>
  <c r="BY225" i="77"/>
  <c r="BY223" i="77"/>
  <c r="BY222" i="77"/>
  <c r="BY221" i="77"/>
  <c r="BY220" i="77"/>
  <c r="BY219" i="77"/>
  <c r="BY217" i="77"/>
  <c r="BY216" i="77"/>
  <c r="BY215" i="77"/>
  <c r="BY214" i="77"/>
  <c r="BY213" i="77"/>
  <c r="BY210" i="77"/>
  <c r="BY59" i="77"/>
  <c r="BY14" i="77"/>
  <c r="BY57" i="77"/>
  <c r="CE7" i="77"/>
  <c r="CA298" i="77"/>
  <c r="CA297" i="77"/>
  <c r="CA250" i="77"/>
  <c r="CA57" i="77"/>
  <c r="CA244" i="77"/>
  <c r="CA243" i="77"/>
  <c r="CA241" i="77"/>
  <c r="CA240" i="77"/>
  <c r="CA239" i="77"/>
  <c r="CA237" i="77"/>
  <c r="CA236" i="77"/>
  <c r="CA235" i="77"/>
  <c r="CA233" i="77"/>
  <c r="CA230" i="77"/>
  <c r="CA229" i="77"/>
  <c r="CA228" i="77"/>
  <c r="CA227" i="77"/>
  <c r="CA226" i="77"/>
  <c r="CA225" i="77"/>
  <c r="CA223" i="77"/>
  <c r="CA222" i="77"/>
  <c r="CA221" i="77"/>
  <c r="CA220" i="77"/>
  <c r="CA219" i="77"/>
  <c r="CA217" i="77"/>
  <c r="CA216" i="77"/>
  <c r="CA215" i="77"/>
  <c r="CA214" i="77"/>
  <c r="CA213" i="77"/>
  <c r="CA210" i="77"/>
  <c r="CA59" i="77"/>
  <c r="CA60" i="77"/>
  <c r="CA14" i="77"/>
  <c r="CF7" i="77"/>
  <c r="CB298" i="77"/>
  <c r="CB297" i="77"/>
  <c r="CB244" i="77"/>
  <c r="CB243" i="77"/>
  <c r="CB241" i="77"/>
  <c r="CB240" i="77"/>
  <c r="CB239" i="77"/>
  <c r="CB237" i="77"/>
  <c r="CB236" i="77"/>
  <c r="CB235" i="77"/>
  <c r="CB233" i="77"/>
  <c r="CB230" i="77"/>
  <c r="CB229" i="77"/>
  <c r="CB228" i="77"/>
  <c r="CB227" i="77"/>
  <c r="CB226" i="77"/>
  <c r="CB225" i="77"/>
  <c r="CB223" i="77"/>
  <c r="CB222" i="77"/>
  <c r="CB221" i="77"/>
  <c r="CB220" i="77"/>
  <c r="CB219" i="77"/>
  <c r="CB217" i="77"/>
  <c r="CB216" i="77"/>
  <c r="CB215" i="77"/>
  <c r="CB214" i="77"/>
  <c r="CB213" i="77"/>
  <c r="CB210" i="77"/>
  <c r="CB59" i="77"/>
  <c r="CB60" i="77"/>
  <c r="CB250" i="77"/>
  <c r="CB57" i="77"/>
  <c r="CB14" i="77"/>
  <c r="CD7" i="77"/>
  <c r="BZ298" i="77"/>
  <c r="BZ297" i="77"/>
  <c r="BZ250" i="77"/>
  <c r="BZ57" i="77"/>
  <c r="BZ244" i="77"/>
  <c r="BZ243" i="77"/>
  <c r="BZ241" i="77"/>
  <c r="BZ240" i="77"/>
  <c r="BZ239" i="77"/>
  <c r="BZ237" i="77"/>
  <c r="BZ236" i="77"/>
  <c r="BZ235" i="77"/>
  <c r="BZ233" i="77"/>
  <c r="BZ230" i="77"/>
  <c r="BZ229" i="77"/>
  <c r="BZ228" i="77"/>
  <c r="BZ227" i="77"/>
  <c r="BZ226" i="77"/>
  <c r="BZ225" i="77"/>
  <c r="BZ223" i="77"/>
  <c r="BZ222" i="77"/>
  <c r="BZ221" i="77"/>
  <c r="BZ220" i="77"/>
  <c r="BZ219" i="77"/>
  <c r="BZ217" i="77"/>
  <c r="BZ60" i="77"/>
  <c r="BZ213" i="77"/>
  <c r="BZ216" i="77"/>
  <c r="BZ210" i="77"/>
  <c r="BZ59" i="77"/>
  <c r="BZ215" i="77"/>
  <c r="BZ214" i="77"/>
  <c r="BZ14" i="77"/>
  <c r="W250" i="77"/>
  <c r="F140" i="75"/>
  <c r="W159" i="77"/>
  <c r="W162" i="77"/>
  <c r="W158" i="77"/>
  <c r="W130" i="77"/>
  <c r="W161" i="77"/>
  <c r="W157" i="77"/>
  <c r="W160" i="77"/>
  <c r="W156" i="77"/>
  <c r="W111" i="77"/>
  <c r="W107" i="77"/>
  <c r="W110" i="77"/>
  <c r="W106" i="77"/>
  <c r="W109" i="77"/>
  <c r="W105" i="77"/>
  <c r="W108" i="77"/>
  <c r="W104" i="77"/>
  <c r="X7" i="77"/>
  <c r="W57" i="77"/>
  <c r="F50" i="75" s="1"/>
  <c r="G187" i="75" s="1"/>
  <c r="CI7" i="77"/>
  <c r="CE298" i="77"/>
  <c r="CE297" i="77"/>
  <c r="CE250" i="77"/>
  <c r="CE57" i="77"/>
  <c r="CE244" i="77"/>
  <c r="CE243" i="77"/>
  <c r="CE241" i="77"/>
  <c r="CE240" i="77"/>
  <c r="CE239" i="77"/>
  <c r="CE237" i="77"/>
  <c r="CE236" i="77"/>
  <c r="CE235" i="77"/>
  <c r="CE233" i="77"/>
  <c r="CE230" i="77"/>
  <c r="CE229" i="77"/>
  <c r="CE228" i="77"/>
  <c r="CE227" i="77"/>
  <c r="CE226" i="77"/>
  <c r="CE225" i="77"/>
  <c r="CE223" i="77"/>
  <c r="CE222" i="77"/>
  <c r="CE221" i="77"/>
  <c r="CE220" i="77"/>
  <c r="CE219" i="77"/>
  <c r="CE217" i="77"/>
  <c r="CE216" i="77"/>
  <c r="CE215" i="77"/>
  <c r="CE214" i="77"/>
  <c r="CE213" i="77"/>
  <c r="CE210" i="77"/>
  <c r="CE59" i="77"/>
  <c r="CE14" i="77"/>
  <c r="CE60" i="77"/>
  <c r="CG7" i="77"/>
  <c r="CC298" i="77"/>
  <c r="CC297" i="77"/>
  <c r="CC60" i="77"/>
  <c r="CC250" i="77"/>
  <c r="CC244" i="77"/>
  <c r="CC243" i="77"/>
  <c r="CC241" i="77"/>
  <c r="CC240" i="77"/>
  <c r="CC239" i="77"/>
  <c r="CC237" i="77"/>
  <c r="CC236" i="77"/>
  <c r="CC235" i="77"/>
  <c r="CC233" i="77"/>
  <c r="CC230" i="77"/>
  <c r="CC229" i="77"/>
  <c r="CC228" i="77"/>
  <c r="CC227" i="77"/>
  <c r="CC226" i="77"/>
  <c r="CC225" i="77"/>
  <c r="CC223" i="77"/>
  <c r="CC222" i="77"/>
  <c r="CC221" i="77"/>
  <c r="CC220" i="77"/>
  <c r="CC219" i="77"/>
  <c r="CC217" i="77"/>
  <c r="CC216" i="77"/>
  <c r="CC215" i="77"/>
  <c r="CC214" i="77"/>
  <c r="CC213" i="77"/>
  <c r="CC210" i="77"/>
  <c r="CC59" i="77"/>
  <c r="CC14" i="77"/>
  <c r="CC57" i="77"/>
  <c r="CH7" i="77"/>
  <c r="CD298" i="77"/>
  <c r="CD297" i="77"/>
  <c r="CD250" i="77"/>
  <c r="CD57" i="77"/>
  <c r="CD244" i="77"/>
  <c r="CD243" i="77"/>
  <c r="CD241" i="77"/>
  <c r="CD240" i="77"/>
  <c r="CD239" i="77"/>
  <c r="CD237" i="77"/>
  <c r="CD236" i="77"/>
  <c r="CD235" i="77"/>
  <c r="CD233" i="77"/>
  <c r="CD230" i="77"/>
  <c r="CD229" i="77"/>
  <c r="CD228" i="77"/>
  <c r="CD227" i="77"/>
  <c r="CD226" i="77"/>
  <c r="CD225" i="77"/>
  <c r="CD223" i="77"/>
  <c r="CD222" i="77"/>
  <c r="CD221" i="77"/>
  <c r="CD220" i="77"/>
  <c r="CD219" i="77"/>
  <c r="CD217" i="77"/>
  <c r="CD60" i="77"/>
  <c r="CD216" i="77"/>
  <c r="CD210" i="77"/>
  <c r="CD59" i="77"/>
  <c r="CD215" i="77"/>
  <c r="CD214" i="77"/>
  <c r="CD213" i="77"/>
  <c r="CD14" i="77"/>
  <c r="CJ7" i="77"/>
  <c r="CF298" i="77"/>
  <c r="CF297" i="77"/>
  <c r="CF250" i="77"/>
  <c r="CF244" i="77"/>
  <c r="CF243" i="77"/>
  <c r="CF241" i="77"/>
  <c r="CF240" i="77"/>
  <c r="CF239" i="77"/>
  <c r="CF237" i="77"/>
  <c r="CF236" i="77"/>
  <c r="CF235" i="77"/>
  <c r="CF233" i="77"/>
  <c r="CF230" i="77"/>
  <c r="CF229" i="77"/>
  <c r="CF228" i="77"/>
  <c r="CF227" i="77"/>
  <c r="CF226" i="77"/>
  <c r="CF225" i="77"/>
  <c r="CF223" i="77"/>
  <c r="CF222" i="77"/>
  <c r="CF221" i="77"/>
  <c r="CF220" i="77"/>
  <c r="CF219" i="77"/>
  <c r="CF217" i="77"/>
  <c r="CF216" i="77"/>
  <c r="CF215" i="77"/>
  <c r="CF214" i="77"/>
  <c r="CF213" i="77"/>
  <c r="CF210" i="77"/>
  <c r="CF59" i="77"/>
  <c r="CF60" i="77"/>
  <c r="CF57" i="77"/>
  <c r="CF14" i="77"/>
  <c r="X250" i="77"/>
  <c r="G140" i="75"/>
  <c r="X162" i="77"/>
  <c r="X158" i="77"/>
  <c r="X130" i="77"/>
  <c r="X161" i="77"/>
  <c r="X157" i="77"/>
  <c r="X160" i="77"/>
  <c r="X156" i="77"/>
  <c r="X159" i="77"/>
  <c r="X110" i="77"/>
  <c r="X106" i="77"/>
  <c r="X109" i="77"/>
  <c r="X105" i="77"/>
  <c r="X108" i="77"/>
  <c r="X104" i="77"/>
  <c r="X111" i="77"/>
  <c r="X107" i="77"/>
  <c r="Y7" i="77"/>
  <c r="Y37" i="77"/>
  <c r="H38" i="75" s="1"/>
  <c r="X57" i="77"/>
  <c r="G50" i="75" s="1"/>
  <c r="H187" i="75" s="1"/>
  <c r="CN7" i="77"/>
  <c r="CJ298" i="77"/>
  <c r="CJ297" i="77"/>
  <c r="CJ244" i="77"/>
  <c r="CJ243" i="77"/>
  <c r="CJ241" i="77"/>
  <c r="CJ240" i="77"/>
  <c r="CJ239" i="77"/>
  <c r="CJ237" i="77"/>
  <c r="CJ236" i="77"/>
  <c r="CJ235" i="77"/>
  <c r="CJ233" i="77"/>
  <c r="CJ230" i="77"/>
  <c r="CJ229" i="77"/>
  <c r="CJ228" i="77"/>
  <c r="CJ227" i="77"/>
  <c r="CJ226" i="77"/>
  <c r="CJ225" i="77"/>
  <c r="CJ223" i="77"/>
  <c r="CJ222" i="77"/>
  <c r="CJ221" i="77"/>
  <c r="CJ220" i="77"/>
  <c r="CJ219" i="77"/>
  <c r="CJ217" i="77"/>
  <c r="CJ216" i="77"/>
  <c r="CJ215" i="77"/>
  <c r="CJ214" i="77"/>
  <c r="CJ213" i="77"/>
  <c r="CJ210" i="77"/>
  <c r="CJ57" i="77"/>
  <c r="CJ250" i="77"/>
  <c r="CJ14" i="77"/>
  <c r="CJ59" i="77"/>
  <c r="CJ60" i="77"/>
  <c r="CL7" i="77"/>
  <c r="CH298" i="77"/>
  <c r="CH297" i="77"/>
  <c r="CH57" i="77"/>
  <c r="CH250" i="77"/>
  <c r="CH244" i="77"/>
  <c r="CH243" i="77"/>
  <c r="CH241" i="77"/>
  <c r="CH240" i="77"/>
  <c r="CH239" i="77"/>
  <c r="CH237" i="77"/>
  <c r="CH236" i="77"/>
  <c r="CH235" i="77"/>
  <c r="CH233" i="77"/>
  <c r="CH230" i="77"/>
  <c r="CH229" i="77"/>
  <c r="CH228" i="77"/>
  <c r="CH227" i="77"/>
  <c r="CH226" i="77"/>
  <c r="CH225" i="77"/>
  <c r="CH223" i="77"/>
  <c r="CH222" i="77"/>
  <c r="CH221" i="77"/>
  <c r="CH220" i="77"/>
  <c r="CH219" i="77"/>
  <c r="CH217" i="77"/>
  <c r="CH216" i="77"/>
  <c r="CH60" i="77"/>
  <c r="CH215" i="77"/>
  <c r="CH214" i="77"/>
  <c r="CH213" i="77"/>
  <c r="CH210" i="77"/>
  <c r="CH59" i="77"/>
  <c r="CH14" i="77"/>
  <c r="CK7" i="77"/>
  <c r="CG298" i="77"/>
  <c r="CG297" i="77"/>
  <c r="CG60" i="77"/>
  <c r="CG250" i="77"/>
  <c r="CG244" i="77"/>
  <c r="CG243" i="77"/>
  <c r="CG241" i="77"/>
  <c r="CG240" i="77"/>
  <c r="CG239" i="77"/>
  <c r="CG237" i="77"/>
  <c r="CG236" i="77"/>
  <c r="CG235" i="77"/>
  <c r="CG233" i="77"/>
  <c r="CG230" i="77"/>
  <c r="CG229" i="77"/>
  <c r="CG228" i="77"/>
  <c r="CG227" i="77"/>
  <c r="CG226" i="77"/>
  <c r="CG225" i="77"/>
  <c r="CG223" i="77"/>
  <c r="CG222" i="77"/>
  <c r="CG221" i="77"/>
  <c r="CG220" i="77"/>
  <c r="CG219" i="77"/>
  <c r="CG217" i="77"/>
  <c r="CG216" i="77"/>
  <c r="CG215" i="77"/>
  <c r="CG214" i="77"/>
  <c r="CG213" i="77"/>
  <c r="CG210" i="77"/>
  <c r="CG59" i="77"/>
  <c r="CG57" i="77"/>
  <c r="CG14" i="77"/>
  <c r="CM7" i="77"/>
  <c r="CI298" i="77"/>
  <c r="CI297" i="77"/>
  <c r="CI250" i="77"/>
  <c r="CI57" i="77"/>
  <c r="CI244" i="77"/>
  <c r="CI243" i="77"/>
  <c r="CI241" i="77"/>
  <c r="CI240" i="77"/>
  <c r="CI239" i="77"/>
  <c r="CI237" i="77"/>
  <c r="CI236" i="77"/>
  <c r="CI235" i="77"/>
  <c r="CI233" i="77"/>
  <c r="CI230" i="77"/>
  <c r="CI229" i="77"/>
  <c r="CI228" i="77"/>
  <c r="CI227" i="77"/>
  <c r="CI226" i="77"/>
  <c r="CI225" i="77"/>
  <c r="CI223" i="77"/>
  <c r="CI222" i="77"/>
  <c r="CI221" i="77"/>
  <c r="CI220" i="77"/>
  <c r="CI219" i="77"/>
  <c r="CI217" i="77"/>
  <c r="CI216" i="77"/>
  <c r="CI215" i="77"/>
  <c r="CI214" i="77"/>
  <c r="CI213" i="77"/>
  <c r="CI210" i="77"/>
  <c r="CI59" i="77"/>
  <c r="CI14" i="77"/>
  <c r="CI60" i="77"/>
  <c r="Y250" i="77"/>
  <c r="Y161" i="77"/>
  <c r="Y157" i="77"/>
  <c r="Y160" i="77"/>
  <c r="Y156" i="77"/>
  <c r="Y159" i="77"/>
  <c r="Y162" i="77"/>
  <c r="Y158" i="77"/>
  <c r="Y130" i="77"/>
  <c r="Y109" i="77"/>
  <c r="Y105" i="77"/>
  <c r="Y108" i="77"/>
  <c r="Y104" i="77"/>
  <c r="Y111" i="77"/>
  <c r="Y107" i="77"/>
  <c r="Y110" i="77"/>
  <c r="Y106" i="77"/>
  <c r="Z7" i="77"/>
  <c r="Y57" i="77"/>
  <c r="H50" i="75" s="1"/>
  <c r="AA7" i="77"/>
  <c r="AA61" i="77"/>
  <c r="Z57" i="77"/>
  <c r="I50" i="75" s="1"/>
  <c r="AA84" i="77"/>
  <c r="AB7" i="77"/>
  <c r="AB61" i="77"/>
  <c r="AA76" i="77"/>
  <c r="AA75" i="77"/>
  <c r="AA77" i="77"/>
  <c r="AA10" i="77"/>
  <c r="AA13" i="77"/>
  <c r="AA15" i="77" s="1"/>
  <c r="AA22" i="77"/>
  <c r="AA23" i="77"/>
  <c r="AA24" i="77"/>
  <c r="AA25" i="77"/>
  <c r="AA32" i="77"/>
  <c r="AA33" i="77"/>
  <c r="AA36" i="77"/>
  <c r="AA37" i="77"/>
  <c r="AA39" i="77"/>
  <c r="AA40" i="77"/>
  <c r="AA42" i="77"/>
  <c r="AA43" i="77"/>
  <c r="AA44" i="77"/>
  <c r="AA45" i="77"/>
  <c r="AA46" i="77"/>
  <c r="AA48" i="77"/>
  <c r="AA56" i="77"/>
  <c r="AA57" i="77"/>
  <c r="AA72" i="77"/>
  <c r="AB84" i="77"/>
  <c r="AB72" i="77"/>
  <c r="AB10" i="77"/>
  <c r="AB13" i="77"/>
  <c r="AB15" i="77" s="1"/>
  <c r="AB22" i="77"/>
  <c r="AB23" i="77"/>
  <c r="AB24" i="77"/>
  <c r="AB25" i="77"/>
  <c r="AB32" i="77"/>
  <c r="AB33" i="77"/>
  <c r="AB36" i="77"/>
  <c r="AB37" i="77"/>
  <c r="AB39" i="77"/>
  <c r="AB40" i="77"/>
  <c r="AB42" i="77"/>
  <c r="AB43" i="77"/>
  <c r="AB44" i="77"/>
  <c r="AB45" i="77"/>
  <c r="AB46" i="77"/>
  <c r="AB48" i="77"/>
  <c r="AB55" i="77"/>
  <c r="AB56" i="77"/>
  <c r="AB57" i="77"/>
  <c r="AB76" i="77"/>
  <c r="AB75" i="77"/>
  <c r="AB77" i="77"/>
  <c r="AC7" i="77"/>
  <c r="AC61" i="77"/>
  <c r="AC84" i="77"/>
  <c r="AC76" i="77"/>
  <c r="AC75" i="77"/>
  <c r="AC77" i="77"/>
  <c r="AC10" i="77"/>
  <c r="AC13" i="77"/>
  <c r="AC15" i="77" s="1"/>
  <c r="AC22" i="77"/>
  <c r="AC23" i="77"/>
  <c r="AC24" i="77"/>
  <c r="AC25" i="77"/>
  <c r="AC32" i="77"/>
  <c r="AC33" i="77"/>
  <c r="AC36" i="77"/>
  <c r="AC37" i="77"/>
  <c r="AC39" i="77"/>
  <c r="AC40" i="77"/>
  <c r="AC42" i="77"/>
  <c r="AC43" i="77"/>
  <c r="AC44" i="77"/>
  <c r="AC45" i="77"/>
  <c r="AC46" i="77"/>
  <c r="AC48" i="77"/>
  <c r="AC55" i="77"/>
  <c r="AC56" i="77"/>
  <c r="AC57" i="77"/>
  <c r="AC72" i="77"/>
  <c r="BA61" i="77"/>
  <c r="CX2" i="77"/>
  <c r="DB2" i="77"/>
  <c r="CW2" i="77"/>
  <c r="DA2" i="77"/>
  <c r="CV2" i="77"/>
  <c r="CZ2" i="77"/>
  <c r="CU2" i="77"/>
  <c r="CY2" i="77"/>
  <c r="CT6" i="77"/>
  <c r="CS6" i="77"/>
  <c r="CR6" i="77"/>
  <c r="CQ6" i="77"/>
  <c r="CX6" i="77"/>
  <c r="CX208" i="77"/>
  <c r="CS208" i="77"/>
  <c r="CS81" i="77"/>
  <c r="CT208" i="77"/>
  <c r="CT81" i="77"/>
  <c r="CQ208" i="77"/>
  <c r="CQ81" i="77"/>
  <c r="CR208" i="77"/>
  <c r="CR81" i="77"/>
  <c r="DC2" i="77"/>
  <c r="DG2" i="77"/>
  <c r="CY6" i="77"/>
  <c r="CU6" i="77"/>
  <c r="CV6" i="77"/>
  <c r="CW6" i="77"/>
  <c r="DD2" i="77"/>
  <c r="DE2" i="77"/>
  <c r="DA6" i="77"/>
  <c r="DF2" i="77"/>
  <c r="DB6" i="77"/>
  <c r="CX81" i="77"/>
  <c r="DC6" i="77"/>
  <c r="DC208" i="77"/>
  <c r="CW208" i="77"/>
  <c r="CW81" i="77"/>
  <c r="CY208" i="77"/>
  <c r="CY81" i="77"/>
  <c r="DA208" i="77"/>
  <c r="DA81" i="77"/>
  <c r="CV208" i="77"/>
  <c r="CV81" i="77"/>
  <c r="DB208" i="77"/>
  <c r="DB81" i="77"/>
  <c r="CU208" i="77"/>
  <c r="CU81" i="77"/>
  <c r="CZ6" i="77"/>
  <c r="DK2" i="77"/>
  <c r="DG6" i="77"/>
  <c r="DI2" i="77"/>
  <c r="DE6" i="77"/>
  <c r="DJ2" i="77"/>
  <c r="DF6" i="77"/>
  <c r="DH2" i="77"/>
  <c r="DD6" i="77"/>
  <c r="DC81" i="77"/>
  <c r="DD208" i="77"/>
  <c r="DD81" i="77"/>
  <c r="DE208" i="77"/>
  <c r="DE81" i="77"/>
  <c r="CZ208" i="77"/>
  <c r="CZ81" i="77"/>
  <c r="DF208" i="77"/>
  <c r="DF81" i="77"/>
  <c r="DG208" i="77"/>
  <c r="DG81" i="77"/>
  <c r="DL2" i="77"/>
  <c r="DH6" i="77"/>
  <c r="DM2" i="77"/>
  <c r="DI6" i="77"/>
  <c r="DN2" i="77"/>
  <c r="DJ6" i="77"/>
  <c r="DO2" i="77"/>
  <c r="DK6" i="77"/>
  <c r="DK208" i="77"/>
  <c r="DK81" i="77"/>
  <c r="DI208" i="77"/>
  <c r="DI81" i="77"/>
  <c r="DJ208" i="77"/>
  <c r="DJ81" i="77"/>
  <c r="DH208" i="77"/>
  <c r="DH81" i="77"/>
  <c r="DS2" i="77"/>
  <c r="DO6" i="77"/>
  <c r="DQ2" i="77"/>
  <c r="DM6" i="77"/>
  <c r="DR2" i="77"/>
  <c r="DN6" i="77"/>
  <c r="DP2" i="77"/>
  <c r="DL6" i="77"/>
  <c r="DL208" i="77"/>
  <c r="DL81" i="77"/>
  <c r="DM208" i="77"/>
  <c r="DM81" i="77"/>
  <c r="DN208" i="77"/>
  <c r="DN81" i="77"/>
  <c r="DO208" i="77"/>
  <c r="DO81" i="77"/>
  <c r="DT2" i="77"/>
  <c r="DP6" i="77"/>
  <c r="DU2" i="77"/>
  <c r="DQ6" i="77"/>
  <c r="DV2" i="77"/>
  <c r="DR6" i="77"/>
  <c r="DW2" i="77"/>
  <c r="DS6" i="77"/>
  <c r="DR208" i="77"/>
  <c r="DR81" i="77"/>
  <c r="DP208" i="77"/>
  <c r="DP81" i="77"/>
  <c r="DS208" i="77"/>
  <c r="DS81" i="77"/>
  <c r="DQ208" i="77"/>
  <c r="DQ81" i="77"/>
  <c r="EA2" i="77"/>
  <c r="DW6" i="77"/>
  <c r="DY2" i="77"/>
  <c r="DU6" i="77"/>
  <c r="DZ2" i="77"/>
  <c r="DV6" i="77"/>
  <c r="DX2" i="77"/>
  <c r="DT6" i="77"/>
  <c r="DV208" i="77"/>
  <c r="DV81" i="77"/>
  <c r="DW208" i="77"/>
  <c r="DW81" i="77"/>
  <c r="DT208" i="77"/>
  <c r="DT81" i="77"/>
  <c r="DU208" i="77"/>
  <c r="DU81" i="77"/>
  <c r="EB2" i="77"/>
  <c r="DX6" i="77"/>
  <c r="EC2" i="77"/>
  <c r="DY6" i="77"/>
  <c r="ED2" i="77"/>
  <c r="DZ6" i="77"/>
  <c r="EE2" i="77"/>
  <c r="EA6" i="77"/>
  <c r="DY208" i="77"/>
  <c r="DY81" i="77"/>
  <c r="DZ208" i="77"/>
  <c r="DZ81" i="77"/>
  <c r="DX208" i="77"/>
  <c r="DX81" i="77"/>
  <c r="EA208" i="77"/>
  <c r="EA81" i="77"/>
  <c r="EI2" i="77"/>
  <c r="EE6" i="77"/>
  <c r="EG2" i="77"/>
  <c r="EC6" i="77"/>
  <c r="EH2" i="77"/>
  <c r="ED6" i="77"/>
  <c r="EF2" i="77"/>
  <c r="EB6" i="77"/>
  <c r="ED208" i="77"/>
  <c r="ED81" i="77"/>
  <c r="EE208" i="77"/>
  <c r="EE81" i="77"/>
  <c r="EB208" i="77"/>
  <c r="EB81" i="77"/>
  <c r="EC208" i="77"/>
  <c r="EC81" i="77"/>
  <c r="EJ2" i="77"/>
  <c r="EF6" i="77"/>
  <c r="EK2" i="77"/>
  <c r="EG6" i="77"/>
  <c r="EL2" i="77"/>
  <c r="EH6" i="77"/>
  <c r="EM2" i="77"/>
  <c r="EI6" i="77"/>
  <c r="EI208" i="77"/>
  <c r="EI81" i="77"/>
  <c r="EH208" i="77"/>
  <c r="EH81" i="77"/>
  <c r="EF208" i="77"/>
  <c r="EF81" i="77"/>
  <c r="EG208" i="77"/>
  <c r="EG81" i="77"/>
  <c r="EQ2" i="77"/>
  <c r="EM6" i="77"/>
  <c r="EO2" i="77"/>
  <c r="EK6" i="77"/>
  <c r="EP2" i="77"/>
  <c r="ET2" i="77"/>
  <c r="ET6" i="77"/>
  <c r="EL6" i="77"/>
  <c r="EN2" i="77"/>
  <c r="EJ6" i="77"/>
  <c r="AS23" i="75"/>
  <c r="I279" i="148" s="1"/>
  <c r="M284" i="148" s="1"/>
  <c r="ET81" i="77"/>
  <c r="ET208" i="77"/>
  <c r="ET8" i="77"/>
  <c r="AW1" i="142"/>
  <c r="EK208" i="77"/>
  <c r="EK81" i="77"/>
  <c r="EL208" i="77"/>
  <c r="EL81" i="77"/>
  <c r="EJ208" i="77"/>
  <c r="EJ81" i="77"/>
  <c r="EM208" i="77"/>
  <c r="EM81" i="77"/>
  <c r="ES2" i="77"/>
  <c r="EO6" i="77"/>
  <c r="ER2" i="77"/>
  <c r="EN6" i="77"/>
  <c r="EP6" i="77"/>
  <c r="EU2" i="77"/>
  <c r="EQ6" i="77"/>
  <c r="EQ208" i="77"/>
  <c r="EQ81" i="77"/>
  <c r="EP208" i="77"/>
  <c r="EP81" i="77"/>
  <c r="EO208" i="77"/>
  <c r="EO81" i="77"/>
  <c r="EN208" i="77"/>
  <c r="EN81" i="77"/>
  <c r="EU6" i="77"/>
  <c r="EY2" i="77"/>
  <c r="EV2" i="77"/>
  <c r="ER6" i="77"/>
  <c r="EX2" i="77"/>
  <c r="EW2" i="77"/>
  <c r="ES6" i="77"/>
  <c r="ER208" i="77"/>
  <c r="ER81" i="77"/>
  <c r="ES208" i="77"/>
  <c r="ES81" i="77"/>
  <c r="EU208" i="77"/>
  <c r="EU81" i="77"/>
  <c r="EX6" i="77"/>
  <c r="FB2" i="77"/>
  <c r="FC2" i="77"/>
  <c r="FC6" i="77"/>
  <c r="EY6" i="77"/>
  <c r="EV6" i="77"/>
  <c r="EZ2" i="77"/>
  <c r="FA2" i="77"/>
  <c r="EW6" i="77"/>
  <c r="EX208" i="77"/>
  <c r="EX81" i="77"/>
  <c r="EY8" i="77"/>
  <c r="EY208" i="77"/>
  <c r="EY81" i="77"/>
  <c r="FC8" i="77"/>
  <c r="FC208" i="77"/>
  <c r="FC81" i="77"/>
  <c r="EW208" i="77"/>
  <c r="EW81" i="77"/>
  <c r="EV208" i="77"/>
  <c r="EV81" i="77"/>
  <c r="EZ6" i="77"/>
  <c r="FD2" i="77"/>
  <c r="FD6" i="77"/>
  <c r="FF2" i="77"/>
  <c r="FF6" i="77"/>
  <c r="FB6" i="77"/>
  <c r="FE2" i="77"/>
  <c r="FE6" i="77"/>
  <c r="FA6" i="77"/>
  <c r="AQ66" i="75"/>
  <c r="AQ7" i="75"/>
  <c r="FF8" i="77"/>
  <c r="FF208" i="77"/>
  <c r="FF81" i="77"/>
  <c r="FB8" i="77"/>
  <c r="FB208" i="77"/>
  <c r="FB81" i="77"/>
  <c r="FA8" i="77"/>
  <c r="FA208" i="77"/>
  <c r="FA81" i="77"/>
  <c r="FD8" i="77"/>
  <c r="FD208" i="77"/>
  <c r="FD81" i="77"/>
  <c r="FE8" i="77"/>
  <c r="FE208" i="77"/>
  <c r="FE81" i="77"/>
  <c r="EZ8" i="77"/>
  <c r="EZ208" i="77"/>
  <c r="EZ81" i="77"/>
  <c r="CN6" i="77"/>
  <c r="CN208" i="77" s="1"/>
  <c r="CM6" i="77"/>
  <c r="CM208" i="77" s="1"/>
  <c r="CL6" i="77"/>
  <c r="CK6" i="77"/>
  <c r="CK208" i="77" s="1"/>
  <c r="CJ6" i="77"/>
  <c r="CJ208" i="77" s="1"/>
  <c r="CI6" i="77"/>
  <c r="CH6" i="77"/>
  <c r="CH208" i="77" s="1"/>
  <c r="CG6" i="77"/>
  <c r="CG8" i="77" s="1"/>
  <c r="CG208" i="77"/>
  <c r="CF6" i="77"/>
  <c r="CE6" i="77"/>
  <c r="CE208" i="77" s="1"/>
  <c r="CD6" i="77"/>
  <c r="CD208" i="77"/>
  <c r="CC6" i="77"/>
  <c r="CB6" i="77"/>
  <c r="CB208" i="77" s="1"/>
  <c r="CA6" i="77"/>
  <c r="CA208" i="77" s="1"/>
  <c r="BZ6" i="77"/>
  <c r="BY6" i="77"/>
  <c r="BY208" i="77" s="1"/>
  <c r="BX6" i="77"/>
  <c r="BX208" i="77"/>
  <c r="BW6" i="77"/>
  <c r="BV6" i="77"/>
  <c r="BV208" i="77" s="1"/>
  <c r="BU6" i="77"/>
  <c r="BU208" i="77" s="1"/>
  <c r="BT6" i="77"/>
  <c r="BS6" i="77"/>
  <c r="BS208" i="77" s="1"/>
  <c r="BR6" i="77"/>
  <c r="BR208" i="77" s="1"/>
  <c r="BQ6" i="77"/>
  <c r="BP6" i="77"/>
  <c r="BP208" i="77" s="1"/>
  <c r="BO6" i="77"/>
  <c r="BO208" i="77"/>
  <c r="BN6" i="77"/>
  <c r="BM6" i="77"/>
  <c r="BM208" i="77" s="1"/>
  <c r="BL6" i="77"/>
  <c r="BL208" i="77" s="1"/>
  <c r="BK6" i="77"/>
  <c r="BJ6" i="77"/>
  <c r="BJ208" i="77" s="1"/>
  <c r="BI6" i="77"/>
  <c r="BI208" i="77" s="1"/>
  <c r="BH6" i="77"/>
  <c r="BH81" i="77" s="1"/>
  <c r="BG6" i="77"/>
  <c r="BG208" i="77" s="1"/>
  <c r="BF6" i="77"/>
  <c r="BF208" i="77" s="1"/>
  <c r="BE6" i="77"/>
  <c r="BE81" i="77" s="1"/>
  <c r="BD6" i="77"/>
  <c r="BD208" i="77" s="1"/>
  <c r="BC6" i="77"/>
  <c r="BC208" i="77" s="1"/>
  <c r="BB6" i="77"/>
  <c r="BA6" i="77"/>
  <c r="BA208" i="77" s="1"/>
  <c r="AZ6" i="77"/>
  <c r="AZ208" i="77" s="1"/>
  <c r="AY6" i="77"/>
  <c r="AX6" i="77"/>
  <c r="AX208" i="77" s="1"/>
  <c r="AW6" i="77"/>
  <c r="AW81" i="77" s="1"/>
  <c r="AW208" i="77"/>
  <c r="AV6" i="77"/>
  <c r="AU6" i="77"/>
  <c r="AU208" i="77" s="1"/>
  <c r="AT6" i="77"/>
  <c r="AT208" i="77" s="1"/>
  <c r="AS6" i="77"/>
  <c r="AR6" i="77"/>
  <c r="AR208" i="77" s="1"/>
  <c r="AQ6" i="77"/>
  <c r="AQ208" i="77" s="1"/>
  <c r="AP6" i="77"/>
  <c r="AO6" i="77"/>
  <c r="AO208" i="77" s="1"/>
  <c r="AN6" i="77"/>
  <c r="AN81" i="77" s="1"/>
  <c r="AN208" i="77"/>
  <c r="AM6" i="77"/>
  <c r="AL6" i="77"/>
  <c r="AL208" i="77" s="1"/>
  <c r="AK6" i="77"/>
  <c r="AK208" i="77" s="1"/>
  <c r="AJ6" i="77"/>
  <c r="AI6" i="77"/>
  <c r="AI208" i="77" s="1"/>
  <c r="AH6" i="77"/>
  <c r="AH208" i="77" s="1"/>
  <c r="AG6" i="77"/>
  <c r="AG81" i="77" s="1"/>
  <c r="C6" i="77"/>
  <c r="C208" i="77" s="1"/>
  <c r="B3" i="77"/>
  <c r="B2" i="77"/>
  <c r="AW66" i="75"/>
  <c r="AV66" i="75"/>
  <c r="AU66" i="75"/>
  <c r="AT66" i="75"/>
  <c r="AR66" i="75"/>
  <c r="AP66" i="75"/>
  <c r="AO66" i="75"/>
  <c r="AN66" i="75"/>
  <c r="AM66" i="75"/>
  <c r="AL66" i="75"/>
  <c r="AK66" i="75"/>
  <c r="AJ66" i="75"/>
  <c r="AI66" i="75"/>
  <c r="AH66" i="75"/>
  <c r="AG66" i="75"/>
  <c r="AF66" i="75"/>
  <c r="AE66" i="75"/>
  <c r="AD66" i="75"/>
  <c r="AC66" i="75"/>
  <c r="AB66" i="75"/>
  <c r="AA66" i="75"/>
  <c r="Z66" i="75"/>
  <c r="Y66" i="75"/>
  <c r="X66" i="75"/>
  <c r="W66" i="75"/>
  <c r="V66" i="75"/>
  <c r="AW7" i="75"/>
  <c r="AV7" i="75"/>
  <c r="AS7" i="75"/>
  <c r="AR7" i="75"/>
  <c r="AP7" i="75"/>
  <c r="AO7" i="75"/>
  <c r="AN7" i="75"/>
  <c r="AM7" i="75"/>
  <c r="AL7" i="75"/>
  <c r="AK7" i="75"/>
  <c r="AJ7" i="75"/>
  <c r="AI7" i="75"/>
  <c r="AH7" i="75"/>
  <c r="AG7" i="75"/>
  <c r="AF7" i="75"/>
  <c r="AE7" i="75"/>
  <c r="AD7" i="75"/>
  <c r="AC7" i="75"/>
  <c r="AB7" i="75"/>
  <c r="AA7" i="75"/>
  <c r="Z7" i="75"/>
  <c r="Y7" i="75"/>
  <c r="X7" i="75"/>
  <c r="W7" i="75"/>
  <c r="V7" i="75"/>
  <c r="D6" i="77"/>
  <c r="D81" i="77" s="1"/>
  <c r="AK8" i="77"/>
  <c r="AO8" i="77"/>
  <c r="AU8" i="77"/>
  <c r="AW8" i="77"/>
  <c r="BC8" i="77"/>
  <c r="BO8" i="77"/>
  <c r="BU8" i="77"/>
  <c r="BY8" i="77"/>
  <c r="CE8" i="77"/>
  <c r="CM8" i="77"/>
  <c r="AH81" i="77"/>
  <c r="AL81" i="77"/>
  <c r="AV81" i="77"/>
  <c r="AX81" i="77"/>
  <c r="AZ81" i="77"/>
  <c r="BF81" i="77"/>
  <c r="BX81" i="77"/>
  <c r="CD81" i="77"/>
  <c r="CF81" i="77"/>
  <c r="CJ81" i="77"/>
  <c r="AH8" i="77"/>
  <c r="AN8" i="77"/>
  <c r="AZ8" i="77"/>
  <c r="BD8" i="77"/>
  <c r="BF8" i="77"/>
  <c r="BL8" i="77"/>
  <c r="BP8" i="77"/>
  <c r="BX8" i="77"/>
  <c r="CD8" i="77"/>
  <c r="CH8" i="77"/>
  <c r="CJ8" i="77"/>
  <c r="AK81" i="77"/>
  <c r="AU81" i="77"/>
  <c r="BI81" i="77"/>
  <c r="BO81" i="77"/>
  <c r="BQ81" i="77"/>
  <c r="BU81" i="77"/>
  <c r="CE81" i="77"/>
  <c r="CG81" i="77"/>
  <c r="CM81" i="77"/>
  <c r="E6" i="77"/>
  <c r="EV8" i="77"/>
  <c r="ER8" i="77"/>
  <c r="AU1" i="142"/>
  <c r="EN8" i="77"/>
  <c r="AQ1" i="142"/>
  <c r="EJ8" i="77"/>
  <c r="AM1" i="142"/>
  <c r="EF8" i="77"/>
  <c r="AI1" i="142"/>
  <c r="EB8" i="77"/>
  <c r="AE1" i="142"/>
  <c r="DX8" i="77"/>
  <c r="AA1" i="142"/>
  <c r="DT8" i="77"/>
  <c r="W1" i="142"/>
  <c r="DP8" i="77"/>
  <c r="S1" i="142"/>
  <c r="DL8" i="77"/>
  <c r="O1" i="142"/>
  <c r="DH8" i="77"/>
  <c r="DD8" i="77"/>
  <c r="CZ8" i="77"/>
  <c r="CV8" i="77"/>
  <c r="CR8" i="77"/>
  <c r="EW8" i="77"/>
  <c r="ES8" i="77"/>
  <c r="AV1" i="142"/>
  <c r="EO8" i="77"/>
  <c r="AR1" i="142"/>
  <c r="EK8" i="77"/>
  <c r="AN1" i="142"/>
  <c r="EG8" i="77"/>
  <c r="AJ1" i="142"/>
  <c r="EC8" i="77"/>
  <c r="AF1" i="142"/>
  <c r="DY8" i="77"/>
  <c r="AB1" i="142"/>
  <c r="DU8" i="77"/>
  <c r="X1" i="142"/>
  <c r="DQ8" i="77"/>
  <c r="T1" i="142"/>
  <c r="DM8" i="77"/>
  <c r="P1" i="142"/>
  <c r="DI8" i="77"/>
  <c r="DE8" i="77"/>
  <c r="DA8" i="77"/>
  <c r="CW8" i="77"/>
  <c r="CS8" i="77"/>
  <c r="F6" i="77"/>
  <c r="EX8" i="77"/>
  <c r="EP8" i="77"/>
  <c r="AS1" i="142"/>
  <c r="EL8" i="77"/>
  <c r="AO1" i="142"/>
  <c r="EH8" i="77"/>
  <c r="AK1" i="142"/>
  <c r="ED8" i="77"/>
  <c r="AG1" i="142"/>
  <c r="DZ8" i="77"/>
  <c r="AC1" i="142"/>
  <c r="DV8" i="77"/>
  <c r="Y1" i="142"/>
  <c r="DR8" i="77"/>
  <c r="U1" i="142"/>
  <c r="DN8" i="77"/>
  <c r="Q1" i="142"/>
  <c r="DJ8" i="77"/>
  <c r="DF8" i="77"/>
  <c r="DB8" i="77"/>
  <c r="CX8" i="77"/>
  <c r="CT8" i="77"/>
  <c r="EU8" i="77"/>
  <c r="EQ8" i="77"/>
  <c r="AT1" i="142"/>
  <c r="EM8" i="77"/>
  <c r="AP1" i="142"/>
  <c r="EI8" i="77"/>
  <c r="AL1" i="142"/>
  <c r="EE8" i="77"/>
  <c r="AH1" i="142"/>
  <c r="EA8" i="77"/>
  <c r="AD1" i="142"/>
  <c r="DW8" i="77"/>
  <c r="Z1" i="142"/>
  <c r="DS8" i="77"/>
  <c r="V1" i="142"/>
  <c r="DO8" i="77"/>
  <c r="R1" i="142"/>
  <c r="DK8" i="77"/>
  <c r="N1" i="142"/>
  <c r="DG8" i="77"/>
  <c r="DC8" i="77"/>
  <c r="CY8" i="77"/>
  <c r="CU8" i="77"/>
  <c r="CQ8" i="77"/>
  <c r="D208" i="77"/>
  <c r="X13" i="75"/>
  <c r="Y13" i="75"/>
  <c r="W13" i="75"/>
  <c r="AB13" i="75"/>
  <c r="AA13" i="75"/>
  <c r="AC13" i="75"/>
  <c r="AF13" i="75"/>
  <c r="AG13" i="75"/>
  <c r="AE13" i="75"/>
  <c r="AI13" i="75"/>
  <c r="AJ13" i="75"/>
  <c r="AK13" i="75"/>
  <c r="AN13" i="75"/>
  <c r="AO13" i="75"/>
  <c r="AM13" i="75"/>
  <c r="AR13" i="75"/>
  <c r="AQ13" i="75"/>
  <c r="CI193" i="77"/>
  <c r="CI192" i="77"/>
  <c r="BB86" i="77"/>
  <c r="CB151" i="77"/>
  <c r="BD151" i="77"/>
  <c r="BZ168" i="77"/>
  <c r="BJ168" i="77"/>
  <c r="CC168" i="77"/>
  <c r="BM168" i="77"/>
  <c r="CE168" i="77"/>
  <c r="BO168" i="77"/>
  <c r="CE189" i="77"/>
  <c r="BO189" i="77"/>
  <c r="CH189" i="77"/>
  <c r="BM189" i="77"/>
  <c r="BF189" i="77"/>
  <c r="BU189" i="77"/>
  <c r="BZ189" i="77"/>
  <c r="BX86" i="77"/>
  <c r="CA125" i="77"/>
  <c r="BK125" i="77"/>
  <c r="BV125" i="77"/>
  <c r="BU125" i="77"/>
  <c r="BZ125" i="77"/>
  <c r="CG125" i="77"/>
  <c r="BA125" i="77"/>
  <c r="BS99" i="77"/>
  <c r="BC99" i="77"/>
  <c r="BV99" i="77"/>
  <c r="BF99" i="77"/>
  <c r="BY99" i="77"/>
  <c r="BI99" i="77"/>
  <c r="CA146" i="77"/>
  <c r="BK146" i="77"/>
  <c r="CD146" i="77"/>
  <c r="BN146" i="77"/>
  <c r="CG146" i="77"/>
  <c r="BQ146" i="77"/>
  <c r="BA146" i="77"/>
  <c r="BS169" i="77"/>
  <c r="BC169" i="77"/>
  <c r="BU169" i="77"/>
  <c r="BE169" i="77"/>
  <c r="BB169" i="77"/>
  <c r="BJ169" i="77"/>
  <c r="BU139" i="77"/>
  <c r="BS139" i="77"/>
  <c r="BC139" i="77"/>
  <c r="BB139" i="77"/>
  <c r="BA139" i="77"/>
  <c r="BV139" i="77"/>
  <c r="CD128" i="77"/>
  <c r="BN128" i="77"/>
  <c r="CG128" i="77"/>
  <c r="BQ128" i="77"/>
  <c r="BA128" i="77"/>
  <c r="BC128" i="77"/>
  <c r="BG128" i="77"/>
  <c r="BV100" i="77"/>
  <c r="BF100" i="77"/>
  <c r="BY100" i="77"/>
  <c r="BI100" i="77"/>
  <c r="CA100" i="77"/>
  <c r="BK100" i="77"/>
  <c r="CC147" i="77"/>
  <c r="BM147" i="77"/>
  <c r="CE147" i="77"/>
  <c r="BO147" i="77"/>
  <c r="CD147" i="77"/>
  <c r="BV147" i="77"/>
  <c r="BB147" i="77"/>
  <c r="BO182" i="77"/>
  <c r="BY182" i="77"/>
  <c r="BC182" i="77"/>
  <c r="BQ182" i="77"/>
  <c r="BW182" i="77"/>
  <c r="BM182" i="77"/>
  <c r="CD198" i="77"/>
  <c r="BN198" i="77"/>
  <c r="CC198" i="77"/>
  <c r="CA198" i="77"/>
  <c r="CE198" i="77"/>
  <c r="BI198" i="77"/>
  <c r="BQ198" i="77"/>
  <c r="BT86" i="77"/>
  <c r="CH114" i="77"/>
  <c r="BR114" i="77"/>
  <c r="BB114" i="77"/>
  <c r="BU114" i="77"/>
  <c r="BE114" i="77"/>
  <c r="BW114" i="77"/>
  <c r="BG114" i="77"/>
  <c r="BA86" i="77"/>
  <c r="BP151" i="77"/>
  <c r="BV168" i="77"/>
  <c r="BF168" i="77"/>
  <c r="BY168" i="77"/>
  <c r="BI168" i="77"/>
  <c r="CA168" i="77"/>
  <c r="BK168" i="77"/>
  <c r="CA189" i="77"/>
  <c r="BK189" i="77"/>
  <c r="CC189" i="77"/>
  <c r="BV189" i="77"/>
  <c r="BA189" i="77"/>
  <c r="BN189" i="77"/>
  <c r="BE189" i="77"/>
  <c r="BH125" i="77"/>
  <c r="BW125" i="77"/>
  <c r="BG125" i="77"/>
  <c r="BN125" i="77"/>
  <c r="BM125" i="77"/>
  <c r="BR125" i="77"/>
  <c r="BY125" i="77"/>
  <c r="CE99" i="77"/>
  <c r="BO99" i="77"/>
  <c r="CH99" i="77"/>
  <c r="BR99" i="77"/>
  <c r="BB99" i="77"/>
  <c r="BU99" i="77"/>
  <c r="BE99" i="77"/>
  <c r="BW146" i="77"/>
  <c r="BG146" i="77"/>
  <c r="BZ146" i="77"/>
  <c r="BJ146" i="77"/>
  <c r="CC146" i="77"/>
  <c r="BM146" i="77"/>
  <c r="CE169" i="77"/>
  <c r="BO169" i="77"/>
  <c r="CG169" i="77"/>
  <c r="BQ169" i="77"/>
  <c r="BA169" i="77"/>
  <c r="CD169" i="77"/>
  <c r="BV169" i="77"/>
  <c r="CG139" i="77"/>
  <c r="CE139" i="77"/>
  <c r="BO139" i="77"/>
  <c r="CH139" i="77"/>
  <c r="CD139" i="77"/>
  <c r="BZ139" i="77"/>
  <c r="BM139" i="77"/>
  <c r="BZ128" i="77"/>
  <c r="BJ128" i="77"/>
  <c r="CC128" i="77"/>
  <c r="BM128" i="77"/>
  <c r="CA128" i="77"/>
  <c r="CE128" i="77"/>
  <c r="CH100" i="77"/>
  <c r="BR100" i="77"/>
  <c r="BB100" i="77"/>
  <c r="BU100" i="77"/>
  <c r="BE100" i="77"/>
  <c r="BW100" i="77"/>
  <c r="BG100" i="77"/>
  <c r="BY147" i="77"/>
  <c r="BI147" i="77"/>
  <c r="CA147" i="77"/>
  <c r="BK147" i="77"/>
  <c r="BN147" i="77"/>
  <c r="BF147" i="77"/>
  <c r="CE182" i="77"/>
  <c r="BJ182" i="77"/>
  <c r="BS182" i="77"/>
  <c r="CG182" i="77"/>
  <c r="BK182" i="77"/>
  <c r="BB182" i="77"/>
  <c r="CC182" i="77"/>
  <c r="BZ198" i="77"/>
  <c r="BJ198" i="77"/>
  <c r="BU198" i="77"/>
  <c r="BS198" i="77"/>
  <c r="BW198" i="77"/>
  <c r="CG198" i="77"/>
  <c r="CB86" i="77"/>
  <c r="CF151" i="77"/>
  <c r="BH151" i="77"/>
  <c r="CH168" i="77"/>
  <c r="BR168" i="77"/>
  <c r="BB168" i="77"/>
  <c r="BW168" i="77"/>
  <c r="BG168" i="77"/>
  <c r="BW189" i="77"/>
  <c r="BG189" i="77"/>
  <c r="BB189" i="77"/>
  <c r="BQ189" i="77"/>
  <c r="CD189" i="77"/>
  <c r="BI189" i="77"/>
  <c r="BH86" i="77"/>
  <c r="BS125" i="77"/>
  <c r="BC125" i="77"/>
  <c r="BF125" i="77"/>
  <c r="BE125" i="77"/>
  <c r="BJ125" i="77"/>
  <c r="BQ125" i="77"/>
  <c r="CA99" i="77"/>
  <c r="BK99" i="77"/>
  <c r="CD99" i="77"/>
  <c r="BN99" i="77"/>
  <c r="CG99" i="77"/>
  <c r="BQ99" i="77"/>
  <c r="BA99" i="77"/>
  <c r="BS146" i="77"/>
  <c r="BC146" i="77"/>
  <c r="BV146" i="77"/>
  <c r="CA169" i="77"/>
  <c r="BK169" i="77"/>
  <c r="CC169" i="77"/>
  <c r="BM169" i="77"/>
  <c r="CH169" i="77"/>
  <c r="BN169" i="77"/>
  <c r="BF169" i="77"/>
  <c r="CC139" i="77"/>
  <c r="CA139" i="77"/>
  <c r="BK139" i="77"/>
  <c r="BR139" i="77"/>
  <c r="BQ139" i="77"/>
  <c r="BN139" i="77"/>
  <c r="BE139" i="77"/>
  <c r="BV128" i="77"/>
  <c r="BF128" i="77"/>
  <c r="BY128" i="77"/>
  <c r="BI128" i="77"/>
  <c r="BS128" i="77"/>
  <c r="BW128" i="77"/>
  <c r="CD100" i="77"/>
  <c r="BN100" i="77"/>
  <c r="CG100" i="77"/>
  <c r="BQ100" i="77"/>
  <c r="BA100" i="77"/>
  <c r="BS100" i="77"/>
  <c r="BC100" i="77"/>
  <c r="BU147" i="77"/>
  <c r="BE147" i="77"/>
  <c r="BW147" i="77"/>
  <c r="BG147" i="77"/>
  <c r="BZ147" i="77"/>
  <c r="CH147" i="77"/>
  <c r="BZ182" i="77"/>
  <c r="BE182" i="77"/>
  <c r="BN182" i="77"/>
  <c r="CA182" i="77"/>
  <c r="BF182" i="77"/>
  <c r="BR182" i="77"/>
  <c r="BG182" i="77"/>
  <c r="BV198" i="77"/>
  <c r="BF198" i="77"/>
  <c r="BM198" i="77"/>
  <c r="BK198" i="77"/>
  <c r="BO198" i="77"/>
  <c r="BA198" i="77"/>
  <c r="BD86" i="77"/>
  <c r="BV86" i="77"/>
  <c r="BL151" i="77"/>
  <c r="BT151" i="77"/>
  <c r="BX151" i="77"/>
  <c r="CD168" i="77"/>
  <c r="BS168" i="77"/>
  <c r="BC168" i="77"/>
  <c r="BP168" i="77"/>
  <c r="BS189" i="77"/>
  <c r="BC189" i="77"/>
  <c r="BR189" i="77"/>
  <c r="CG189" i="77"/>
  <c r="BY189" i="77"/>
  <c r="BJ189" i="77"/>
  <c r="BP86" i="77"/>
  <c r="BO125" i="77"/>
  <c r="CD125" i="77"/>
  <c r="CH125" i="77"/>
  <c r="BB125" i="77"/>
  <c r="BI125" i="77"/>
  <c r="BW99" i="77"/>
  <c r="BG99" i="77"/>
  <c r="BZ99" i="77"/>
  <c r="BJ99" i="77"/>
  <c r="CC99" i="77"/>
  <c r="BM99" i="77"/>
  <c r="CE146" i="77"/>
  <c r="BO146" i="77"/>
  <c r="BR146" i="77"/>
  <c r="BB146" i="77"/>
  <c r="BU146" i="77"/>
  <c r="BE146" i="77"/>
  <c r="BW169" i="77"/>
  <c r="BG169" i="77"/>
  <c r="BY169" i="77"/>
  <c r="BI169" i="77"/>
  <c r="BR169" i="77"/>
  <c r="BZ169" i="77"/>
  <c r="BY139" i="77"/>
  <c r="BW139" i="77"/>
  <c r="BG139" i="77"/>
  <c r="BJ139" i="77"/>
  <c r="BI139" i="77"/>
  <c r="BF139" i="77"/>
  <c r="CH128" i="77"/>
  <c r="BR128" i="77"/>
  <c r="BB128" i="77"/>
  <c r="BU128" i="77"/>
  <c r="BE128" i="77"/>
  <c r="BK128" i="77"/>
  <c r="BO128" i="77"/>
  <c r="BZ100" i="77"/>
  <c r="BJ100" i="77"/>
  <c r="CC100" i="77"/>
  <c r="BM100" i="77"/>
  <c r="CE100" i="77"/>
  <c r="BO100" i="77"/>
  <c r="CG147" i="77"/>
  <c r="BQ147" i="77"/>
  <c r="BA147" i="77"/>
  <c r="BS147" i="77"/>
  <c r="BC147" i="77"/>
  <c r="BJ147" i="77"/>
  <c r="BR147" i="77"/>
  <c r="BU182" i="77"/>
  <c r="CD182" i="77"/>
  <c r="BI182" i="77"/>
  <c r="BV182" i="77"/>
  <c r="BA182" i="77"/>
  <c r="CH182" i="77"/>
  <c r="CH198" i="77"/>
  <c r="BR198" i="77"/>
  <c r="BB198" i="77"/>
  <c r="BE198" i="77"/>
  <c r="BC198" i="77"/>
  <c r="BG198" i="77"/>
  <c r="BY198" i="77"/>
  <c r="BL86" i="77"/>
  <c r="BV114" i="77"/>
  <c r="CD114" i="77"/>
  <c r="BF114" i="77"/>
  <c r="BQ114" i="77"/>
  <c r="BS114" i="77"/>
  <c r="CE101" i="77"/>
  <c r="BO101" i="77"/>
  <c r="CH101" i="77"/>
  <c r="BR101" i="77"/>
  <c r="BB101" i="77"/>
  <c r="BU101" i="77"/>
  <c r="BE101" i="77"/>
  <c r="BW165" i="77"/>
  <c r="BG165" i="77"/>
  <c r="BY165" i="77"/>
  <c r="BI165" i="77"/>
  <c r="BF165" i="77"/>
  <c r="CD165" i="77"/>
  <c r="BZ177" i="77"/>
  <c r="BJ177" i="77"/>
  <c r="BG177" i="77"/>
  <c r="BU177" i="77"/>
  <c r="CC177" i="77"/>
  <c r="BI177" i="77"/>
  <c r="CA192" i="77"/>
  <c r="BK192" i="77"/>
  <c r="CC192" i="77"/>
  <c r="BM192" i="77"/>
  <c r="CD192" i="77"/>
  <c r="BR192" i="77"/>
  <c r="BZ192" i="77"/>
  <c r="BU193" i="77"/>
  <c r="BE193" i="77"/>
  <c r="BW193" i="77"/>
  <c r="BG193" i="77"/>
  <c r="BR193" i="77"/>
  <c r="BV193" i="77"/>
  <c r="BA114" i="77"/>
  <c r="CA114" i="77"/>
  <c r="BS101" i="77"/>
  <c r="BC101" i="77"/>
  <c r="BY101" i="77"/>
  <c r="CC165" i="77"/>
  <c r="BB165" i="77"/>
  <c r="BM177" i="77"/>
  <c r="CE192" i="77"/>
  <c r="CG192" i="77"/>
  <c r="BA192" i="77"/>
  <c r="BY193" i="77"/>
  <c r="BK193" i="77"/>
  <c r="CD193" i="77"/>
  <c r="BZ114" i="77"/>
  <c r="CG114" i="77"/>
  <c r="BM114" i="77"/>
  <c r="BO114" i="77"/>
  <c r="CA101" i="77"/>
  <c r="BK101" i="77"/>
  <c r="CD101" i="77"/>
  <c r="BN101" i="77"/>
  <c r="CG101" i="77"/>
  <c r="BQ101" i="77"/>
  <c r="BA101" i="77"/>
  <c r="BS165" i="77"/>
  <c r="BC165" i="77"/>
  <c r="BU165" i="77"/>
  <c r="CH165" i="77"/>
  <c r="BN165" i="77"/>
  <c r="BV177" i="77"/>
  <c r="BF177" i="77"/>
  <c r="BW177" i="77"/>
  <c r="BA177" i="77"/>
  <c r="BC177" i="77"/>
  <c r="BY177" i="77"/>
  <c r="BW192" i="77"/>
  <c r="BG192" i="77"/>
  <c r="BI192" i="77"/>
  <c r="BV192" i="77"/>
  <c r="BJ192" i="77"/>
  <c r="CG193" i="77"/>
  <c r="BQ193" i="77"/>
  <c r="BA193" i="77"/>
  <c r="BS193" i="77"/>
  <c r="BC193" i="77"/>
  <c r="BJ193" i="77"/>
  <c r="BN193" i="77"/>
  <c r="BJ114" i="77"/>
  <c r="BF101" i="77"/>
  <c r="BK165" i="77"/>
  <c r="BV165" i="77"/>
  <c r="BN177" i="77"/>
  <c r="CA177" i="77"/>
  <c r="CE177" i="77"/>
  <c r="BO192" i="77"/>
  <c r="BQ192" i="77"/>
  <c r="BF192" i="77"/>
  <c r="BB192" i="77"/>
  <c r="CA193" i="77"/>
  <c r="BZ193" i="77"/>
  <c r="BN114" i="77"/>
  <c r="CC114" i="77"/>
  <c r="BI114" i="77"/>
  <c r="CE114" i="77"/>
  <c r="BK114" i="77"/>
  <c r="BW101" i="77"/>
  <c r="BG101" i="77"/>
  <c r="BZ101" i="77"/>
  <c r="BJ101" i="77"/>
  <c r="CC101" i="77"/>
  <c r="BM101" i="77"/>
  <c r="CE165" i="77"/>
  <c r="BO165" i="77"/>
  <c r="BQ165" i="77"/>
  <c r="BA165" i="77"/>
  <c r="BR165" i="77"/>
  <c r="BZ165" i="77"/>
  <c r="CH177" i="77"/>
  <c r="BR177" i="77"/>
  <c r="BB177" i="77"/>
  <c r="BQ177" i="77"/>
  <c r="BK177" i="77"/>
  <c r="BS177" i="77"/>
  <c r="BO177" i="77"/>
  <c r="BS192" i="77"/>
  <c r="BC192" i="77"/>
  <c r="BU192" i="77"/>
  <c r="BE192" i="77"/>
  <c r="BN192" i="77"/>
  <c r="CH192" i="77"/>
  <c r="CC193" i="77"/>
  <c r="BM193" i="77"/>
  <c r="CE193" i="77"/>
  <c r="BO193" i="77"/>
  <c r="CH193" i="77"/>
  <c r="BB193" i="77"/>
  <c r="BF193" i="77"/>
  <c r="BY114" i="77"/>
  <c r="BC114" i="77"/>
  <c r="BV101" i="77"/>
  <c r="BI101" i="77"/>
  <c r="CA165" i="77"/>
  <c r="BM165" i="77"/>
  <c r="BJ165" i="77"/>
  <c r="CD177" i="77"/>
  <c r="CG177" i="77"/>
  <c r="BE177" i="77"/>
  <c r="BI193" i="77"/>
  <c r="CI177" i="77"/>
  <c r="CI189" i="77"/>
  <c r="CI198" i="77"/>
  <c r="CI169" i="77"/>
  <c r="CI182" i="77"/>
  <c r="CI168" i="77"/>
  <c r="CI147" i="77"/>
  <c r="CI146" i="77"/>
  <c r="CI101" i="77"/>
  <c r="CI99" i="77"/>
  <c r="CI100" i="77"/>
  <c r="CI114" i="77"/>
  <c r="CI125" i="77"/>
  <c r="CI139" i="77"/>
  <c r="CI128" i="77"/>
  <c r="AF42" i="75"/>
  <c r="W42" i="75"/>
  <c r="AC42" i="75"/>
  <c r="AK42" i="75"/>
  <c r="AB42" i="75"/>
  <c r="AI42" i="75"/>
  <c r="AG42" i="75"/>
  <c r="X42" i="75"/>
  <c r="AE42" i="75"/>
  <c r="AA42" i="75"/>
  <c r="AJ42" i="75"/>
  <c r="Y42" i="75"/>
  <c r="AI23" i="75"/>
  <c r="X23" i="75"/>
  <c r="AK23" i="75"/>
  <c r="AE23" i="75"/>
  <c r="AJ23" i="75"/>
  <c r="AG23" i="75"/>
  <c r="AA23" i="75"/>
  <c r="AF23" i="75"/>
  <c r="AB23" i="75"/>
  <c r="W23" i="75"/>
  <c r="Y23" i="75"/>
  <c r="AC23" i="75"/>
  <c r="AN42" i="75"/>
  <c r="AM42" i="75"/>
  <c r="AR42" i="75"/>
  <c r="AO42" i="75"/>
  <c r="AQ42" i="75"/>
  <c r="AM23" i="75"/>
  <c r="C279" i="148" s="1"/>
  <c r="AN23" i="75"/>
  <c r="D279" i="148" s="1"/>
  <c r="AO23" i="75"/>
  <c r="E279" i="148" s="1"/>
  <c r="AQ23" i="75"/>
  <c r="G279" i="148" s="1"/>
  <c r="K284" i="148" s="1"/>
  <c r="H279" i="148"/>
  <c r="L284" i="148" s="1"/>
  <c r="G6" i="77"/>
  <c r="F208" i="77"/>
  <c r="F81" i="77"/>
  <c r="F8" i="77"/>
  <c r="CJ128" i="77"/>
  <c r="CJ168" i="77"/>
  <c r="CJ139" i="77"/>
  <c r="CJ123" i="77"/>
  <c r="CJ192" i="77"/>
  <c r="CJ98" i="77"/>
  <c r="CJ125" i="77"/>
  <c r="CJ99" i="77"/>
  <c r="Z13" i="75"/>
  <c r="E13" i="75"/>
  <c r="CJ100" i="77"/>
  <c r="CJ96" i="77"/>
  <c r="CJ120" i="77"/>
  <c r="AH13" i="75"/>
  <c r="G13" i="75"/>
  <c r="AP13" i="75"/>
  <c r="CJ151" i="77"/>
  <c r="CJ182" i="77"/>
  <c r="CJ191" i="77"/>
  <c r="AL13" i="75"/>
  <c r="H13" i="75"/>
  <c r="CJ147" i="77"/>
  <c r="CJ189" i="77"/>
  <c r="CJ198" i="77"/>
  <c r="CJ86" i="77"/>
  <c r="CJ200" i="77"/>
  <c r="CJ114" i="77"/>
  <c r="CJ146" i="77"/>
  <c r="CJ165" i="77"/>
  <c r="CJ169" i="77"/>
  <c r="CJ196" i="77"/>
  <c r="CJ177" i="77"/>
  <c r="CJ193" i="77"/>
  <c r="CJ101" i="77"/>
  <c r="AD13" i="75"/>
  <c r="F13" i="75"/>
  <c r="V13" i="75"/>
  <c r="D13" i="75"/>
  <c r="AP23" i="75"/>
  <c r="F279" i="148" s="1"/>
  <c r="CJ23" i="77"/>
  <c r="CH23" i="77"/>
  <c r="CI23" i="77"/>
  <c r="CG23" i="77"/>
  <c r="AP42" i="75"/>
  <c r="CG42" i="77"/>
  <c r="CH42" i="77"/>
  <c r="CJ42" i="77"/>
  <c r="CI42" i="77"/>
  <c r="CG40" i="77"/>
  <c r="CJ40" i="77"/>
  <c r="CH40" i="77"/>
  <c r="CI40" i="77"/>
  <c r="BD10" i="77"/>
  <c r="BA10" i="77"/>
  <c r="BB10" i="77"/>
  <c r="BC10" i="77"/>
  <c r="BG10" i="77"/>
  <c r="BE10" i="77"/>
  <c r="BF10" i="77"/>
  <c r="BH10" i="77"/>
  <c r="BL23" i="77"/>
  <c r="BK23" i="77"/>
  <c r="BI23" i="77"/>
  <c r="BJ23" i="77"/>
  <c r="AL23" i="75"/>
  <c r="B279" i="148" s="1"/>
  <c r="CE23" i="77"/>
  <c r="CD23" i="77"/>
  <c r="CC23" i="77"/>
  <c r="CF23" i="77"/>
  <c r="BA37" i="77"/>
  <c r="BB37" i="77"/>
  <c r="BC37" i="77"/>
  <c r="BD37" i="77"/>
  <c r="BJ36" i="77"/>
  <c r="BL36" i="77"/>
  <c r="BI36" i="77"/>
  <c r="BK36" i="77"/>
  <c r="BG42" i="77"/>
  <c r="BF42" i="77"/>
  <c r="BH42" i="77"/>
  <c r="BE42" i="77"/>
  <c r="BQ45" i="77"/>
  <c r="BT45" i="77"/>
  <c r="BS45" i="77"/>
  <c r="BR45" i="77"/>
  <c r="BF40" i="77"/>
  <c r="BG40" i="77"/>
  <c r="BE40" i="77"/>
  <c r="BH40" i="77"/>
  <c r="CA44" i="77"/>
  <c r="CB44" i="77"/>
  <c r="BZ44" i="77"/>
  <c r="BY44" i="77"/>
  <c r="BR46" i="77"/>
  <c r="BS46" i="77"/>
  <c r="BT46" i="77"/>
  <c r="BQ46" i="77"/>
  <c r="AD42" i="75"/>
  <c r="BW42" i="77"/>
  <c r="BX42" i="77"/>
  <c r="BU42" i="77"/>
  <c r="BV42" i="77"/>
  <c r="BG44" i="77"/>
  <c r="BF44" i="77"/>
  <c r="BE44" i="77"/>
  <c r="BH44" i="77"/>
  <c r="BM39" i="77"/>
  <c r="BN39" i="77"/>
  <c r="BO39" i="77"/>
  <c r="BP39" i="77"/>
  <c r="BE43" i="77"/>
  <c r="BF43" i="77"/>
  <c r="BH43" i="77"/>
  <c r="BG43" i="77"/>
  <c r="BG45" i="77"/>
  <c r="BH45" i="77"/>
  <c r="BF45" i="77"/>
  <c r="BE45" i="77"/>
  <c r="BK55" i="77"/>
  <c r="BJ55" i="77"/>
  <c r="BI55" i="77"/>
  <c r="BL55" i="77"/>
  <c r="BY43" i="77"/>
  <c r="CB43" i="77"/>
  <c r="CA43" i="77"/>
  <c r="BZ43" i="77"/>
  <c r="CB45" i="77"/>
  <c r="BZ45" i="77"/>
  <c r="BY45" i="77"/>
  <c r="CA45" i="77"/>
  <c r="BO40" i="77"/>
  <c r="BM40" i="77"/>
  <c r="BN40" i="77"/>
  <c r="BP40" i="77"/>
  <c r="CI86" i="77"/>
  <c r="BL96" i="77"/>
  <c r="BP96" i="77"/>
  <c r="D107" i="75"/>
  <c r="CJ286" i="77"/>
  <c r="CH286" i="77"/>
  <c r="CG286" i="77"/>
  <c r="CI286" i="77"/>
  <c r="CI256" i="77"/>
  <c r="CJ256" i="77"/>
  <c r="CH256" i="77"/>
  <c r="CG256" i="77"/>
  <c r="CI246" i="77"/>
  <c r="CG246" i="77"/>
  <c r="CJ246" i="77"/>
  <c r="CH246" i="77"/>
  <c r="CJ303" i="77"/>
  <c r="CH303" i="77"/>
  <c r="CG303" i="77"/>
  <c r="CI303" i="77"/>
  <c r="CG284" i="77"/>
  <c r="CI284" i="77"/>
  <c r="CJ284" i="77"/>
  <c r="CH284" i="77"/>
  <c r="CG289" i="77"/>
  <c r="CI289" i="77"/>
  <c r="CJ289" i="77"/>
  <c r="CH289" i="77"/>
  <c r="CG263" i="77"/>
  <c r="CH263" i="77"/>
  <c r="CI263" i="77"/>
  <c r="CJ263" i="77"/>
  <c r="CC276" i="77"/>
  <c r="CE276" i="77"/>
  <c r="CD276" i="77"/>
  <c r="CF276" i="77"/>
  <c r="CC255" i="77"/>
  <c r="CF255" i="77"/>
  <c r="CE255" i="77"/>
  <c r="CD255" i="77"/>
  <c r="CE277" i="77"/>
  <c r="CC277" i="77"/>
  <c r="CD277" i="77"/>
  <c r="CF277" i="77"/>
  <c r="CC253" i="77"/>
  <c r="CE253" i="77"/>
  <c r="CF253" i="77"/>
  <c r="CD253" i="77"/>
  <c r="CE246" i="77"/>
  <c r="CD246" i="77"/>
  <c r="CC246" i="77"/>
  <c r="CF246" i="77"/>
  <c r="CE289" i="77"/>
  <c r="CC289" i="77"/>
  <c r="CD289" i="77"/>
  <c r="CF289" i="77"/>
  <c r="CE278" i="77"/>
  <c r="CC278" i="77"/>
  <c r="CD278" i="77"/>
  <c r="CF278" i="77"/>
  <c r="CB256" i="77"/>
  <c r="BZ256" i="77"/>
  <c r="BY256" i="77"/>
  <c r="CA256" i="77"/>
  <c r="CB285" i="77"/>
  <c r="BZ285" i="77"/>
  <c r="BY285" i="77"/>
  <c r="CA285" i="77"/>
  <c r="CB290" i="77"/>
  <c r="BZ290" i="77"/>
  <c r="BY290" i="77"/>
  <c r="CA290" i="77"/>
  <c r="BY277" i="77"/>
  <c r="CB277" i="77"/>
  <c r="BZ277" i="77"/>
  <c r="CA277" i="77"/>
  <c r="CB246" i="77"/>
  <c r="BZ246" i="77"/>
  <c r="CA246" i="77"/>
  <c r="BY246" i="77"/>
  <c r="BY281" i="77"/>
  <c r="CA281" i="77"/>
  <c r="CB281" i="77"/>
  <c r="BZ281" i="77"/>
  <c r="CB283" i="77"/>
  <c r="BZ283" i="77"/>
  <c r="BY283" i="77"/>
  <c r="CA283" i="77"/>
  <c r="BU246" i="77"/>
  <c r="BV246" i="77"/>
  <c r="BW246" i="77"/>
  <c r="BX246" i="77"/>
  <c r="BU265" i="77"/>
  <c r="BV265" i="77"/>
  <c r="BX265" i="77"/>
  <c r="BW265" i="77"/>
  <c r="BW277" i="77"/>
  <c r="BU277" i="77"/>
  <c r="BV277" i="77"/>
  <c r="BX277" i="77"/>
  <c r="BX267" i="77"/>
  <c r="BW267" i="77"/>
  <c r="BU267" i="77"/>
  <c r="BV267" i="77"/>
  <c r="BV299" i="77"/>
  <c r="BX299" i="77"/>
  <c r="BW299" i="77"/>
  <c r="BU299" i="77"/>
  <c r="BV285" i="77"/>
  <c r="BX285" i="77"/>
  <c r="BW285" i="77"/>
  <c r="BU285" i="77"/>
  <c r="BU262" i="77"/>
  <c r="BW262" i="77"/>
  <c r="BV262" i="77"/>
  <c r="BX262" i="77"/>
  <c r="BT267" i="77"/>
  <c r="BR267" i="77"/>
  <c r="BQ267" i="77"/>
  <c r="BS267" i="77"/>
  <c r="BQ306" i="77"/>
  <c r="BS306" i="77"/>
  <c r="BT306" i="77"/>
  <c r="BR306" i="77"/>
  <c r="BT264" i="77"/>
  <c r="BQ264" i="77"/>
  <c r="BS264" i="77"/>
  <c r="BR264" i="77"/>
  <c r="BT278" i="77"/>
  <c r="BR278" i="77"/>
  <c r="BQ278" i="77"/>
  <c r="BS278" i="77"/>
  <c r="BQ293" i="77"/>
  <c r="BS293" i="77"/>
  <c r="BT293" i="77"/>
  <c r="BR293" i="77"/>
  <c r="BT261" i="77"/>
  <c r="BR261" i="77"/>
  <c r="BQ261" i="77"/>
  <c r="BS261" i="77"/>
  <c r="BQ246" i="77"/>
  <c r="BT246" i="77"/>
  <c r="BR246" i="77"/>
  <c r="BS246" i="77"/>
  <c r="BT257" i="77"/>
  <c r="BR257" i="77"/>
  <c r="BQ257" i="77"/>
  <c r="BS257" i="77"/>
  <c r="BO290" i="77"/>
  <c r="BM290" i="77"/>
  <c r="BN290" i="77"/>
  <c r="BP290" i="77"/>
  <c r="BO303" i="77"/>
  <c r="BM303" i="77"/>
  <c r="BN303" i="77"/>
  <c r="BP303" i="77"/>
  <c r="BM266" i="77"/>
  <c r="BP266" i="77"/>
  <c r="BO266" i="77"/>
  <c r="BN266" i="77"/>
  <c r="BO260" i="77"/>
  <c r="BN260" i="77"/>
  <c r="BM260" i="77"/>
  <c r="BP260" i="77"/>
  <c r="BO277" i="77"/>
  <c r="BM277" i="77"/>
  <c r="BN277" i="77"/>
  <c r="BP277" i="77"/>
  <c r="BM263" i="77"/>
  <c r="BO263" i="77"/>
  <c r="BN263" i="77"/>
  <c r="BP263" i="77"/>
  <c r="BP246" i="77"/>
  <c r="BO246" i="77"/>
  <c r="BM246" i="77"/>
  <c r="BN246" i="77"/>
  <c r="BO267" i="77"/>
  <c r="BN267" i="77"/>
  <c r="BM267" i="77"/>
  <c r="BP267" i="77"/>
  <c r="BK294" i="77"/>
  <c r="BL294" i="77"/>
  <c r="BJ294" i="77"/>
  <c r="BI294" i="77"/>
  <c r="BJ262" i="77"/>
  <c r="BL262" i="77"/>
  <c r="BI262" i="77"/>
  <c r="BK262" i="77"/>
  <c r="BK286" i="77"/>
  <c r="BL286" i="77"/>
  <c r="BJ286" i="77"/>
  <c r="BI286" i="77"/>
  <c r="BK260" i="77"/>
  <c r="BL260" i="77"/>
  <c r="BJ260" i="77"/>
  <c r="BI260" i="77"/>
  <c r="BL246" i="77"/>
  <c r="BK246" i="77"/>
  <c r="BJ246" i="77"/>
  <c r="BI246" i="77"/>
  <c r="BI276" i="77"/>
  <c r="BK276" i="77"/>
  <c r="BL276" i="77"/>
  <c r="BJ276" i="77"/>
  <c r="BK281" i="77"/>
  <c r="BL281" i="77"/>
  <c r="BJ281" i="77"/>
  <c r="BI281" i="77"/>
  <c r="BE255" i="77"/>
  <c r="BH255" i="77"/>
  <c r="BG255" i="77"/>
  <c r="BF255" i="77"/>
  <c r="BE260" i="77"/>
  <c r="BH260" i="77"/>
  <c r="BF260" i="77"/>
  <c r="BG260" i="77"/>
  <c r="BG290" i="77"/>
  <c r="BE290" i="77"/>
  <c r="BF290" i="77"/>
  <c r="BH290" i="77"/>
  <c r="BE253" i="77"/>
  <c r="BF253" i="77"/>
  <c r="BH253" i="77"/>
  <c r="BG253" i="77"/>
  <c r="BE265" i="77"/>
  <c r="BF265" i="77"/>
  <c r="BH265" i="77"/>
  <c r="BG265" i="77"/>
  <c r="BG285" i="77"/>
  <c r="BE285" i="77"/>
  <c r="BF285" i="77"/>
  <c r="BH285" i="77"/>
  <c r="BE246" i="77"/>
  <c r="BG246" i="77"/>
  <c r="BH246" i="77"/>
  <c r="BF246" i="77"/>
  <c r="BG257" i="77"/>
  <c r="BF257" i="77"/>
  <c r="BE257" i="77"/>
  <c r="BH257" i="77"/>
  <c r="BD272" i="77"/>
  <c r="BB272" i="77"/>
  <c r="BA272" i="77"/>
  <c r="BC272" i="77"/>
  <c r="BD267" i="77"/>
  <c r="BB267" i="77"/>
  <c r="BC267" i="77"/>
  <c r="BA267" i="77"/>
  <c r="BD276" i="77"/>
  <c r="BB276" i="77"/>
  <c r="BC276" i="77"/>
  <c r="BA276" i="77"/>
  <c r="BC283" i="77"/>
  <c r="BD283" i="77"/>
  <c r="BB283" i="77"/>
  <c r="BA283" i="77"/>
  <c r="BB262" i="77"/>
  <c r="BC262" i="77"/>
  <c r="BD262" i="77"/>
  <c r="BA262" i="77"/>
  <c r="BD299" i="77"/>
  <c r="BB299" i="77"/>
  <c r="BA299" i="77"/>
  <c r="BC299" i="77"/>
  <c r="BB266" i="77"/>
  <c r="BA266" i="77"/>
  <c r="BC266" i="77"/>
  <c r="BD266" i="77"/>
  <c r="BD256" i="77"/>
  <c r="BB256" i="77"/>
  <c r="BA256" i="77"/>
  <c r="BC256" i="77"/>
  <c r="BJ24" i="77"/>
  <c r="BK24" i="77"/>
  <c r="BL24" i="77"/>
  <c r="BI24" i="77"/>
  <c r="BG23" i="77"/>
  <c r="BF23" i="77"/>
  <c r="BE23" i="77"/>
  <c r="BH23" i="77"/>
  <c r="BJ22" i="77"/>
  <c r="BI22" i="77"/>
  <c r="BK22" i="77"/>
  <c r="BL22" i="77"/>
  <c r="AH23" i="75"/>
  <c r="CB23" i="77"/>
  <c r="CA23" i="77"/>
  <c r="BZ23" i="77"/>
  <c r="BY23" i="77"/>
  <c r="BA13" i="77"/>
  <c r="BB13" i="77"/>
  <c r="BC13" i="77"/>
  <c r="BD13" i="77"/>
  <c r="BJ10" i="77"/>
  <c r="BK10" i="77"/>
  <c r="BI10" i="77"/>
  <c r="BL10" i="77"/>
  <c r="BC23" i="77"/>
  <c r="BD23" i="77"/>
  <c r="BB23" i="77"/>
  <c r="BA23" i="77"/>
  <c r="BB46" i="77"/>
  <c r="BC46" i="77"/>
  <c r="BA46" i="77"/>
  <c r="BD46" i="77"/>
  <c r="BG36" i="77"/>
  <c r="BE36" i="77"/>
  <c r="BH36" i="77"/>
  <c r="BF36" i="77"/>
  <c r="BW39" i="77"/>
  <c r="BU39" i="77"/>
  <c r="BX39" i="77"/>
  <c r="BV39" i="77"/>
  <c r="Z42" i="75"/>
  <c r="BR42" i="77"/>
  <c r="BQ42" i="77"/>
  <c r="BS42" i="77"/>
  <c r="BT42" i="77"/>
  <c r="BC44" i="77"/>
  <c r="BD44" i="77"/>
  <c r="BB44" i="77"/>
  <c r="BA44" i="77"/>
  <c r="BL39" i="77"/>
  <c r="BK39" i="77"/>
  <c r="BJ39" i="77"/>
  <c r="BI39" i="77"/>
  <c r="BD43" i="77"/>
  <c r="BB43" i="77"/>
  <c r="BC43" i="77"/>
  <c r="BA43" i="77"/>
  <c r="BG37" i="77"/>
  <c r="BF37" i="77"/>
  <c r="BE37" i="77"/>
  <c r="BH37" i="77"/>
  <c r="BB45" i="77"/>
  <c r="BA45" i="77"/>
  <c r="BC45" i="77"/>
  <c r="BD45" i="77"/>
  <c r="BE55" i="77"/>
  <c r="BF55" i="77"/>
  <c r="BH55" i="77"/>
  <c r="BG55" i="77"/>
  <c r="CF39" i="77"/>
  <c r="CE39" i="77"/>
  <c r="CC39" i="77"/>
  <c r="CD39" i="77"/>
  <c r="BW43" i="77"/>
  <c r="BV43" i="77"/>
  <c r="BX43" i="77"/>
  <c r="BU43" i="77"/>
  <c r="BW40" i="77"/>
  <c r="BU40" i="77"/>
  <c r="BV40" i="77"/>
  <c r="BX40" i="77"/>
  <c r="BJ46" i="77"/>
  <c r="BI46" i="77"/>
  <c r="BL46" i="77"/>
  <c r="BK46" i="77"/>
  <c r="BQ44" i="77"/>
  <c r="BS44" i="77"/>
  <c r="BT44" i="77"/>
  <c r="BR44" i="77"/>
  <c r="BJ45" i="77"/>
  <c r="BL45" i="77"/>
  <c r="BI45" i="77"/>
  <c r="BK45" i="77"/>
  <c r="BK32" i="77"/>
  <c r="BL32" i="77"/>
  <c r="BI32" i="77"/>
  <c r="BJ32" i="77"/>
  <c r="BE33" i="77"/>
  <c r="BG33" i="77"/>
  <c r="BF33" i="77"/>
  <c r="BH33" i="77"/>
  <c r="CB96" i="77"/>
  <c r="CF86" i="77"/>
  <c r="CF96" i="77"/>
  <c r="BD96" i="77"/>
  <c r="CJ285" i="77"/>
  <c r="CH285" i="77"/>
  <c r="CG285" i="77"/>
  <c r="CI285" i="77"/>
  <c r="CJ283" i="77"/>
  <c r="CH283" i="77"/>
  <c r="CG283" i="77"/>
  <c r="CI283" i="77"/>
  <c r="CI265" i="77"/>
  <c r="CJ265" i="77"/>
  <c r="CH265" i="77"/>
  <c r="CG265" i="77"/>
  <c r="CG278" i="77"/>
  <c r="CI278" i="77"/>
  <c r="CJ278" i="77"/>
  <c r="CH278" i="77"/>
  <c r="CG272" i="77"/>
  <c r="CJ272" i="77"/>
  <c r="CH272" i="77"/>
  <c r="CI272" i="77"/>
  <c r="CG294" i="77"/>
  <c r="CI294" i="77"/>
  <c r="CJ294" i="77"/>
  <c r="CH294" i="77"/>
  <c r="CH257" i="77"/>
  <c r="CJ257" i="77"/>
  <c r="CG257" i="77"/>
  <c r="CI257" i="77"/>
  <c r="CE260" i="77"/>
  <c r="CD260" i="77"/>
  <c r="CC260" i="77"/>
  <c r="CF260" i="77"/>
  <c r="CC262" i="77"/>
  <c r="CF262" i="77"/>
  <c r="CD262" i="77"/>
  <c r="CE262" i="77"/>
  <c r="CC266" i="77"/>
  <c r="CF266" i="77"/>
  <c r="CE266" i="77"/>
  <c r="CD266" i="77"/>
  <c r="CE285" i="77"/>
  <c r="CC285" i="77"/>
  <c r="CD285" i="77"/>
  <c r="CF285" i="77"/>
  <c r="CE286" i="77"/>
  <c r="CC286" i="77"/>
  <c r="CD286" i="77"/>
  <c r="CF286" i="77"/>
  <c r="CE281" i="77"/>
  <c r="CC281" i="77"/>
  <c r="CD281" i="77"/>
  <c r="CF281" i="77"/>
  <c r="CE272" i="77"/>
  <c r="CC272" i="77"/>
  <c r="CD272" i="77"/>
  <c r="CF272" i="77"/>
  <c r="CE283" i="77"/>
  <c r="CC283" i="77"/>
  <c r="CD283" i="77"/>
  <c r="CF283" i="77"/>
  <c r="CA276" i="77"/>
  <c r="BY276" i="77"/>
  <c r="CB276" i="77"/>
  <c r="BZ276" i="77"/>
  <c r="BZ262" i="77"/>
  <c r="CA262" i="77"/>
  <c r="CB262" i="77"/>
  <c r="BY262" i="77"/>
  <c r="CB265" i="77"/>
  <c r="BY265" i="77"/>
  <c r="BZ265" i="77"/>
  <c r="CA265" i="77"/>
  <c r="CB306" i="77"/>
  <c r="BZ306" i="77"/>
  <c r="BY306" i="77"/>
  <c r="CA306" i="77"/>
  <c r="BY267" i="77"/>
  <c r="CA267" i="77"/>
  <c r="CB267" i="77"/>
  <c r="BZ267" i="77"/>
  <c r="CB293" i="77"/>
  <c r="BZ293" i="77"/>
  <c r="BY293" i="77"/>
  <c r="CA293" i="77"/>
  <c r="CB272" i="77"/>
  <c r="BZ272" i="77"/>
  <c r="CA272" i="77"/>
  <c r="BY272" i="77"/>
  <c r="BY264" i="77"/>
  <c r="CB264" i="77"/>
  <c r="BZ264" i="77"/>
  <c r="CA264" i="77"/>
  <c r="BW276" i="77"/>
  <c r="BU276" i="77"/>
  <c r="BV276" i="77"/>
  <c r="BX276" i="77"/>
  <c r="BW263" i="77"/>
  <c r="BU263" i="77"/>
  <c r="BX263" i="77"/>
  <c r="BV263" i="77"/>
  <c r="BU272" i="77"/>
  <c r="BV272" i="77"/>
  <c r="BX272" i="77"/>
  <c r="BW272" i="77"/>
  <c r="BX257" i="77"/>
  <c r="BW257" i="77"/>
  <c r="BU257" i="77"/>
  <c r="BV257" i="77"/>
  <c r="BW286" i="77"/>
  <c r="BU286" i="77"/>
  <c r="BV286" i="77"/>
  <c r="BX286" i="77"/>
  <c r="BV266" i="77"/>
  <c r="BU266" i="77"/>
  <c r="BW266" i="77"/>
  <c r="BX266" i="77"/>
  <c r="BX256" i="77"/>
  <c r="BW256" i="77"/>
  <c r="BU256" i="77"/>
  <c r="BV256" i="77"/>
  <c r="BT303" i="77"/>
  <c r="BR303" i="77"/>
  <c r="BQ303" i="77"/>
  <c r="BS303" i="77"/>
  <c r="BT265" i="77"/>
  <c r="BQ265" i="77"/>
  <c r="BR265" i="77"/>
  <c r="BS265" i="77"/>
  <c r="BT299" i="77"/>
  <c r="BR299" i="77"/>
  <c r="BQ299" i="77"/>
  <c r="BS299" i="77"/>
  <c r="BT256" i="77"/>
  <c r="BR256" i="77"/>
  <c r="BQ256" i="77"/>
  <c r="BS256" i="77"/>
  <c r="BQ283" i="77"/>
  <c r="BS283" i="77"/>
  <c r="BT283" i="77"/>
  <c r="BR283" i="77"/>
  <c r="BT286" i="77"/>
  <c r="BR286" i="77"/>
  <c r="BQ286" i="77"/>
  <c r="BS286" i="77"/>
  <c r="BT255" i="77"/>
  <c r="BQ255" i="77"/>
  <c r="BS255" i="77"/>
  <c r="BR255" i="77"/>
  <c r="BO286" i="77"/>
  <c r="BM286" i="77"/>
  <c r="BN286" i="77"/>
  <c r="BP286" i="77"/>
  <c r="BO278" i="77"/>
  <c r="BM278" i="77"/>
  <c r="BN278" i="77"/>
  <c r="BP278" i="77"/>
  <c r="BN262" i="77"/>
  <c r="BO262" i="77"/>
  <c r="BM262" i="77"/>
  <c r="BP262" i="77"/>
  <c r="BP261" i="77"/>
  <c r="BM261" i="77"/>
  <c r="BN261" i="77"/>
  <c r="BO261" i="77"/>
  <c r="BO285" i="77"/>
  <c r="BM285" i="77"/>
  <c r="BN285" i="77"/>
  <c r="BP285" i="77"/>
  <c r="BO284" i="77"/>
  <c r="BM284" i="77"/>
  <c r="BN284" i="77"/>
  <c r="BP284" i="77"/>
  <c r="BO299" i="77"/>
  <c r="BM299" i="77"/>
  <c r="BN299" i="77"/>
  <c r="BP299" i="77"/>
  <c r="BL265" i="77"/>
  <c r="BK265" i="77"/>
  <c r="BJ265" i="77"/>
  <c r="BI265" i="77"/>
  <c r="BJ255" i="77"/>
  <c r="BI255" i="77"/>
  <c r="BK255" i="77"/>
  <c r="BL255" i="77"/>
  <c r="BK284" i="77"/>
  <c r="BL284" i="77"/>
  <c r="BJ284" i="77"/>
  <c r="BI284" i="77"/>
  <c r="BK261" i="77"/>
  <c r="BL261" i="77"/>
  <c r="BJ261" i="77"/>
  <c r="BI261" i="77"/>
  <c r="BK289" i="77"/>
  <c r="BL289" i="77"/>
  <c r="BJ289" i="77"/>
  <c r="BI289" i="77"/>
  <c r="BI277" i="77"/>
  <c r="BK277" i="77"/>
  <c r="BL277" i="77"/>
  <c r="BJ277" i="77"/>
  <c r="BL272" i="77"/>
  <c r="BJ272" i="77"/>
  <c r="BI272" i="77"/>
  <c r="BK272" i="77"/>
  <c r="BL290" i="77"/>
  <c r="BJ290" i="77"/>
  <c r="BI290" i="77"/>
  <c r="BK290" i="77"/>
  <c r="BF267" i="77"/>
  <c r="BG267" i="77"/>
  <c r="BE267" i="77"/>
  <c r="BH267" i="77"/>
  <c r="BE289" i="77"/>
  <c r="BF289" i="77"/>
  <c r="BH289" i="77"/>
  <c r="BG289" i="77"/>
  <c r="BE306" i="77"/>
  <c r="BF306" i="77"/>
  <c r="BH306" i="77"/>
  <c r="BG306" i="77"/>
  <c r="BF264" i="77"/>
  <c r="BG264" i="77"/>
  <c r="BE264" i="77"/>
  <c r="BH264" i="77"/>
  <c r="BE263" i="77"/>
  <c r="BH263" i="77"/>
  <c r="BF263" i="77"/>
  <c r="BG263" i="77"/>
  <c r="BE283" i="77"/>
  <c r="BF283" i="77"/>
  <c r="BH283" i="77"/>
  <c r="BG283" i="77"/>
  <c r="BE293" i="77"/>
  <c r="BF293" i="77"/>
  <c r="BH293" i="77"/>
  <c r="BG293" i="77"/>
  <c r="BD294" i="77"/>
  <c r="BB294" i="77"/>
  <c r="BA294" i="77"/>
  <c r="BC294" i="77"/>
  <c r="BD289" i="77"/>
  <c r="BB289" i="77"/>
  <c r="BA289" i="77"/>
  <c r="BC289" i="77"/>
  <c r="BD303" i="77"/>
  <c r="BB303" i="77"/>
  <c r="BA303" i="77"/>
  <c r="BC303" i="77"/>
  <c r="BD285" i="77"/>
  <c r="BB285" i="77"/>
  <c r="BA285" i="77"/>
  <c r="BC285" i="77"/>
  <c r="BD255" i="77"/>
  <c r="BC255" i="77"/>
  <c r="BB255" i="77"/>
  <c r="BA255" i="77"/>
  <c r="BD246" i="77"/>
  <c r="BB246" i="77"/>
  <c r="BA246" i="77"/>
  <c r="BC246" i="77"/>
  <c r="BD290" i="77"/>
  <c r="BB290" i="77"/>
  <c r="BA290" i="77"/>
  <c r="BC290" i="77"/>
  <c r="CI39" i="77"/>
  <c r="CJ39" i="77"/>
  <c r="CH39" i="77"/>
  <c r="CG39" i="77"/>
  <c r="CG46" i="77"/>
  <c r="CI46" i="77"/>
  <c r="CJ46" i="77"/>
  <c r="CH46" i="77"/>
  <c r="AD23" i="75"/>
  <c r="BU23" i="77"/>
  <c r="BV23" i="77"/>
  <c r="BX23" i="77"/>
  <c r="BW23" i="77"/>
  <c r="BE13" i="77"/>
  <c r="BF13" i="77"/>
  <c r="BH13" i="77"/>
  <c r="BG13" i="77"/>
  <c r="BB56" i="77"/>
  <c r="BA56" i="77"/>
  <c r="BD56" i="77"/>
  <c r="BC56" i="77"/>
  <c r="CC43" i="77"/>
  <c r="CE43" i="77"/>
  <c r="CD43" i="77"/>
  <c r="CF43" i="77"/>
  <c r="BC55" i="77"/>
  <c r="BD55" i="77"/>
  <c r="BB55" i="77"/>
  <c r="BA55" i="77"/>
  <c r="BG56" i="77"/>
  <c r="BE56" i="77"/>
  <c r="BF56" i="77"/>
  <c r="BH56" i="77"/>
  <c r="BY39" i="77"/>
  <c r="CA39" i="77"/>
  <c r="BZ39" i="77"/>
  <c r="CB39" i="77"/>
  <c r="BQ43" i="77"/>
  <c r="BT43" i="77"/>
  <c r="BR43" i="77"/>
  <c r="BS43" i="77"/>
  <c r="BP45" i="77"/>
  <c r="BO45" i="77"/>
  <c r="BM45" i="77"/>
  <c r="BN45" i="77"/>
  <c r="BO44" i="77"/>
  <c r="BM44" i="77"/>
  <c r="BP44" i="77"/>
  <c r="BN44" i="77"/>
  <c r="BE39" i="77"/>
  <c r="BF39" i="77"/>
  <c r="BH39" i="77"/>
  <c r="BG39" i="77"/>
  <c r="BE46" i="77"/>
  <c r="BG46" i="77"/>
  <c r="BF46" i="77"/>
  <c r="BH46" i="77"/>
  <c r="BX45" i="77"/>
  <c r="BW45" i="77"/>
  <c r="BU45" i="77"/>
  <c r="BV45" i="77"/>
  <c r="CA46" i="77"/>
  <c r="CB46" i="77"/>
  <c r="BZ46" i="77"/>
  <c r="BY46" i="77"/>
  <c r="BD36" i="77"/>
  <c r="BB36" i="77"/>
  <c r="BA36" i="77"/>
  <c r="BC36" i="77"/>
  <c r="BJ42" i="77"/>
  <c r="BK42" i="77"/>
  <c r="BL42" i="77"/>
  <c r="BI42" i="77"/>
  <c r="BL37" i="77"/>
  <c r="BI37" i="77"/>
  <c r="BJ37" i="77"/>
  <c r="BK37" i="77"/>
  <c r="BL33" i="77"/>
  <c r="BI33" i="77"/>
  <c r="BJ33" i="77"/>
  <c r="BK33" i="77"/>
  <c r="BA33" i="77"/>
  <c r="BC33" i="77"/>
  <c r="BD33" i="77"/>
  <c r="BB33" i="77"/>
  <c r="BH96" i="77"/>
  <c r="BT96" i="77"/>
  <c r="CJ277" i="77"/>
  <c r="CH277" i="77"/>
  <c r="CG277" i="77"/>
  <c r="CI277" i="77"/>
  <c r="CG299" i="77"/>
  <c r="CI299" i="77"/>
  <c r="CJ299" i="77"/>
  <c r="CH299" i="77"/>
  <c r="CI255" i="77"/>
  <c r="CG255" i="77"/>
  <c r="CJ255" i="77"/>
  <c r="CH255" i="77"/>
  <c r="CH262" i="77"/>
  <c r="CJ262" i="77"/>
  <c r="CG262" i="77"/>
  <c r="CI262" i="77"/>
  <c r="CJ281" i="77"/>
  <c r="CH281" i="77"/>
  <c r="CG281" i="77"/>
  <c r="CI281" i="77"/>
  <c r="CG266" i="77"/>
  <c r="CJ266" i="77"/>
  <c r="CH266" i="77"/>
  <c r="CI266" i="77"/>
  <c r="CJ276" i="77"/>
  <c r="CH276" i="77"/>
  <c r="CG276" i="77"/>
  <c r="CI276" i="77"/>
  <c r="CG260" i="77"/>
  <c r="CI260" i="77"/>
  <c r="CJ260" i="77"/>
  <c r="CH260" i="77"/>
  <c r="CC267" i="77"/>
  <c r="CF267" i="77"/>
  <c r="CE267" i="77"/>
  <c r="CD267" i="77"/>
  <c r="CE261" i="77"/>
  <c r="CC261" i="77"/>
  <c r="CF261" i="77"/>
  <c r="CD261" i="77"/>
  <c r="CE256" i="77"/>
  <c r="CD256" i="77"/>
  <c r="CC256" i="77"/>
  <c r="CF256" i="77"/>
  <c r="CC257" i="77"/>
  <c r="CF257" i="77"/>
  <c r="CD257" i="77"/>
  <c r="CE257" i="77"/>
  <c r="CE293" i="77"/>
  <c r="CC293" i="77"/>
  <c r="CD293" i="77"/>
  <c r="CF293" i="77"/>
  <c r="CE284" i="77"/>
  <c r="CC284" i="77"/>
  <c r="CD284" i="77"/>
  <c r="CF284" i="77"/>
  <c r="CE299" i="77"/>
  <c r="CC299" i="77"/>
  <c r="CD299" i="77"/>
  <c r="CF299" i="77"/>
  <c r="CA263" i="77"/>
  <c r="CB263" i="77"/>
  <c r="BY263" i="77"/>
  <c r="BZ263" i="77"/>
  <c r="CB278" i="77"/>
  <c r="BZ278" i="77"/>
  <c r="BY278" i="77"/>
  <c r="CA278" i="77"/>
  <c r="BZ255" i="77"/>
  <c r="BY255" i="77"/>
  <c r="CA255" i="77"/>
  <c r="CB255" i="77"/>
  <c r="BY257" i="77"/>
  <c r="CA257" i="77"/>
  <c r="BZ257" i="77"/>
  <c r="CB257" i="77"/>
  <c r="BY260" i="77"/>
  <c r="CB260" i="77"/>
  <c r="CA260" i="77"/>
  <c r="BZ260" i="77"/>
  <c r="CB284" i="77"/>
  <c r="BZ284" i="77"/>
  <c r="BY284" i="77"/>
  <c r="CA284" i="77"/>
  <c r="BY303" i="77"/>
  <c r="CA303" i="77"/>
  <c r="CB303" i="77"/>
  <c r="BZ303" i="77"/>
  <c r="BV284" i="77"/>
  <c r="BX284" i="77"/>
  <c r="BW284" i="77"/>
  <c r="BU284" i="77"/>
  <c r="BU253" i="77"/>
  <c r="BW253" i="77"/>
  <c r="BV253" i="77"/>
  <c r="BX253" i="77"/>
  <c r="BV294" i="77"/>
  <c r="BX294" i="77"/>
  <c r="BW294" i="77"/>
  <c r="BU294" i="77"/>
  <c r="BW293" i="77"/>
  <c r="BU293" i="77"/>
  <c r="BV293" i="77"/>
  <c r="BX293" i="77"/>
  <c r="BV289" i="77"/>
  <c r="BX289" i="77"/>
  <c r="BW289" i="77"/>
  <c r="BU289" i="77"/>
  <c r="BW264" i="77"/>
  <c r="BX264" i="77"/>
  <c r="BU264" i="77"/>
  <c r="BV264" i="77"/>
  <c r="BV290" i="77"/>
  <c r="BX290" i="77"/>
  <c r="BW290" i="77"/>
  <c r="BU290" i="77"/>
  <c r="BT272" i="77"/>
  <c r="BR272" i="77"/>
  <c r="BS272" i="77"/>
  <c r="BQ272" i="77"/>
  <c r="BS260" i="77"/>
  <c r="BR260" i="77"/>
  <c r="BT260" i="77"/>
  <c r="BQ260" i="77"/>
  <c r="BT294" i="77"/>
  <c r="BR294" i="77"/>
  <c r="BQ294" i="77"/>
  <c r="BS294" i="77"/>
  <c r="BR253" i="77"/>
  <c r="BS253" i="77"/>
  <c r="BT253" i="77"/>
  <c r="BQ253" i="77"/>
  <c r="BQ262" i="77"/>
  <c r="BS262" i="77"/>
  <c r="BT262" i="77"/>
  <c r="BR262" i="77"/>
  <c r="BT290" i="77"/>
  <c r="BR290" i="77"/>
  <c r="BQ290" i="77"/>
  <c r="BS290" i="77"/>
  <c r="BT285" i="77"/>
  <c r="BR285" i="77"/>
  <c r="BQ285" i="77"/>
  <c r="BS285" i="77"/>
  <c r="BM272" i="77"/>
  <c r="BO272" i="77"/>
  <c r="BN272" i="77"/>
  <c r="BP272" i="77"/>
  <c r="BP265" i="77"/>
  <c r="BO265" i="77"/>
  <c r="BM265" i="77"/>
  <c r="BN265" i="77"/>
  <c r="BO294" i="77"/>
  <c r="BM294" i="77"/>
  <c r="BN294" i="77"/>
  <c r="BP294" i="77"/>
  <c r="BO264" i="77"/>
  <c r="BN264" i="77"/>
  <c r="BM264" i="77"/>
  <c r="BP264" i="77"/>
  <c r="BO255" i="77"/>
  <c r="BN255" i="77"/>
  <c r="BM255" i="77"/>
  <c r="BP255" i="77"/>
  <c r="BO253" i="77"/>
  <c r="BP253" i="77"/>
  <c r="BM253" i="77"/>
  <c r="BN253" i="77"/>
  <c r="BO293" i="77"/>
  <c r="BM293" i="77"/>
  <c r="BN293" i="77"/>
  <c r="BP293" i="77"/>
  <c r="BJ266" i="77"/>
  <c r="BL266" i="77"/>
  <c r="BI266" i="77"/>
  <c r="BK266" i="77"/>
  <c r="BK283" i="77"/>
  <c r="BL283" i="77"/>
  <c r="BJ283" i="77"/>
  <c r="BI283" i="77"/>
  <c r="BJ253" i="77"/>
  <c r="BK253" i="77"/>
  <c r="BL253" i="77"/>
  <c r="BI253" i="77"/>
  <c r="BK278" i="77"/>
  <c r="BL278" i="77"/>
  <c r="BJ278" i="77"/>
  <c r="BI278" i="77"/>
  <c r="BK293" i="77"/>
  <c r="BL293" i="77"/>
  <c r="BJ293" i="77"/>
  <c r="BI293" i="77"/>
  <c r="BK299" i="77"/>
  <c r="BL299" i="77"/>
  <c r="BJ299" i="77"/>
  <c r="BI299" i="77"/>
  <c r="BI263" i="77"/>
  <c r="BL263" i="77"/>
  <c r="BK263" i="77"/>
  <c r="BJ263" i="77"/>
  <c r="BG272" i="77"/>
  <c r="BE272" i="77"/>
  <c r="BF272" i="77"/>
  <c r="BH272" i="77"/>
  <c r="BG266" i="77"/>
  <c r="BE266" i="77"/>
  <c r="BH266" i="77"/>
  <c r="BF266" i="77"/>
  <c r="BF277" i="77"/>
  <c r="BH277" i="77"/>
  <c r="BG277" i="77"/>
  <c r="BE277" i="77"/>
  <c r="BE294" i="77"/>
  <c r="BF294" i="77"/>
  <c r="BH294" i="77"/>
  <c r="BG294" i="77"/>
  <c r="BE299" i="77"/>
  <c r="BF299" i="77"/>
  <c r="BH299" i="77"/>
  <c r="BG299" i="77"/>
  <c r="BE281" i="77"/>
  <c r="BF281" i="77"/>
  <c r="BH281" i="77"/>
  <c r="BG281" i="77"/>
  <c r="BG262" i="77"/>
  <c r="BF262" i="77"/>
  <c r="BE262" i="77"/>
  <c r="BH262" i="77"/>
  <c r="BC260" i="77"/>
  <c r="BB260" i="77"/>
  <c r="BA260" i="77"/>
  <c r="BD260" i="77"/>
  <c r="BC306" i="77"/>
  <c r="BD306" i="77"/>
  <c r="BB306" i="77"/>
  <c r="BA306" i="77"/>
  <c r="BC277" i="77"/>
  <c r="BD277" i="77"/>
  <c r="BB277" i="77"/>
  <c r="BA277" i="77"/>
  <c r="BD281" i="77"/>
  <c r="BB281" i="77"/>
  <c r="BA281" i="77"/>
  <c r="BC281" i="77"/>
  <c r="BD257" i="77"/>
  <c r="BA257" i="77"/>
  <c r="BC257" i="77"/>
  <c r="BB257" i="77"/>
  <c r="BB253" i="77"/>
  <c r="BA253" i="77"/>
  <c r="BC253" i="77"/>
  <c r="BD253" i="77"/>
  <c r="BD278" i="77"/>
  <c r="BB278" i="77"/>
  <c r="BA278" i="77"/>
  <c r="BC278" i="77"/>
  <c r="CJ45" i="77"/>
  <c r="CH45" i="77"/>
  <c r="CG45" i="77"/>
  <c r="CI45" i="77"/>
  <c r="CJ44" i="77"/>
  <c r="CG44" i="77"/>
  <c r="CI44" i="77"/>
  <c r="CH44" i="77"/>
  <c r="CJ43" i="77"/>
  <c r="CH43" i="77"/>
  <c r="CG43" i="77"/>
  <c r="CI43" i="77"/>
  <c r="BD24" i="77"/>
  <c r="BB24" i="77"/>
  <c r="BC24" i="77"/>
  <c r="BA24" i="77"/>
  <c r="BE24" i="77"/>
  <c r="BH24" i="77"/>
  <c r="BG24" i="77"/>
  <c r="BF24" i="77"/>
  <c r="Z23" i="75"/>
  <c r="BT23" i="77"/>
  <c r="BQ23" i="77"/>
  <c r="BR23" i="77"/>
  <c r="BS23" i="77"/>
  <c r="BN46" i="77"/>
  <c r="BO46" i="77"/>
  <c r="BM46" i="77"/>
  <c r="BP46" i="77"/>
  <c r="BD40" i="77"/>
  <c r="BB40" i="77"/>
  <c r="BA40" i="77"/>
  <c r="BC40" i="77"/>
  <c r="BX44" i="77"/>
  <c r="BV44" i="77"/>
  <c r="BU44" i="77"/>
  <c r="BW44" i="77"/>
  <c r="BM43" i="77"/>
  <c r="BN43" i="77"/>
  <c r="BO43" i="77"/>
  <c r="BP43" i="77"/>
  <c r="BB22" i="77"/>
  <c r="BC22" i="77"/>
  <c r="BD22" i="77"/>
  <c r="BA22" i="77"/>
  <c r="V23" i="75"/>
  <c r="BM23" i="77"/>
  <c r="BN23" i="77"/>
  <c r="BP23" i="77"/>
  <c r="BO23" i="77"/>
  <c r="BE22" i="77"/>
  <c r="BF22" i="77"/>
  <c r="BH22" i="77"/>
  <c r="BG22" i="77"/>
  <c r="BL13" i="77"/>
  <c r="BJ13" i="77"/>
  <c r="BI13" i="77"/>
  <c r="BK13" i="77"/>
  <c r="CE46" i="77"/>
  <c r="CF46" i="77"/>
  <c r="CC46" i="77"/>
  <c r="CD46" i="77"/>
  <c r="V42" i="75"/>
  <c r="BN42" i="77"/>
  <c r="BP42" i="77"/>
  <c r="BO42" i="77"/>
  <c r="BM42" i="77"/>
  <c r="X40" i="77"/>
  <c r="BY40" i="77"/>
  <c r="CA40" i="77"/>
  <c r="CB40" i="77"/>
  <c r="BZ40" i="77"/>
  <c r="AL42" i="75"/>
  <c r="CC42" i="77"/>
  <c r="CF42" i="77"/>
  <c r="CE42" i="77"/>
  <c r="CD42" i="77"/>
  <c r="CD45" i="77"/>
  <c r="CF45" i="77"/>
  <c r="CE45" i="77"/>
  <c r="CC45" i="77"/>
  <c r="BL44" i="77"/>
  <c r="BI44" i="77"/>
  <c r="BK44" i="77"/>
  <c r="BJ44" i="77"/>
  <c r="BA39" i="77"/>
  <c r="BD39" i="77"/>
  <c r="BB39" i="77"/>
  <c r="BC39" i="77"/>
  <c r="BT40" i="77"/>
  <c r="BR40" i="77"/>
  <c r="BS40" i="77"/>
  <c r="BQ40" i="77"/>
  <c r="BL40" i="77"/>
  <c r="BI40" i="77"/>
  <c r="BK40" i="77"/>
  <c r="BJ40" i="77"/>
  <c r="BX46" i="77"/>
  <c r="BW46" i="77"/>
  <c r="BU46" i="77"/>
  <c r="BV46" i="77"/>
  <c r="CD44" i="77"/>
  <c r="CE44" i="77"/>
  <c r="CC44" i="77"/>
  <c r="CF44" i="77"/>
  <c r="AH42" i="75"/>
  <c r="BZ42" i="77"/>
  <c r="BY42" i="77"/>
  <c r="CB42" i="77"/>
  <c r="CA42" i="77"/>
  <c r="BB42" i="77"/>
  <c r="BA42" i="77"/>
  <c r="BC42" i="77"/>
  <c r="BD42" i="77"/>
  <c r="BL56" i="77"/>
  <c r="BJ56" i="77"/>
  <c r="BI56" i="77"/>
  <c r="BK56" i="77"/>
  <c r="BR39" i="77"/>
  <c r="BS39" i="77"/>
  <c r="BT39" i="77"/>
  <c r="BQ39" i="77"/>
  <c r="BJ43" i="77"/>
  <c r="BI43" i="77"/>
  <c r="BL43" i="77"/>
  <c r="BK43" i="77"/>
  <c r="CE40" i="77"/>
  <c r="CD40" i="77"/>
  <c r="CC40" i="77"/>
  <c r="CF40" i="77"/>
  <c r="BG32" i="77"/>
  <c r="BF32" i="77"/>
  <c r="BE32" i="77"/>
  <c r="BH32" i="77"/>
  <c r="BD32" i="77"/>
  <c r="BA32" i="77"/>
  <c r="BB32" i="77"/>
  <c r="BC32" i="77"/>
  <c r="BX96" i="77"/>
  <c r="CG253" i="77"/>
  <c r="CJ253" i="77"/>
  <c r="CI253" i="77"/>
  <c r="CH253" i="77"/>
  <c r="CJ293" i="77"/>
  <c r="CH293" i="77"/>
  <c r="CG293" i="77"/>
  <c r="CI293" i="77"/>
  <c r="CJ261" i="77"/>
  <c r="CH261" i="77"/>
  <c r="CI261" i="77"/>
  <c r="CG261" i="77"/>
  <c r="CJ290" i="77"/>
  <c r="CH290" i="77"/>
  <c r="CG290" i="77"/>
  <c r="CI290" i="77"/>
  <c r="CJ306" i="77"/>
  <c r="CH306" i="77"/>
  <c r="CG306" i="77"/>
  <c r="CI306" i="77"/>
  <c r="CJ267" i="77"/>
  <c r="CH267" i="77"/>
  <c r="CG267" i="77"/>
  <c r="CI267" i="77"/>
  <c r="CH264" i="77"/>
  <c r="CG264" i="77"/>
  <c r="CI264" i="77"/>
  <c r="CJ264" i="77"/>
  <c r="CE290" i="77"/>
  <c r="CC290" i="77"/>
  <c r="CD290" i="77"/>
  <c r="CF290" i="77"/>
  <c r="CE263" i="77"/>
  <c r="CC263" i="77"/>
  <c r="CD263" i="77"/>
  <c r="CF263" i="77"/>
  <c r="CE265" i="77"/>
  <c r="CD265" i="77"/>
  <c r="CC265" i="77"/>
  <c r="CF265" i="77"/>
  <c r="CE294" i="77"/>
  <c r="CC294" i="77"/>
  <c r="CD294" i="77"/>
  <c r="CF294" i="77"/>
  <c r="CE306" i="77"/>
  <c r="CC306" i="77"/>
  <c r="CD306" i="77"/>
  <c r="CF306" i="77"/>
  <c r="CE264" i="77"/>
  <c r="CD264" i="77"/>
  <c r="CC264" i="77"/>
  <c r="CF264" i="77"/>
  <c r="CE303" i="77"/>
  <c r="CC303" i="77"/>
  <c r="CD303" i="77"/>
  <c r="CF303" i="77"/>
  <c r="BY286" i="77"/>
  <c r="CA286" i="77"/>
  <c r="CB286" i="77"/>
  <c r="BZ286" i="77"/>
  <c r="CB289" i="77"/>
  <c r="BZ289" i="77"/>
  <c r="BY289" i="77"/>
  <c r="CA289" i="77"/>
  <c r="CB299" i="77"/>
  <c r="BZ299" i="77"/>
  <c r="BY299" i="77"/>
  <c r="CA299" i="77"/>
  <c r="BZ266" i="77"/>
  <c r="CA266" i="77"/>
  <c r="CB266" i="77"/>
  <c r="BY266" i="77"/>
  <c r="CA253" i="77"/>
  <c r="BZ253" i="77"/>
  <c r="BY253" i="77"/>
  <c r="CB253" i="77"/>
  <c r="CB294" i="77"/>
  <c r="BZ294" i="77"/>
  <c r="BY294" i="77"/>
  <c r="CA294" i="77"/>
  <c r="BY261" i="77"/>
  <c r="CA261" i="77"/>
  <c r="CB261" i="77"/>
  <c r="BZ261" i="77"/>
  <c r="BW255" i="77"/>
  <c r="BU255" i="77"/>
  <c r="BX255" i="77"/>
  <c r="BV255" i="77"/>
  <c r="BW260" i="77"/>
  <c r="BU260" i="77"/>
  <c r="BX260" i="77"/>
  <c r="BV260" i="77"/>
  <c r="BW281" i="77"/>
  <c r="BU281" i="77"/>
  <c r="BV281" i="77"/>
  <c r="BX281" i="77"/>
  <c r="BW306" i="77"/>
  <c r="BU306" i="77"/>
  <c r="BV306" i="77"/>
  <c r="BX306" i="77"/>
  <c r="BW283" i="77"/>
  <c r="BU283" i="77"/>
  <c r="BV283" i="77"/>
  <c r="BX283" i="77"/>
  <c r="BW303" i="77"/>
  <c r="BU303" i="77"/>
  <c r="BV303" i="77"/>
  <c r="BX303" i="77"/>
  <c r="BV278" i="77"/>
  <c r="BX278" i="77"/>
  <c r="BW278" i="77"/>
  <c r="BU278" i="77"/>
  <c r="BX261" i="77"/>
  <c r="BU261" i="77"/>
  <c r="BV261" i="77"/>
  <c r="BW261" i="77"/>
  <c r="BR266" i="77"/>
  <c r="BS266" i="77"/>
  <c r="BT266" i="77"/>
  <c r="BQ266" i="77"/>
  <c r="BT284" i="77"/>
  <c r="BR284" i="77"/>
  <c r="BQ284" i="77"/>
  <c r="BS284" i="77"/>
  <c r="BT281" i="77"/>
  <c r="BR281" i="77"/>
  <c r="BQ281" i="77"/>
  <c r="BS281" i="77"/>
  <c r="BT289" i="77"/>
  <c r="BR289" i="77"/>
  <c r="BQ289" i="77"/>
  <c r="BS289" i="77"/>
  <c r="BT276" i="77"/>
  <c r="BR276" i="77"/>
  <c r="BQ276" i="77"/>
  <c r="BS276" i="77"/>
  <c r="BS277" i="77"/>
  <c r="BQ277" i="77"/>
  <c r="BT277" i="77"/>
  <c r="BR277" i="77"/>
  <c r="BR263" i="77"/>
  <c r="BS263" i="77"/>
  <c r="BT263" i="77"/>
  <c r="BQ263" i="77"/>
  <c r="BP257" i="77"/>
  <c r="BN257" i="77"/>
  <c r="BO257" i="77"/>
  <c r="BM257" i="77"/>
  <c r="BP256" i="77"/>
  <c r="BO256" i="77"/>
  <c r="BM256" i="77"/>
  <c r="BN256" i="77"/>
  <c r="BO276" i="77"/>
  <c r="BN276" i="77"/>
  <c r="BP276" i="77"/>
  <c r="BM276" i="77"/>
  <c r="BO289" i="77"/>
  <c r="BM289" i="77"/>
  <c r="BN289" i="77"/>
  <c r="BP289" i="77"/>
  <c r="BO281" i="77"/>
  <c r="BM281" i="77"/>
  <c r="BN281" i="77"/>
  <c r="BP281" i="77"/>
  <c r="BO283" i="77"/>
  <c r="BM283" i="77"/>
  <c r="BN283" i="77"/>
  <c r="BP283" i="77"/>
  <c r="BO306" i="77"/>
  <c r="BM306" i="77"/>
  <c r="BN306" i="77"/>
  <c r="BP306" i="77"/>
  <c r="BJ257" i="77"/>
  <c r="BL257" i="77"/>
  <c r="BI257" i="77"/>
  <c r="BK257" i="77"/>
  <c r="BK264" i="77"/>
  <c r="BL264" i="77"/>
  <c r="BJ264" i="77"/>
  <c r="BI264" i="77"/>
  <c r="BL285" i="77"/>
  <c r="BJ285" i="77"/>
  <c r="BI285" i="77"/>
  <c r="BK285" i="77"/>
  <c r="BL256" i="77"/>
  <c r="BJ256" i="77"/>
  <c r="BI256" i="77"/>
  <c r="BK256" i="77"/>
  <c r="BK306" i="77"/>
  <c r="BL306" i="77"/>
  <c r="BJ306" i="77"/>
  <c r="BI306" i="77"/>
  <c r="BI267" i="77"/>
  <c r="BK267" i="77"/>
  <c r="BL267" i="77"/>
  <c r="BJ267" i="77"/>
  <c r="BK303" i="77"/>
  <c r="BL303" i="77"/>
  <c r="BJ303" i="77"/>
  <c r="BI303" i="77"/>
  <c r="BE286" i="77"/>
  <c r="BF286" i="77"/>
  <c r="BH286" i="77"/>
  <c r="BG286" i="77"/>
  <c r="BE303" i="77"/>
  <c r="BF303" i="77"/>
  <c r="BH303" i="77"/>
  <c r="BG303" i="77"/>
  <c r="BE278" i="77"/>
  <c r="BF278" i="77"/>
  <c r="BH278" i="77"/>
  <c r="BG278" i="77"/>
  <c r="BH261" i="77"/>
  <c r="BG261" i="77"/>
  <c r="BF261" i="77"/>
  <c r="BE261" i="77"/>
  <c r="BE276" i="77"/>
  <c r="BF276" i="77"/>
  <c r="BH276" i="77"/>
  <c r="BG276" i="77"/>
  <c r="BE284" i="77"/>
  <c r="BF284" i="77"/>
  <c r="BH284" i="77"/>
  <c r="BG284" i="77"/>
  <c r="BG256" i="77"/>
  <c r="BH256" i="77"/>
  <c r="BF256" i="77"/>
  <c r="BE256" i="77"/>
  <c r="BD264" i="77"/>
  <c r="BC264" i="77"/>
  <c r="BA264" i="77"/>
  <c r="BB264" i="77"/>
  <c r="BD286" i="77"/>
  <c r="BB286" i="77"/>
  <c r="BA286" i="77"/>
  <c r="BC286" i="77"/>
  <c r="BD265" i="77"/>
  <c r="BB265" i="77"/>
  <c r="BA265" i="77"/>
  <c r="BC265" i="77"/>
  <c r="BD284" i="77"/>
  <c r="BB284" i="77"/>
  <c r="BA284" i="77"/>
  <c r="BC284" i="77"/>
  <c r="BB263" i="77"/>
  <c r="BA263" i="77"/>
  <c r="BC263" i="77"/>
  <c r="BD263" i="77"/>
  <c r="BA261" i="77"/>
  <c r="BD261" i="77"/>
  <c r="BB261" i="77"/>
  <c r="BC261" i="77"/>
  <c r="BC293" i="77"/>
  <c r="BD293" i="77"/>
  <c r="BB293" i="77"/>
  <c r="BA293" i="77"/>
  <c r="S23" i="77"/>
  <c r="U43" i="77"/>
  <c r="R39" i="77"/>
  <c r="CI96" i="77"/>
  <c r="CI151" i="77"/>
  <c r="BP193" i="77"/>
  <c r="BT177" i="77"/>
  <c r="BQ200" i="77"/>
  <c r="BI196" i="77"/>
  <c r="BR196" i="77"/>
  <c r="BW86" i="77"/>
  <c r="BY200" i="77"/>
  <c r="BH200" i="77"/>
  <c r="BA196" i="77"/>
  <c r="BU200" i="77"/>
  <c r="BP114" i="77"/>
  <c r="BQ196" i="77"/>
  <c r="BV196" i="77"/>
  <c r="BO86" i="77"/>
  <c r="BP177" i="77"/>
  <c r="CG200" i="77"/>
  <c r="BL200" i="77"/>
  <c r="BE165" i="77"/>
  <c r="BD165" i="77"/>
  <c r="BD114" i="77"/>
  <c r="CG196" i="77"/>
  <c r="CE200" i="77"/>
  <c r="BW196" i="77"/>
  <c r="BX196" i="77"/>
  <c r="BL193" i="77"/>
  <c r="CB192" i="77"/>
  <c r="BH177" i="77"/>
  <c r="CB177" i="77"/>
  <c r="BM200" i="77"/>
  <c r="BR200" i="77"/>
  <c r="CF101" i="77"/>
  <c r="BM120" i="77"/>
  <c r="BU120" i="77"/>
  <c r="BN120" i="77"/>
  <c r="BH182" i="77"/>
  <c r="BP128" i="77"/>
  <c r="BS86" i="77"/>
  <c r="BH191" i="77"/>
  <c r="BQ191" i="77"/>
  <c r="BH169" i="77"/>
  <c r="CH146" i="77"/>
  <c r="BM96" i="77"/>
  <c r="BG96" i="77"/>
  <c r="BL189" i="77"/>
  <c r="BN168" i="77"/>
  <c r="CG151" i="77"/>
  <c r="BD98" i="77"/>
  <c r="CG98" i="77"/>
  <c r="BT123" i="77"/>
  <c r="BY123" i="77"/>
  <c r="BI86" i="77"/>
  <c r="BP120" i="77"/>
  <c r="BX198" i="77"/>
  <c r="BH147" i="77"/>
  <c r="BT128" i="77"/>
  <c r="CB139" i="77"/>
  <c r="BR191" i="77"/>
  <c r="BW191" i="77"/>
  <c r="BH146" i="77"/>
  <c r="BF146" i="77"/>
  <c r="CB99" i="77"/>
  <c r="BT125" i="77"/>
  <c r="BN96" i="77"/>
  <c r="BX189" i="77"/>
  <c r="CF168" i="77"/>
  <c r="BU168" i="77"/>
  <c r="BG98" i="77"/>
  <c r="BE98" i="77"/>
  <c r="CH98" i="77"/>
  <c r="CF123" i="77"/>
  <c r="BZ123" i="77"/>
  <c r="BJ86" i="77"/>
  <c r="BT120" i="77"/>
  <c r="CB198" i="77"/>
  <c r="BL147" i="77"/>
  <c r="CB128" i="77"/>
  <c r="CF139" i="77"/>
  <c r="BZ190" i="77"/>
  <c r="BZ191" i="77"/>
  <c r="CA191" i="77"/>
  <c r="BX146" i="77"/>
  <c r="CF99" i="77"/>
  <c r="BX125" i="77"/>
  <c r="BR96" i="77"/>
  <c r="BD168" i="77"/>
  <c r="CC151" i="77"/>
  <c r="BC151" i="77"/>
  <c r="BK98" i="77"/>
  <c r="BI98" i="77"/>
  <c r="BC123" i="77"/>
  <c r="BA123" i="77"/>
  <c r="CD123" i="77"/>
  <c r="BN86" i="77"/>
  <c r="BH114" i="77"/>
  <c r="BF120" i="77"/>
  <c r="CH120" i="77"/>
  <c r="BT182" i="77"/>
  <c r="BL100" i="77"/>
  <c r="BD139" i="77"/>
  <c r="CB191" i="77"/>
  <c r="CF191" i="77"/>
  <c r="CC191" i="77"/>
  <c r="BT169" i="77"/>
  <c r="BD99" i="77"/>
  <c r="BY96" i="77"/>
  <c r="BS96" i="77"/>
  <c r="CB189" i="77"/>
  <c r="BB151" i="77"/>
  <c r="BR151" i="77"/>
  <c r="BP98" i="77"/>
  <c r="BJ98" i="77"/>
  <c r="BO123" i="77"/>
  <c r="BB123" i="77"/>
  <c r="BU86" i="77"/>
  <c r="BX85" i="77"/>
  <c r="CB85" i="77"/>
  <c r="BY85" i="77"/>
  <c r="BP85" i="77"/>
  <c r="BN85" i="77"/>
  <c r="BS85" i="77"/>
  <c r="CI165" i="77"/>
  <c r="BX193" i="77"/>
  <c r="BT193" i="77"/>
  <c r="BV200" i="77"/>
  <c r="BE196" i="77"/>
  <c r="CH196" i="77"/>
  <c r="BP192" i="77"/>
  <c r="BD177" i="77"/>
  <c r="CF177" i="77"/>
  <c r="BS200" i="77"/>
  <c r="F146" i="75"/>
  <c r="BX200" i="77"/>
  <c r="BP165" i="77"/>
  <c r="BH101" i="77"/>
  <c r="BT114" i="77"/>
  <c r="BJ120" i="77"/>
  <c r="BN196" i="77"/>
  <c r="BF200" i="77"/>
  <c r="CB165" i="77"/>
  <c r="BM196" i="77"/>
  <c r="BD196" i="77"/>
  <c r="BX192" i="77"/>
  <c r="BY192" i="77"/>
  <c r="BO200" i="77"/>
  <c r="CA200" i="77"/>
  <c r="G146" i="75"/>
  <c r="CB200" i="77"/>
  <c r="BT165" i="77"/>
  <c r="BL101" i="77"/>
  <c r="CB114" i="77"/>
  <c r="CC120" i="77"/>
  <c r="CE196" i="77"/>
  <c r="BK200" i="77"/>
  <c r="BL165" i="77"/>
  <c r="BK196" i="77"/>
  <c r="BJ196" i="77"/>
  <c r="BH193" i="77"/>
  <c r="BI200" i="77"/>
  <c r="CH200" i="77"/>
  <c r="CA120" i="77"/>
  <c r="BK120" i="77"/>
  <c r="BW120" i="77"/>
  <c r="BD198" i="77"/>
  <c r="BX182" i="77"/>
  <c r="BP100" i="77"/>
  <c r="BH139" i="77"/>
  <c r="BD191" i="77"/>
  <c r="BC191" i="77"/>
  <c r="CG190" i="77"/>
  <c r="CG191" i="77"/>
  <c r="BX169" i="77"/>
  <c r="BH99" i="77"/>
  <c r="CE125" i="77"/>
  <c r="CC96" i="77"/>
  <c r="BW96" i="77"/>
  <c r="BH168" i="77"/>
  <c r="BA168" i="77"/>
  <c r="BF151" i="77"/>
  <c r="BV151" i="77"/>
  <c r="E107" i="75"/>
  <c r="BT98" i="77"/>
  <c r="BN98" i="77"/>
  <c r="BW123" i="77"/>
  <c r="BF123" i="77"/>
  <c r="BY86" i="77"/>
  <c r="CF120" i="77"/>
  <c r="BX147" i="77"/>
  <c r="BN191" i="77"/>
  <c r="BE191" i="77"/>
  <c r="BP146" i="77"/>
  <c r="BA96" i="77"/>
  <c r="CD96" i="77"/>
  <c r="BE151" i="77"/>
  <c r="BQ151" i="77"/>
  <c r="BW98" i="77"/>
  <c r="BU98" i="77"/>
  <c r="CA123" i="77"/>
  <c r="BM123" i="77"/>
  <c r="BZ86" i="77"/>
  <c r="CB147" i="77"/>
  <c r="BV191" i="77"/>
  <c r="BI191" i="77"/>
  <c r="CF146" i="77"/>
  <c r="BE96" i="77"/>
  <c r="CH96" i="77"/>
  <c r="BI151" i="77"/>
  <c r="BW151" i="77"/>
  <c r="CA98" i="77"/>
  <c r="BY98" i="77"/>
  <c r="BD123" i="77"/>
  <c r="BQ123" i="77"/>
  <c r="CD86" i="77"/>
  <c r="BX114" i="77"/>
  <c r="CD120" i="77"/>
  <c r="BH120" i="77"/>
  <c r="BP198" i="77"/>
  <c r="CB100" i="77"/>
  <c r="BD128" i="77"/>
  <c r="BT139" i="77"/>
  <c r="BB191" i="77"/>
  <c r="BO191" i="77"/>
  <c r="BD146" i="77"/>
  <c r="BT99" i="77"/>
  <c r="BL125" i="77"/>
  <c r="BF96" i="77"/>
  <c r="CB168" i="77"/>
  <c r="BU151" i="77"/>
  <c r="CH151" i="77"/>
  <c r="H107" i="75"/>
  <c r="CF98" i="77"/>
  <c r="BZ98" i="77"/>
  <c r="BP123" i="77"/>
  <c r="BR123" i="77"/>
  <c r="BR85" i="77"/>
  <c r="BG85" i="77"/>
  <c r="BB85" i="77"/>
  <c r="BK85" i="77"/>
  <c r="BV85" i="77"/>
  <c r="BM85" i="77"/>
  <c r="BD85" i="77"/>
  <c r="CI123" i="77"/>
  <c r="CI191" i="77"/>
  <c r="CC196" i="77"/>
  <c r="BE120" i="77"/>
  <c r="BG196" i="77"/>
  <c r="BP196" i="77"/>
  <c r="BL192" i="77"/>
  <c r="BG200" i="77"/>
  <c r="BJ200" i="77"/>
  <c r="CG165" i="77"/>
  <c r="CF165" i="77"/>
  <c r="BX101" i="77"/>
  <c r="BV120" i="77"/>
  <c r="CB196" i="77"/>
  <c r="E146" i="75"/>
  <c r="F192" i="75" s="1"/>
  <c r="BT200" i="77"/>
  <c r="CG120" i="77"/>
  <c r="BO196" i="77"/>
  <c r="BT196" i="77"/>
  <c r="BD193" i="77"/>
  <c r="BT192" i="77"/>
  <c r="BE200" i="77"/>
  <c r="BN200" i="77"/>
  <c r="CB101" i="77"/>
  <c r="BG120" i="77"/>
  <c r="BL196" i="77"/>
  <c r="BD192" i="77"/>
  <c r="BD200" i="77"/>
  <c r="BY196" i="77"/>
  <c r="BZ196" i="77"/>
  <c r="BG86" i="77"/>
  <c r="BC200" i="77"/>
  <c r="D146" i="75"/>
  <c r="BP200" i="77"/>
  <c r="BH165" i="77"/>
  <c r="BL114" i="77"/>
  <c r="BC120" i="77"/>
  <c r="BL120" i="77"/>
  <c r="BT198" i="77"/>
  <c r="BD147" i="77"/>
  <c r="CF100" i="77"/>
  <c r="BL128" i="77"/>
  <c r="BX139" i="77"/>
  <c r="BJ191" i="77"/>
  <c r="BS191" i="77"/>
  <c r="BT146" i="77"/>
  <c r="BX99" i="77"/>
  <c r="CC125" i="77"/>
  <c r="BP125" i="77"/>
  <c r="BJ96" i="77"/>
  <c r="BD189" i="77"/>
  <c r="BQ168" i="77"/>
  <c r="CA151" i="77"/>
  <c r="BC98" i="77"/>
  <c r="BA98" i="77"/>
  <c r="CD98" i="77"/>
  <c r="BX123" i="77"/>
  <c r="BV123" i="77"/>
  <c r="BF86" i="77"/>
  <c r="BL182" i="77"/>
  <c r="BD100" i="77"/>
  <c r="BX128" i="77"/>
  <c r="BK86" i="77"/>
  <c r="BP191" i="77"/>
  <c r="BU191" i="77"/>
  <c r="BL169" i="77"/>
  <c r="BI146" i="77"/>
  <c r="BQ96" i="77"/>
  <c r="BK96" i="77"/>
  <c r="BY151" i="77"/>
  <c r="BJ151" i="77"/>
  <c r="BH98" i="77"/>
  <c r="BB98" i="77"/>
  <c r="CB123" i="77"/>
  <c r="CC123" i="77"/>
  <c r="BM86" i="77"/>
  <c r="BZ120" i="77"/>
  <c r="BS196" i="77"/>
  <c r="BP182" i="77"/>
  <c r="BH100" i="77"/>
  <c r="CF128" i="77"/>
  <c r="BC86" i="77"/>
  <c r="BX191" i="77"/>
  <c r="BY191" i="77"/>
  <c r="BP169" i="77"/>
  <c r="BU96" i="77"/>
  <c r="BO96" i="77"/>
  <c r="CE151" i="77"/>
  <c r="BN151" i="77"/>
  <c r="BL98" i="77"/>
  <c r="BF98" i="77"/>
  <c r="BG123" i="77"/>
  <c r="CG123" i="77"/>
  <c r="BQ86" i="77"/>
  <c r="BR120" i="77"/>
  <c r="BX120" i="77"/>
  <c r="CF198" i="77"/>
  <c r="BP147" i="77"/>
  <c r="CH190" i="77"/>
  <c r="CH191" i="77"/>
  <c r="CE191" i="77"/>
  <c r="BL146" i="77"/>
  <c r="CB125" i="77"/>
  <c r="BV96" i="77"/>
  <c r="BT189" i="77"/>
  <c r="BT168" i="77"/>
  <c r="BM151" i="77"/>
  <c r="BG151" i="77"/>
  <c r="BO98" i="77"/>
  <c r="BM98" i="77"/>
  <c r="BK123" i="77"/>
  <c r="BE123" i="77"/>
  <c r="CH123" i="77"/>
  <c r="BR86" i="77"/>
  <c r="CI196" i="77"/>
  <c r="BA85" i="77"/>
  <c r="BW85" i="77"/>
  <c r="BE85" i="77"/>
  <c r="CA85" i="77"/>
  <c r="BO85" i="77"/>
  <c r="BJ85" i="77"/>
  <c r="BT85" i="77"/>
  <c r="CI120" i="77"/>
  <c r="CI98" i="77"/>
  <c r="CI200" i="77"/>
  <c r="CD196" i="77"/>
  <c r="BH192" i="77"/>
  <c r="BT101" i="77"/>
  <c r="CA196" i="77"/>
  <c r="BB196" i="77"/>
  <c r="CF196" i="77"/>
  <c r="CB193" i="77"/>
  <c r="CC200" i="77"/>
  <c r="BZ200" i="77"/>
  <c r="BD120" i="77"/>
  <c r="BD101" i="77"/>
  <c r="BC196" i="77"/>
  <c r="BF196" i="77"/>
  <c r="CF193" i="77"/>
  <c r="BX177" i="77"/>
  <c r="BA200" i="77"/>
  <c r="CD200" i="77"/>
  <c r="BS120" i="77"/>
  <c r="BL177" i="77"/>
  <c r="BQ120" i="77"/>
  <c r="BU196" i="77"/>
  <c r="BH196" i="77"/>
  <c r="CF192" i="77"/>
  <c r="BW200" i="77"/>
  <c r="BB200" i="77"/>
  <c r="CF200" i="77"/>
  <c r="BX165" i="77"/>
  <c r="BP101" i="77"/>
  <c r="CF114" i="77"/>
  <c r="BB120" i="77"/>
  <c r="BA120" i="77"/>
  <c r="BY120" i="77"/>
  <c r="CB120" i="77"/>
  <c r="BT147" i="77"/>
  <c r="BF190" i="77"/>
  <c r="BF191" i="77"/>
  <c r="BA191" i="77"/>
  <c r="CB146" i="77"/>
  <c r="CF125" i="77"/>
  <c r="BZ96" i="77"/>
  <c r="CG168" i="77"/>
  <c r="BA151" i="77"/>
  <c r="BS98" i="77"/>
  <c r="BQ98" i="77"/>
  <c r="BS123" i="77"/>
  <c r="BI123" i="77"/>
  <c r="CE86" i="77"/>
  <c r="BH198" i="77"/>
  <c r="CB182" i="77"/>
  <c r="BT100" i="77"/>
  <c r="BL139" i="77"/>
  <c r="BL191" i="77"/>
  <c r="BG191" i="77"/>
  <c r="CB169" i="77"/>
  <c r="BY146" i="77"/>
  <c r="BL99" i="77"/>
  <c r="BD125" i="77"/>
  <c r="CG96" i="77"/>
  <c r="CA96" i="77"/>
  <c r="CF189" i="77"/>
  <c r="BX168" i="77"/>
  <c r="BE178" i="77"/>
  <c r="BE168" i="77"/>
  <c r="BK151" i="77"/>
  <c r="BZ151" i="77"/>
  <c r="F107" i="75"/>
  <c r="BX98" i="77"/>
  <c r="BR98" i="77"/>
  <c r="CE123" i="77"/>
  <c r="BJ123" i="77"/>
  <c r="CC86" i="77"/>
  <c r="CE120" i="77"/>
  <c r="BL198" i="77"/>
  <c r="CF182" i="77"/>
  <c r="BX100" i="77"/>
  <c r="BP139" i="77"/>
  <c r="BT191" i="77"/>
  <c r="BK191" i="77"/>
  <c r="CF169" i="77"/>
  <c r="BP99" i="77"/>
  <c r="BB96" i="77"/>
  <c r="CE96" i="77"/>
  <c r="BP189" i="77"/>
  <c r="BH189" i="77"/>
  <c r="BL168" i="77"/>
  <c r="BS151" i="77"/>
  <c r="CD151" i="77"/>
  <c r="G107" i="75"/>
  <c r="CB98" i="77"/>
  <c r="BV98" i="77"/>
  <c r="BH123" i="77"/>
  <c r="BN123" i="77"/>
  <c r="CG86" i="77"/>
  <c r="BO120" i="77"/>
  <c r="BI120" i="77"/>
  <c r="BD182" i="77"/>
  <c r="CF147" i="77"/>
  <c r="BH128" i="77"/>
  <c r="CA86" i="77"/>
  <c r="CD191" i="77"/>
  <c r="BM191" i="77"/>
  <c r="BD169" i="77"/>
  <c r="BI96" i="77"/>
  <c r="BC96" i="77"/>
  <c r="BO151" i="77"/>
  <c r="CE98" i="77"/>
  <c r="CC98" i="77"/>
  <c r="BL123" i="77"/>
  <c r="BU123" i="77"/>
  <c r="BE86" i="77"/>
  <c r="CH86" i="77"/>
  <c r="BQ85" i="77"/>
  <c r="BH85" i="77"/>
  <c r="BU85" i="77"/>
  <c r="BL85" i="77"/>
  <c r="BI85" i="77"/>
  <c r="BF85" i="77"/>
  <c r="BC85" i="77"/>
  <c r="BZ85" i="77"/>
  <c r="T72" i="77"/>
  <c r="T77" i="77"/>
  <c r="R72" i="77"/>
  <c r="S76" i="77"/>
  <c r="S69" i="77" s="1"/>
  <c r="T88" i="77"/>
  <c r="R88" i="77"/>
  <c r="S77" i="77"/>
  <c r="R77" i="77"/>
  <c r="S88" i="77"/>
  <c r="Z40" i="77"/>
  <c r="BE190" i="77"/>
  <c r="S72" i="77"/>
  <c r="Z42" i="77"/>
  <c r="Z39" i="77"/>
  <c r="Z45" i="77"/>
  <c r="Z46" i="77"/>
  <c r="Z44" i="77"/>
  <c r="Z43" i="77"/>
  <c r="T75" i="77"/>
  <c r="T68" i="77" s="1"/>
  <c r="S75" i="77"/>
  <c r="S68" i="77" s="1"/>
  <c r="Z23" i="77"/>
  <c r="R75" i="77"/>
  <c r="R68" i="77" s="1"/>
  <c r="T76" i="77"/>
  <c r="T69" i="77" s="1"/>
  <c r="R76" i="77"/>
  <c r="R69" i="77" s="1"/>
  <c r="T44" i="77"/>
  <c r="S33" i="77"/>
  <c r="R46" i="77"/>
  <c r="T39" i="77"/>
  <c r="R22" i="77"/>
  <c r="U23" i="77"/>
  <c r="D23" i="75" s="1"/>
  <c r="S22" i="77"/>
  <c r="T13" i="77"/>
  <c r="T15" i="77" s="1"/>
  <c r="V40" i="77"/>
  <c r="W46" i="77"/>
  <c r="V39" i="77"/>
  <c r="Y46" i="77"/>
  <c r="Y45" i="77"/>
  <c r="R10" i="77"/>
  <c r="T24" i="77"/>
  <c r="S10" i="77"/>
  <c r="T23" i="77"/>
  <c r="Y23" i="77"/>
  <c r="H23" i="75" s="1"/>
  <c r="R37" i="77"/>
  <c r="T36" i="77"/>
  <c r="S42" i="77"/>
  <c r="V45" i="77"/>
  <c r="S40" i="77"/>
  <c r="X44" i="77"/>
  <c r="V46" i="77"/>
  <c r="W42" i="77"/>
  <c r="F42" i="75" s="1"/>
  <c r="S44" i="77"/>
  <c r="U39" i="77"/>
  <c r="S43" i="77"/>
  <c r="S45" i="77"/>
  <c r="X43" i="77"/>
  <c r="X45" i="77"/>
  <c r="U40" i="77"/>
  <c r="T33" i="77"/>
  <c r="R33" i="77"/>
  <c r="U42" i="77"/>
  <c r="D42" i="75" s="1"/>
  <c r="D108" i="75" s="1"/>
  <c r="Y42" i="77"/>
  <c r="H42" i="75" s="1"/>
  <c r="X42" i="77"/>
  <c r="G42" i="75" s="1"/>
  <c r="Y40" i="77"/>
  <c r="T32" i="77"/>
  <c r="T22" i="77"/>
  <c r="X23" i="77"/>
  <c r="G23" i="75" s="1"/>
  <c r="R13" i="77"/>
  <c r="R15" i="77" s="1"/>
  <c r="T10" i="77"/>
  <c r="T11" i="77" s="1"/>
  <c r="R23" i="77"/>
  <c r="S36" i="77"/>
  <c r="W39" i="77"/>
  <c r="V42" i="77"/>
  <c r="E42" i="75" s="1"/>
  <c r="E172" i="75" s="1"/>
  <c r="R44" i="77"/>
  <c r="R43" i="77"/>
  <c r="S37" i="77"/>
  <c r="R45" i="77"/>
  <c r="Y39" i="77"/>
  <c r="W43" i="77"/>
  <c r="W40" i="77"/>
  <c r="T46" i="77"/>
  <c r="V44" i="77"/>
  <c r="T45" i="77"/>
  <c r="S32" i="77"/>
  <c r="R32" i="77"/>
  <c r="T40" i="77"/>
  <c r="Y44" i="77"/>
  <c r="R42" i="77"/>
  <c r="T43" i="77"/>
  <c r="R24" i="77"/>
  <c r="W23" i="77"/>
  <c r="S24" i="77"/>
  <c r="V23" i="77"/>
  <c r="E23" i="75" s="1"/>
  <c r="S13" i="77"/>
  <c r="S15" i="77" s="1"/>
  <c r="U46" i="77"/>
  <c r="R40" i="77"/>
  <c r="W44" i="77"/>
  <c r="Y43" i="77"/>
  <c r="X39" i="77"/>
  <c r="V43" i="77"/>
  <c r="U45" i="77"/>
  <c r="U44" i="77"/>
  <c r="S39" i="77"/>
  <c r="S46" i="77"/>
  <c r="W45" i="77"/>
  <c r="X46" i="77"/>
  <c r="R36" i="77"/>
  <c r="T42" i="77"/>
  <c r="T37" i="77"/>
  <c r="BU190" i="77"/>
  <c r="BA190" i="77"/>
  <c r="BG190" i="77"/>
  <c r="BK190" i="77"/>
  <c r="BM190" i="77"/>
  <c r="BQ190" i="77"/>
  <c r="BW190" i="77"/>
  <c r="CA190" i="77"/>
  <c r="BV190" i="77"/>
  <c r="BO190" i="77"/>
  <c r="BJ190" i="77"/>
  <c r="BN190" i="77"/>
  <c r="CE190" i="77"/>
  <c r="BC190" i="77"/>
  <c r="BC202" i="77"/>
  <c r="BB202" i="77"/>
  <c r="BA202" i="77"/>
  <c r="BL202" i="77"/>
  <c r="CA202" i="77"/>
  <c r="BN202" i="77"/>
  <c r="CD190" i="77"/>
  <c r="BR202" i="77"/>
  <c r="BO202" i="77"/>
  <c r="BR190" i="77"/>
  <c r="BW202" i="77"/>
  <c r="BQ202" i="77"/>
  <c r="CC202" i="77"/>
  <c r="CD202" i="77"/>
  <c r="CC190" i="77"/>
  <c r="CH202" i="77"/>
  <c r="BK202" i="77"/>
  <c r="BF202" i="77"/>
  <c r="BJ202" i="77"/>
  <c r="BI190" i="77"/>
  <c r="BI202" i="77"/>
  <c r="BP202" i="77"/>
  <c r="BB190" i="77"/>
  <c r="CI190" i="77"/>
  <c r="BG202" i="77"/>
  <c r="BS190" i="77"/>
  <c r="BV202" i="77"/>
  <c r="BU202" i="77"/>
  <c r="BZ202" i="77"/>
  <c r="BY190" i="77"/>
  <c r="CE202" i="77"/>
  <c r="CF202" i="77"/>
  <c r="AO40" i="75"/>
  <c r="AB40" i="75"/>
  <c r="AE40" i="75"/>
  <c r="AG40" i="75"/>
  <c r="AC40" i="75"/>
  <c r="AJ40" i="75"/>
  <c r="W40" i="75"/>
  <c r="AF40" i="75"/>
  <c r="AA40" i="75"/>
  <c r="AI40" i="75"/>
  <c r="X40" i="75"/>
  <c r="AK40" i="75"/>
  <c r="Y40" i="75"/>
  <c r="AR40" i="75"/>
  <c r="AM40" i="75"/>
  <c r="AQ40" i="75"/>
  <c r="AN40" i="75"/>
  <c r="G208" i="77"/>
  <c r="H6" i="77"/>
  <c r="H208" i="77" s="1"/>
  <c r="F145" i="75"/>
  <c r="G116" i="75"/>
  <c r="F116" i="75"/>
  <c r="F176" i="75" s="1"/>
  <c r="D116" i="75"/>
  <c r="E116" i="75"/>
  <c r="CJ185" i="77"/>
  <c r="CJ184" i="77"/>
  <c r="CJ197" i="77"/>
  <c r="CJ180" i="77"/>
  <c r="CJ130" i="77"/>
  <c r="CJ171" i="77"/>
  <c r="CJ202" i="77"/>
  <c r="CJ190" i="77"/>
  <c r="CJ154" i="77"/>
  <c r="CJ112" i="77"/>
  <c r="CJ102" i="77"/>
  <c r="CJ194" i="77"/>
  <c r="CJ149" i="77"/>
  <c r="CJ142" i="77"/>
  <c r="CJ141" i="77"/>
  <c r="BJ184" i="77"/>
  <c r="BJ185" i="77"/>
  <c r="CI141" i="77"/>
  <c r="CI142" i="77"/>
  <c r="BS141" i="77"/>
  <c r="BS142" i="77"/>
  <c r="CD184" i="77"/>
  <c r="CD185" i="77"/>
  <c r="CE184" i="77"/>
  <c r="CE185" i="77"/>
  <c r="BO141" i="77"/>
  <c r="BO142" i="77"/>
  <c r="BT184" i="77"/>
  <c r="BT185" i="77"/>
  <c r="BE184" i="77"/>
  <c r="BE185" i="77"/>
  <c r="BH184" i="77"/>
  <c r="BH185" i="77"/>
  <c r="BW184" i="77"/>
  <c r="BW185" i="77"/>
  <c r="BK184" i="77"/>
  <c r="BK185" i="77"/>
  <c r="BC141" i="77"/>
  <c r="BC142" i="77"/>
  <c r="BO184" i="77"/>
  <c r="BO185" i="77"/>
  <c r="BX184" i="77"/>
  <c r="BX185" i="77"/>
  <c r="BP185" i="77"/>
  <c r="CI184" i="77"/>
  <c r="CI185" i="77"/>
  <c r="BN184" i="77"/>
  <c r="BN185" i="77"/>
  <c r="BG184" i="77"/>
  <c r="BG185" i="77"/>
  <c r="BV184" i="77"/>
  <c r="BV185" i="77"/>
  <c r="BL184" i="77"/>
  <c r="BL185" i="77"/>
  <c r="BC184" i="77"/>
  <c r="BC185" i="77"/>
  <c r="BZ184" i="77"/>
  <c r="BZ185" i="77"/>
  <c r="BF184" i="77"/>
  <c r="BF185" i="77"/>
  <c r="CA141" i="77"/>
  <c r="CA142" i="77"/>
  <c r="CA184" i="77"/>
  <c r="BW141" i="77"/>
  <c r="BW142" i="77"/>
  <c r="BB184" i="77"/>
  <c r="BB185" i="77"/>
  <c r="CH184" i="77"/>
  <c r="CH185" i="77"/>
  <c r="BR184" i="77"/>
  <c r="BR185" i="77"/>
  <c r="CB184" i="77"/>
  <c r="CB185" i="77"/>
  <c r="BD184" i="77"/>
  <c r="BD185" i="77"/>
  <c r="BB163" i="77"/>
  <c r="CE163" i="77"/>
  <c r="BE163" i="77"/>
  <c r="CH163" i="77"/>
  <c r="BY163" i="77"/>
  <c r="CC163" i="77"/>
  <c r="BF163" i="77"/>
  <c r="BZ163" i="77"/>
  <c r="BV295" i="77"/>
  <c r="BX295" i="77"/>
  <c r="BW295" i="77"/>
  <c r="BU295" i="77"/>
  <c r="BE287" i="77"/>
  <c r="BF287" i="77"/>
  <c r="BH287" i="77"/>
  <c r="BG287" i="77"/>
  <c r="V40" i="75"/>
  <c r="BO47" i="77"/>
  <c r="BM47" i="77"/>
  <c r="BN47" i="77"/>
  <c r="BP47" i="77"/>
  <c r="BJ41" i="77"/>
  <c r="BK41" i="77"/>
  <c r="BL41" i="77"/>
  <c r="BI41" i="77"/>
  <c r="BO268" i="77"/>
  <c r="BN268" i="77"/>
  <c r="BP268" i="77"/>
  <c r="BM268" i="77"/>
  <c r="CE308" i="77"/>
  <c r="CC308" i="77"/>
  <c r="CD308" i="77"/>
  <c r="CF308" i="77"/>
  <c r="BY291" i="77"/>
  <c r="CA291" i="77"/>
  <c r="CB291" i="77"/>
  <c r="BZ291" i="77"/>
  <c r="BG38" i="77"/>
  <c r="BF38" i="77"/>
  <c r="BH38" i="77"/>
  <c r="BE38" i="77"/>
  <c r="BV258" i="77"/>
  <c r="BW258" i="77"/>
  <c r="BX258" i="77"/>
  <c r="BU258" i="77"/>
  <c r="Z40" i="75"/>
  <c r="BT47" i="77"/>
  <c r="BQ47" i="77"/>
  <c r="BR47" i="77"/>
  <c r="BS47" i="77"/>
  <c r="BR41" i="77"/>
  <c r="BQ41" i="77"/>
  <c r="BS41" i="77"/>
  <c r="BT41" i="77"/>
  <c r="AD40" i="75"/>
  <c r="BV47" i="77"/>
  <c r="BU47" i="77"/>
  <c r="BX47" i="77"/>
  <c r="BW47" i="77"/>
  <c r="BD15" i="77"/>
  <c r="BB15" i="77"/>
  <c r="BC15" i="77"/>
  <c r="BA15" i="77"/>
  <c r="BJ38" i="77"/>
  <c r="BK38" i="77"/>
  <c r="BL38" i="77"/>
  <c r="BI38" i="77"/>
  <c r="BC287" i="77"/>
  <c r="BD287" i="77"/>
  <c r="BB287" i="77"/>
  <c r="BA287" i="77"/>
  <c r="BE308" i="77"/>
  <c r="BF308" i="77"/>
  <c r="BH308" i="77"/>
  <c r="BG308" i="77"/>
  <c r="BK308" i="77"/>
  <c r="BL308" i="77"/>
  <c r="BJ308" i="77"/>
  <c r="BI308" i="77"/>
  <c r="BT295" i="77"/>
  <c r="BR295" i="77"/>
  <c r="BQ295" i="77"/>
  <c r="BS295" i="77"/>
  <c r="CE291" i="77"/>
  <c r="CC291" i="77"/>
  <c r="CD291" i="77"/>
  <c r="CF291" i="77"/>
  <c r="BA268" i="77"/>
  <c r="BC268" i="77"/>
  <c r="BD268" i="77"/>
  <c r="BB268" i="77"/>
  <c r="BL295" i="77"/>
  <c r="BJ295" i="77"/>
  <c r="BI295" i="77"/>
  <c r="BK295" i="77"/>
  <c r="BK287" i="77"/>
  <c r="BL287" i="77"/>
  <c r="BJ287" i="77"/>
  <c r="BI287" i="77"/>
  <c r="BO295" i="77"/>
  <c r="BM295" i="77"/>
  <c r="BN295" i="77"/>
  <c r="BP295" i="77"/>
  <c r="BS268" i="77"/>
  <c r="BQ268" i="77"/>
  <c r="BT268" i="77"/>
  <c r="BR268" i="77"/>
  <c r="CJ268" i="77"/>
  <c r="CH268" i="77"/>
  <c r="CI268" i="77"/>
  <c r="CG268" i="77"/>
  <c r="BA258" i="77"/>
  <c r="BD258" i="77"/>
  <c r="BC258" i="77"/>
  <c r="BB258" i="77"/>
  <c r="BE291" i="77"/>
  <c r="BF291" i="77"/>
  <c r="BH291" i="77"/>
  <c r="BG291" i="77"/>
  <c r="CB295" i="77"/>
  <c r="BZ295" i="77"/>
  <c r="BY295" i="77"/>
  <c r="CA295" i="77"/>
  <c r="CJ287" i="77"/>
  <c r="CH287" i="77"/>
  <c r="CG287" i="77"/>
  <c r="CI287" i="77"/>
  <c r="BT291" i="77"/>
  <c r="BR291" i="77"/>
  <c r="BQ291" i="77"/>
  <c r="BS291" i="77"/>
  <c r="BW41" i="77"/>
  <c r="BV41" i="77"/>
  <c r="BU41" i="77"/>
  <c r="BX41" i="77"/>
  <c r="BK291" i="77"/>
  <c r="BL291" i="77"/>
  <c r="BJ291" i="77"/>
  <c r="BI291" i="77"/>
  <c r="BW291" i="77"/>
  <c r="BU291" i="77"/>
  <c r="BV291" i="77"/>
  <c r="BX291" i="77"/>
  <c r="BE41" i="77"/>
  <c r="BH41" i="77"/>
  <c r="BG41" i="77"/>
  <c r="BF41" i="77"/>
  <c r="BR258" i="77"/>
  <c r="BT258" i="77"/>
  <c r="BQ258" i="77"/>
  <c r="BS258" i="77"/>
  <c r="CB279" i="77"/>
  <c r="BZ279" i="77"/>
  <c r="BY279" i="77"/>
  <c r="CA279" i="77"/>
  <c r="CJ41" i="77"/>
  <c r="CI41" i="77"/>
  <c r="CH41" i="77"/>
  <c r="CG41" i="77"/>
  <c r="AP40" i="75"/>
  <c r="CH47" i="77"/>
  <c r="CI47" i="77"/>
  <c r="CJ47" i="77"/>
  <c r="CG47" i="77"/>
  <c r="BF47" i="77"/>
  <c r="BG47" i="77"/>
  <c r="BH47" i="77"/>
  <c r="BE47" i="77"/>
  <c r="BB41" i="77"/>
  <c r="BC41" i="77"/>
  <c r="BD41" i="77"/>
  <c r="BA41" i="77"/>
  <c r="BJ15" i="77"/>
  <c r="BL15" i="77"/>
  <c r="BK15" i="77"/>
  <c r="BI15" i="77"/>
  <c r="CA41" i="77"/>
  <c r="BZ41" i="77"/>
  <c r="BY41" i="77"/>
  <c r="CB41" i="77"/>
  <c r="BD47" i="77"/>
  <c r="BA47" i="77"/>
  <c r="BC47" i="77"/>
  <c r="BB47" i="77"/>
  <c r="CF41" i="77"/>
  <c r="CC41" i="77"/>
  <c r="CE41" i="77"/>
  <c r="CD41" i="77"/>
  <c r="BL279" i="77"/>
  <c r="BJ279" i="77"/>
  <c r="BI279" i="77"/>
  <c r="BK279" i="77"/>
  <c r="CJ258" i="77"/>
  <c r="CH258" i="77"/>
  <c r="CI258" i="77"/>
  <c r="CG258" i="77"/>
  <c r="BD295" i="77"/>
  <c r="BB295" i="77"/>
  <c r="BA295" i="77"/>
  <c r="BC295" i="77"/>
  <c r="BG279" i="77"/>
  <c r="BE279" i="77"/>
  <c r="BF279" i="77"/>
  <c r="BH279" i="77"/>
  <c r="BW287" i="77"/>
  <c r="BU287" i="77"/>
  <c r="BV287" i="77"/>
  <c r="BX287" i="77"/>
  <c r="CB268" i="77"/>
  <c r="BZ268" i="77"/>
  <c r="BY268" i="77"/>
  <c r="CA268" i="77"/>
  <c r="CJ279" i="77"/>
  <c r="CH279" i="77"/>
  <c r="CG279" i="77"/>
  <c r="CI279" i="77"/>
  <c r="CE287" i="77"/>
  <c r="CC287" i="77"/>
  <c r="CD287" i="77"/>
  <c r="CF287" i="77"/>
  <c r="CE268" i="77"/>
  <c r="CD268" i="77"/>
  <c r="CF268" i="77"/>
  <c r="CC268" i="77"/>
  <c r="BV279" i="77"/>
  <c r="BX279" i="77"/>
  <c r="BW279" i="77"/>
  <c r="BU279" i="77"/>
  <c r="BO291" i="77"/>
  <c r="BM291" i="77"/>
  <c r="BN291" i="77"/>
  <c r="BP291" i="77"/>
  <c r="BO279" i="77"/>
  <c r="BM279" i="77"/>
  <c r="BN279" i="77"/>
  <c r="BP279" i="77"/>
  <c r="CJ295" i="77"/>
  <c r="CH295" i="77"/>
  <c r="CG295" i="77"/>
  <c r="CI295" i="77"/>
  <c r="CE279" i="77"/>
  <c r="CC279" i="77"/>
  <c r="CD279" i="77"/>
  <c r="CF279" i="77"/>
  <c r="BK47" i="77"/>
  <c r="BL47" i="77"/>
  <c r="BJ47" i="77"/>
  <c r="BI47" i="77"/>
  <c r="BO308" i="77"/>
  <c r="BM308" i="77"/>
  <c r="BN308" i="77"/>
  <c r="BP308" i="77"/>
  <c r="BT308" i="77"/>
  <c r="BR308" i="77"/>
  <c r="BQ308" i="77"/>
  <c r="BS308" i="77"/>
  <c r="CB308" i="77"/>
  <c r="BZ308" i="77"/>
  <c r="BY308" i="77"/>
  <c r="CA308" i="77"/>
  <c r="CJ291" i="77"/>
  <c r="CH291" i="77"/>
  <c r="CG291" i="77"/>
  <c r="CI291" i="77"/>
  <c r="CE295" i="77"/>
  <c r="CC295" i="77"/>
  <c r="CD295" i="77"/>
  <c r="CF295" i="77"/>
  <c r="BD308" i="77"/>
  <c r="BB308" i="77"/>
  <c r="BA308" i="77"/>
  <c r="BC308" i="77"/>
  <c r="BT279" i="77"/>
  <c r="BR279" i="77"/>
  <c r="BQ279" i="77"/>
  <c r="BS279" i="77"/>
  <c r="BD291" i="77"/>
  <c r="BB291" i="77"/>
  <c r="BA291" i="77"/>
  <c r="BC291" i="77"/>
  <c r="BD38" i="77"/>
  <c r="BB38" i="77"/>
  <c r="BA38" i="77"/>
  <c r="BC38" i="77"/>
  <c r="AH40" i="75"/>
  <c r="BY47" i="77"/>
  <c r="CB47" i="77"/>
  <c r="CA47" i="77"/>
  <c r="BZ47" i="77"/>
  <c r="AL40" i="75"/>
  <c r="CD47" i="77"/>
  <c r="CF47" i="77"/>
  <c r="CE47" i="77"/>
  <c r="CC47" i="77"/>
  <c r="BE15" i="77"/>
  <c r="BH15" i="77"/>
  <c r="BG15" i="77"/>
  <c r="BF15" i="77"/>
  <c r="BF268" i="77"/>
  <c r="BH268" i="77"/>
  <c r="BG268" i="77"/>
  <c r="BE268" i="77"/>
  <c r="BI268" i="77"/>
  <c r="BK268" i="77"/>
  <c r="BL268" i="77"/>
  <c r="BJ268" i="77"/>
  <c r="BV308" i="77"/>
  <c r="BX308" i="77"/>
  <c r="BW308" i="77"/>
  <c r="BU308" i="77"/>
  <c r="CB287" i="77"/>
  <c r="BZ287" i="77"/>
  <c r="BY287" i="77"/>
  <c r="CA287" i="77"/>
  <c r="CF258" i="77"/>
  <c r="CE258" i="77"/>
  <c r="CD258" i="77"/>
  <c r="CC258" i="77"/>
  <c r="CG308" i="77"/>
  <c r="CI308" i="77"/>
  <c r="CJ308" i="77"/>
  <c r="CH308" i="77"/>
  <c r="BH258" i="77"/>
  <c r="BG258" i="77"/>
  <c r="BE258" i="77"/>
  <c r="BF258" i="77"/>
  <c r="BO287" i="77"/>
  <c r="BM287" i="77"/>
  <c r="BN287" i="77"/>
  <c r="BP287" i="77"/>
  <c r="BP258" i="77"/>
  <c r="BO258" i="77"/>
  <c r="BM258" i="77"/>
  <c r="BN258" i="77"/>
  <c r="BG295" i="77"/>
  <c r="BE295" i="77"/>
  <c r="BF295" i="77"/>
  <c r="BH295" i="77"/>
  <c r="BL258" i="77"/>
  <c r="BI258" i="77"/>
  <c r="BK258" i="77"/>
  <c r="BJ258" i="77"/>
  <c r="BQ287" i="77"/>
  <c r="BS287" i="77"/>
  <c r="BT287" i="77"/>
  <c r="BR287" i="77"/>
  <c r="BD279" i="77"/>
  <c r="BB279" i="77"/>
  <c r="BA279" i="77"/>
  <c r="BC279" i="77"/>
  <c r="BY258" i="77"/>
  <c r="CA258" i="77"/>
  <c r="CB258" i="77"/>
  <c r="BZ258" i="77"/>
  <c r="BW268" i="77"/>
  <c r="BV268" i="77"/>
  <c r="BX268" i="77"/>
  <c r="BU268" i="77"/>
  <c r="BM41" i="77"/>
  <c r="BO41" i="77"/>
  <c r="BN41" i="77"/>
  <c r="BP41" i="77"/>
  <c r="BN178" i="77"/>
  <c r="BN180" i="77"/>
  <c r="BA142" i="77"/>
  <c r="BA141" i="77"/>
  <c r="CD171" i="77"/>
  <c r="BU194" i="77"/>
  <c r="BS194" i="77"/>
  <c r="BE194" i="77"/>
  <c r="BU149" i="77"/>
  <c r="BQ185" i="77"/>
  <c r="BQ184" i="77"/>
  <c r="BS178" i="77"/>
  <c r="BS180" i="77"/>
  <c r="CD142" i="77"/>
  <c r="CD141" i="77"/>
  <c r="BN130" i="77"/>
  <c r="CC142" i="77"/>
  <c r="CC141" i="77"/>
  <c r="CE149" i="77"/>
  <c r="BW194" i="77"/>
  <c r="BT190" i="77"/>
  <c r="BH84" i="77"/>
  <c r="BX154" i="77"/>
  <c r="BH88" i="77"/>
  <c r="CB84" i="77"/>
  <c r="BB84" i="77"/>
  <c r="BH154" i="77"/>
  <c r="BC88" i="77"/>
  <c r="BS154" i="77"/>
  <c r="BK154" i="77"/>
  <c r="BY149" i="77"/>
  <c r="BR84" i="77"/>
  <c r="BG154" i="77"/>
  <c r="BQ84" i="77"/>
  <c r="BY154" i="77"/>
  <c r="CA154" i="77"/>
  <c r="BG84" i="77"/>
  <c r="CH154" i="77"/>
  <c r="BW154" i="77"/>
  <c r="BZ84" i="77"/>
  <c r="BE154" i="77"/>
  <c r="BA88" i="77"/>
  <c r="BV154" i="77"/>
  <c r="BA171" i="77"/>
  <c r="CE130" i="77"/>
  <c r="BR154" i="77"/>
  <c r="BU171" i="77"/>
  <c r="BF149" i="77"/>
  <c r="BO84" i="77"/>
  <c r="CC171" i="77"/>
  <c r="BG142" i="77"/>
  <c r="BG141" i="77"/>
  <c r="BW171" i="77"/>
  <c r="BC102" i="77"/>
  <c r="BR194" i="77"/>
  <c r="BU130" i="77"/>
  <c r="BX141" i="77"/>
  <c r="CG137" i="77"/>
  <c r="BN102" i="77"/>
  <c r="CA194" i="77"/>
  <c r="BJ102" i="77"/>
  <c r="BY171" i="77"/>
  <c r="BD102" i="77"/>
  <c r="BK194" i="77"/>
  <c r="BJ194" i="77"/>
  <c r="BJ171" i="77"/>
  <c r="CD149" i="77"/>
  <c r="CB102" i="77"/>
  <c r="BW149" i="77"/>
  <c r="CG204" i="77"/>
  <c r="CG202" i="77"/>
  <c r="BX171" i="77"/>
  <c r="BL190" i="77"/>
  <c r="BS102" i="77"/>
  <c r="CI102" i="77"/>
  <c r="CI149" i="77"/>
  <c r="CI204" i="77"/>
  <c r="CI202" i="77"/>
  <c r="BT171" i="77"/>
  <c r="BA130" i="77"/>
  <c r="BF102" i="77"/>
  <c r="BW130" i="77"/>
  <c r="BX190" i="77"/>
  <c r="BB102" i="77"/>
  <c r="BS130" i="77"/>
  <c r="BM202" i="77"/>
  <c r="BP130" i="77"/>
  <c r="BT202" i="77"/>
  <c r="BD194" i="77"/>
  <c r="BF194" i="77"/>
  <c r="BM171" i="77"/>
  <c r="CA149" i="77"/>
  <c r="BY102" i="77"/>
  <c r="BY130" i="77"/>
  <c r="BW102" i="77"/>
  <c r="CC137" i="77"/>
  <c r="BT102" i="77"/>
  <c r="BD202" i="77"/>
  <c r="CD194" i="77"/>
  <c r="CB141" i="77"/>
  <c r="BP102" i="77"/>
  <c r="BZ130" i="77"/>
  <c r="CF190" i="77"/>
  <c r="BH141" i="77"/>
  <c r="BX130" i="77"/>
  <c r="BB178" i="77"/>
  <c r="BB180" i="77"/>
  <c r="CH102" i="77"/>
  <c r="BF130" i="77"/>
  <c r="BX202" i="77"/>
  <c r="BO130" i="77"/>
  <c r="BE204" i="77"/>
  <c r="BE202" i="77"/>
  <c r="CB194" i="77"/>
  <c r="BD141" i="77"/>
  <c r="BP141" i="77"/>
  <c r="BO171" i="77"/>
  <c r="BA149" i="77"/>
  <c r="BI171" i="77"/>
  <c r="CE137" i="77"/>
  <c r="BE130" i="77"/>
  <c r="BH202" i="77"/>
  <c r="BG137" i="77"/>
  <c r="CF141" i="77"/>
  <c r="CH171" i="77"/>
  <c r="CH194" i="77"/>
  <c r="BL194" i="77"/>
  <c r="BO149" i="77"/>
  <c r="BC178" i="77"/>
  <c r="BC180" i="77"/>
  <c r="BN194" i="77"/>
  <c r="BG194" i="77"/>
  <c r="BH137" i="77"/>
  <c r="BY142" i="77"/>
  <c r="BY141" i="77"/>
  <c r="BH190" i="77"/>
  <c r="BA185" i="77"/>
  <c r="BA184" i="77"/>
  <c r="CF184" i="77"/>
  <c r="CC149" i="77"/>
  <c r="BC171" i="77"/>
  <c r="BA180" i="77"/>
  <c r="BM185" i="77"/>
  <c r="BM184" i="77"/>
  <c r="BB149" i="77"/>
  <c r="BV194" i="77"/>
  <c r="CF130" i="77"/>
  <c r="BB171" i="77"/>
  <c r="BS171" i="77"/>
  <c r="BD88" i="77"/>
  <c r="CB190" i="77"/>
  <c r="E132" i="75"/>
  <c r="BT154" i="77"/>
  <c r="BL84" i="77"/>
  <c r="BX84" i="77"/>
  <c r="D131" i="75"/>
  <c r="BP154" i="77"/>
  <c r="BL154" i="77"/>
  <c r="BV84" i="77"/>
  <c r="CG171" i="77"/>
  <c r="CE154" i="77"/>
  <c r="CG185" i="77"/>
  <c r="CG184" i="77"/>
  <c r="BY84" i="77"/>
  <c r="BU84" i="77"/>
  <c r="BN84" i="77"/>
  <c r="BC154" i="77"/>
  <c r="BN171" i="77"/>
  <c r="BG88" i="77"/>
  <c r="CH149" i="77"/>
  <c r="BW84" i="77"/>
  <c r="CI154" i="77"/>
  <c r="BV130" i="77"/>
  <c r="BJ137" i="77"/>
  <c r="BL141" i="77"/>
  <c r="CF102" i="77"/>
  <c r="BK171" i="77"/>
  <c r="BT141" i="77"/>
  <c r="CA130" i="77"/>
  <c r="CF137" i="77"/>
  <c r="BT130" i="77"/>
  <c r="CG194" i="77"/>
  <c r="CI130" i="77"/>
  <c r="CI171" i="77"/>
  <c r="BM102" i="77"/>
  <c r="BV112" i="77"/>
  <c r="BN149" i="77"/>
  <c r="CH142" i="77"/>
  <c r="CH141" i="77"/>
  <c r="BL102" i="77"/>
  <c r="BR130" i="77"/>
  <c r="CG178" i="77"/>
  <c r="CG180" i="77"/>
  <c r="BH102" i="77"/>
  <c r="BC149" i="77"/>
  <c r="CD102" i="77"/>
  <c r="BT149" i="77"/>
  <c r="BI185" i="77"/>
  <c r="BI184" i="77"/>
  <c r="CF185" i="77"/>
  <c r="CB171" i="77"/>
  <c r="CG149" i="77"/>
  <c r="CA102" i="77"/>
  <c r="BZ149" i="77"/>
  <c r="BS197" i="77"/>
  <c r="BG171" i="77"/>
  <c r="BH171" i="77"/>
  <c r="BY204" i="77"/>
  <c r="BY202" i="77"/>
  <c r="BZ194" i="77"/>
  <c r="BX194" i="77"/>
  <c r="BP194" i="77"/>
  <c r="BZ171" i="77"/>
  <c r="BK149" i="77"/>
  <c r="BI102" i="77"/>
  <c r="BJ149" i="77"/>
  <c r="CB202" i="77"/>
  <c r="BE102" i="77"/>
  <c r="BH149" i="77"/>
  <c r="BB130" i="77"/>
  <c r="CC102" i="77"/>
  <c r="BK130" i="77"/>
  <c r="BL171" i="77"/>
  <c r="CD137" i="77"/>
  <c r="BR102" i="77"/>
  <c r="BS149" i="77"/>
  <c r="BA178" i="77"/>
  <c r="CC194" i="77"/>
  <c r="BA194" i="77"/>
  <c r="BK142" i="77"/>
  <c r="BK141" i="77"/>
  <c r="BC130" i="77"/>
  <c r="BF142" i="77"/>
  <c r="BF141" i="77"/>
  <c r="BR149" i="77"/>
  <c r="BH197" i="77"/>
  <c r="BC194" i="77"/>
  <c r="CF149" i="77"/>
  <c r="BU185" i="77"/>
  <c r="BU184" i="77"/>
  <c r="BD171" i="77"/>
  <c r="BQ142" i="77"/>
  <c r="BQ141" i="77"/>
  <c r="BP190" i="77"/>
  <c r="BD190" i="77"/>
  <c r="BI130" i="77"/>
  <c r="BY185" i="77"/>
  <c r="BY184" i="77"/>
  <c r="BH194" i="77"/>
  <c r="BM142" i="77"/>
  <c r="BM141" i="77"/>
  <c r="BG130" i="77"/>
  <c r="CD130" i="77"/>
  <c r="BV149" i="77"/>
  <c r="BJ142" i="77"/>
  <c r="BJ141" i="77"/>
  <c r="BZ142" i="77"/>
  <c r="BZ141" i="77"/>
  <c r="BD84" i="77"/>
  <c r="BP171" i="77"/>
  <c r="CF154" i="77"/>
  <c r="BL88" i="77"/>
  <c r="BO154" i="77"/>
  <c r="BI88" i="77"/>
  <c r="CA84" i="77"/>
  <c r="CD154" i="77"/>
  <c r="BB88" i="77"/>
  <c r="BZ154" i="77"/>
  <c r="BE171" i="77"/>
  <c r="BM154" i="77"/>
  <c r="BC84" i="77"/>
  <c r="BM84" i="77"/>
  <c r="BJ154" i="77"/>
  <c r="BK88" i="77"/>
  <c r="BI149" i="77"/>
  <c r="BQ171" i="77"/>
  <c r="BJ88" i="77"/>
  <c r="CC130" i="77"/>
  <c r="BU154" i="77"/>
  <c r="BF88" i="77"/>
  <c r="BI154" i="77"/>
  <c r="BE88" i="77"/>
  <c r="BQ154" i="77"/>
  <c r="BF154" i="77"/>
  <c r="BB154" i="77"/>
  <c r="BN88" i="77"/>
  <c r="BS84" i="77"/>
  <c r="CA171" i="77"/>
  <c r="BT194" i="77"/>
  <c r="BU102" i="77"/>
  <c r="CE194" i="77"/>
  <c r="BW197" i="77"/>
  <c r="CE142" i="77"/>
  <c r="CE141" i="77"/>
  <c r="BS185" i="77"/>
  <c r="BS184" i="77"/>
  <c r="BO102" i="77"/>
  <c r="CB130" i="77"/>
  <c r="BL149" i="77"/>
  <c r="BE142" i="77"/>
  <c r="BE141" i="77"/>
  <c r="BV171" i="77"/>
  <c r="BG149" i="77"/>
  <c r="BR171" i="77"/>
  <c r="BA102" i="77"/>
  <c r="BM194" i="77"/>
  <c r="BZ102" i="77"/>
  <c r="BL130" i="77"/>
  <c r="BD149" i="77"/>
  <c r="BR142" i="77"/>
  <c r="BR141" i="77"/>
  <c r="BF171" i="77"/>
  <c r="BS204" i="77"/>
  <c r="BS202" i="77"/>
  <c r="BC137" i="77"/>
  <c r="CH130" i="77"/>
  <c r="BB194" i="77"/>
  <c r="CI194" i="77"/>
  <c r="CE171" i="77"/>
  <c r="BQ149" i="77"/>
  <c r="BK102" i="77"/>
  <c r="BX149" i="77"/>
  <c r="BG102" i="77"/>
  <c r="CG102" i="77"/>
  <c r="BI194" i="77"/>
  <c r="BO194" i="77"/>
  <c r="CE102" i="77"/>
  <c r="CG130" i="77"/>
  <c r="BQ178" i="77"/>
  <c r="BQ180" i="77"/>
  <c r="BV102" i="77"/>
  <c r="BM130" i="77"/>
  <c r="BX102" i="77"/>
  <c r="BQ102" i="77"/>
  <c r="CF194" i="77"/>
  <c r="BI137" i="77"/>
  <c r="BM149" i="77"/>
  <c r="BU178" i="77"/>
  <c r="BU180" i="77"/>
  <c r="BJ130" i="77"/>
  <c r="BE180" i="77"/>
  <c r="BQ194" i="77"/>
  <c r="BQ130" i="77"/>
  <c r="CF171" i="77"/>
  <c r="CC185" i="77"/>
  <c r="CC184" i="77"/>
  <c r="BV142" i="77"/>
  <c r="BV141" i="77"/>
  <c r="BY197" i="77"/>
  <c r="BB142" i="77"/>
  <c r="BB141" i="77"/>
  <c r="BE149" i="77"/>
  <c r="BD130" i="77"/>
  <c r="CB149" i="77"/>
  <c r="CG142" i="77"/>
  <c r="CG141" i="77"/>
  <c r="BI142" i="77"/>
  <c r="BI141" i="77"/>
  <c r="BU142" i="77"/>
  <c r="BU141" i="77"/>
  <c r="BP149" i="77"/>
  <c r="BP184" i="77"/>
  <c r="BN142" i="77"/>
  <c r="BN141" i="77"/>
  <c r="BA84" i="77"/>
  <c r="BD154" i="77"/>
  <c r="BP88" i="77"/>
  <c r="BP84" i="77"/>
  <c r="CB154" i="77"/>
  <c r="BT84" i="77"/>
  <c r="BH130" i="77"/>
  <c r="BE84" i="77"/>
  <c r="BA154" i="77"/>
  <c r="BN154" i="77"/>
  <c r="BO88" i="77"/>
  <c r="BK84" i="77"/>
  <c r="BF84" i="77"/>
  <c r="BY194" i="77"/>
  <c r="CC154" i="77"/>
  <c r="BJ84" i="77"/>
  <c r="BI84" i="77"/>
  <c r="CG154" i="77"/>
  <c r="BM88" i="77"/>
  <c r="F115" i="75"/>
  <c r="D191" i="75"/>
  <c r="G115" i="75"/>
  <c r="G175" i="75" s="1"/>
  <c r="D115" i="75"/>
  <c r="D175" i="75" s="1"/>
  <c r="D174" i="75" s="1"/>
  <c r="BL205" i="77"/>
  <c r="D135" i="75"/>
  <c r="D102" i="75" s="1"/>
  <c r="CF205" i="77"/>
  <c r="BP205" i="77"/>
  <c r="F135" i="75"/>
  <c r="E135" i="75"/>
  <c r="E190" i="75" s="1"/>
  <c r="G135" i="75"/>
  <c r="H102" i="75" s="1"/>
  <c r="E115" i="75"/>
  <c r="BT205" i="77"/>
  <c r="BX205" i="77"/>
  <c r="CB205" i="77"/>
  <c r="BA204" i="77"/>
  <c r="BH204" i="77"/>
  <c r="BL142" i="77"/>
  <c r="BX142" i="77"/>
  <c r="BH142" i="77"/>
  <c r="CA185" i="77"/>
  <c r="CB142" i="77"/>
  <c r="BT142" i="77"/>
  <c r="BD142" i="77"/>
  <c r="BP142" i="77"/>
  <c r="CF142" i="77"/>
  <c r="I6" i="77"/>
  <c r="I81" i="77" s="1"/>
  <c r="D176" i="75"/>
  <c r="E176" i="75"/>
  <c r="CJ137" i="77"/>
  <c r="CJ205" i="77"/>
  <c r="CJ204" i="77"/>
  <c r="CJ163" i="77"/>
  <c r="CJ178" i="77"/>
  <c r="BI163" i="77"/>
  <c r="BV163" i="77"/>
  <c r="CG205" i="77"/>
  <c r="CI205" i="77"/>
  <c r="BP163" i="77"/>
  <c r="BS205" i="77"/>
  <c r="BY205" i="77"/>
  <c r="BT270" i="77"/>
  <c r="BR270" i="77"/>
  <c r="BQ270" i="77"/>
  <c r="BS270" i="77"/>
  <c r="CE301" i="77"/>
  <c r="CC301" i="77"/>
  <c r="CD301" i="77"/>
  <c r="CF301" i="77"/>
  <c r="BA270" i="77"/>
  <c r="BD270" i="77"/>
  <c r="BB270" i="77"/>
  <c r="BC270" i="77"/>
  <c r="BE270" i="77"/>
  <c r="BF270" i="77"/>
  <c r="BH270" i="77"/>
  <c r="BG270" i="77"/>
  <c r="BK270" i="77"/>
  <c r="BL270" i="77"/>
  <c r="BJ270" i="77"/>
  <c r="BI270" i="77"/>
  <c r="BC18" i="77"/>
  <c r="BD18" i="77"/>
  <c r="BB18" i="77"/>
  <c r="BA18" i="77"/>
  <c r="BG18" i="77"/>
  <c r="BE18" i="77"/>
  <c r="BF18" i="77"/>
  <c r="BH18" i="77"/>
  <c r="BL301" i="77"/>
  <c r="BJ301" i="77"/>
  <c r="BI301" i="77"/>
  <c r="BK301" i="77"/>
  <c r="BT301" i="77"/>
  <c r="BR301" i="77"/>
  <c r="BQ301" i="77"/>
  <c r="BS301" i="77"/>
  <c r="CJ301" i="77"/>
  <c r="CH301" i="77"/>
  <c r="CG301" i="77"/>
  <c r="CI301" i="77"/>
  <c r="BI18" i="77"/>
  <c r="BK18" i="77"/>
  <c r="BL18" i="77"/>
  <c r="BJ18" i="77"/>
  <c r="BQ95" i="77"/>
  <c r="BD301" i="77"/>
  <c r="BB301" i="77"/>
  <c r="BA301" i="77"/>
  <c r="BC301" i="77"/>
  <c r="BG301" i="77"/>
  <c r="BE301" i="77"/>
  <c r="BF301" i="77"/>
  <c r="BH301" i="77"/>
  <c r="CB301" i="77"/>
  <c r="BZ301" i="77"/>
  <c r="BY301" i="77"/>
  <c r="CA301" i="77"/>
  <c r="CG270" i="77"/>
  <c r="CI270" i="77"/>
  <c r="CJ270" i="77"/>
  <c r="CH270" i="77"/>
  <c r="BV301" i="77"/>
  <c r="BX301" i="77"/>
  <c r="BW301" i="77"/>
  <c r="BU301" i="77"/>
  <c r="BO301" i="77"/>
  <c r="BM301" i="77"/>
  <c r="BN301" i="77"/>
  <c r="BP301" i="77"/>
  <c r="CB270" i="77"/>
  <c r="BZ270" i="77"/>
  <c r="CA270" i="77"/>
  <c r="BY270" i="77"/>
  <c r="BM270" i="77"/>
  <c r="BO270" i="77"/>
  <c r="BN270" i="77"/>
  <c r="BP270" i="77"/>
  <c r="BU270" i="77"/>
  <c r="BV270" i="77"/>
  <c r="BX270" i="77"/>
  <c r="BW270" i="77"/>
  <c r="CE270" i="77"/>
  <c r="CD270" i="77"/>
  <c r="CF270" i="77"/>
  <c r="CC270" i="77"/>
  <c r="BE205" i="77"/>
  <c r="BA205" i="77"/>
  <c r="BJ205" i="77"/>
  <c r="BJ204" i="77"/>
  <c r="BG205" i="77"/>
  <c r="BG204" i="77"/>
  <c r="CB204" i="77"/>
  <c r="BD204" i="77"/>
  <c r="CF197" i="77"/>
  <c r="BT137" i="77"/>
  <c r="BT112" i="77"/>
  <c r="BT180" i="77"/>
  <c r="BL180" i="77"/>
  <c r="BX137" i="77"/>
  <c r="BX197" i="77"/>
  <c r="BU205" i="77"/>
  <c r="BU204" i="77"/>
  <c r="BQ197" i="77"/>
  <c r="CE178" i="77"/>
  <c r="CE180" i="77"/>
  <c r="BA112" i="77"/>
  <c r="BG163" i="77"/>
  <c r="BO112" i="77"/>
  <c r="BU112" i="77"/>
  <c r="BR163" i="77"/>
  <c r="CC197" i="77"/>
  <c r="BS163" i="77"/>
  <c r="BB137" i="77"/>
  <c r="BK163" i="77"/>
  <c r="CD112" i="77"/>
  <c r="CG197" i="77"/>
  <c r="CA137" i="77"/>
  <c r="BK178" i="77"/>
  <c r="BK180" i="77"/>
  <c r="BO163" i="77"/>
  <c r="CH178" i="77"/>
  <c r="CH180" i="77"/>
  <c r="BO178" i="77"/>
  <c r="BO180" i="77"/>
  <c r="CD197" i="77"/>
  <c r="BY137" i="77"/>
  <c r="BF197" i="77"/>
  <c r="BM205" i="77"/>
  <c r="BM204" i="77"/>
  <c r="CI163" i="77"/>
  <c r="BK197" i="77"/>
  <c r="BJ112" i="77"/>
  <c r="BW178" i="77"/>
  <c r="BW180" i="77"/>
  <c r="BR205" i="77"/>
  <c r="BR204" i="77"/>
  <c r="CE205" i="77"/>
  <c r="CE204" i="77"/>
  <c r="BI205" i="77"/>
  <c r="BI204" i="77"/>
  <c r="BW205" i="77"/>
  <c r="BW204" i="77"/>
  <c r="BN205" i="77"/>
  <c r="BN204" i="77"/>
  <c r="BZ205" i="77"/>
  <c r="BZ204" i="77"/>
  <c r="CA205" i="77"/>
  <c r="CA204" i="77"/>
  <c r="CD205" i="77"/>
  <c r="CD204" i="77"/>
  <c r="BD180" i="77"/>
  <c r="BX180" i="77"/>
  <c r="BX163" i="77"/>
  <c r="BT163" i="77"/>
  <c r="BX112" i="77"/>
  <c r="BH163" i="77"/>
  <c r="BD197" i="77"/>
  <c r="BP137" i="77"/>
  <c r="CB137" i="77"/>
  <c r="BD163" i="77"/>
  <c r="BT197" i="77"/>
  <c r="BL112" i="77"/>
  <c r="BD137" i="77"/>
  <c r="BQ137" i="77"/>
  <c r="BV197" i="77"/>
  <c r="BM137" i="77"/>
  <c r="BI197" i="77"/>
  <c r="BG112" i="77"/>
  <c r="BQ163" i="77"/>
  <c r="BF178" i="77"/>
  <c r="BF180" i="77"/>
  <c r="BM197" i="77"/>
  <c r="BR178" i="77"/>
  <c r="BR180" i="77"/>
  <c r="CE197" i="77"/>
  <c r="CA178" i="77"/>
  <c r="CA180" i="77"/>
  <c r="BA197" i="77"/>
  <c r="CC112" i="77"/>
  <c r="BE112" i="77"/>
  <c r="BI112" i="77"/>
  <c r="CG163" i="77"/>
  <c r="CI137" i="77"/>
  <c r="BV137" i="77"/>
  <c r="CH197" i="77"/>
  <c r="BA163" i="77"/>
  <c r="BO137" i="77"/>
  <c r="CH112" i="77"/>
  <c r="BZ137" i="77"/>
  <c r="BW112" i="77"/>
  <c r="BM178" i="77"/>
  <c r="BM180" i="77"/>
  <c r="BA137" i="77"/>
  <c r="BJ197" i="77"/>
  <c r="BY178" i="77"/>
  <c r="BY180" i="77"/>
  <c r="BU137" i="77"/>
  <c r="BC112" i="77"/>
  <c r="CC178" i="77"/>
  <c r="CC180" i="77"/>
  <c r="BE197" i="77"/>
  <c r="CD178" i="77"/>
  <c r="CD180" i="77"/>
  <c r="BF205" i="77"/>
  <c r="BF204" i="77"/>
  <c r="BC205" i="77"/>
  <c r="BC204" i="77"/>
  <c r="CC205" i="77"/>
  <c r="CC204" i="77"/>
  <c r="BX204" i="77"/>
  <c r="CF180" i="77"/>
  <c r="BD112" i="77"/>
  <c r="BP112" i="77"/>
  <c r="CB180" i="77"/>
  <c r="BP180" i="77"/>
  <c r="CB197" i="77"/>
  <c r="BP197" i="77"/>
  <c r="BH180" i="77"/>
  <c r="BM163" i="77"/>
  <c r="BQ112" i="77"/>
  <c r="BO197" i="77"/>
  <c r="CG112" i="77"/>
  <c r="BK112" i="77"/>
  <c r="BB197" i="77"/>
  <c r="CH137" i="77"/>
  <c r="BZ112" i="77"/>
  <c r="BC197" i="77"/>
  <c r="BK137" i="77"/>
  <c r="BJ163" i="77"/>
  <c r="BZ197" i="77"/>
  <c r="CA112" i="77"/>
  <c r="BN163" i="77"/>
  <c r="CI178" i="77"/>
  <c r="CI180" i="77"/>
  <c r="BN197" i="77"/>
  <c r="BI178" i="77"/>
  <c r="BI180" i="77"/>
  <c r="BF137" i="77"/>
  <c r="CA163" i="77"/>
  <c r="BB112" i="77"/>
  <c r="BF112" i="77"/>
  <c r="BW163" i="77"/>
  <c r="BJ178" i="77"/>
  <c r="BJ180" i="77"/>
  <c r="BN112" i="77"/>
  <c r="BR197" i="77"/>
  <c r="BU163" i="77"/>
  <c r="BU197" i="77"/>
  <c r="BB205" i="77"/>
  <c r="BB204" i="77"/>
  <c r="BO205" i="77"/>
  <c r="BO204" i="77"/>
  <c r="CH205" i="77"/>
  <c r="CH204" i="77"/>
  <c r="BV205" i="77"/>
  <c r="BV204" i="77"/>
  <c r="BK205" i="77"/>
  <c r="BK204" i="77"/>
  <c r="BQ205" i="77"/>
  <c r="BQ204" i="77"/>
  <c r="BT204" i="77"/>
  <c r="CF163" i="77"/>
  <c r="CB112" i="77"/>
  <c r="BP204" i="77"/>
  <c r="CF204" i="77"/>
  <c r="BL197" i="77"/>
  <c r="BL204" i="77"/>
  <c r="CF112" i="77"/>
  <c r="BL163" i="77"/>
  <c r="BL137" i="77"/>
  <c r="BH112" i="77"/>
  <c r="CB163" i="77"/>
  <c r="CE112" i="77"/>
  <c r="CI197" i="77"/>
  <c r="BS112" i="77"/>
  <c r="BV178" i="77"/>
  <c r="BV180" i="77"/>
  <c r="BR112" i="77"/>
  <c r="BZ178" i="77"/>
  <c r="BZ180" i="77"/>
  <c r="BG178" i="77"/>
  <c r="BG180" i="77"/>
  <c r="BG197" i="77"/>
  <c r="BC163" i="77"/>
  <c r="BR137" i="77"/>
  <c r="BM112" i="77"/>
  <c r="BE137" i="77"/>
  <c r="BY112" i="77"/>
  <c r="BS137" i="77"/>
  <c r="BW137" i="77"/>
  <c r="CI112" i="77"/>
  <c r="CD163" i="77"/>
  <c r="CA197" i="77"/>
  <c r="BN137" i="77"/>
  <c r="F175" i="75"/>
  <c r="BD205" i="77"/>
  <c r="G177" i="75"/>
  <c r="BH205" i="77"/>
  <c r="I8" i="77"/>
  <c r="J6" i="77"/>
  <c r="BF26" i="77"/>
  <c r="BH26" i="77"/>
  <c r="BG26" i="77"/>
  <c r="BE26" i="77"/>
  <c r="BD26" i="77"/>
  <c r="BB26" i="77"/>
  <c r="BC26" i="77"/>
  <c r="BA26" i="77"/>
  <c r="BL26" i="77"/>
  <c r="BK26" i="77"/>
  <c r="BJ26" i="77"/>
  <c r="BI26" i="77"/>
  <c r="BI28" i="77"/>
  <c r="BJ28" i="77"/>
  <c r="BK28" i="77"/>
  <c r="BQ88" i="77"/>
  <c r="CC85" i="77"/>
  <c r="BF28" i="77"/>
  <c r="BG28" i="77"/>
  <c r="BE28" i="77"/>
  <c r="BH28" i="77"/>
  <c r="BL28" i="77"/>
  <c r="BD28" i="77"/>
  <c r="BB28" i="77"/>
  <c r="BA28" i="77"/>
  <c r="BC28" i="77"/>
  <c r="BR95" i="77"/>
  <c r="BH178" i="77"/>
  <c r="BT178" i="77"/>
  <c r="CB178" i="77"/>
  <c r="BL178" i="77"/>
  <c r="BD178" i="77"/>
  <c r="CF178" i="77"/>
  <c r="BP178" i="77"/>
  <c r="BX178" i="77"/>
  <c r="J208" i="77"/>
  <c r="J81" i="77"/>
  <c r="J8" i="77"/>
  <c r="K6" i="77"/>
  <c r="K81" i="77" s="1"/>
  <c r="BE49" i="77"/>
  <c r="BF49" i="77"/>
  <c r="BH49" i="77"/>
  <c r="BG49" i="77"/>
  <c r="BK49" i="77"/>
  <c r="BL49" i="77"/>
  <c r="BI49" i="77"/>
  <c r="BJ49" i="77"/>
  <c r="BB49" i="77"/>
  <c r="BA49" i="77"/>
  <c r="BC49" i="77"/>
  <c r="BD49" i="77"/>
  <c r="BC25" i="77"/>
  <c r="BD25" i="77"/>
  <c r="BB25" i="77"/>
  <c r="BA25" i="77"/>
  <c r="R25" i="77"/>
  <c r="BF25" i="77"/>
  <c r="BH25" i="77"/>
  <c r="S25" i="77"/>
  <c r="BE25" i="77"/>
  <c r="BG25" i="77"/>
  <c r="BJ25" i="77"/>
  <c r="BK25" i="77"/>
  <c r="T25" i="77"/>
  <c r="BL25" i="77"/>
  <c r="BI25" i="77"/>
  <c r="BJ34" i="77"/>
  <c r="BI51" i="77"/>
  <c r="BK34" i="77"/>
  <c r="BL34" i="77"/>
  <c r="BF51" i="77"/>
  <c r="BI34" i="77"/>
  <c r="BE51" i="77"/>
  <c r="BA51" i="77"/>
  <c r="BJ51" i="77"/>
  <c r="BH51" i="77"/>
  <c r="BD51" i="77"/>
  <c r="BK51" i="77"/>
  <c r="BC51" i="77"/>
  <c r="BL51" i="77"/>
  <c r="BB51" i="77"/>
  <c r="CD85" i="77"/>
  <c r="BE34" i="77"/>
  <c r="BF34" i="77"/>
  <c r="BH34" i="77"/>
  <c r="BG34" i="77"/>
  <c r="BA34" i="77"/>
  <c r="BD34" i="77"/>
  <c r="BB34" i="77"/>
  <c r="BC34" i="77"/>
  <c r="CC84" i="77"/>
  <c r="BG51" i="77"/>
  <c r="BR88" i="77"/>
  <c r="BS95" i="77"/>
  <c r="L6" i="77"/>
  <c r="BC48" i="77"/>
  <c r="BD48" i="77"/>
  <c r="R48" i="77"/>
  <c r="BB48" i="77"/>
  <c r="BA48" i="77"/>
  <c r="BG48" i="77"/>
  <c r="BF48" i="77"/>
  <c r="S48" i="77"/>
  <c r="BE48" i="77"/>
  <c r="BH48" i="77"/>
  <c r="BL48" i="77"/>
  <c r="T48" i="77"/>
  <c r="BJ48" i="77"/>
  <c r="BI48" i="77"/>
  <c r="BK48" i="77"/>
  <c r="BA63" i="77"/>
  <c r="BS88" i="77"/>
  <c r="CE85" i="77"/>
  <c r="BT95" i="77"/>
  <c r="CD84" i="77"/>
  <c r="M6" i="77"/>
  <c r="L208" i="77"/>
  <c r="V88" i="77"/>
  <c r="CE84" i="77"/>
  <c r="BU95" i="77"/>
  <c r="BT88" i="77"/>
  <c r="CF85" i="77"/>
  <c r="N6" i="77"/>
  <c r="N208" i="77" s="1"/>
  <c r="BV95" i="77"/>
  <c r="CG85" i="77"/>
  <c r="BU88" i="77"/>
  <c r="CF84" i="77"/>
  <c r="N8" i="77"/>
  <c r="O6" i="77"/>
  <c r="O81" i="77" s="1"/>
  <c r="CH85" i="77"/>
  <c r="BV88" i="77"/>
  <c r="CG84" i="77"/>
  <c r="BW95" i="77"/>
  <c r="O8" i="77"/>
  <c r="P6" i="77"/>
  <c r="P208" i="77" s="1"/>
  <c r="CH84" i="77"/>
  <c r="BX95" i="77"/>
  <c r="BW88" i="77"/>
  <c r="CI85" i="77"/>
  <c r="U206" i="77"/>
  <c r="Q6" i="77"/>
  <c r="W88" i="77"/>
  <c r="CJ85" i="77"/>
  <c r="BX88" i="77"/>
  <c r="CI84" i="77"/>
  <c r="BY95" i="77"/>
  <c r="H116" i="75"/>
  <c r="H146" i="75"/>
  <c r="I192" i="75" s="1"/>
  <c r="H135" i="75"/>
  <c r="H190" i="75" s="1"/>
  <c r="V206" i="77"/>
  <c r="H115" i="75"/>
  <c r="H132" i="75"/>
  <c r="R168" i="77"/>
  <c r="R169" i="77" s="1"/>
  <c r="R196" i="77"/>
  <c r="R197" i="77" s="1"/>
  <c r="R246" i="77"/>
  <c r="R260" i="77"/>
  <c r="R267" i="77"/>
  <c r="R266" i="77"/>
  <c r="R283" i="77"/>
  <c r="R287" i="77" s="1"/>
  <c r="R289" i="77"/>
  <c r="R303" i="77"/>
  <c r="R304" i="77" s="1"/>
  <c r="R290" i="77"/>
  <c r="R102" i="77"/>
  <c r="R112" i="77" s="1"/>
  <c r="R194" i="77"/>
  <c r="R253" i="77"/>
  <c r="R255" i="77"/>
  <c r="R257" i="77"/>
  <c r="R281" i="77"/>
  <c r="R279" i="77"/>
  <c r="R306" i="77"/>
  <c r="R117" i="77"/>
  <c r="R120" i="77" s="1"/>
  <c r="R137" i="77" s="1"/>
  <c r="R261" i="77"/>
  <c r="CJ84" i="77"/>
  <c r="BZ95" i="77"/>
  <c r="BY88" i="77"/>
  <c r="V185" i="77"/>
  <c r="H177" i="75"/>
  <c r="R208" i="77"/>
  <c r="R81" i="77"/>
  <c r="R8" i="77"/>
  <c r="AW131" i="75"/>
  <c r="S267" i="77"/>
  <c r="S266" i="77"/>
  <c r="S102" i="77"/>
  <c r="S112" i="77" s="1"/>
  <c r="S196" i="77"/>
  <c r="S197" i="77" s="1"/>
  <c r="S246" i="77"/>
  <c r="S260" i="77"/>
  <c r="S283" i="77"/>
  <c r="S287" i="77" s="1"/>
  <c r="S303" i="77"/>
  <c r="S304" i="77" s="1"/>
  <c r="S290" i="77"/>
  <c r="S194" i="77"/>
  <c r="S257" i="77"/>
  <c r="S261" i="77"/>
  <c r="S168" i="77"/>
  <c r="S169" i="77" s="1"/>
  <c r="S253" i="77"/>
  <c r="S255" i="77"/>
  <c r="S281" i="77"/>
  <c r="S279" i="77"/>
  <c r="S289" i="77"/>
  <c r="S306" i="77"/>
  <c r="R114" i="77"/>
  <c r="R189" i="77"/>
  <c r="R190" i="77"/>
  <c r="I206" i="75"/>
  <c r="CA95" i="77"/>
  <c r="BZ88" i="77"/>
  <c r="X206" i="77"/>
  <c r="S208" i="77"/>
  <c r="S8" i="77"/>
  <c r="S81" i="77"/>
  <c r="T6" i="77"/>
  <c r="AW135" i="75"/>
  <c r="S117" i="77"/>
  <c r="S120" i="77" s="1"/>
  <c r="T194" i="77"/>
  <c r="S189" i="77"/>
  <c r="S190" i="77"/>
  <c r="CA88" i="77"/>
  <c r="CB95" i="77"/>
  <c r="X185" i="77"/>
  <c r="Y185" i="77"/>
  <c r="W206" i="77"/>
  <c r="W185" i="77"/>
  <c r="Y206" i="77"/>
  <c r="U6" i="77"/>
  <c r="E2" i="142" s="1"/>
  <c r="E1" i="142" s="1"/>
  <c r="D167" i="75"/>
  <c r="D112" i="75"/>
  <c r="D66" i="75"/>
  <c r="D7" i="75"/>
  <c r="E5" i="75"/>
  <c r="E7" i="75" s="1"/>
  <c r="K102" i="75"/>
  <c r="S114" i="77"/>
  <c r="T189" i="77"/>
  <c r="T190" i="77"/>
  <c r="T114" i="77"/>
  <c r="X88" i="77"/>
  <c r="CC95" i="77"/>
  <c r="CB88" i="77"/>
  <c r="V6" i="77"/>
  <c r="V81" i="77" s="1"/>
  <c r="U81" i="77"/>
  <c r="U194" i="77"/>
  <c r="D141" i="75"/>
  <c r="U189" i="77"/>
  <c r="U190" i="77"/>
  <c r="CD95" i="77"/>
  <c r="CC88" i="77"/>
  <c r="U114" i="77"/>
  <c r="V194" i="77"/>
  <c r="E141" i="75"/>
  <c r="V189" i="77"/>
  <c r="V190" i="77"/>
  <c r="CE95" i="77"/>
  <c r="CD88" i="77"/>
  <c r="L102" i="75"/>
  <c r="D127" i="75"/>
  <c r="V114" i="77"/>
  <c r="W194" i="77"/>
  <c r="E148" i="75"/>
  <c r="D158" i="75"/>
  <c r="X194" i="77"/>
  <c r="G141" i="75"/>
  <c r="CF95" i="77"/>
  <c r="CE88" i="77"/>
  <c r="F141" i="75"/>
  <c r="W114" i="77"/>
  <c r="E127" i="75"/>
  <c r="I184" i="75"/>
  <c r="W189" i="77"/>
  <c r="W190" i="77"/>
  <c r="V205" i="77"/>
  <c r="U142" i="77"/>
  <c r="E158" i="75"/>
  <c r="CG95" i="77"/>
  <c r="CF88" i="77"/>
  <c r="X114" i="77"/>
  <c r="X189" i="77"/>
  <c r="X190" i="77"/>
  <c r="Y194" i="77"/>
  <c r="H141" i="75"/>
  <c r="V142" i="77"/>
  <c r="F148" i="75"/>
  <c r="F158" i="75"/>
  <c r="CH95" i="77"/>
  <c r="CG88" i="77"/>
  <c r="H277" i="148"/>
  <c r="H296" i="148" s="1"/>
  <c r="H297" i="148" s="1"/>
  <c r="Y114" i="77"/>
  <c r="Y189" i="77"/>
  <c r="Y190" i="77"/>
  <c r="H127" i="75"/>
  <c r="W142" i="77"/>
  <c r="AI38" i="75"/>
  <c r="AQ22" i="75"/>
  <c r="G278" i="148" s="1"/>
  <c r="K283" i="148" s="1"/>
  <c r="AG38" i="75"/>
  <c r="AF22" i="75"/>
  <c r="AJ22" i="75"/>
  <c r="AE38" i="75"/>
  <c r="AE39" i="75" s="1"/>
  <c r="AR38" i="75"/>
  <c r="AR103" i="75" s="1"/>
  <c r="Y38" i="75"/>
  <c r="AS22" i="75"/>
  <c r="I278" i="148" s="1"/>
  <c r="M283" i="148" s="1"/>
  <c r="AK22" i="75"/>
  <c r="AC38" i="75"/>
  <c r="AK38" i="75"/>
  <c r="AK39" i="75" s="1"/>
  <c r="Y22" i="75"/>
  <c r="AN38" i="75"/>
  <c r="AN103" i="75" s="1"/>
  <c r="AN104" i="75" s="1"/>
  <c r="AJ38" i="75"/>
  <c r="AG22" i="75"/>
  <c r="AB38" i="75"/>
  <c r="AR22" i="75"/>
  <c r="H278" i="148" s="1"/>
  <c r="X38" i="75"/>
  <c r="AC22" i="75"/>
  <c r="W22" i="75"/>
  <c r="AM22" i="75"/>
  <c r="C278" i="148" s="1"/>
  <c r="AE22" i="75"/>
  <c r="W38" i="75"/>
  <c r="AI22" i="75"/>
  <c r="AM38" i="75"/>
  <c r="AM103" i="75" s="1"/>
  <c r="AM104" i="75" s="1"/>
  <c r="AA38" i="75"/>
  <c r="AN22" i="75"/>
  <c r="D278" i="148"/>
  <c r="AQ38" i="75"/>
  <c r="AQ103" i="75" s="1"/>
  <c r="AQ104" i="75" s="1"/>
  <c r="AO22" i="75"/>
  <c r="E278" i="148"/>
  <c r="X22" i="75"/>
  <c r="AO38" i="75"/>
  <c r="AO103" i="75" s="1"/>
  <c r="AO104" i="75" s="1"/>
  <c r="AA22" i="75"/>
  <c r="AF38" i="75"/>
  <c r="AB22" i="75"/>
  <c r="G148" i="75"/>
  <c r="W205" i="77"/>
  <c r="CH88" i="77"/>
  <c r="AR104" i="75"/>
  <c r="H148" i="75"/>
  <c r="G158" i="75"/>
  <c r="CB22" i="77"/>
  <c r="AH22" i="75"/>
  <c r="BY22" i="77"/>
  <c r="CA22" i="77"/>
  <c r="BZ22" i="77"/>
  <c r="X22" i="77"/>
  <c r="G22" i="75" s="1"/>
  <c r="BT36" i="77"/>
  <c r="BR36" i="77"/>
  <c r="Z37" i="75"/>
  <c r="BS36" i="77"/>
  <c r="BQ36" i="77"/>
  <c r="V36" i="77"/>
  <c r="BM36" i="77"/>
  <c r="V37" i="75"/>
  <c r="V39" i="75" s="1"/>
  <c r="BN36" i="77"/>
  <c r="BP36" i="77"/>
  <c r="BO36" i="77"/>
  <c r="U36" i="77"/>
  <c r="D37" i="75" s="1"/>
  <c r="DW38" i="77"/>
  <c r="AE37" i="75"/>
  <c r="EF38" i="77"/>
  <c r="Z38" i="75"/>
  <c r="BT37" i="77"/>
  <c r="BR37" i="77"/>
  <c r="V37" i="77"/>
  <c r="E38" i="75" s="1"/>
  <c r="BQ37" i="77"/>
  <c r="BS37" i="77"/>
  <c r="BM37" i="77"/>
  <c r="V38" i="75"/>
  <c r="BO37" i="77"/>
  <c r="BN37" i="77"/>
  <c r="BP37" i="77"/>
  <c r="U37" i="77"/>
  <c r="D38" i="75" s="1"/>
  <c r="D103" i="75" s="1"/>
  <c r="AO37" i="75"/>
  <c r="EP38" i="77"/>
  <c r="CC36" i="77"/>
  <c r="CF36" i="77"/>
  <c r="CE36" i="77"/>
  <c r="AL37" i="75"/>
  <c r="CD36" i="77"/>
  <c r="EM38" i="77"/>
  <c r="Y36" i="77"/>
  <c r="AQ37" i="75"/>
  <c r="AQ39" i="75" s="1"/>
  <c r="ER38" i="77"/>
  <c r="AI37" i="75"/>
  <c r="AI39" i="75" s="1"/>
  <c r="EJ38" i="77"/>
  <c r="AN37" i="75"/>
  <c r="EO38" i="77"/>
  <c r="AH38" i="75"/>
  <c r="BY37" i="77"/>
  <c r="CB37" i="77"/>
  <c r="CA37" i="77"/>
  <c r="BZ37" i="77"/>
  <c r="X37" i="77"/>
  <c r="G38" i="75" s="1"/>
  <c r="CA36" i="77"/>
  <c r="AH37" i="75"/>
  <c r="CB36" i="77"/>
  <c r="BZ36" i="77"/>
  <c r="BY36" i="77"/>
  <c r="EI38" i="77"/>
  <c r="X36" i="77"/>
  <c r="G37" i="75" s="1"/>
  <c r="H158" i="75"/>
  <c r="X205" i="77"/>
  <c r="AJ37" i="75"/>
  <c r="AJ39" i="75" s="1"/>
  <c r="EK38" i="77"/>
  <c r="AA37" i="75"/>
  <c r="EB38" i="77"/>
  <c r="AA55" i="77"/>
  <c r="AB37" i="75"/>
  <c r="AB39" i="75" s="1"/>
  <c r="EC38" i="77"/>
  <c r="CE37" i="77"/>
  <c r="AL38" i="75"/>
  <c r="CD37" i="77"/>
  <c r="CF37" i="77"/>
  <c r="CC37" i="77"/>
  <c r="CE22" i="77"/>
  <c r="CC22" i="77"/>
  <c r="CD22" i="77"/>
  <c r="AL22" i="75"/>
  <c r="B278" i="148" s="1"/>
  <c r="CF22" i="77"/>
  <c r="Y22" i="77"/>
  <c r="H22" i="75" s="1"/>
  <c r="AM37" i="75"/>
  <c r="EN38" i="77"/>
  <c r="AD38" i="75"/>
  <c r="BX37" i="77"/>
  <c r="BW37" i="77"/>
  <c r="BV37" i="77"/>
  <c r="BU37" i="77"/>
  <c r="W37" i="77"/>
  <c r="F38" i="75" s="1"/>
  <c r="BP22" i="77"/>
  <c r="BO22" i="77"/>
  <c r="V22" i="75"/>
  <c r="BN22" i="77"/>
  <c r="BM22" i="77"/>
  <c r="U22" i="77"/>
  <c r="D22" i="75" s="1"/>
  <c r="AG37" i="75"/>
  <c r="EH38" i="77"/>
  <c r="Y37" i="75"/>
  <c r="DZ38" i="77"/>
  <c r="ET38" i="77"/>
  <c r="X37" i="75"/>
  <c r="X39" i="75" s="1"/>
  <c r="DY38" i="77"/>
  <c r="AP37" i="75"/>
  <c r="AP98" i="75" s="1"/>
  <c r="CI36" i="77"/>
  <c r="CG36" i="77"/>
  <c r="CJ36" i="77"/>
  <c r="CH36" i="77"/>
  <c r="EQ38" i="77"/>
  <c r="Z36" i="77"/>
  <c r="I37" i="75" s="1"/>
  <c r="W37" i="75"/>
  <c r="DX38" i="77"/>
  <c r="AR37" i="75"/>
  <c r="AR39" i="75" s="1"/>
  <c r="ES38" i="77"/>
  <c r="AF37" i="75"/>
  <c r="EG38" i="77"/>
  <c r="CG37" i="77"/>
  <c r="CJ37" i="77"/>
  <c r="AP38" i="75"/>
  <c r="AP103" i="75" s="1"/>
  <c r="AP104" i="75" s="1"/>
  <c r="CI37" i="77"/>
  <c r="CH37" i="77"/>
  <c r="Z37" i="77"/>
  <c r="I38" i="75" s="1"/>
  <c r="BQ22" i="77"/>
  <c r="BT22" i="77"/>
  <c r="V22" i="77"/>
  <c r="E22" i="75" s="1"/>
  <c r="BR22" i="77"/>
  <c r="BS22" i="77"/>
  <c r="Z22" i="75"/>
  <c r="AC37" i="75"/>
  <c r="ED38" i="77"/>
  <c r="H280" i="148"/>
  <c r="AP22" i="75"/>
  <c r="CI22" i="77"/>
  <c r="CJ22" i="77"/>
  <c r="CH22" i="77"/>
  <c r="CG22" i="77"/>
  <c r="Z22" i="77"/>
  <c r="AK37" i="75"/>
  <c r="EL38" i="77"/>
  <c r="AD37" i="75"/>
  <c r="BW36" i="77"/>
  <c r="BU36" i="77"/>
  <c r="W36" i="77"/>
  <c r="F37" i="75" s="1"/>
  <c r="BV36" i="77"/>
  <c r="EE38" i="77"/>
  <c r="BX36" i="77"/>
  <c r="BW22" i="77"/>
  <c r="AD22" i="75"/>
  <c r="BX22" i="77"/>
  <c r="BU22" i="77"/>
  <c r="W22" i="77"/>
  <c r="F22" i="75" s="1"/>
  <c r="BV22" i="77"/>
  <c r="F278" i="148"/>
  <c r="J283" i="148" s="1"/>
  <c r="AM98" i="75"/>
  <c r="AR32" i="75"/>
  <c r="AR31" i="75" s="1"/>
  <c r="AS39" i="75"/>
  <c r="G211" i="75"/>
  <c r="AL39" i="75"/>
  <c r="AM39" i="75"/>
  <c r="H211" i="75"/>
  <c r="H213" i="75" s="1"/>
  <c r="CJ38" i="77"/>
  <c r="CI38" i="77"/>
  <c r="CG38" i="77"/>
  <c r="CH38" i="77"/>
  <c r="BR38" i="77"/>
  <c r="BQ38" i="77"/>
  <c r="BS38" i="77"/>
  <c r="BT38" i="77"/>
  <c r="BY38" i="77"/>
  <c r="CB38" i="77"/>
  <c r="CA38" i="77"/>
  <c r="BZ38" i="77"/>
  <c r="E211" i="75"/>
  <c r="CF38" i="77"/>
  <c r="CE38" i="77"/>
  <c r="CD38" i="77"/>
  <c r="CC38" i="77"/>
  <c r="D211" i="75"/>
  <c r="D213" i="75" s="1"/>
  <c r="BV38" i="77"/>
  <c r="BW38" i="77"/>
  <c r="BX38" i="77"/>
  <c r="BU38" i="77"/>
  <c r="F211" i="75"/>
  <c r="BN38" i="77"/>
  <c r="BP38" i="77"/>
  <c r="BO38" i="77"/>
  <c r="BM38" i="77"/>
  <c r="F157" i="75"/>
  <c r="CJ95" i="77"/>
  <c r="Q142" i="75"/>
  <c r="R142" i="75" s="1"/>
  <c r="S142" i="75" s="1"/>
  <c r="T142" i="75" s="1"/>
  <c r="AT31" i="75"/>
  <c r="AX31" i="75"/>
  <c r="CJ88" i="77"/>
  <c r="BB32" i="75"/>
  <c r="BF32" i="75" s="1"/>
  <c r="BF31" i="75" s="1"/>
  <c r="AK83" i="75"/>
  <c r="J63" i="75"/>
  <c r="J157" i="75" s="1"/>
  <c r="D79" i="163" s="1"/>
  <c r="AF46" i="75"/>
  <c r="AJ83" i="75"/>
  <c r="AJ46" i="75"/>
  <c r="AM46" i="75"/>
  <c r="Y46" i="75"/>
  <c r="Y83" i="75"/>
  <c r="X46" i="75"/>
  <c r="AI46" i="75"/>
  <c r="AF83" i="75"/>
  <c r="AS46" i="75"/>
  <c r="AS83" i="75"/>
  <c r="AC46" i="75"/>
  <c r="AE46" i="75"/>
  <c r="AG83" i="75"/>
  <c r="AG46" i="75"/>
  <c r="AO46" i="75"/>
  <c r="AK46" i="75"/>
  <c r="AA46" i="75"/>
  <c r="W46" i="75"/>
  <c r="X83" i="75"/>
  <c r="AQ46" i="75"/>
  <c r="AR83" i="75"/>
  <c r="D46" i="75"/>
  <c r="E46" i="75"/>
  <c r="E83" i="75"/>
  <c r="Z83" i="75"/>
  <c r="AA83" i="75"/>
  <c r="AP83" i="75"/>
  <c r="AP46" i="75"/>
  <c r="AQ83" i="75"/>
  <c r="AL83" i="75"/>
  <c r="AM83" i="75"/>
  <c r="BL56" i="75"/>
  <c r="BL57" i="75"/>
  <c r="K63" i="75"/>
  <c r="K157" i="75" s="1"/>
  <c r="E79" i="163" s="1"/>
  <c r="G83" i="75"/>
  <c r="G46" i="75"/>
  <c r="AD46" i="75"/>
  <c r="AD83" i="75"/>
  <c r="AE83" i="75"/>
  <c r="H83" i="75"/>
  <c r="F46" i="75"/>
  <c r="F83" i="75"/>
  <c r="H46" i="75"/>
  <c r="Y205" i="77"/>
  <c r="BD63" i="75"/>
  <c r="J46" i="148"/>
  <c r="Y142" i="77"/>
  <c r="BE63" i="75"/>
  <c r="L63" i="75" s="1"/>
  <c r="L157" i="75" s="1"/>
  <c r="F79" i="163" s="1"/>
  <c r="K46" i="148"/>
  <c r="BF63" i="75"/>
  <c r="BG63" i="75"/>
  <c r="AU70" i="75"/>
  <c r="AU71" i="75"/>
  <c r="AU10" i="75"/>
  <c r="BH63" i="75"/>
  <c r="BI63" i="75"/>
  <c r="M63" i="75" s="1"/>
  <c r="J107" i="75"/>
  <c r="N63" i="75"/>
  <c r="N157" i="75" s="1"/>
  <c r="AU81" i="75"/>
  <c r="AU72" i="75"/>
  <c r="O63" i="75"/>
  <c r="O157" i="75" s="1"/>
  <c r="CI95" i="77"/>
  <c r="CI88" i="77"/>
  <c r="I211" i="75"/>
  <c r="I213" i="75" s="1"/>
  <c r="J211" i="75"/>
  <c r="J213" i="75"/>
  <c r="K212" i="75"/>
  <c r="I175" i="75"/>
  <c r="BB63" i="77"/>
  <c r="BC63" i="77"/>
  <c r="BD63" i="77"/>
  <c r="BE63" i="77"/>
  <c r="BF63" i="77"/>
  <c r="BG63" i="77"/>
  <c r="BH63" i="77"/>
  <c r="BI63" i="77"/>
  <c r="BJ63" i="77"/>
  <c r="BK63" i="77"/>
  <c r="BL63" i="77"/>
  <c r="BB61" i="77"/>
  <c r="BL61" i="77"/>
  <c r="BH61" i="77"/>
  <c r="BD61" i="77"/>
  <c r="BK61" i="77"/>
  <c r="BG61" i="77"/>
  <c r="BC61" i="77"/>
  <c r="BJ61" i="77"/>
  <c r="BF61" i="77"/>
  <c r="BI61" i="77"/>
  <c r="BE61" i="77"/>
  <c r="T65" i="77"/>
  <c r="S65" i="77"/>
  <c r="R65" i="77"/>
  <c r="E60" i="75"/>
  <c r="Q163" i="75"/>
  <c r="R163" i="75" s="1"/>
  <c r="S163" i="75" s="1"/>
  <c r="T163" i="75" s="1"/>
  <c r="I177" i="75"/>
  <c r="AT14" i="75"/>
  <c r="AT16" i="75" s="1"/>
  <c r="I148" i="75"/>
  <c r="AU39" i="75"/>
  <c r="AU43" i="75" s="1"/>
  <c r="AV39" i="75"/>
  <c r="AV44" i="75" s="1"/>
  <c r="AT39" i="75"/>
  <c r="AT44" i="75" s="1"/>
  <c r="AT21" i="75"/>
  <c r="AT26" i="75" s="1"/>
  <c r="AT69" i="75" s="1"/>
  <c r="F60" i="75"/>
  <c r="Z142" i="77"/>
  <c r="I127" i="75"/>
  <c r="BB27" i="148"/>
  <c r="J238" i="148"/>
  <c r="N238" i="148"/>
  <c r="BC238" i="148" s="1"/>
  <c r="E72" i="164" s="1"/>
  <c r="R238" i="148"/>
  <c r="BD27" i="148"/>
  <c r="AU14" i="75"/>
  <c r="AU16" i="75" s="1"/>
  <c r="AU21" i="75"/>
  <c r="AU26" i="75"/>
  <c r="AU69" i="75" s="1"/>
  <c r="K294" i="148"/>
  <c r="L46" i="148"/>
  <c r="L12" i="148"/>
  <c r="N46" i="148"/>
  <c r="AV10" i="75"/>
  <c r="AV81" i="75"/>
  <c r="L26" i="148"/>
  <c r="AW71" i="75"/>
  <c r="AW10" i="75"/>
  <c r="AW81" i="75"/>
  <c r="AW70" i="75"/>
  <c r="AW21" i="75"/>
  <c r="L294" i="148"/>
  <c r="AW26" i="75"/>
  <c r="AW69" i="75" s="1"/>
  <c r="AW72" i="75"/>
  <c r="BB291" i="148"/>
  <c r="AW14" i="75"/>
  <c r="P276" i="148"/>
  <c r="AW16" i="75"/>
  <c r="AZ21" i="75"/>
  <c r="AZ26" i="75" s="1"/>
  <c r="AZ69" i="75" s="1"/>
  <c r="BA21" i="75"/>
  <c r="BA26" i="75" s="1"/>
  <c r="J177" i="75"/>
  <c r="J176" i="75"/>
  <c r="BG21" i="75"/>
  <c r="BG26" i="75" s="1"/>
  <c r="BG69" i="75" s="1"/>
  <c r="Y276" i="148"/>
  <c r="Y293" i="148" s="1"/>
  <c r="BI21" i="75"/>
  <c r="BI26" i="75"/>
  <c r="BI69" i="75" s="1"/>
  <c r="BH26" i="75"/>
  <c r="BH69" i="75" s="1"/>
  <c r="AW39" i="75"/>
  <c r="AW44" i="75"/>
  <c r="S7" i="164"/>
  <c r="J198" i="75"/>
  <c r="D78" i="163"/>
  <c r="K95" i="75"/>
  <c r="AW114" i="75"/>
  <c r="AX97" i="75" s="1"/>
  <c r="AX98" i="75" s="1"/>
  <c r="K97" i="75"/>
  <c r="J222" i="75"/>
  <c r="AW97" i="75"/>
  <c r="AW98" i="75" s="1"/>
  <c r="AX39" i="75"/>
  <c r="AX44" i="75" s="1"/>
  <c r="AY44" i="75"/>
  <c r="AZ39" i="75"/>
  <c r="AZ44" i="75" s="1"/>
  <c r="BA39" i="75"/>
  <c r="BA44" i="75" s="1"/>
  <c r="E88" i="163"/>
  <c r="G88" i="163"/>
  <c r="F88" i="163"/>
  <c r="H88" i="163"/>
  <c r="I88" i="163"/>
  <c r="J88" i="163"/>
  <c r="M88" i="163"/>
  <c r="L88" i="163"/>
  <c r="K88" i="163"/>
  <c r="M46" i="148"/>
  <c r="J138" i="75"/>
  <c r="J148" i="75" s="1"/>
  <c r="J132" i="75"/>
  <c r="O212" i="75"/>
  <c r="L212" i="75"/>
  <c r="M212" i="75"/>
  <c r="J117" i="75"/>
  <c r="J175" i="75"/>
  <c r="AX81" i="75"/>
  <c r="AX10" i="75"/>
  <c r="AX72" i="75"/>
  <c r="AX71" i="75"/>
  <c r="AX70" i="75"/>
  <c r="AX21" i="75"/>
  <c r="AX26" i="75" s="1"/>
  <c r="AX69" i="75" s="1"/>
  <c r="AX14" i="75"/>
  <c r="AX16" i="75" s="1"/>
  <c r="AX73" i="75" s="1"/>
  <c r="N7" i="148" s="1"/>
  <c r="BB21" i="75"/>
  <c r="BC291" i="148"/>
  <c r="BB26" i="75"/>
  <c r="BD291" i="148"/>
  <c r="BF21" i="75"/>
  <c r="BF26" i="75" s="1"/>
  <c r="BF69" i="75" s="1"/>
  <c r="BE291" i="148"/>
  <c r="O97" i="148"/>
  <c r="P97" i="148"/>
  <c r="Q97" i="148"/>
  <c r="BC97" i="148" s="1"/>
  <c r="BC125" i="148"/>
  <c r="O46" i="148"/>
  <c r="P46" i="148"/>
  <c r="O287" i="148"/>
  <c r="AY10" i="75"/>
  <c r="AY70" i="75"/>
  <c r="AY72" i="75"/>
  <c r="AY81" i="75"/>
  <c r="AY71" i="75"/>
  <c r="P289" i="148"/>
  <c r="AZ71" i="75"/>
  <c r="AZ70" i="75"/>
  <c r="AZ81" i="75"/>
  <c r="AZ10" i="75"/>
  <c r="AZ72" i="75"/>
  <c r="BE21" i="148"/>
  <c r="AY14" i="75"/>
  <c r="AY16" i="75" s="1"/>
  <c r="AZ14" i="75"/>
  <c r="AZ16" i="75" s="1"/>
  <c r="P25" i="148" s="1"/>
  <c r="C86" i="163"/>
  <c r="BC27" i="148"/>
  <c r="S287" i="148"/>
  <c r="S289" i="148"/>
  <c r="S288" i="148"/>
  <c r="BB70" i="75"/>
  <c r="BB69" i="75"/>
  <c r="BB71" i="75"/>
  <c r="BB72" i="75"/>
  <c r="BD71" i="75"/>
  <c r="BD81" i="75"/>
  <c r="BD70" i="75"/>
  <c r="BD72" i="75"/>
  <c r="U294" i="148"/>
  <c r="U289" i="148"/>
  <c r="U287" i="148"/>
  <c r="BE81" i="75"/>
  <c r="BE10" i="75"/>
  <c r="BE71" i="75"/>
  <c r="BE72" i="75"/>
  <c r="BE70" i="75"/>
  <c r="N24" i="164"/>
  <c r="N40" i="164" s="1"/>
  <c r="I102" i="164"/>
  <c r="I103" i="164"/>
  <c r="K77" i="164"/>
  <c r="L102" i="164"/>
  <c r="K104" i="164"/>
  <c r="K24" i="163" s="1"/>
  <c r="K32" i="163" s="1"/>
  <c r="K29" i="163" s="1"/>
  <c r="L76" i="164"/>
  <c r="O14" i="163"/>
  <c r="L77" i="164"/>
  <c r="N5" i="164"/>
  <c r="N75" i="164"/>
  <c r="L103" i="164"/>
  <c r="L23" i="163" s="1"/>
  <c r="M76" i="164"/>
  <c r="N6" i="164"/>
  <c r="L104" i="164"/>
  <c r="L24" i="163" s="1"/>
  <c r="L32" i="163" s="1"/>
  <c r="L29" i="163" s="1"/>
  <c r="M77" i="164"/>
  <c r="N77" i="164" s="1"/>
  <c r="N95" i="164" s="1"/>
  <c r="O15" i="163"/>
  <c r="O7" i="163" s="1"/>
  <c r="O31" i="163" s="1"/>
  <c r="N76" i="164"/>
  <c r="N94" i="164"/>
  <c r="M103" i="164"/>
  <c r="M23" i="163" s="1"/>
  <c r="M31" i="163" s="1"/>
  <c r="M29" i="163" s="1"/>
  <c r="N103" i="164"/>
  <c r="N23" i="163" s="1"/>
  <c r="N7" i="164"/>
  <c r="C88" i="163"/>
  <c r="C84" i="163"/>
  <c r="D86" i="163"/>
  <c r="R12" i="148"/>
  <c r="K117" i="75"/>
  <c r="L110" i="75" s="1"/>
  <c r="M97" i="75" s="1"/>
  <c r="BB10" i="75"/>
  <c r="BA71" i="75"/>
  <c r="BA81" i="75"/>
  <c r="BA70" i="75"/>
  <c r="BA72" i="75"/>
  <c r="BA10" i="75"/>
  <c r="BA69" i="75"/>
  <c r="BB81" i="75"/>
  <c r="K175" i="75"/>
  <c r="BA14" i="75"/>
  <c r="BA16" i="75" s="1"/>
  <c r="K176" i="75"/>
  <c r="K177" i="75"/>
  <c r="E78" i="163"/>
  <c r="T7" i="164"/>
  <c r="K198" i="75"/>
  <c r="L97" i="75"/>
  <c r="K159" i="75"/>
  <c r="K230" i="75" s="1"/>
  <c r="L95" i="75"/>
  <c r="K158" i="75"/>
  <c r="BB98" i="75"/>
  <c r="K222" i="75"/>
  <c r="BB39" i="75"/>
  <c r="BB44" i="75" s="1"/>
  <c r="BB45" i="75" s="1"/>
  <c r="BE39" i="75"/>
  <c r="BE44" i="75" s="1"/>
  <c r="K138" i="75"/>
  <c r="K148" i="75" s="1"/>
  <c r="BB14" i="75"/>
  <c r="BE14" i="75"/>
  <c r="BE16" i="75" s="1"/>
  <c r="BB16" i="75"/>
  <c r="R25" i="148" s="1"/>
  <c r="BD14" i="75"/>
  <c r="BD16" i="75"/>
  <c r="R274" i="148"/>
  <c r="R275" i="148" s="1"/>
  <c r="BB35" i="75"/>
  <c r="BB75" i="75"/>
  <c r="R8" i="148" s="1"/>
  <c r="U4" i="148"/>
  <c r="BE78" i="75"/>
  <c r="BE57" i="75"/>
  <c r="BE54" i="75"/>
  <c r="BE56" i="75"/>
  <c r="BE85" i="75" s="1"/>
  <c r="BE84" i="75"/>
  <c r="BD78" i="75"/>
  <c r="T4" i="148"/>
  <c r="BD57" i="75"/>
  <c r="T5" i="148"/>
  <c r="BC54" i="75"/>
  <c r="BD84" i="75"/>
  <c r="S4" i="148"/>
  <c r="BC57" i="75"/>
  <c r="BC56" i="75"/>
  <c r="M95" i="75"/>
  <c r="BH39" i="75"/>
  <c r="BH44" i="75" s="1"/>
  <c r="BG39" i="75"/>
  <c r="BG44" i="75"/>
  <c r="BF39" i="75"/>
  <c r="BF44" i="75"/>
  <c r="BI39" i="75"/>
  <c r="BI44" i="75" s="1"/>
  <c r="L158" i="75"/>
  <c r="L138" i="75"/>
  <c r="L148" i="75" s="1"/>
  <c r="L132" i="75"/>
  <c r="L230" i="75"/>
  <c r="L150" i="75"/>
  <c r="F78" i="163"/>
  <c r="L222" i="75"/>
  <c r="BF70" i="75"/>
  <c r="BF72" i="75"/>
  <c r="BF81" i="75"/>
  <c r="BF71" i="75"/>
  <c r="BF10" i="75"/>
  <c r="BF14" i="75"/>
  <c r="BF16" i="75"/>
  <c r="V25" i="148" s="1"/>
  <c r="BF78" i="75"/>
  <c r="BF54" i="75"/>
  <c r="V4" i="148"/>
  <c r="BF84" i="75"/>
  <c r="BF57" i="75"/>
  <c r="BF56" i="75"/>
  <c r="BF85" i="75"/>
  <c r="AP18" i="148"/>
  <c r="AT18" i="148" s="1"/>
  <c r="AH33" i="148"/>
  <c r="AH29" i="148" s="1"/>
  <c r="W24" i="148"/>
  <c r="W174" i="148" s="1"/>
  <c r="W290" i="148"/>
  <c r="W13" i="148"/>
  <c r="W294" i="148"/>
  <c r="BG10" i="75"/>
  <c r="BG81" i="75"/>
  <c r="BG70" i="75"/>
  <c r="BG71" i="75"/>
  <c r="BG72" i="75"/>
  <c r="BG14" i="75"/>
  <c r="BG16" i="75" s="1"/>
  <c r="F110" i="164"/>
  <c r="BG54" i="75"/>
  <c r="W4" i="148"/>
  <c r="BG56" i="75"/>
  <c r="W5" i="148" s="1"/>
  <c r="BG78" i="75"/>
  <c r="BG53" i="75"/>
  <c r="BG84" i="75"/>
  <c r="BG57" i="75"/>
  <c r="W49" i="148"/>
  <c r="W51" i="148"/>
  <c r="W54" i="148"/>
  <c r="W56" i="148"/>
  <c r="W215" i="148" s="1"/>
  <c r="W55" i="148"/>
  <c r="W53" i="148"/>
  <c r="W52" i="148"/>
  <c r="W211" i="148" s="1"/>
  <c r="X13" i="148"/>
  <c r="BH71" i="75"/>
  <c r="BH10" i="75"/>
  <c r="BH81" i="75"/>
  <c r="BH72" i="75"/>
  <c r="BH70" i="75"/>
  <c r="BH14" i="75"/>
  <c r="BH16" i="75" s="1"/>
  <c r="Y294" i="148"/>
  <c r="Y286" i="148"/>
  <c r="Y288" i="148"/>
  <c r="Y287" i="148"/>
  <c r="Y289" i="148"/>
  <c r="Y290" i="148"/>
  <c r="BI71" i="75"/>
  <c r="BI81" i="75"/>
  <c r="BI10" i="75"/>
  <c r="BI72" i="75"/>
  <c r="BI70" i="75"/>
  <c r="Z12" i="148"/>
  <c r="Z287" i="148"/>
  <c r="Z294" i="148"/>
  <c r="Z289" i="148"/>
  <c r="BJ81" i="75"/>
  <c r="BJ10" i="75"/>
  <c r="BJ70" i="75"/>
  <c r="BJ71" i="75"/>
  <c r="BJ72" i="75"/>
  <c r="M175" i="75"/>
  <c r="BI14" i="75"/>
  <c r="BI16" i="75" s="1"/>
  <c r="M176" i="75"/>
  <c r="M177" i="75"/>
  <c r="G110" i="164"/>
  <c r="M159" i="75"/>
  <c r="M230" i="75" s="1"/>
  <c r="M127" i="75"/>
  <c r="M132" i="75"/>
  <c r="M158" i="75"/>
  <c r="M138" i="75"/>
  <c r="M148" i="75" s="1"/>
  <c r="M136" i="75"/>
  <c r="M150" i="75"/>
  <c r="U7" i="164"/>
  <c r="L198" i="75"/>
  <c r="BJ44" i="75"/>
  <c r="Q141" i="75"/>
  <c r="BM39" i="75"/>
  <c r="BM44" i="75"/>
  <c r="AA12" i="148"/>
  <c r="BK70" i="75"/>
  <c r="BK10" i="75"/>
  <c r="BK81" i="75"/>
  <c r="BK72" i="75"/>
  <c r="BK71" i="75"/>
  <c r="AD13" i="148"/>
  <c r="BN71" i="75"/>
  <c r="BN72" i="75"/>
  <c r="BN70" i="75"/>
  <c r="BN69" i="75"/>
  <c r="BL72" i="75"/>
  <c r="BL81" i="75"/>
  <c r="BL70" i="75"/>
  <c r="BL71" i="75"/>
  <c r="BL10" i="75"/>
  <c r="BL14" i="75"/>
  <c r="BL16" i="75"/>
  <c r="BL18" i="75" s="1"/>
  <c r="BL54" i="75"/>
  <c r="BL78" i="75"/>
  <c r="AB4" i="148"/>
  <c r="AB5" i="148"/>
  <c r="BF21" i="148"/>
  <c r="AC290" i="148"/>
  <c r="AC289" i="148"/>
  <c r="AC288" i="148"/>
  <c r="AC13" i="148"/>
  <c r="BF11" i="148"/>
  <c r="BN81" i="75"/>
  <c r="BM81" i="75"/>
  <c r="BM71" i="75"/>
  <c r="BM10" i="75"/>
  <c r="BM72" i="75"/>
  <c r="BM70" i="75"/>
  <c r="BF19" i="148"/>
  <c r="BM14" i="75"/>
  <c r="BM16" i="75" s="1"/>
  <c r="BH2" i="75"/>
  <c r="BM57" i="75"/>
  <c r="BM54" i="75"/>
  <c r="BM84" i="75"/>
  <c r="BM78" i="75"/>
  <c r="AC4" i="148"/>
  <c r="BM56" i="75"/>
  <c r="AC5" i="148" s="1"/>
  <c r="W7" i="164"/>
  <c r="BP44" i="75"/>
  <c r="BO39" i="75"/>
  <c r="BO44" i="75" s="1"/>
  <c r="BN39" i="75"/>
  <c r="BN44" i="75" s="1"/>
  <c r="BQ39" i="75"/>
  <c r="BQ44" i="75" s="1"/>
  <c r="AC18" i="148"/>
  <c r="AC33" i="148" s="1"/>
  <c r="AC29" i="148" s="1"/>
  <c r="AO18" i="148"/>
  <c r="AS18" i="148" s="1"/>
  <c r="AW18" i="148" s="1"/>
  <c r="BN14" i="75"/>
  <c r="BN16" i="75" s="1"/>
  <c r="N230" i="75"/>
  <c r="N198" i="75"/>
  <c r="V7" i="164"/>
  <c r="M198" i="75"/>
  <c r="BN57" i="75"/>
  <c r="BN78" i="75"/>
  <c r="BN54" i="75"/>
  <c r="AD4" i="148"/>
  <c r="BN84" i="75"/>
  <c r="BN56" i="75"/>
  <c r="AD5" i="148" s="1"/>
  <c r="BN85" i="75"/>
  <c r="AE287" i="148"/>
  <c r="AE12" i="148"/>
  <c r="AE289" i="148"/>
  <c r="BO10" i="75"/>
  <c r="BO72" i="75"/>
  <c r="BO70" i="75"/>
  <c r="BO81" i="75"/>
  <c r="BO71" i="75"/>
  <c r="BO57" i="75"/>
  <c r="BO56" i="75"/>
  <c r="BO85" i="75" s="1"/>
  <c r="BO54" i="75"/>
  <c r="BO78" i="75"/>
  <c r="AE4" i="148"/>
  <c r="BO84" i="75"/>
  <c r="BG19" i="148"/>
  <c r="AF12" i="148"/>
  <c r="AF13" i="148"/>
  <c r="BP71" i="75"/>
  <c r="BP81" i="75"/>
  <c r="BP70" i="75"/>
  <c r="BP10" i="75"/>
  <c r="BP72" i="75"/>
  <c r="BP69" i="75"/>
  <c r="BP14" i="75"/>
  <c r="BP16" i="75" s="1"/>
  <c r="BP18" i="75"/>
  <c r="BP57" i="75"/>
  <c r="BP56" i="75"/>
  <c r="BP86" i="75" s="1"/>
  <c r="AF6" i="148" s="1"/>
  <c r="AF4" i="148"/>
  <c r="BP78" i="75"/>
  <c r="BP84" i="75"/>
  <c r="AF18" i="148"/>
  <c r="BG21" i="148"/>
  <c r="BG163" i="148"/>
  <c r="AG24" i="148"/>
  <c r="AG287" i="148"/>
  <c r="AG290" i="148"/>
  <c r="AG288" i="148"/>
  <c r="BG11" i="148"/>
  <c r="AG12" i="148"/>
  <c r="AG13" i="148"/>
  <c r="AG286" i="148"/>
  <c r="AG289" i="148"/>
  <c r="BQ81" i="75"/>
  <c r="BQ72" i="75"/>
  <c r="BQ71" i="75"/>
  <c r="BQ10" i="75"/>
  <c r="BQ70" i="75"/>
  <c r="BG27" i="148"/>
  <c r="AF33" i="148" l="1"/>
  <c r="AF29" i="148" s="1"/>
  <c r="E87" i="164"/>
  <c r="J40" i="164"/>
  <c r="J56" i="164" s="1"/>
  <c r="F87" i="164"/>
  <c r="AF287" i="148"/>
  <c r="V288" i="148"/>
  <c r="BB238" i="148"/>
  <c r="D72" i="164" s="1"/>
  <c r="J284" i="148"/>
  <c r="Y284" i="148"/>
  <c r="BB279" i="148"/>
  <c r="BB278" i="148"/>
  <c r="L283" i="148"/>
  <c r="K40" i="164"/>
  <c r="L40" i="164"/>
  <c r="AL34" i="148"/>
  <c r="AL33" i="148" s="1"/>
  <c r="AL29" i="148" s="1"/>
  <c r="AE25" i="148"/>
  <c r="AE30" i="148" s="1"/>
  <c r="BO73" i="75"/>
  <c r="AE7" i="148" s="1"/>
  <c r="BO18" i="75"/>
  <c r="X25" i="148"/>
  <c r="X26" i="148" s="1"/>
  <c r="BL17" i="75"/>
  <c r="AE5" i="148"/>
  <c r="I208" i="77"/>
  <c r="H8" i="77"/>
  <c r="AQ81" i="77"/>
  <c r="AL8" i="77"/>
  <c r="F102" i="75"/>
  <c r="E123" i="75"/>
  <c r="H157" i="75"/>
  <c r="F177" i="75"/>
  <c r="F174" i="75" s="1"/>
  <c r="C78" i="163"/>
  <c r="I157" i="75"/>
  <c r="C79" i="163" s="1"/>
  <c r="AC39" i="75"/>
  <c r="K8" i="77"/>
  <c r="H81" i="77"/>
  <c r="E192" i="75"/>
  <c r="D123" i="75"/>
  <c r="I137" i="75"/>
  <c r="I136" i="75" s="1"/>
  <c r="BP17" i="75"/>
  <c r="U5" i="148"/>
  <c r="AH39" i="75"/>
  <c r="U8" i="77"/>
  <c r="K208" i="77"/>
  <c r="F190" i="75"/>
  <c r="E145" i="75"/>
  <c r="E157" i="75" s="1"/>
  <c r="BG81" i="77"/>
  <c r="BV8" i="77"/>
  <c r="C8" i="77"/>
  <c r="BV81" i="77"/>
  <c r="BM8" i="77"/>
  <c r="AQ8" i="77"/>
  <c r="H123" i="75"/>
  <c r="V32" i="75"/>
  <c r="V31" i="75" s="1"/>
  <c r="V276" i="148"/>
  <c r="K174" i="75"/>
  <c r="BM85" i="75"/>
  <c r="AG39" i="75"/>
  <c r="AA39" i="75"/>
  <c r="Y39" i="75"/>
  <c r="U208" i="77"/>
  <c r="H145" i="75"/>
  <c r="I222" i="75" s="1"/>
  <c r="D8" i="77"/>
  <c r="CA81" i="77"/>
  <c r="BC81" i="77"/>
  <c r="CN8" i="77"/>
  <c r="BR8" i="77"/>
  <c r="AX8" i="77"/>
  <c r="BR81" i="77"/>
  <c r="AT81" i="77"/>
  <c r="BI8" i="77"/>
  <c r="H189" i="75"/>
  <c r="J190" i="75"/>
  <c r="AR21" i="75"/>
  <c r="AR26" i="75" s="1"/>
  <c r="AV102" i="75"/>
  <c r="AV104" i="75" s="1"/>
  <c r="M276" i="148"/>
  <c r="M286" i="148" s="1"/>
  <c r="Z282" i="148"/>
  <c r="BG85" i="75"/>
  <c r="K150" i="75"/>
  <c r="BL73" i="75"/>
  <c r="AB7" i="148" s="1"/>
  <c r="AP39" i="75"/>
  <c r="W39" i="75"/>
  <c r="E167" i="75"/>
  <c r="O208" i="77"/>
  <c r="E175" i="75"/>
  <c r="AT8" i="77"/>
  <c r="CH81" i="77"/>
  <c r="BL81" i="77"/>
  <c r="CA8" i="77"/>
  <c r="BG8" i="77"/>
  <c r="H137" i="75"/>
  <c r="E120" i="75"/>
  <c r="I158" i="75"/>
  <c r="J189" i="75"/>
  <c r="U280" i="148"/>
  <c r="U276" i="148" s="1"/>
  <c r="U286" i="148" s="1"/>
  <c r="BL44" i="75"/>
  <c r="AG49" i="148"/>
  <c r="BC73" i="75"/>
  <c r="S7" i="148" s="1"/>
  <c r="BC18" i="75"/>
  <c r="S25" i="148"/>
  <c r="S26" i="148" s="1"/>
  <c r="AC25" i="148"/>
  <c r="AC30" i="148" s="1"/>
  <c r="AC28" i="148" s="1"/>
  <c r="AC31" i="148" s="1"/>
  <c r="BM18" i="75"/>
  <c r="AZ32" i="75"/>
  <c r="AZ31" i="75" s="1"/>
  <c r="AZ27" i="75" s="1"/>
  <c r="AZ74" i="75" s="1"/>
  <c r="AY31" i="75"/>
  <c r="AY27" i="75" s="1"/>
  <c r="BC32" i="75"/>
  <c r="BJ17" i="75"/>
  <c r="BJ73" i="75"/>
  <c r="Z7" i="148" s="1"/>
  <c r="BB77" i="75"/>
  <c r="BB52" i="75"/>
  <c r="R4" i="148" s="1"/>
  <c r="BB76" i="75"/>
  <c r="AV32" i="75"/>
  <c r="AU31" i="75"/>
  <c r="AU27" i="75" s="1"/>
  <c r="M294" i="148"/>
  <c r="AH46" i="75"/>
  <c r="W83" i="75"/>
  <c r="AO83" i="75"/>
  <c r="AB46" i="75"/>
  <c r="Z39" i="75"/>
  <c r="G127" i="75"/>
  <c r="E112" i="75"/>
  <c r="J102" i="75"/>
  <c r="I102" i="75"/>
  <c r="I190" i="75"/>
  <c r="N81" i="77"/>
  <c r="E102" i="75"/>
  <c r="D145" i="75"/>
  <c r="BJ81" i="77"/>
  <c r="BH17" i="75"/>
  <c r="AU44" i="75"/>
  <c r="V46" i="75"/>
  <c r="F213" i="75"/>
  <c r="AP32" i="75"/>
  <c r="AP31" i="75" s="1"/>
  <c r="AQ98" i="75"/>
  <c r="AF39" i="75"/>
  <c r="P8" i="77"/>
  <c r="E177" i="75"/>
  <c r="E174" i="75" s="1"/>
  <c r="G102" i="75"/>
  <c r="G190" i="75"/>
  <c r="G176" i="75"/>
  <c r="G174" i="75" s="1"/>
  <c r="BS81" i="77"/>
  <c r="F132" i="75"/>
  <c r="E212" i="75"/>
  <c r="E213" i="75" s="1"/>
  <c r="AE32" i="75"/>
  <c r="AE31" i="75" s="1"/>
  <c r="M17" i="148"/>
  <c r="M49" i="148" s="1"/>
  <c r="BB49" i="148" s="1"/>
  <c r="D9" i="164" s="1"/>
  <c r="L190" i="75"/>
  <c r="T280" i="148"/>
  <c r="T285" i="148" s="1"/>
  <c r="AA280" i="148"/>
  <c r="G213" i="75"/>
  <c r="BB31" i="75"/>
  <c r="AS32" i="75"/>
  <c r="AS31" i="75" s="1"/>
  <c r="AR98" i="75"/>
  <c r="AD39" i="75"/>
  <c r="X142" i="77"/>
  <c r="F127" i="75"/>
  <c r="AW102" i="75"/>
  <c r="AW104" i="75" s="1"/>
  <c r="H175" i="75"/>
  <c r="P81" i="77"/>
  <c r="E189" i="75"/>
  <c r="H120" i="75"/>
  <c r="AF32" i="75"/>
  <c r="AF31" i="75" s="1"/>
  <c r="E137" i="75"/>
  <c r="J159" i="75"/>
  <c r="Z280" i="148"/>
  <c r="Z290" i="148" s="1"/>
  <c r="F136" i="75"/>
  <c r="BC44" i="75"/>
  <c r="BF18" i="75"/>
  <c r="M12" i="148"/>
  <c r="AI83" i="75"/>
  <c r="AL46" i="75"/>
  <c r="AR46" i="75"/>
  <c r="AN83" i="75"/>
  <c r="CK8" i="77"/>
  <c r="BS8" i="77"/>
  <c r="BA8" i="77"/>
  <c r="AI8" i="77"/>
  <c r="I189" i="75"/>
  <c r="D132" i="75"/>
  <c r="AG32" i="75"/>
  <c r="AG31" i="75" s="1"/>
  <c r="K287" i="148"/>
  <c r="O280" i="148"/>
  <c r="O290" i="148" s="1"/>
  <c r="U282" i="148"/>
  <c r="S280" i="148"/>
  <c r="S283" i="148"/>
  <c r="BD44" i="75"/>
  <c r="AB284" i="148"/>
  <c r="AB280" i="148"/>
  <c r="AG56" i="148"/>
  <c r="AH69" i="148" s="1"/>
  <c r="AF5" i="148"/>
  <c r="BP85" i="75"/>
  <c r="AB25" i="148"/>
  <c r="AB30" i="148" s="1"/>
  <c r="M174" i="75"/>
  <c r="BH18" i="75"/>
  <c r="Q13" i="148"/>
  <c r="AV21" i="75"/>
  <c r="AV26" i="75" s="1"/>
  <c r="AV69" i="75" s="1"/>
  <c r="AC83" i="75"/>
  <c r="H136" i="75"/>
  <c r="AI81" i="77"/>
  <c r="CB8" i="77"/>
  <c r="BJ8" i="77"/>
  <c r="AR8" i="77"/>
  <c r="AS98" i="75"/>
  <c r="F123" i="75"/>
  <c r="I140" i="75"/>
  <c r="AT104" i="75"/>
  <c r="K25" i="148"/>
  <c r="K26" i="148" s="1"/>
  <c r="AU18" i="75"/>
  <c r="AU73" i="75"/>
  <c r="K7" i="148" s="1"/>
  <c r="AD25" i="148"/>
  <c r="AD26" i="148" s="1"/>
  <c r="BN17" i="75"/>
  <c r="BN18" i="75"/>
  <c r="BN73" i="75"/>
  <c r="AD7" i="148" s="1"/>
  <c r="M110" i="75"/>
  <c r="AZ18" i="75"/>
  <c r="AZ17" i="75"/>
  <c r="AZ73" i="75"/>
  <c r="P7" i="148" s="1"/>
  <c r="AX18" i="75"/>
  <c r="N25" i="148"/>
  <c r="N26" i="148" s="1"/>
  <c r="AX17" i="75"/>
  <c r="BI17" i="75"/>
  <c r="Y25" i="148"/>
  <c r="BI18" i="75"/>
  <c r="BD18" i="75"/>
  <c r="T25" i="148"/>
  <c r="BD73" i="75"/>
  <c r="T7" i="148" s="1"/>
  <c r="AY17" i="75"/>
  <c r="BC17" i="75"/>
  <c r="O25" i="148"/>
  <c r="I176" i="75"/>
  <c r="I174" i="75" s="1"/>
  <c r="H176" i="75"/>
  <c r="H174" i="75" s="1"/>
  <c r="Q81" i="77"/>
  <c r="Q208" i="77"/>
  <c r="Q8" i="77"/>
  <c r="Q25" i="148"/>
  <c r="Q30" i="148" s="1"/>
  <c r="BA18" i="75"/>
  <c r="BA73" i="75"/>
  <c r="Q7" i="148" s="1"/>
  <c r="BA17" i="75"/>
  <c r="J25" i="148"/>
  <c r="J26" i="148" s="1"/>
  <c r="AT18" i="75"/>
  <c r="AT73" i="75"/>
  <c r="J7" i="148" s="1"/>
  <c r="BP73" i="75"/>
  <c r="AF7" i="148" s="1"/>
  <c r="AF25" i="148"/>
  <c r="AF30" i="148" s="1"/>
  <c r="AF28" i="148" s="1"/>
  <c r="V5" i="148"/>
  <c r="BB56" i="75"/>
  <c r="BF86" i="75" s="1"/>
  <c r="V6" i="148" s="1"/>
  <c r="BC84" i="75"/>
  <c r="BD17" i="75"/>
  <c r="BB18" i="75"/>
  <c r="BB73" i="75"/>
  <c r="R7" i="148" s="1"/>
  <c r="BB17" i="75"/>
  <c r="AY73" i="75"/>
  <c r="O7" i="148" s="1"/>
  <c r="BK17" i="75"/>
  <c r="W25" i="148"/>
  <c r="W26" i="148" s="1"/>
  <c r="BG17" i="75"/>
  <c r="BG18" i="75"/>
  <c r="BI73" i="75"/>
  <c r="Y7" i="148" s="1"/>
  <c r="BG73" i="75"/>
  <c r="W7" i="148" s="1"/>
  <c r="S5" i="148"/>
  <c r="BD85" i="75"/>
  <c r="BG86" i="75"/>
  <c r="W6" i="148" s="1"/>
  <c r="U25" i="148"/>
  <c r="U30" i="148" s="1"/>
  <c r="BE18" i="75"/>
  <c r="BE73" i="75"/>
  <c r="U7" i="148" s="1"/>
  <c r="BE17" i="75"/>
  <c r="AY18" i="75"/>
  <c r="J174" i="75"/>
  <c r="M25" i="148"/>
  <c r="AW73" i="75"/>
  <c r="M7" i="148" s="1"/>
  <c r="AW18" i="75"/>
  <c r="BF17" i="75"/>
  <c r="BM73" i="75"/>
  <c r="AC7" i="148" s="1"/>
  <c r="BM17" i="75"/>
  <c r="BH73" i="75"/>
  <c r="X7" i="148" s="1"/>
  <c r="BF73" i="75"/>
  <c r="V7" i="148" s="1"/>
  <c r="BJ32" i="75"/>
  <c r="AN98" i="75"/>
  <c r="AN39" i="75"/>
  <c r="AO39" i="75"/>
  <c r="AO98" i="75"/>
  <c r="L8" i="77"/>
  <c r="L81" i="77"/>
  <c r="V208" i="77"/>
  <c r="F2" i="142"/>
  <c r="F1" i="142" s="1"/>
  <c r="V8" i="77"/>
  <c r="V267" i="77"/>
  <c r="U205" i="77"/>
  <c r="AN32" i="75"/>
  <c r="AN31" i="75" s="1"/>
  <c r="AL32" i="75"/>
  <c r="AL31" i="75" s="1"/>
  <c r="AM32" i="75"/>
  <c r="AM31" i="75" s="1"/>
  <c r="AO32" i="75"/>
  <c r="AO31" i="75" s="1"/>
  <c r="T208" i="77"/>
  <c r="T8" i="77"/>
  <c r="T260" i="77"/>
  <c r="AJ208" i="77"/>
  <c r="AJ8" i="77"/>
  <c r="AJ81" i="77"/>
  <c r="AS208" i="77"/>
  <c r="AS8" i="77"/>
  <c r="AS81" i="77"/>
  <c r="BB208" i="77"/>
  <c r="BB81" i="77"/>
  <c r="BB8" i="77"/>
  <c r="BK208" i="77"/>
  <c r="BK8" i="77"/>
  <c r="BK81" i="77"/>
  <c r="BT208" i="77"/>
  <c r="BT8" i="77"/>
  <c r="BT81" i="77"/>
  <c r="CC208" i="77"/>
  <c r="CC8" i="77"/>
  <c r="CC81" i="77"/>
  <c r="CL208" i="77"/>
  <c r="CL81" i="77"/>
  <c r="CL8" i="77"/>
  <c r="D104" i="75"/>
  <c r="T81" i="77"/>
  <c r="D2" i="142"/>
  <c r="D1" i="142" s="1"/>
  <c r="V283" i="77" s="1"/>
  <c r="V287" i="77" s="1"/>
  <c r="BD32" i="75"/>
  <c r="E66" i="75"/>
  <c r="F5" i="75"/>
  <c r="M208" i="77"/>
  <c r="M8" i="77"/>
  <c r="M81" i="77"/>
  <c r="Z25" i="148"/>
  <c r="Z26" i="148" s="1"/>
  <c r="BJ18" i="75"/>
  <c r="G192" i="75"/>
  <c r="H192" i="75"/>
  <c r="AJ32" i="75"/>
  <c r="AJ31" i="75" s="1"/>
  <c r="AH32" i="75"/>
  <c r="AH31" i="75" s="1"/>
  <c r="AK32" i="75"/>
  <c r="AK31" i="75" s="1"/>
  <c r="AI32" i="75"/>
  <c r="AI31" i="75" s="1"/>
  <c r="I202" i="75"/>
  <c r="C62" i="164"/>
  <c r="R4" i="164" s="1"/>
  <c r="R13" i="164" s="1"/>
  <c r="I228" i="75"/>
  <c r="R8" i="164" s="1"/>
  <c r="F222" i="75"/>
  <c r="N174" i="75"/>
  <c r="AG208" i="77"/>
  <c r="AG8" i="77"/>
  <c r="AP208" i="77"/>
  <c r="AP81" i="77"/>
  <c r="AP8" i="77"/>
  <c r="AY208" i="77"/>
  <c r="AY8" i="77"/>
  <c r="AY81" i="77"/>
  <c r="BH208" i="77"/>
  <c r="BH8" i="77"/>
  <c r="BQ208" i="77"/>
  <c r="BQ8" i="77"/>
  <c r="BZ208" i="77"/>
  <c r="BZ81" i="77"/>
  <c r="BZ8" i="77"/>
  <c r="CI208" i="77"/>
  <c r="CI8" i="77"/>
  <c r="CI81" i="77"/>
  <c r="E136" i="75"/>
  <c r="G145" i="75"/>
  <c r="G222" i="75" s="1"/>
  <c r="BO17" i="75"/>
  <c r="AA25" i="148"/>
  <c r="E8" i="77"/>
  <c r="E208" i="77"/>
  <c r="E81" i="77"/>
  <c r="G137" i="75"/>
  <c r="G136" i="75" s="1"/>
  <c r="G132" i="75"/>
  <c r="F189" i="75"/>
  <c r="G189" i="75"/>
  <c r="I132" i="75"/>
  <c r="D137" i="75"/>
  <c r="D136" i="75" s="1"/>
  <c r="AG231" i="75"/>
  <c r="AV18" i="75"/>
  <c r="BM21" i="75"/>
  <c r="BM26" i="75" s="1"/>
  <c r="BM69" i="75" s="1"/>
  <c r="AA52" i="148"/>
  <c r="AA211" i="148" s="1"/>
  <c r="AA48" i="148"/>
  <c r="BO21" i="75"/>
  <c r="BO26" i="75" s="1"/>
  <c r="BO69" i="75" s="1"/>
  <c r="AE280" i="148"/>
  <c r="AE290" i="148" s="1"/>
  <c r="AE17" i="148"/>
  <c r="AE52" i="148" s="1"/>
  <c r="AE211" i="148" s="1"/>
  <c r="G8" i="77"/>
  <c r="G81" i="77"/>
  <c r="AM208" i="77"/>
  <c r="AM8" i="77"/>
  <c r="AM81" i="77"/>
  <c r="AV208" i="77"/>
  <c r="AV8" i="77"/>
  <c r="BE208" i="77"/>
  <c r="BE8" i="77"/>
  <c r="BN208" i="77"/>
  <c r="BN81" i="77"/>
  <c r="BN8" i="77"/>
  <c r="BW208" i="77"/>
  <c r="BW8" i="77"/>
  <c r="BW81" i="77"/>
  <c r="CF208" i="77"/>
  <c r="CF8" i="77"/>
  <c r="AV73" i="75"/>
  <c r="L7" i="148" s="1"/>
  <c r="BK18" i="75"/>
  <c r="CK81" i="77"/>
  <c r="BY81" i="77"/>
  <c r="BM81" i="77"/>
  <c r="BA81" i="77"/>
  <c r="AO81" i="77"/>
  <c r="CN81" i="77"/>
  <c r="CB81" i="77"/>
  <c r="BP81" i="77"/>
  <c r="BD81" i="77"/>
  <c r="AR81" i="77"/>
  <c r="C81" i="77"/>
  <c r="G31" i="75"/>
  <c r="G171" i="75" s="1"/>
  <c r="E31" i="75"/>
  <c r="K189" i="75"/>
  <c r="AE282" i="148"/>
  <c r="BG277" i="148"/>
  <c r="BG287" i="148" s="1"/>
  <c r="D31" i="75"/>
  <c r="D171" i="75" s="1"/>
  <c r="AG52" i="148"/>
  <c r="AG48" i="148"/>
  <c r="H31" i="75"/>
  <c r="H171" i="75" s="1"/>
  <c r="AC54" i="148"/>
  <c r="AC213" i="148" s="1"/>
  <c r="AC48" i="148"/>
  <c r="AG53" i="148"/>
  <c r="AG212" i="148" s="1"/>
  <c r="U284" i="148"/>
  <c r="V207" i="148"/>
  <c r="V154" i="148"/>
  <c r="W207" i="148"/>
  <c r="W154" i="148"/>
  <c r="W132" i="148" s="1"/>
  <c r="Y207" i="148"/>
  <c r="Y154" i="148"/>
  <c r="Y132" i="148" s="1"/>
  <c r="AG55" i="148"/>
  <c r="R141" i="75"/>
  <c r="S141" i="75" s="1"/>
  <c r="T141" i="75" s="1"/>
  <c r="L118" i="148"/>
  <c r="L233" i="148" s="1"/>
  <c r="CU14" i="149"/>
  <c r="N104" i="164"/>
  <c r="N24" i="163" s="1"/>
  <c r="BY43" i="75"/>
  <c r="BR10" i="150"/>
  <c r="BR184" i="150"/>
  <c r="G24" i="164"/>
  <c r="G40" i="164" s="1"/>
  <c r="BB280" i="148"/>
  <c r="J99" i="148"/>
  <c r="BD279" i="148"/>
  <c r="T288" i="148"/>
  <c r="Q288" i="148"/>
  <c r="AB282" i="148"/>
  <c r="AE33" i="148"/>
  <c r="AE29" i="148" s="1"/>
  <c r="AF288" i="148"/>
  <c r="BC279" i="148"/>
  <c r="P287" i="148"/>
  <c r="S30" i="148"/>
  <c r="BE163" i="148"/>
  <c r="AB289" i="148"/>
  <c r="O166" i="148"/>
  <c r="P166" i="148" s="1"/>
  <c r="BA238" i="148"/>
  <c r="C72" i="164" s="1"/>
  <c r="C114" i="164" s="1"/>
  <c r="Q294" i="148"/>
  <c r="S294" i="148"/>
  <c r="W287" i="148"/>
  <c r="Y12" i="148"/>
  <c r="AC285" i="148"/>
  <c r="J296" i="148"/>
  <c r="J297" i="148" s="1"/>
  <c r="N289" i="148"/>
  <c r="S17" i="148"/>
  <c r="S48" i="148" s="1"/>
  <c r="Y18" i="148"/>
  <c r="Y33" i="148" s="1"/>
  <c r="BF163" i="148"/>
  <c r="Y52" i="148"/>
  <c r="Y211" i="148" s="1"/>
  <c r="Y49" i="148"/>
  <c r="Y208" i="148" s="1"/>
  <c r="V52" i="148"/>
  <c r="V211" i="148" s="1"/>
  <c r="V55" i="148"/>
  <c r="W68" i="148" s="1"/>
  <c r="V49" i="148"/>
  <c r="V208" i="148" s="1"/>
  <c r="V51" i="148"/>
  <c r="V210" i="148" s="1"/>
  <c r="V24" i="148"/>
  <c r="V174" i="148" s="1"/>
  <c r="W185" i="148" s="1"/>
  <c r="V56" i="148"/>
  <c r="W69" i="148" s="1"/>
  <c r="V54" i="148"/>
  <c r="W67" i="148" s="1"/>
  <c r="V53" i="148"/>
  <c r="W66" i="148" s="1"/>
  <c r="BB277" i="148"/>
  <c r="J290" i="148"/>
  <c r="J30" i="148"/>
  <c r="AZ279" i="148"/>
  <c r="J288" i="148"/>
  <c r="BG278" i="148"/>
  <c r="BH283" i="148" s="1"/>
  <c r="V18" i="148"/>
  <c r="V33" i="148" s="1"/>
  <c r="V29" i="148" s="1"/>
  <c r="J287" i="148"/>
  <c r="E96" i="164"/>
  <c r="E105" i="164" s="1"/>
  <c r="Q283" i="148"/>
  <c r="O117" i="148"/>
  <c r="O87" i="148" s="1"/>
  <c r="T294" i="148"/>
  <c r="V286" i="148"/>
  <c r="AA13" i="148"/>
  <c r="BE11" i="148"/>
  <c r="X12" i="148"/>
  <c r="V26" i="148"/>
  <c r="P294" i="148"/>
  <c r="P290" i="148"/>
  <c r="O288" i="148"/>
  <c r="V289" i="148"/>
  <c r="S13" i="148"/>
  <c r="O294" i="148"/>
  <c r="BE277" i="148"/>
  <c r="BB11" i="148"/>
  <c r="AE13" i="148"/>
  <c r="AW33" i="148"/>
  <c r="AW29" i="148" s="1"/>
  <c r="W12" i="148"/>
  <c r="V290" i="148"/>
  <c r="P12" i="148"/>
  <c r="O13" i="148"/>
  <c r="BC278" i="148"/>
  <c r="BC283" i="148" s="1"/>
  <c r="N287" i="148"/>
  <c r="K276" i="148"/>
  <c r="K286" i="148" s="1"/>
  <c r="K30" i="148"/>
  <c r="G168" i="148"/>
  <c r="G189" i="148" s="1"/>
  <c r="O284" i="148"/>
  <c r="L30" i="148"/>
  <c r="L17" i="148"/>
  <c r="L56" i="148" s="1"/>
  <c r="L215" i="148" s="1"/>
  <c r="L288" i="148"/>
  <c r="T287" i="148"/>
  <c r="T289" i="148"/>
  <c r="S18" i="148"/>
  <c r="S33" i="148" s="1"/>
  <c r="S31" i="148" s="1"/>
  <c r="AC282" i="148"/>
  <c r="Z30" i="148"/>
  <c r="AD283" i="148"/>
  <c r="AA18" i="148"/>
  <c r="AA33" i="148" s="1"/>
  <c r="AA29" i="148" s="1"/>
  <c r="AE283" i="148"/>
  <c r="AD18" i="148"/>
  <c r="BG18" i="148" s="1"/>
  <c r="V287" i="148"/>
  <c r="AC24" i="148"/>
  <c r="AC174" i="148" s="1"/>
  <c r="AB13" i="148"/>
  <c r="P26" i="148"/>
  <c r="P288" i="148"/>
  <c r="Z13" i="148"/>
  <c r="V294" i="148"/>
  <c r="Q12" i="148"/>
  <c r="P13" i="148"/>
  <c r="O289" i="148"/>
  <c r="BE238" i="148"/>
  <c r="G72" i="164" s="1"/>
  <c r="H190" i="148"/>
  <c r="J97" i="148"/>
  <c r="J289" i="148"/>
  <c r="M97" i="148"/>
  <c r="BB97" i="148" s="1"/>
  <c r="L18" i="148"/>
  <c r="L33" i="148" s="1"/>
  <c r="L31" i="148" s="1"/>
  <c r="L216" i="148" s="1"/>
  <c r="N284" i="148"/>
  <c r="T284" i="148"/>
  <c r="T18" i="148"/>
  <c r="T33" i="148" s="1"/>
  <c r="T29" i="148" s="1"/>
  <c r="U283" i="148"/>
  <c r="X276" i="148"/>
  <c r="AA288" i="148"/>
  <c r="AC55" i="148"/>
  <c r="AE288" i="148"/>
  <c r="AC287" i="148"/>
  <c r="X294" i="148"/>
  <c r="V13" i="148"/>
  <c r="J18" i="148"/>
  <c r="J33" i="148" s="1"/>
  <c r="J31" i="148" s="1"/>
  <c r="BB112" i="148"/>
  <c r="BD238" i="148"/>
  <c r="F72" i="164" s="1"/>
  <c r="J17" i="148"/>
  <c r="J50" i="148" s="1"/>
  <c r="BF277" i="148"/>
  <c r="Q285" i="148"/>
  <c r="AC276" i="148"/>
  <c r="O18" i="148"/>
  <c r="O33" i="148" s="1"/>
  <c r="O29" i="148" s="1"/>
  <c r="T283" i="148"/>
  <c r="R18" i="148"/>
  <c r="AC284" i="148"/>
  <c r="J31" i="75"/>
  <c r="AV5" i="150"/>
  <c r="BX62" i="150" s="1"/>
  <c r="BY62" i="150" s="1"/>
  <c r="M222" i="75"/>
  <c r="N82" i="148"/>
  <c r="CU12" i="149"/>
  <c r="CI16" i="149"/>
  <c r="O24" i="148"/>
  <c r="O174" i="148" s="1"/>
  <c r="CN11" i="150"/>
  <c r="BK5" i="150"/>
  <c r="BN5" i="150"/>
  <c r="BL5" i="150"/>
  <c r="BT100" i="150"/>
  <c r="BU100" i="150" s="1"/>
  <c r="BV100" i="150" s="1"/>
  <c r="BW100" i="150" s="1"/>
  <c r="BX100" i="150" s="1"/>
  <c r="BY100" i="150" s="1"/>
  <c r="BH5" i="150"/>
  <c r="BH8" i="150" s="1"/>
  <c r="K181" i="75"/>
  <c r="CO11" i="150"/>
  <c r="BF5" i="150"/>
  <c r="BF8" i="150" s="1"/>
  <c r="BG5" i="150"/>
  <c r="BG8" i="150" s="1"/>
  <c r="I31" i="75"/>
  <c r="O129" i="142" s="1"/>
  <c r="J135" i="142" s="1"/>
  <c r="I124" i="75" s="1"/>
  <c r="AJ50" i="150"/>
  <c r="AK50" i="150" s="1"/>
  <c r="AL50" i="150" s="1"/>
  <c r="AM50" i="150" s="1"/>
  <c r="AN50" i="150" s="1"/>
  <c r="AO50" i="150" s="1"/>
  <c r="AP50" i="150" s="1"/>
  <c r="AQ50" i="150" s="1"/>
  <c r="AR50" i="150" s="1"/>
  <c r="AS50" i="150" s="1"/>
  <c r="AT50" i="150" s="1"/>
  <c r="AU50" i="150" s="1"/>
  <c r="AV50" i="150" s="1"/>
  <c r="AW50" i="150" s="1"/>
  <c r="AX50" i="150" s="1"/>
  <c r="AY50" i="150" s="1"/>
  <c r="AZ50" i="150" s="1"/>
  <c r="BA50" i="150" s="1"/>
  <c r="BB50" i="150" s="1"/>
  <c r="BC50" i="150" s="1"/>
  <c r="BD50" i="150" s="1"/>
  <c r="BE50" i="150" s="1"/>
  <c r="BF50" i="150" s="1"/>
  <c r="BG50" i="150" s="1"/>
  <c r="BH50" i="150" s="1"/>
  <c r="BI50" i="150" s="1"/>
  <c r="BJ50" i="150" s="1"/>
  <c r="BK50" i="150" s="1"/>
  <c r="AP5" i="150"/>
  <c r="AP56" i="150" s="1"/>
  <c r="AQ56" i="150" s="1"/>
  <c r="AR56" i="150" s="1"/>
  <c r="AS56" i="150" s="1"/>
  <c r="AT56" i="150" s="1"/>
  <c r="AU56" i="150" s="1"/>
  <c r="AV56" i="150" s="1"/>
  <c r="AW56" i="150" s="1"/>
  <c r="AX56" i="150" s="1"/>
  <c r="AY56" i="150" s="1"/>
  <c r="AZ56" i="150" s="1"/>
  <c r="BA56" i="150" s="1"/>
  <c r="BB56" i="150" s="1"/>
  <c r="BC56" i="150" s="1"/>
  <c r="BD56" i="150" s="1"/>
  <c r="BE56" i="150" s="1"/>
  <c r="BF56" i="150" s="1"/>
  <c r="BG56" i="150" s="1"/>
  <c r="BH56" i="150" s="1"/>
  <c r="BI56" i="150" s="1"/>
  <c r="BJ56" i="150" s="1"/>
  <c r="BK56" i="150" s="1"/>
  <c r="BL56" i="150" s="1"/>
  <c r="BM56" i="150" s="1"/>
  <c r="BN56" i="150" s="1"/>
  <c r="BO56" i="150" s="1"/>
  <c r="BP56" i="150" s="1"/>
  <c r="BQ56" i="150" s="1"/>
  <c r="BA7" i="150"/>
  <c r="E205" i="75"/>
  <c r="R291" i="77"/>
  <c r="R301" i="77" s="1"/>
  <c r="E171" i="75"/>
  <c r="R308" i="77"/>
  <c r="R309" i="77" s="1"/>
  <c r="Z40" i="150"/>
  <c r="AA40" i="150" s="1"/>
  <c r="AB40" i="150" s="1"/>
  <c r="AC40" i="150" s="1"/>
  <c r="AD40" i="150" s="1"/>
  <c r="AE40" i="150" s="1"/>
  <c r="AF40" i="150" s="1"/>
  <c r="AG40" i="150" s="1"/>
  <c r="AH40" i="150" s="1"/>
  <c r="AI40" i="150" s="1"/>
  <c r="AJ40" i="150" s="1"/>
  <c r="AK40" i="150" s="1"/>
  <c r="AL40" i="150" s="1"/>
  <c r="AM40" i="150" s="1"/>
  <c r="AN40" i="150" s="1"/>
  <c r="AO40" i="150" s="1"/>
  <c r="AP40" i="150" s="1"/>
  <c r="AQ40" i="150" s="1"/>
  <c r="AR40" i="150" s="1"/>
  <c r="AS40" i="150" s="1"/>
  <c r="AT40" i="150" s="1"/>
  <c r="AU40" i="150" s="1"/>
  <c r="AV40" i="150" s="1"/>
  <c r="AW40" i="150" s="1"/>
  <c r="AX40" i="150" s="1"/>
  <c r="AY40" i="150" s="1"/>
  <c r="AZ40" i="150" s="1"/>
  <c r="BA40" i="150" s="1"/>
  <c r="CE4" i="150"/>
  <c r="S258" i="77"/>
  <c r="CP4" i="150"/>
  <c r="CP11" i="150"/>
  <c r="AX27" i="75"/>
  <c r="AX33" i="75" s="1"/>
  <c r="CD4" i="150"/>
  <c r="AC43" i="150"/>
  <c r="AD43" i="150" s="1"/>
  <c r="AE43" i="150" s="1"/>
  <c r="AF43" i="150" s="1"/>
  <c r="AG43" i="150" s="1"/>
  <c r="AH43" i="150" s="1"/>
  <c r="AI43" i="150" s="1"/>
  <c r="AJ43" i="150" s="1"/>
  <c r="AK43" i="150" s="1"/>
  <c r="AL43" i="150" s="1"/>
  <c r="AM43" i="150" s="1"/>
  <c r="AN43" i="150" s="1"/>
  <c r="AO43" i="150" s="1"/>
  <c r="AP43" i="150" s="1"/>
  <c r="AQ43" i="150" s="1"/>
  <c r="AR43" i="150" s="1"/>
  <c r="AS43" i="150" s="1"/>
  <c r="AT43" i="150" s="1"/>
  <c r="AU43" i="150" s="1"/>
  <c r="AV43" i="150" s="1"/>
  <c r="AW43" i="150" s="1"/>
  <c r="AX43" i="150" s="1"/>
  <c r="AY43" i="150" s="1"/>
  <c r="AZ43" i="150" s="1"/>
  <c r="BA43" i="150" s="1"/>
  <c r="BB43" i="150" s="1"/>
  <c r="BC43" i="150" s="1"/>
  <c r="BD43" i="150" s="1"/>
  <c r="AF18" i="150"/>
  <c r="AG18" i="150" s="1"/>
  <c r="AH18" i="150" s="1"/>
  <c r="AI18" i="150" s="1"/>
  <c r="AJ18" i="150" s="1"/>
  <c r="AK18" i="150" s="1"/>
  <c r="AL18" i="150" s="1"/>
  <c r="AM18" i="150" s="1"/>
  <c r="AN18" i="150" s="1"/>
  <c r="AO18" i="150" s="1"/>
  <c r="AP18" i="150" s="1"/>
  <c r="AQ18" i="150" s="1"/>
  <c r="AQ5" i="150"/>
  <c r="BS57" i="150" s="1"/>
  <c r="BT57" i="150" s="1"/>
  <c r="BU57" i="150" s="1"/>
  <c r="BV57" i="150" s="1"/>
  <c r="BW57" i="150" s="1"/>
  <c r="BX57" i="150" s="1"/>
  <c r="BY57" i="150" s="1"/>
  <c r="CL11" i="150"/>
  <c r="AL7" i="150"/>
  <c r="AM25" i="150"/>
  <c r="AN25" i="150" s="1"/>
  <c r="AO25" i="150" s="1"/>
  <c r="AP25" i="150" s="1"/>
  <c r="AQ25" i="150" s="1"/>
  <c r="AR25" i="150" s="1"/>
  <c r="AS25" i="150" s="1"/>
  <c r="AT25" i="150" s="1"/>
  <c r="AU25" i="150" s="1"/>
  <c r="AV25" i="150" s="1"/>
  <c r="AW25" i="150" s="1"/>
  <c r="AX25" i="150" s="1"/>
  <c r="K25" i="150"/>
  <c r="L25" i="150" s="1"/>
  <c r="M25" i="150" s="1"/>
  <c r="N25" i="150" s="1"/>
  <c r="O25" i="150" s="1"/>
  <c r="P25" i="150" s="1"/>
  <c r="Q25" i="150" s="1"/>
  <c r="R25" i="150" s="1"/>
  <c r="S25" i="150" s="1"/>
  <c r="T25" i="150" s="1"/>
  <c r="U25" i="150" s="1"/>
  <c r="V25" i="150" s="1"/>
  <c r="W25" i="150" s="1"/>
  <c r="X25" i="150" s="1"/>
  <c r="Y25" i="150" s="1"/>
  <c r="Z25" i="150" s="1"/>
  <c r="AA25" i="150" s="1"/>
  <c r="AB25" i="150" s="1"/>
  <c r="AC25" i="150" s="1"/>
  <c r="AD25" i="150" s="1"/>
  <c r="AE25" i="150" s="1"/>
  <c r="AF25" i="150" s="1"/>
  <c r="AG25" i="150" s="1"/>
  <c r="AH25" i="150" s="1"/>
  <c r="AI25" i="150" s="1"/>
  <c r="AJ25" i="150" s="1"/>
  <c r="AK25" i="150" s="1"/>
  <c r="AL25" i="150" s="1"/>
  <c r="BG7" i="150"/>
  <c r="F20" i="150"/>
  <c r="G20" i="150" s="1"/>
  <c r="H20" i="150" s="1"/>
  <c r="I20" i="150" s="1"/>
  <c r="J20" i="150" s="1"/>
  <c r="K20" i="150" s="1"/>
  <c r="L20" i="150" s="1"/>
  <c r="M20" i="150" s="1"/>
  <c r="N20" i="150" s="1"/>
  <c r="O20" i="150" s="1"/>
  <c r="P20" i="150" s="1"/>
  <c r="Q20" i="150" s="1"/>
  <c r="R20" i="150" s="1"/>
  <c r="S20" i="150" s="1"/>
  <c r="T20" i="150" s="1"/>
  <c r="U20" i="150" s="1"/>
  <c r="V20" i="150" s="1"/>
  <c r="W20" i="150" s="1"/>
  <c r="X20" i="150" s="1"/>
  <c r="Y20" i="150" s="1"/>
  <c r="Z20" i="150" s="1"/>
  <c r="AA20" i="150" s="1"/>
  <c r="AB20" i="150" s="1"/>
  <c r="AC20" i="150" s="1"/>
  <c r="AD20" i="150" s="1"/>
  <c r="AE20" i="150" s="1"/>
  <c r="AF20" i="150" s="1"/>
  <c r="AG20" i="150" s="1"/>
  <c r="AP28" i="150"/>
  <c r="AQ28" i="150" s="1"/>
  <c r="AR28" i="150" s="1"/>
  <c r="AS28" i="150" s="1"/>
  <c r="AT28" i="150" s="1"/>
  <c r="AU28" i="150" s="1"/>
  <c r="AV28" i="150" s="1"/>
  <c r="AW28" i="150" s="1"/>
  <c r="AX28" i="150" s="1"/>
  <c r="AY28" i="150" s="1"/>
  <c r="AZ28" i="150" s="1"/>
  <c r="BA28" i="150" s="1"/>
  <c r="CK4" i="150"/>
  <c r="BB155" i="150"/>
  <c r="BP4" i="150"/>
  <c r="BO4" i="150"/>
  <c r="BO7" i="150" s="1"/>
  <c r="U35" i="150"/>
  <c r="V35" i="150" s="1"/>
  <c r="W35" i="150" s="1"/>
  <c r="X35" i="150" s="1"/>
  <c r="Y35" i="150" s="1"/>
  <c r="Z35" i="150" s="1"/>
  <c r="AA35" i="150" s="1"/>
  <c r="AB35" i="150" s="1"/>
  <c r="AC35" i="150" s="1"/>
  <c r="AD35" i="150" s="1"/>
  <c r="AE35" i="150" s="1"/>
  <c r="AF35" i="150" s="1"/>
  <c r="AG35" i="150" s="1"/>
  <c r="AH35" i="150" s="1"/>
  <c r="AI35" i="150" s="1"/>
  <c r="AJ35" i="150" s="1"/>
  <c r="AK35" i="150" s="1"/>
  <c r="AL35" i="150" s="1"/>
  <c r="AM35" i="150" s="1"/>
  <c r="AN35" i="150" s="1"/>
  <c r="AO35" i="150" s="1"/>
  <c r="AP35" i="150" s="1"/>
  <c r="AQ35" i="150" s="1"/>
  <c r="AR35" i="150" s="1"/>
  <c r="AS35" i="150" s="1"/>
  <c r="AT35" i="150" s="1"/>
  <c r="AU35" i="150" s="1"/>
  <c r="AV35" i="150" s="1"/>
  <c r="BR4" i="150"/>
  <c r="BR7" i="150" s="1"/>
  <c r="CJ4" i="150"/>
  <c r="BA67" i="150"/>
  <c r="BB67" i="150" s="1"/>
  <c r="BC67" i="150" s="1"/>
  <c r="BD67" i="150" s="1"/>
  <c r="BE67" i="150" s="1"/>
  <c r="BF67" i="150" s="1"/>
  <c r="BG67" i="150" s="1"/>
  <c r="BH67" i="150" s="1"/>
  <c r="BI67" i="150" s="1"/>
  <c r="BJ67" i="150" s="1"/>
  <c r="BK67" i="150" s="1"/>
  <c r="BL67" i="150" s="1"/>
  <c r="BM67" i="150" s="1"/>
  <c r="BN67" i="150" s="1"/>
  <c r="BO67" i="150" s="1"/>
  <c r="BP67" i="150" s="1"/>
  <c r="BQ67" i="150" s="1"/>
  <c r="BR67" i="150" s="1"/>
  <c r="BS67" i="150" s="1"/>
  <c r="BT67" i="150" s="1"/>
  <c r="BU67" i="150" s="1"/>
  <c r="BV67" i="150" s="1"/>
  <c r="BW67" i="150" s="1"/>
  <c r="BX67" i="150" s="1"/>
  <c r="BY67" i="150" s="1"/>
  <c r="M181" i="75"/>
  <c r="BQ155" i="150"/>
  <c r="BQ157" i="150" s="1"/>
  <c r="BF7" i="150"/>
  <c r="M157" i="75"/>
  <c r="G78" i="163"/>
  <c r="S308" i="77"/>
  <c r="S309" i="77" s="1"/>
  <c r="N222" i="75"/>
  <c r="AK5" i="150"/>
  <c r="BM51" i="150" s="1"/>
  <c r="BN51" i="150" s="1"/>
  <c r="BO51" i="150" s="1"/>
  <c r="BP51" i="150" s="1"/>
  <c r="BQ51" i="150" s="1"/>
  <c r="BR51" i="150" s="1"/>
  <c r="BS51" i="150" s="1"/>
  <c r="BT51" i="150" s="1"/>
  <c r="BU51" i="150" s="1"/>
  <c r="BV51" i="150" s="1"/>
  <c r="BW51" i="150" s="1"/>
  <c r="BX51" i="150" s="1"/>
  <c r="AX7" i="150"/>
  <c r="AX5" i="150"/>
  <c r="AX8" i="150" s="1"/>
  <c r="BH7" i="150"/>
  <c r="AS7" i="150"/>
  <c r="AS5" i="150"/>
  <c r="AT27" i="75"/>
  <c r="AT29" i="75" s="1"/>
  <c r="AE5" i="150"/>
  <c r="BG45" i="150" s="1"/>
  <c r="BH45" i="150" s="1"/>
  <c r="BI45" i="150" s="1"/>
  <c r="BJ45" i="150" s="1"/>
  <c r="BK45" i="150" s="1"/>
  <c r="BL45" i="150" s="1"/>
  <c r="BM45" i="150" s="1"/>
  <c r="BN45" i="150" s="1"/>
  <c r="BO45" i="150" s="1"/>
  <c r="BP45" i="150" s="1"/>
  <c r="BQ45" i="150" s="1"/>
  <c r="BR45" i="150" s="1"/>
  <c r="AM7" i="150"/>
  <c r="AM5" i="150"/>
  <c r="F31" i="75"/>
  <c r="AT7" i="150"/>
  <c r="AT5" i="150"/>
  <c r="BV60" i="150" s="1"/>
  <c r="BW60" i="150" s="1"/>
  <c r="BX60" i="150" s="1"/>
  <c r="BY60" i="150" s="1"/>
  <c r="AF5" i="150"/>
  <c r="BH46" i="150" s="1"/>
  <c r="BI46" i="150" s="1"/>
  <c r="BJ46" i="150" s="1"/>
  <c r="BK46" i="150" s="1"/>
  <c r="BL46" i="150" s="1"/>
  <c r="BM46" i="150" s="1"/>
  <c r="BN46" i="150" s="1"/>
  <c r="BO46" i="150" s="1"/>
  <c r="BP46" i="150" s="1"/>
  <c r="BQ46" i="150" s="1"/>
  <c r="BR46" i="150" s="1"/>
  <c r="BS46" i="150" s="1"/>
  <c r="L5" i="150"/>
  <c r="AN26" i="150" s="1"/>
  <c r="AO26" i="150" s="1"/>
  <c r="AP26" i="150" s="1"/>
  <c r="AQ26" i="150" s="1"/>
  <c r="AR26" i="150" s="1"/>
  <c r="AS26" i="150" s="1"/>
  <c r="AT26" i="150" s="1"/>
  <c r="AU26" i="150" s="1"/>
  <c r="AV26" i="150" s="1"/>
  <c r="AW26" i="150" s="1"/>
  <c r="AX26" i="150" s="1"/>
  <c r="AY26" i="150" s="1"/>
  <c r="AI5" i="150"/>
  <c r="BK49" i="150" s="1"/>
  <c r="BL49" i="150" s="1"/>
  <c r="BM49" i="150" s="1"/>
  <c r="BN49" i="150" s="1"/>
  <c r="BO49" i="150" s="1"/>
  <c r="BP49" i="150" s="1"/>
  <c r="BQ49" i="150" s="1"/>
  <c r="BR49" i="150" s="1"/>
  <c r="BS49" i="150" s="1"/>
  <c r="BT49" i="150" s="1"/>
  <c r="BU49" i="150" s="1"/>
  <c r="BV49" i="150" s="1"/>
  <c r="AP100" i="150"/>
  <c r="BD5" i="150"/>
  <c r="BD8" i="150" s="1"/>
  <c r="BD7" i="150"/>
  <c r="W5" i="150"/>
  <c r="AY37" i="150" s="1"/>
  <c r="AZ37" i="150" s="1"/>
  <c r="BA37" i="150" s="1"/>
  <c r="BB37" i="150" s="1"/>
  <c r="BC37" i="150" s="1"/>
  <c r="BD37" i="150" s="1"/>
  <c r="BE37" i="150" s="1"/>
  <c r="BF37" i="150" s="1"/>
  <c r="BG37" i="150" s="1"/>
  <c r="BH37" i="150" s="1"/>
  <c r="BI37" i="150" s="1"/>
  <c r="BJ37" i="150" s="1"/>
  <c r="AR5" i="150"/>
  <c r="BT58" i="150" s="1"/>
  <c r="BU58" i="150" s="1"/>
  <c r="BV58" i="150" s="1"/>
  <c r="BW58" i="150" s="1"/>
  <c r="BX58" i="150" s="1"/>
  <c r="BY58" i="150" s="1"/>
  <c r="AN5" i="150"/>
  <c r="BP54" i="150" s="1"/>
  <c r="BQ54" i="150" s="1"/>
  <c r="BR54" i="150" s="1"/>
  <c r="BS54" i="150" s="1"/>
  <c r="BT54" i="150" s="1"/>
  <c r="BU54" i="150" s="1"/>
  <c r="BV54" i="150" s="1"/>
  <c r="BW54" i="150" s="1"/>
  <c r="BX54" i="150" s="1"/>
  <c r="BY54" i="150" s="1"/>
  <c r="AG5" i="150"/>
  <c r="BI47" i="150" s="1"/>
  <c r="BJ47" i="150" s="1"/>
  <c r="BK47" i="150" s="1"/>
  <c r="BL47" i="150" s="1"/>
  <c r="BM47" i="150" s="1"/>
  <c r="BN47" i="150" s="1"/>
  <c r="BO47" i="150" s="1"/>
  <c r="BP47" i="150" s="1"/>
  <c r="BQ47" i="150" s="1"/>
  <c r="BR47" i="150" s="1"/>
  <c r="BS47" i="150" s="1"/>
  <c r="BT47" i="150" s="1"/>
  <c r="CO4" i="150"/>
  <c r="L181" i="75"/>
  <c r="F62" i="164" s="1"/>
  <c r="CN4" i="150"/>
  <c r="BE7" i="150"/>
  <c r="BE5" i="150"/>
  <c r="BE71" i="150" s="1"/>
  <c r="BF71" i="150" s="1"/>
  <c r="BG71" i="150" s="1"/>
  <c r="BH71" i="150" s="1"/>
  <c r="BI71" i="150" s="1"/>
  <c r="BJ71" i="150" s="1"/>
  <c r="BK71" i="150" s="1"/>
  <c r="BL71" i="150" s="1"/>
  <c r="BM71" i="150" s="1"/>
  <c r="BN71" i="150" s="1"/>
  <c r="BO71" i="150" s="1"/>
  <c r="BP71" i="150" s="1"/>
  <c r="BQ71" i="150" s="1"/>
  <c r="BR71" i="150" s="1"/>
  <c r="BS71" i="150" s="1"/>
  <c r="BT71" i="150" s="1"/>
  <c r="BU71" i="150" s="1"/>
  <c r="BV71" i="150" s="1"/>
  <c r="BW71" i="150" s="1"/>
  <c r="BX71" i="150" s="1"/>
  <c r="BY71" i="150" s="1"/>
  <c r="O5" i="150"/>
  <c r="AQ29" i="150" s="1"/>
  <c r="AR29" i="150" s="1"/>
  <c r="AS29" i="150" s="1"/>
  <c r="AT29" i="150" s="1"/>
  <c r="AU29" i="150" s="1"/>
  <c r="AV29" i="150" s="1"/>
  <c r="AW29" i="150" s="1"/>
  <c r="AX29" i="150" s="1"/>
  <c r="AY29" i="150" s="1"/>
  <c r="AZ29" i="150" s="1"/>
  <c r="BA29" i="150" s="1"/>
  <c r="BB29" i="150" s="1"/>
  <c r="S291" i="77"/>
  <c r="S301" i="77" s="1"/>
  <c r="CL4" i="150"/>
  <c r="CM4" i="150"/>
  <c r="CG4" i="150"/>
  <c r="BO155" i="150"/>
  <c r="BO157" i="150" s="1"/>
  <c r="BI155" i="150"/>
  <c r="BI157" i="150" s="1"/>
  <c r="BC155" i="150"/>
  <c r="S268" i="77"/>
  <c r="BC41" i="150"/>
  <c r="BD41" i="150" s="1"/>
  <c r="BE41" i="150" s="1"/>
  <c r="BF41" i="150" s="1"/>
  <c r="BG41" i="150" s="1"/>
  <c r="BH41" i="150" s="1"/>
  <c r="BI41" i="150" s="1"/>
  <c r="BJ41" i="150" s="1"/>
  <c r="BK41" i="150" s="1"/>
  <c r="BL41" i="150" s="1"/>
  <c r="BM41" i="150" s="1"/>
  <c r="BN41" i="150" s="1"/>
  <c r="AA41" i="150"/>
  <c r="AB41" i="150" s="1"/>
  <c r="AC41" i="150" s="1"/>
  <c r="AD41" i="150" s="1"/>
  <c r="AE41" i="150" s="1"/>
  <c r="AF41" i="150" s="1"/>
  <c r="AG41" i="150" s="1"/>
  <c r="AH41" i="150" s="1"/>
  <c r="AI41" i="150" s="1"/>
  <c r="AJ41" i="150" s="1"/>
  <c r="AK41" i="150" s="1"/>
  <c r="AL41" i="150" s="1"/>
  <c r="AM41" i="150" s="1"/>
  <c r="AN41" i="150" s="1"/>
  <c r="AO41" i="150" s="1"/>
  <c r="AP41" i="150" s="1"/>
  <c r="AQ41" i="150" s="1"/>
  <c r="AR41" i="150" s="1"/>
  <c r="AS41" i="150" s="1"/>
  <c r="AT41" i="150" s="1"/>
  <c r="AU41" i="150" s="1"/>
  <c r="AV41" i="150" s="1"/>
  <c r="AW41" i="150" s="1"/>
  <c r="AX41" i="150" s="1"/>
  <c r="AY41" i="150" s="1"/>
  <c r="AZ41" i="150" s="1"/>
  <c r="BA41" i="150" s="1"/>
  <c r="BB41" i="150" s="1"/>
  <c r="Y5" i="150"/>
  <c r="BA39" i="150" s="1"/>
  <c r="BB39" i="150" s="1"/>
  <c r="BC39" i="150" s="1"/>
  <c r="BD39" i="150" s="1"/>
  <c r="BE39" i="150" s="1"/>
  <c r="BF39" i="150" s="1"/>
  <c r="BG39" i="150" s="1"/>
  <c r="BH39" i="150" s="1"/>
  <c r="BI39" i="150" s="1"/>
  <c r="BJ39" i="150" s="1"/>
  <c r="BK39" i="150" s="1"/>
  <c r="BL39" i="150" s="1"/>
  <c r="BF44" i="150"/>
  <c r="BG44" i="150" s="1"/>
  <c r="BH44" i="150" s="1"/>
  <c r="BI44" i="150" s="1"/>
  <c r="BJ44" i="150" s="1"/>
  <c r="BK44" i="150" s="1"/>
  <c r="BL44" i="150" s="1"/>
  <c r="BM44" i="150" s="1"/>
  <c r="BN44" i="150" s="1"/>
  <c r="BO44" i="150" s="1"/>
  <c r="BP44" i="150" s="1"/>
  <c r="BQ44" i="150" s="1"/>
  <c r="AD44" i="150"/>
  <c r="AE44" i="150" s="1"/>
  <c r="AF44" i="150" s="1"/>
  <c r="AG44" i="150" s="1"/>
  <c r="AH44" i="150" s="1"/>
  <c r="AI44" i="150" s="1"/>
  <c r="AJ44" i="150" s="1"/>
  <c r="AK44" i="150" s="1"/>
  <c r="AL44" i="150" s="1"/>
  <c r="AM44" i="150" s="1"/>
  <c r="AN44" i="150" s="1"/>
  <c r="AO44" i="150" s="1"/>
  <c r="AP44" i="150" s="1"/>
  <c r="AQ44" i="150" s="1"/>
  <c r="AR44" i="150" s="1"/>
  <c r="AS44" i="150" s="1"/>
  <c r="AT44" i="150" s="1"/>
  <c r="AU44" i="150" s="1"/>
  <c r="AV44" i="150" s="1"/>
  <c r="AW44" i="150" s="1"/>
  <c r="AX44" i="150" s="1"/>
  <c r="AY44" i="150" s="1"/>
  <c r="AZ44" i="150" s="1"/>
  <c r="BA44" i="150" s="1"/>
  <c r="BB44" i="150" s="1"/>
  <c r="BC44" i="150" s="1"/>
  <c r="BD44" i="150" s="1"/>
  <c r="BE44" i="150" s="1"/>
  <c r="AO27" i="150"/>
  <c r="AP27" i="150" s="1"/>
  <c r="AQ27" i="150" s="1"/>
  <c r="AR27" i="150" s="1"/>
  <c r="AS27" i="150" s="1"/>
  <c r="AT27" i="150" s="1"/>
  <c r="AU27" i="150" s="1"/>
  <c r="AV27" i="150" s="1"/>
  <c r="AW27" i="150" s="1"/>
  <c r="AX27" i="150" s="1"/>
  <c r="AY27" i="150" s="1"/>
  <c r="AZ27" i="150" s="1"/>
  <c r="M27" i="150"/>
  <c r="N27" i="150" s="1"/>
  <c r="O27" i="150" s="1"/>
  <c r="P27" i="150" s="1"/>
  <c r="Q27" i="150" s="1"/>
  <c r="R27" i="150" s="1"/>
  <c r="S27" i="150" s="1"/>
  <c r="T27" i="150" s="1"/>
  <c r="U27" i="150" s="1"/>
  <c r="V27" i="150" s="1"/>
  <c r="W27" i="150" s="1"/>
  <c r="X27" i="150" s="1"/>
  <c r="Y27" i="150" s="1"/>
  <c r="Z27" i="150" s="1"/>
  <c r="AA27" i="150" s="1"/>
  <c r="AB27" i="150" s="1"/>
  <c r="AC27" i="150" s="1"/>
  <c r="AD27" i="150" s="1"/>
  <c r="AE27" i="150" s="1"/>
  <c r="AF27" i="150" s="1"/>
  <c r="AG27" i="150" s="1"/>
  <c r="AH27" i="150" s="1"/>
  <c r="AI27" i="150" s="1"/>
  <c r="AJ27" i="150" s="1"/>
  <c r="AK27" i="150" s="1"/>
  <c r="AL27" i="150" s="1"/>
  <c r="AM27" i="150" s="1"/>
  <c r="AN27" i="150" s="1"/>
  <c r="AO7" i="150"/>
  <c r="AO5" i="150"/>
  <c r="AO55" i="150" s="1"/>
  <c r="AP55" i="150" s="1"/>
  <c r="AQ55" i="150" s="1"/>
  <c r="AR55" i="150" s="1"/>
  <c r="AS55" i="150" s="1"/>
  <c r="AT55" i="150" s="1"/>
  <c r="AU55" i="150" s="1"/>
  <c r="AV55" i="150" s="1"/>
  <c r="AW55" i="150" s="1"/>
  <c r="AX55" i="150" s="1"/>
  <c r="AY55" i="150" s="1"/>
  <c r="AZ55" i="150" s="1"/>
  <c r="BA55" i="150" s="1"/>
  <c r="BB55" i="150" s="1"/>
  <c r="BC55" i="150" s="1"/>
  <c r="BD55" i="150" s="1"/>
  <c r="BE55" i="150" s="1"/>
  <c r="BF55" i="150" s="1"/>
  <c r="BG55" i="150" s="1"/>
  <c r="BH55" i="150" s="1"/>
  <c r="BI55" i="150" s="1"/>
  <c r="BJ55" i="150" s="1"/>
  <c r="BK55" i="150" s="1"/>
  <c r="BL55" i="150" s="1"/>
  <c r="BM55" i="150" s="1"/>
  <c r="BN55" i="150" s="1"/>
  <c r="BO55" i="150" s="1"/>
  <c r="BP55" i="150" s="1"/>
  <c r="AZ7" i="150"/>
  <c r="AZ5" i="150"/>
  <c r="AZ8" i="150" s="1"/>
  <c r="I23" i="150"/>
  <c r="J23" i="150" s="1"/>
  <c r="K23" i="150" s="1"/>
  <c r="L23" i="150" s="1"/>
  <c r="M23" i="150" s="1"/>
  <c r="N23" i="150" s="1"/>
  <c r="O23" i="150" s="1"/>
  <c r="P23" i="150" s="1"/>
  <c r="Q23" i="150" s="1"/>
  <c r="R23" i="150" s="1"/>
  <c r="S23" i="150" s="1"/>
  <c r="T23" i="150" s="1"/>
  <c r="U23" i="150" s="1"/>
  <c r="V23" i="150" s="1"/>
  <c r="W23" i="150" s="1"/>
  <c r="X23" i="150" s="1"/>
  <c r="Y23" i="150" s="1"/>
  <c r="Z23" i="150" s="1"/>
  <c r="AA23" i="150" s="1"/>
  <c r="AB23" i="150" s="1"/>
  <c r="AC23" i="150" s="1"/>
  <c r="AD23" i="150" s="1"/>
  <c r="AE23" i="150" s="1"/>
  <c r="AF23" i="150" s="1"/>
  <c r="AG23" i="150" s="1"/>
  <c r="AH23" i="150" s="1"/>
  <c r="AI23" i="150" s="1"/>
  <c r="AJ23" i="150" s="1"/>
  <c r="AK23" i="150"/>
  <c r="AL23" i="150" s="1"/>
  <c r="AM23" i="150" s="1"/>
  <c r="AN23" i="150" s="1"/>
  <c r="AO23" i="150" s="1"/>
  <c r="AP23" i="150" s="1"/>
  <c r="AQ23" i="150" s="1"/>
  <c r="AR23" i="150" s="1"/>
  <c r="AS23" i="150" s="1"/>
  <c r="AT23" i="150" s="1"/>
  <c r="AU23" i="150" s="1"/>
  <c r="AV23" i="150" s="1"/>
  <c r="J24" i="150"/>
  <c r="K24" i="150" s="1"/>
  <c r="L24" i="150" s="1"/>
  <c r="M24" i="150" s="1"/>
  <c r="N24" i="150" s="1"/>
  <c r="O24" i="150" s="1"/>
  <c r="P24" i="150" s="1"/>
  <c r="Q24" i="150" s="1"/>
  <c r="R24" i="150" s="1"/>
  <c r="S24" i="150" s="1"/>
  <c r="T24" i="150" s="1"/>
  <c r="U24" i="150" s="1"/>
  <c r="V24" i="150" s="1"/>
  <c r="W24" i="150" s="1"/>
  <c r="X24" i="150" s="1"/>
  <c r="Y24" i="150" s="1"/>
  <c r="Z24" i="150" s="1"/>
  <c r="AA24" i="150" s="1"/>
  <c r="AB24" i="150" s="1"/>
  <c r="AC24" i="150" s="1"/>
  <c r="AD24" i="150" s="1"/>
  <c r="AE24" i="150" s="1"/>
  <c r="AF24" i="150" s="1"/>
  <c r="AG24" i="150" s="1"/>
  <c r="AH24" i="150" s="1"/>
  <c r="AI24" i="150" s="1"/>
  <c r="AJ24" i="150" s="1"/>
  <c r="AK24" i="150" s="1"/>
  <c r="AL24" i="150"/>
  <c r="AM24" i="150" s="1"/>
  <c r="AN24" i="150" s="1"/>
  <c r="AO24" i="150" s="1"/>
  <c r="AP24" i="150" s="1"/>
  <c r="AQ24" i="150" s="1"/>
  <c r="AR24" i="150" s="1"/>
  <c r="AS24" i="150" s="1"/>
  <c r="AT24" i="150" s="1"/>
  <c r="AU24" i="150" s="1"/>
  <c r="AV24" i="150" s="1"/>
  <c r="AW24" i="150" s="1"/>
  <c r="CK11" i="150"/>
  <c r="E19" i="150"/>
  <c r="F19" i="150" s="1"/>
  <c r="G19" i="150" s="1"/>
  <c r="H19" i="150" s="1"/>
  <c r="I19" i="150" s="1"/>
  <c r="J19" i="150" s="1"/>
  <c r="K19" i="150" s="1"/>
  <c r="L19" i="150" s="1"/>
  <c r="M19" i="150" s="1"/>
  <c r="N19" i="150" s="1"/>
  <c r="O19" i="150" s="1"/>
  <c r="P19" i="150" s="1"/>
  <c r="Q19" i="150" s="1"/>
  <c r="R19" i="150" s="1"/>
  <c r="S19" i="150" s="1"/>
  <c r="T19" i="150" s="1"/>
  <c r="U19" i="150" s="1"/>
  <c r="V19" i="150" s="1"/>
  <c r="W19" i="150" s="1"/>
  <c r="X19" i="150" s="1"/>
  <c r="Y19" i="150" s="1"/>
  <c r="Z19" i="150" s="1"/>
  <c r="AA19" i="150" s="1"/>
  <c r="AB19" i="150" s="1"/>
  <c r="AC19" i="150" s="1"/>
  <c r="AD19" i="150" s="1"/>
  <c r="AE19" i="150" s="1"/>
  <c r="AF19" i="150" s="1"/>
  <c r="S33" i="150"/>
  <c r="T33" i="150" s="1"/>
  <c r="U33" i="150" s="1"/>
  <c r="V33" i="150" s="1"/>
  <c r="W33" i="150" s="1"/>
  <c r="X33" i="150" s="1"/>
  <c r="Y33" i="150" s="1"/>
  <c r="Z33" i="150" s="1"/>
  <c r="AA33" i="150" s="1"/>
  <c r="AB33" i="150" s="1"/>
  <c r="AC33" i="150" s="1"/>
  <c r="AD33" i="150" s="1"/>
  <c r="AE33" i="150" s="1"/>
  <c r="AF33" i="150" s="1"/>
  <c r="AG33" i="150" s="1"/>
  <c r="AH33" i="150" s="1"/>
  <c r="AI33" i="150" s="1"/>
  <c r="AJ33" i="150" s="1"/>
  <c r="AK33" i="150" s="1"/>
  <c r="AL33" i="150" s="1"/>
  <c r="AM33" i="150" s="1"/>
  <c r="AN33" i="150" s="1"/>
  <c r="AO33" i="150" s="1"/>
  <c r="AP33" i="150" s="1"/>
  <c r="AQ33" i="150" s="1"/>
  <c r="AR33" i="150" s="1"/>
  <c r="AS33" i="150" s="1"/>
  <c r="AT33" i="150" s="1"/>
  <c r="AL8" i="150"/>
  <c r="BN52" i="150"/>
  <c r="BO52" i="150" s="1"/>
  <c r="BP52" i="150" s="1"/>
  <c r="BQ52" i="150" s="1"/>
  <c r="BR52" i="150" s="1"/>
  <c r="BS52" i="150" s="1"/>
  <c r="BT52" i="150" s="1"/>
  <c r="BU52" i="150" s="1"/>
  <c r="BV52" i="150" s="1"/>
  <c r="BW52" i="150" s="1"/>
  <c r="BX52" i="150" s="1"/>
  <c r="BY52" i="150" s="1"/>
  <c r="AL52" i="150"/>
  <c r="AM52" i="150" s="1"/>
  <c r="AN52" i="150" s="1"/>
  <c r="AO52" i="150" s="1"/>
  <c r="AP52" i="150" s="1"/>
  <c r="AQ52" i="150" s="1"/>
  <c r="AR52" i="150" s="1"/>
  <c r="AS52" i="150" s="1"/>
  <c r="AT52" i="150" s="1"/>
  <c r="AU52" i="150" s="1"/>
  <c r="AV52" i="150" s="1"/>
  <c r="AW52" i="150" s="1"/>
  <c r="AX52" i="150" s="1"/>
  <c r="AY52" i="150" s="1"/>
  <c r="AZ52" i="150" s="1"/>
  <c r="BA52" i="150" s="1"/>
  <c r="BB52" i="150" s="1"/>
  <c r="BC52" i="150" s="1"/>
  <c r="BD52" i="150" s="1"/>
  <c r="BE52" i="150" s="1"/>
  <c r="BF52" i="150" s="1"/>
  <c r="BG52" i="150" s="1"/>
  <c r="BH52" i="150" s="1"/>
  <c r="BI52" i="150" s="1"/>
  <c r="BJ52" i="150" s="1"/>
  <c r="BK52" i="150" s="1"/>
  <c r="BL52" i="150" s="1"/>
  <c r="BM52" i="150" s="1"/>
  <c r="R5" i="150"/>
  <c r="AT32" i="150" s="1"/>
  <c r="AU32" i="150" s="1"/>
  <c r="AV32" i="150" s="1"/>
  <c r="AW32" i="150" s="1"/>
  <c r="AX32" i="150" s="1"/>
  <c r="AY32" i="150" s="1"/>
  <c r="AZ32" i="150" s="1"/>
  <c r="P5" i="150"/>
  <c r="AR30" i="150" s="1"/>
  <c r="AS30" i="150" s="1"/>
  <c r="AT30" i="150" s="1"/>
  <c r="AU30" i="150" s="1"/>
  <c r="AV30" i="150" s="1"/>
  <c r="AW30" i="150" s="1"/>
  <c r="AX30" i="150" s="1"/>
  <c r="AY30" i="150" s="1"/>
  <c r="AZ30" i="150" s="1"/>
  <c r="BA30" i="150" s="1"/>
  <c r="BB30" i="150" s="1"/>
  <c r="BC30" i="150" s="1"/>
  <c r="R258" i="77"/>
  <c r="R268" i="77"/>
  <c r="Q31" i="150"/>
  <c r="R31" i="150" s="1"/>
  <c r="S31" i="150" s="1"/>
  <c r="T31" i="150" s="1"/>
  <c r="U31" i="150" s="1"/>
  <c r="V31" i="150" s="1"/>
  <c r="W31" i="150" s="1"/>
  <c r="X31" i="150" s="1"/>
  <c r="Y31" i="150" s="1"/>
  <c r="Z31" i="150" s="1"/>
  <c r="AA31" i="150" s="1"/>
  <c r="AB31" i="150" s="1"/>
  <c r="AC31" i="150" s="1"/>
  <c r="AD31" i="150" s="1"/>
  <c r="AE31" i="150" s="1"/>
  <c r="AF31" i="150" s="1"/>
  <c r="AG31" i="150" s="1"/>
  <c r="AH31" i="150" s="1"/>
  <c r="AI31" i="150" s="1"/>
  <c r="AJ31" i="150" s="1"/>
  <c r="AK31" i="150" s="1"/>
  <c r="AL31" i="150" s="1"/>
  <c r="AM31" i="150" s="1"/>
  <c r="AN31" i="150" s="1"/>
  <c r="AO31" i="150" s="1"/>
  <c r="AP31" i="150" s="1"/>
  <c r="AQ31" i="150" s="1"/>
  <c r="AR31" i="150" s="1"/>
  <c r="V36" i="150"/>
  <c r="W36" i="150" s="1"/>
  <c r="X36" i="150" s="1"/>
  <c r="Y36" i="150" s="1"/>
  <c r="Z36" i="150" s="1"/>
  <c r="AA36" i="150" s="1"/>
  <c r="AB36" i="150" s="1"/>
  <c r="AC36" i="150" s="1"/>
  <c r="AD36" i="150" s="1"/>
  <c r="AE36" i="150" s="1"/>
  <c r="AF36" i="150" s="1"/>
  <c r="AG36" i="150" s="1"/>
  <c r="AH36" i="150" s="1"/>
  <c r="AI36" i="150" s="1"/>
  <c r="AJ36" i="150" s="1"/>
  <c r="AK36" i="150" s="1"/>
  <c r="AL36" i="150" s="1"/>
  <c r="AM36" i="150" s="1"/>
  <c r="AN36" i="150" s="1"/>
  <c r="AO36" i="150" s="1"/>
  <c r="AP36" i="150" s="1"/>
  <c r="AQ36" i="150" s="1"/>
  <c r="AR36" i="150" s="1"/>
  <c r="AS36" i="150" s="1"/>
  <c r="AT36" i="150" s="1"/>
  <c r="AU36" i="150" s="1"/>
  <c r="AV36" i="150" s="1"/>
  <c r="AW36" i="150" s="1"/>
  <c r="T34" i="150"/>
  <c r="U34" i="150" s="1"/>
  <c r="V34" i="150" s="1"/>
  <c r="W34" i="150" s="1"/>
  <c r="X34" i="150" s="1"/>
  <c r="Y34" i="150" s="1"/>
  <c r="Z34" i="150" s="1"/>
  <c r="AA34" i="150" s="1"/>
  <c r="AB34" i="150" s="1"/>
  <c r="AC34" i="150" s="1"/>
  <c r="AD34" i="150" s="1"/>
  <c r="AE34" i="150" s="1"/>
  <c r="AF34" i="150" s="1"/>
  <c r="AG34" i="150" s="1"/>
  <c r="AH34" i="150" s="1"/>
  <c r="AI34" i="150" s="1"/>
  <c r="AJ34" i="150" s="1"/>
  <c r="AK34" i="150" s="1"/>
  <c r="AL34" i="150" s="1"/>
  <c r="AM34" i="150" s="1"/>
  <c r="AN34" i="150" s="1"/>
  <c r="AO34" i="150" s="1"/>
  <c r="AP34" i="150" s="1"/>
  <c r="AQ34" i="150" s="1"/>
  <c r="AR34" i="150" s="1"/>
  <c r="AS34" i="150" s="1"/>
  <c r="AT34" i="150" s="1"/>
  <c r="AU34" i="150" s="1"/>
  <c r="C5" i="150"/>
  <c r="AE17" i="150" s="1"/>
  <c r="AF17" i="150" s="1"/>
  <c r="AG17" i="150" s="1"/>
  <c r="AH17" i="150" s="1"/>
  <c r="AI17" i="150" s="1"/>
  <c r="AJ17" i="150" s="1"/>
  <c r="AK17" i="150" s="1"/>
  <c r="AL17" i="150" s="1"/>
  <c r="AM17" i="150" s="1"/>
  <c r="AN17" i="150" s="1"/>
  <c r="AO17" i="150" s="1"/>
  <c r="AP17" i="150" s="1"/>
  <c r="AW5" i="150"/>
  <c r="BY63" i="150" s="1"/>
  <c r="G21" i="150"/>
  <c r="H21" i="150" s="1"/>
  <c r="I21" i="150" s="1"/>
  <c r="J21" i="150" s="1"/>
  <c r="K21" i="150" s="1"/>
  <c r="L21" i="150" s="1"/>
  <c r="M21" i="150" s="1"/>
  <c r="N21" i="150" s="1"/>
  <c r="O21" i="150" s="1"/>
  <c r="P21" i="150" s="1"/>
  <c r="Q21" i="150" s="1"/>
  <c r="R21" i="150" s="1"/>
  <c r="S21" i="150" s="1"/>
  <c r="T21" i="150" s="1"/>
  <c r="U21" i="150" s="1"/>
  <c r="V21" i="150" s="1"/>
  <c r="W21" i="150" s="1"/>
  <c r="X21" i="150" s="1"/>
  <c r="Y21" i="150" s="1"/>
  <c r="Z21" i="150" s="1"/>
  <c r="AA21" i="150" s="1"/>
  <c r="AB21" i="150" s="1"/>
  <c r="AC21" i="150" s="1"/>
  <c r="AD21" i="150" s="1"/>
  <c r="AE21" i="150" s="1"/>
  <c r="AF21" i="150" s="1"/>
  <c r="AG21" i="150" s="1"/>
  <c r="AH21" i="150" s="1"/>
  <c r="CI4" i="150"/>
  <c r="N181" i="75"/>
  <c r="H62" i="164" s="1"/>
  <c r="AD16" i="150"/>
  <c r="AE16" i="150" s="1"/>
  <c r="AF16" i="150" s="1"/>
  <c r="BC5" i="150"/>
  <c r="CF4" i="150"/>
  <c r="AQ19" i="150"/>
  <c r="BH35" i="150"/>
  <c r="D114" i="164"/>
  <c r="AH48" i="150"/>
  <c r="AI48" i="150" s="1"/>
  <c r="AJ48" i="150" s="1"/>
  <c r="AK48" i="150" s="1"/>
  <c r="AL48" i="150" s="1"/>
  <c r="AM48" i="150" s="1"/>
  <c r="AN48" i="150" s="1"/>
  <c r="AO48" i="150" s="1"/>
  <c r="AP48" i="150" s="1"/>
  <c r="AQ48" i="150" s="1"/>
  <c r="AR48" i="150" s="1"/>
  <c r="AS48" i="150" s="1"/>
  <c r="AT48" i="150" s="1"/>
  <c r="AU48" i="150" s="1"/>
  <c r="AV48" i="150" s="1"/>
  <c r="AW48" i="150" s="1"/>
  <c r="AX48" i="150" s="1"/>
  <c r="AY48" i="150" s="1"/>
  <c r="AZ48" i="150" s="1"/>
  <c r="BA48" i="150" s="1"/>
  <c r="BB48" i="150" s="1"/>
  <c r="BC48" i="150" s="1"/>
  <c r="BD48" i="150" s="1"/>
  <c r="BE48" i="150" s="1"/>
  <c r="BF48" i="150" s="1"/>
  <c r="BG48" i="150" s="1"/>
  <c r="BH48" i="150" s="1"/>
  <c r="BI48" i="150" s="1"/>
  <c r="C16" i="150"/>
  <c r="X38" i="150"/>
  <c r="Y38" i="150" s="1"/>
  <c r="Z38" i="150" s="1"/>
  <c r="AA38" i="150" s="1"/>
  <c r="AB38" i="150" s="1"/>
  <c r="AC38" i="150" s="1"/>
  <c r="AD38" i="150" s="1"/>
  <c r="AE38" i="150" s="1"/>
  <c r="AF38" i="150" s="1"/>
  <c r="AG38" i="150" s="1"/>
  <c r="AH38" i="150" s="1"/>
  <c r="AI38" i="150" s="1"/>
  <c r="AJ38" i="150" s="1"/>
  <c r="AK38" i="150" s="1"/>
  <c r="AL38" i="150" s="1"/>
  <c r="AM38" i="150" s="1"/>
  <c r="AN38" i="150" s="1"/>
  <c r="AO38" i="150" s="1"/>
  <c r="AP38" i="150" s="1"/>
  <c r="AQ38" i="150" s="1"/>
  <c r="AR38" i="150" s="1"/>
  <c r="AS38" i="150" s="1"/>
  <c r="AT38" i="150" s="1"/>
  <c r="AU38" i="150" s="1"/>
  <c r="AV38" i="150" s="1"/>
  <c r="AW38" i="150" s="1"/>
  <c r="AX38" i="150" s="1"/>
  <c r="AY38" i="150" s="1"/>
  <c r="AZ38" i="150"/>
  <c r="BA38" i="150" s="1"/>
  <c r="BB38" i="150" s="1"/>
  <c r="BC38" i="150" s="1"/>
  <c r="BD38" i="150" s="1"/>
  <c r="BE38" i="150" s="1"/>
  <c r="BF38" i="150" s="1"/>
  <c r="BG38" i="150" s="1"/>
  <c r="BH38" i="150" s="1"/>
  <c r="BI38" i="150" s="1"/>
  <c r="BJ38" i="150" s="1"/>
  <c r="BK38" i="150" s="1"/>
  <c r="AJ22" i="150"/>
  <c r="AK22" i="150" s="1"/>
  <c r="AL22" i="150" s="1"/>
  <c r="AM22" i="150" s="1"/>
  <c r="AN22" i="150" s="1"/>
  <c r="AO22" i="150" s="1"/>
  <c r="AP22" i="150" s="1"/>
  <c r="AQ22" i="150" s="1"/>
  <c r="AR22" i="150" s="1"/>
  <c r="AS22" i="150" s="1"/>
  <c r="H22" i="150"/>
  <c r="I22" i="150" s="1"/>
  <c r="J22" i="150" s="1"/>
  <c r="K22" i="150" s="1"/>
  <c r="L22" i="150" s="1"/>
  <c r="M22" i="150" s="1"/>
  <c r="N22" i="150" s="1"/>
  <c r="O22" i="150" s="1"/>
  <c r="P22" i="150" s="1"/>
  <c r="Q22" i="150" s="1"/>
  <c r="R22" i="150" s="1"/>
  <c r="S22" i="150" s="1"/>
  <c r="T22" i="150" s="1"/>
  <c r="U22" i="150" s="1"/>
  <c r="V22" i="150" s="1"/>
  <c r="W22" i="150" s="1"/>
  <c r="X22" i="150" s="1"/>
  <c r="Y22" i="150" s="1"/>
  <c r="Z22" i="150" s="1"/>
  <c r="AA22" i="150" s="1"/>
  <c r="AB22" i="150" s="1"/>
  <c r="AC22" i="150" s="1"/>
  <c r="AD22" i="150" s="1"/>
  <c r="AE22" i="150" s="1"/>
  <c r="AF22" i="150" s="1"/>
  <c r="AG22" i="150" s="1"/>
  <c r="AH22" i="150" s="1"/>
  <c r="AI22" i="150" s="1"/>
  <c r="AU7" i="150"/>
  <c r="AU5" i="150"/>
  <c r="BW61" i="150" s="1"/>
  <c r="BX61" i="150" s="1"/>
  <c r="BY61" i="150" s="1"/>
  <c r="CM11" i="150"/>
  <c r="BB7" i="150"/>
  <c r="J181" i="75"/>
  <c r="D62" i="164" s="1"/>
  <c r="BB5" i="150"/>
  <c r="BB8" i="150" s="1"/>
  <c r="AB42" i="150"/>
  <c r="AC42" i="150" s="1"/>
  <c r="AD42" i="150" s="1"/>
  <c r="AE42" i="150" s="1"/>
  <c r="AF42" i="150" s="1"/>
  <c r="AG42" i="150" s="1"/>
  <c r="AH42" i="150" s="1"/>
  <c r="AI42" i="150" s="1"/>
  <c r="AJ42" i="150" s="1"/>
  <c r="AK42" i="150" s="1"/>
  <c r="AL42" i="150" s="1"/>
  <c r="AM42" i="150" s="1"/>
  <c r="AN42" i="150" s="1"/>
  <c r="AO42" i="150" s="1"/>
  <c r="AP42" i="150" s="1"/>
  <c r="AQ42" i="150" s="1"/>
  <c r="AR42" i="150" s="1"/>
  <c r="AS42" i="150" s="1"/>
  <c r="AT42" i="150" s="1"/>
  <c r="AU42" i="150" s="1"/>
  <c r="AV42" i="150" s="1"/>
  <c r="AW42" i="150" s="1"/>
  <c r="AX42" i="150" s="1"/>
  <c r="AY42" i="150" s="1"/>
  <c r="AZ42" i="150" s="1"/>
  <c r="BA42" i="150" s="1"/>
  <c r="BB42" i="150" s="1"/>
  <c r="BC42" i="150" s="1"/>
  <c r="CQ11" i="150"/>
  <c r="O181" i="75"/>
  <c r="CH4" i="150"/>
  <c r="BI5" i="150"/>
  <c r="BI7" i="150"/>
  <c r="AY5" i="150"/>
  <c r="AY8" i="150" s="1"/>
  <c r="BK155" i="150"/>
  <c r="BK157" i="150" s="1"/>
  <c r="BP155" i="150"/>
  <c r="BP157" i="150" s="1"/>
  <c r="BJ155" i="150"/>
  <c r="BJ157" i="150" s="1"/>
  <c r="BD155" i="150"/>
  <c r="BD157" i="150" s="1"/>
  <c r="P293" i="148"/>
  <c r="P286" i="148"/>
  <c r="K169" i="148"/>
  <c r="J190" i="148"/>
  <c r="M173" i="148"/>
  <c r="N173" i="148" s="1"/>
  <c r="O173" i="148" s="1"/>
  <c r="P173" i="148" s="1"/>
  <c r="Q173" i="148" s="1"/>
  <c r="N13" i="148"/>
  <c r="O12" i="148"/>
  <c r="N12" i="148"/>
  <c r="N288" i="148"/>
  <c r="R13" i="148"/>
  <c r="R33" i="148"/>
  <c r="R29" i="148" s="1"/>
  <c r="R290" i="148"/>
  <c r="R285" i="148"/>
  <c r="BD278" i="148"/>
  <c r="R288" i="148"/>
  <c r="AJ284" i="148"/>
  <c r="AF289" i="148"/>
  <c r="W212" i="148"/>
  <c r="N294" i="148"/>
  <c r="K95" i="148"/>
  <c r="L123" i="148"/>
  <c r="M123" i="148" s="1"/>
  <c r="N123" i="148" s="1"/>
  <c r="G167" i="148"/>
  <c r="G188" i="148" s="1"/>
  <c r="H188" i="148"/>
  <c r="N290" i="148"/>
  <c r="N276" i="148"/>
  <c r="AA284" i="148"/>
  <c r="BE279" i="148"/>
  <c r="BE289" i="148" s="1"/>
  <c r="W289" i="148"/>
  <c r="L287" i="148"/>
  <c r="L296" i="148"/>
  <c r="L297" i="148" s="1"/>
  <c r="L276" i="148"/>
  <c r="L293" i="148" s="1"/>
  <c r="AO100" i="150"/>
  <c r="AA51" i="148"/>
  <c r="AA210" i="148" s="1"/>
  <c r="AA56" i="148"/>
  <c r="AA215" i="148" s="1"/>
  <c r="AA24" i="148"/>
  <c r="AA174" i="148" s="1"/>
  <c r="BC11" i="148"/>
  <c r="BC289" i="148" s="1"/>
  <c r="J51" i="148"/>
  <c r="J55" i="148"/>
  <c r="J56" i="148"/>
  <c r="J54" i="148"/>
  <c r="K97" i="148"/>
  <c r="BB125" i="148"/>
  <c r="BG238" i="148"/>
  <c r="X282" i="148"/>
  <c r="BD277" i="148"/>
  <c r="N126" i="148"/>
  <c r="M98" i="148"/>
  <c r="BB98" i="148" s="1"/>
  <c r="AU100" i="150"/>
  <c r="Y13" i="148"/>
  <c r="AA283" i="148"/>
  <c r="BE278" i="148"/>
  <c r="BE283" i="148" s="1"/>
  <c r="AI284" i="148"/>
  <c r="AE276" i="148"/>
  <c r="AI281" i="148" s="1"/>
  <c r="AB18" i="148"/>
  <c r="AB33" i="148" s="1"/>
  <c r="AC12" i="148"/>
  <c r="AB12" i="148"/>
  <c r="V12" i="148"/>
  <c r="U13" i="148"/>
  <c r="U12" i="148"/>
  <c r="BE280" i="148"/>
  <c r="M55" i="148"/>
  <c r="P282" i="148"/>
  <c r="BC277" i="148"/>
  <c r="BC282" i="148" s="1"/>
  <c r="S125" i="148"/>
  <c r="R97" i="148"/>
  <c r="W58" i="148"/>
  <c r="O282" i="148"/>
  <c r="K296" i="148"/>
  <c r="K297" i="148" s="1"/>
  <c r="M18" i="148"/>
  <c r="M33" i="148" s="1"/>
  <c r="M29" i="148" s="1"/>
  <c r="M287" i="148"/>
  <c r="H24" i="164"/>
  <c r="Q287" i="148"/>
  <c r="Q17" i="148"/>
  <c r="Q24" i="148" s="1"/>
  <c r="Q174" i="148" s="1"/>
  <c r="W283" i="148"/>
  <c r="U18" i="148"/>
  <c r="U33" i="148" s="1"/>
  <c r="BH154" i="148"/>
  <c r="BE155" i="150"/>
  <c r="BE157" i="150" s="1"/>
  <c r="BF155" i="150"/>
  <c r="BF157" i="150" s="1"/>
  <c r="AH284" i="148"/>
  <c r="AD289" i="148"/>
  <c r="BG279" i="148"/>
  <c r="BG289" i="148" s="1"/>
  <c r="AI285" i="148"/>
  <c r="AE285" i="148"/>
  <c r="M168" i="148"/>
  <c r="L189" i="148"/>
  <c r="K289" i="148"/>
  <c r="K12" i="148"/>
  <c r="P17" i="148"/>
  <c r="Q289" i="148"/>
  <c r="U17" i="148"/>
  <c r="U48" i="148" s="1"/>
  <c r="AC283" i="148"/>
  <c r="Y283" i="148"/>
  <c r="AD290" i="148"/>
  <c r="AH285" i="148"/>
  <c r="BG12" i="148"/>
  <c r="U290" i="148"/>
  <c r="V293" i="148"/>
  <c r="W276" i="148"/>
  <c r="BB288" i="148"/>
  <c r="AZ278" i="148"/>
  <c r="AB26" i="148"/>
  <c r="U288" i="148"/>
  <c r="BD11" i="148"/>
  <c r="BD294" i="148" s="1"/>
  <c r="V282" i="148"/>
  <c r="R282" i="148"/>
  <c r="Y55" i="148"/>
  <c r="Y54" i="148"/>
  <c r="Y213" i="148" s="1"/>
  <c r="Y53" i="148"/>
  <c r="Y212" i="148" s="1"/>
  <c r="Y56" i="148"/>
  <c r="Y215" i="148" s="1"/>
  <c r="Y24" i="148"/>
  <c r="Y174" i="148" s="1"/>
  <c r="Y51" i="148"/>
  <c r="Y210" i="148" s="1"/>
  <c r="AB288" i="148"/>
  <c r="S282" i="148"/>
  <c r="J189" i="148"/>
  <c r="N285" i="148"/>
  <c r="P284" i="148"/>
  <c r="Q282" i="148"/>
  <c r="Q18" i="148"/>
  <c r="Q33" i="148" s="1"/>
  <c r="Q31" i="148" s="1"/>
  <c r="T17" i="148"/>
  <c r="T48" i="148" s="1"/>
  <c r="Y285" i="148"/>
  <c r="Z283" i="148"/>
  <c r="AA287" i="148"/>
  <c r="AB276" i="148"/>
  <c r="AB286" i="148" s="1"/>
  <c r="AF284" i="148"/>
  <c r="AB290" i="148"/>
  <c r="L285" i="148"/>
  <c r="BA279" i="148"/>
  <c r="AN107" i="150"/>
  <c r="AN109" i="150" s="1"/>
  <c r="AN11" i="150" s="1"/>
  <c r="AN12" i="150" s="1"/>
  <c r="L289" i="148"/>
  <c r="R283" i="148"/>
  <c r="S284" i="148"/>
  <c r="Q276" i="148"/>
  <c r="Q281" i="148" s="1"/>
  <c r="T12" i="148"/>
  <c r="Y282" i="148"/>
  <c r="AA282" i="148"/>
  <c r="W18" i="148"/>
  <c r="AA276" i="148"/>
  <c r="AE284" i="148"/>
  <c r="AB287" i="148"/>
  <c r="AC56" i="148"/>
  <c r="AD12" i="148"/>
  <c r="BL155" i="150"/>
  <c r="BL157" i="150" s="1"/>
  <c r="AC52" i="148"/>
  <c r="AC211" i="148" s="1"/>
  <c r="AE26" i="148"/>
  <c r="AS33" i="148"/>
  <c r="AS29" i="148" s="1"/>
  <c r="W213" i="148"/>
  <c r="BE25" i="148"/>
  <c r="G29" i="163" s="1"/>
  <c r="G4" i="164"/>
  <c r="G99" i="163" s="1"/>
  <c r="T31" i="148"/>
  <c r="M293" i="148"/>
  <c r="L99" i="148"/>
  <c r="M127" i="148"/>
  <c r="BB127" i="148" s="1"/>
  <c r="BE294" i="148"/>
  <c r="V30" i="148"/>
  <c r="R173" i="148"/>
  <c r="S173" i="148" s="1"/>
  <c r="T173" i="148" s="1"/>
  <c r="BF12" i="148"/>
  <c r="W64" i="148"/>
  <c r="H276" i="148"/>
  <c r="BC284" i="148"/>
  <c r="BA278" i="148"/>
  <c r="BB273" i="148"/>
  <c r="BB164" i="148"/>
  <c r="BB103" i="148"/>
  <c r="G170" i="148"/>
  <c r="F170" i="148" s="1"/>
  <c r="H191" i="148"/>
  <c r="L290" i="148"/>
  <c r="P285" i="148"/>
  <c r="P55" i="148"/>
  <c r="S51" i="148"/>
  <c r="V285" i="148"/>
  <c r="X290" i="148"/>
  <c r="AJ285" i="148"/>
  <c r="AF290" i="148"/>
  <c r="AF276" i="148"/>
  <c r="BG280" i="148"/>
  <c r="BG290" i="148" s="1"/>
  <c r="AF285" i="148"/>
  <c r="L282" i="148"/>
  <c r="Q284" i="148"/>
  <c r="M289" i="148"/>
  <c r="N18" i="148"/>
  <c r="N17" i="148"/>
  <c r="BN155" i="150"/>
  <c r="BN157" i="150" s="1"/>
  <c r="BN10" i="150" s="1"/>
  <c r="BM155" i="150"/>
  <c r="BM157" i="150" s="1"/>
  <c r="BH155" i="150"/>
  <c r="BH157" i="150" s="1"/>
  <c r="BG155" i="150"/>
  <c r="BG157" i="150" s="1"/>
  <c r="AH282" i="148"/>
  <c r="AD287" i="148"/>
  <c r="AJ33" i="148"/>
  <c r="AJ29" i="148" s="1"/>
  <c r="AN34" i="148"/>
  <c r="AR34" i="148" s="1"/>
  <c r="AV34" i="148" s="1"/>
  <c r="AM107" i="150"/>
  <c r="AM109" i="150" s="1"/>
  <c r="AM11" i="150" s="1"/>
  <c r="AM12" i="150" s="1"/>
  <c r="M155" i="148"/>
  <c r="BB155" i="148" s="1"/>
  <c r="BB166" i="148" s="1"/>
  <c r="O56" i="148"/>
  <c r="O215" i="148" s="1"/>
  <c r="O52" i="148"/>
  <c r="O49" i="148"/>
  <c r="O53" i="148"/>
  <c r="O54" i="148"/>
  <c r="O55" i="148"/>
  <c r="BF279" i="148"/>
  <c r="BF289" i="148" s="1"/>
  <c r="BE105" i="148"/>
  <c r="F168" i="148"/>
  <c r="K99" i="148"/>
  <c r="K167" i="148"/>
  <c r="J98" i="148"/>
  <c r="K126" i="148"/>
  <c r="M53" i="148"/>
  <c r="Z17" i="148"/>
  <c r="Z48" i="148" s="1"/>
  <c r="Z18" i="148"/>
  <c r="M171" i="148"/>
  <c r="N171" i="148" s="1"/>
  <c r="O171" i="148" s="1"/>
  <c r="P171" i="148" s="1"/>
  <c r="Q171" i="148" s="1"/>
  <c r="K288" i="148"/>
  <c r="K18" i="148"/>
  <c r="V284" i="148"/>
  <c r="R276" i="148"/>
  <c r="R289" i="148"/>
  <c r="X123" i="148"/>
  <c r="Y123" i="148" s="1"/>
  <c r="Z123" i="148" s="1"/>
  <c r="BB106" i="148"/>
  <c r="K191" i="148"/>
  <c r="J191" i="148"/>
  <c r="BB193" i="148"/>
  <c r="AZ238" i="148"/>
  <c r="AD276" i="148"/>
  <c r="N283" i="148"/>
  <c r="J276" i="148"/>
  <c r="K290" i="148"/>
  <c r="K17" i="148"/>
  <c r="K24" i="148" s="1"/>
  <c r="K174" i="148" s="1"/>
  <c r="O50" i="148"/>
  <c r="AB283" i="148"/>
  <c r="X288" i="148"/>
  <c r="AF283" i="148"/>
  <c r="BF278" i="148"/>
  <c r="N118" i="148"/>
  <c r="N88" i="148" s="1"/>
  <c r="U285" i="148"/>
  <c r="W282" i="148"/>
  <c r="Z284" i="148"/>
  <c r="AF282" i="148"/>
  <c r="N24" i="148"/>
  <c r="N174" i="148" s="1"/>
  <c r="O185" i="148" s="1"/>
  <c r="Q290" i="148"/>
  <c r="AA285" i="148"/>
  <c r="AB285" i="148"/>
  <c r="AD282" i="148"/>
  <c r="AA290" i="148"/>
  <c r="AA54" i="148"/>
  <c r="AA289" i="148"/>
  <c r="AB17" i="148"/>
  <c r="AC51" i="148"/>
  <c r="F96" i="164"/>
  <c r="F105" i="164" s="1"/>
  <c r="M288" i="148"/>
  <c r="T282" i="148"/>
  <c r="R17" i="148"/>
  <c r="R294" i="148"/>
  <c r="W284" i="148"/>
  <c r="AA55" i="148"/>
  <c r="AA53" i="148"/>
  <c r="AC53" i="148"/>
  <c r="AP277" i="148"/>
  <c r="BZ25" i="75" s="1"/>
  <c r="M290" i="148"/>
  <c r="R284" i="148"/>
  <c r="R287" i="148"/>
  <c r="S12" i="148"/>
  <c r="V283" i="148"/>
  <c r="X283" i="148"/>
  <c r="AD284" i="148"/>
  <c r="AA49" i="148"/>
  <c r="AC49" i="148"/>
  <c r="AF17" i="148"/>
  <c r="AF48" i="148" s="1"/>
  <c r="BD104" i="148"/>
  <c r="K117" i="148"/>
  <c r="O74" i="148"/>
  <c r="CU13" i="149"/>
  <c r="AB113" i="148"/>
  <c r="AB83" i="148" s="1"/>
  <c r="BB111" i="148"/>
  <c r="N75" i="148"/>
  <c r="M117" i="148"/>
  <c r="BB105" i="148"/>
  <c r="N94" i="148"/>
  <c r="BB108" i="148"/>
  <c r="Z79" i="148"/>
  <c r="BF109" i="148"/>
  <c r="BA21" i="148"/>
  <c r="P107" i="148"/>
  <c r="P77" i="148" s="1"/>
  <c r="J118" i="148"/>
  <c r="J231" i="148" s="1"/>
  <c r="P122" i="148"/>
  <c r="P94" i="148" s="1"/>
  <c r="O122" i="148"/>
  <c r="AQ106" i="150" s="1"/>
  <c r="AQ107" i="150" s="1"/>
  <c r="AQ109" i="150" s="1"/>
  <c r="AQ11" i="150" s="1"/>
  <c r="AQ12" i="150" s="1"/>
  <c r="BX15" i="149"/>
  <c r="J116" i="148"/>
  <c r="J86" i="148" s="1"/>
  <c r="L234" i="148"/>
  <c r="BV18" i="149"/>
  <c r="Q112" i="148" s="1"/>
  <c r="P110" i="148"/>
  <c r="P80" i="148" s="1"/>
  <c r="S137" i="77"/>
  <c r="BF27" i="75"/>
  <c r="BB27" i="75"/>
  <c r="G56" i="164"/>
  <c r="M104" i="164"/>
  <c r="M24" i="163" s="1"/>
  <c r="M32" i="163" s="1"/>
  <c r="O8" i="163"/>
  <c r="O32" i="163" s="1"/>
  <c r="N93" i="164"/>
  <c r="N102" i="164" s="1"/>
  <c r="N22" i="163" s="1"/>
  <c r="B24" i="163"/>
  <c r="B32" i="163" s="1"/>
  <c r="O6" i="163"/>
  <c r="H4" i="164"/>
  <c r="AG174" i="148"/>
  <c r="W208" i="148"/>
  <c r="R26" i="148"/>
  <c r="V215" i="148"/>
  <c r="W65" i="148"/>
  <c r="R30" i="148"/>
  <c r="W210" i="148"/>
  <c r="P30" i="148"/>
  <c r="G190" i="148"/>
  <c r="F169" i="148"/>
  <c r="L191" i="148"/>
  <c r="M170" i="148"/>
  <c r="BC3" i="148"/>
  <c r="B116" i="148"/>
  <c r="B20" i="148" s="1"/>
  <c r="K129" i="148"/>
  <c r="D96" i="164"/>
  <c r="D105" i="164" s="1"/>
  <c r="T13" i="148"/>
  <c r="C96" i="164"/>
  <c r="C105" i="164" s="1"/>
  <c r="P18" i="148"/>
  <c r="AD33" i="148"/>
  <c r="X18" i="148"/>
  <c r="X287" i="148"/>
  <c r="AM279" i="148"/>
  <c r="AQ279" i="148" s="1"/>
  <c r="AG211" i="148"/>
  <c r="AG210" i="148"/>
  <c r="X17" i="148"/>
  <c r="X48" i="148" s="1"/>
  <c r="X289" i="148"/>
  <c r="AD288" i="148"/>
  <c r="BH279" i="148"/>
  <c r="AG213" i="148"/>
  <c r="AD17" i="148"/>
  <c r="AD48" i="148" s="1"/>
  <c r="AG208" i="148"/>
  <c r="B74" i="148"/>
  <c r="K87" i="148"/>
  <c r="H163" i="148"/>
  <c r="BA163" i="148" s="1"/>
  <c r="BB110" i="148"/>
  <c r="CU15" i="149"/>
  <c r="BC105" i="148"/>
  <c r="AN278" i="148"/>
  <c r="AO283" i="148"/>
  <c r="AO278" i="148" s="1"/>
  <c r="AM278" i="148"/>
  <c r="BH277" i="148"/>
  <c r="D163" i="148"/>
  <c r="BB21" i="148"/>
  <c r="J24" i="148"/>
  <c r="J174" i="148" s="1"/>
  <c r="I81" i="148"/>
  <c r="BA81" i="148" s="1"/>
  <c r="I117" i="148"/>
  <c r="I237" i="148" s="1"/>
  <c r="C78" i="148"/>
  <c r="AZ108" i="148"/>
  <c r="C117" i="148"/>
  <c r="F74" i="148"/>
  <c r="F117" i="148"/>
  <c r="BV13" i="149"/>
  <c r="BW13" i="149" s="1"/>
  <c r="P106" i="148"/>
  <c r="Q77" i="148"/>
  <c r="BC77" i="148" s="1"/>
  <c r="Q117" i="148"/>
  <c r="BA107" i="148"/>
  <c r="J77" i="148"/>
  <c r="J117" i="148"/>
  <c r="BE109" i="148"/>
  <c r="D79" i="148"/>
  <c r="AZ109" i="148"/>
  <c r="N163" i="148"/>
  <c r="BC21" i="148"/>
  <c r="N117" i="148"/>
  <c r="N77" i="148"/>
  <c r="O79" i="148"/>
  <c r="BC109" i="148"/>
  <c r="O118" i="148"/>
  <c r="P163" i="148"/>
  <c r="BD109" i="148"/>
  <c r="S79" i="148"/>
  <c r="B117" i="148"/>
  <c r="B77" i="148"/>
  <c r="AZ107" i="148"/>
  <c r="H79" i="148"/>
  <c r="H118" i="148"/>
  <c r="H233" i="148" s="1"/>
  <c r="G75" i="148"/>
  <c r="G116" i="148"/>
  <c r="G86" i="148" s="1"/>
  <c r="K79" i="148"/>
  <c r="BB109" i="148"/>
  <c r="M80" i="148"/>
  <c r="BB80" i="148" s="1"/>
  <c r="M118" i="148"/>
  <c r="R163" i="148"/>
  <c r="BD21" i="148"/>
  <c r="R78" i="148"/>
  <c r="BD105" i="148"/>
  <c r="BB163" i="148"/>
  <c r="M116" i="148"/>
  <c r="M94" i="148"/>
  <c r="BB94" i="148" s="1"/>
  <c r="D25" i="164" s="1"/>
  <c r="AO106" i="150"/>
  <c r="AO107" i="150" s="1"/>
  <c r="AO109" i="150" s="1"/>
  <c r="AO11" i="150" s="1"/>
  <c r="AO12" i="150" s="1"/>
  <c r="BB122" i="148"/>
  <c r="P74" i="148"/>
  <c r="BC104" i="148"/>
  <c r="AD109" i="148"/>
  <c r="AD79" i="148" s="1"/>
  <c r="CJ16" i="149"/>
  <c r="AE109" i="148" s="1"/>
  <c r="AE79" i="148" s="1"/>
  <c r="BF105" i="148"/>
  <c r="AA75" i="148"/>
  <c r="AZ111" i="148"/>
  <c r="P75" i="148"/>
  <c r="BC108" i="148"/>
  <c r="G118" i="148"/>
  <c r="M82" i="148"/>
  <c r="BB82" i="148" s="1"/>
  <c r="CH19" i="149"/>
  <c r="CI19" i="149" s="1"/>
  <c r="E117" i="148"/>
  <c r="H116" i="148"/>
  <c r="H86" i="148" s="1"/>
  <c r="BW18" i="149"/>
  <c r="BE104" i="148"/>
  <c r="H117" i="148"/>
  <c r="H237" i="148" s="1"/>
  <c r="BS24" i="149"/>
  <c r="N116" i="148"/>
  <c r="K235" i="148"/>
  <c r="AJ85" i="148"/>
  <c r="AM277" i="148"/>
  <c r="Q135" i="75"/>
  <c r="R135" i="75" s="1"/>
  <c r="P102" i="75"/>
  <c r="Q131" i="75"/>
  <c r="Q117" i="75"/>
  <c r="R117" i="75" s="1"/>
  <c r="S117" i="75" s="1"/>
  <c r="T117" i="75" s="1"/>
  <c r="AN279" i="148"/>
  <c r="BH292" i="148"/>
  <c r="AM292" i="148"/>
  <c r="AN277" i="148"/>
  <c r="AO282" i="148"/>
  <c r="AO277" i="148" s="1"/>
  <c r="E73" i="164"/>
  <c r="E114" i="164"/>
  <c r="F73" i="164"/>
  <c r="D73" i="164"/>
  <c r="F114" i="164"/>
  <c r="G73" i="164"/>
  <c r="G114" i="164"/>
  <c r="C97" i="164"/>
  <c r="C106" i="164" s="1"/>
  <c r="AH67" i="148"/>
  <c r="L45" i="157"/>
  <c r="M45" i="157" s="1"/>
  <c r="CQ4" i="150"/>
  <c r="CR3" i="150"/>
  <c r="P181" i="75" s="1"/>
  <c r="AG294" i="148"/>
  <c r="AH65" i="148"/>
  <c r="E76" i="148"/>
  <c r="AZ76" i="148" s="1"/>
  <c r="E118" i="148"/>
  <c r="AZ106" i="148"/>
  <c r="E116" i="148"/>
  <c r="AZ110" i="148"/>
  <c r="I118" i="148"/>
  <c r="I116" i="148"/>
  <c r="I75" i="148"/>
  <c r="BA75" i="148" s="1"/>
  <c r="L88" i="148"/>
  <c r="C80" i="148"/>
  <c r="C118" i="148"/>
  <c r="C116" i="148"/>
  <c r="D117" i="148"/>
  <c r="D74" i="148"/>
  <c r="D116" i="148"/>
  <c r="H77" i="148"/>
  <c r="AZ104" i="148"/>
  <c r="AZ21" i="148"/>
  <c r="F118" i="148"/>
  <c r="F75" i="148"/>
  <c r="F116" i="148"/>
  <c r="BA105" i="148"/>
  <c r="K74" i="148"/>
  <c r="BB104" i="148"/>
  <c r="K116" i="148"/>
  <c r="L77" i="148"/>
  <c r="BB107" i="148"/>
  <c r="L117" i="148"/>
  <c r="K80" i="148"/>
  <c r="K118" i="148"/>
  <c r="BA109" i="148"/>
  <c r="B76" i="148"/>
  <c r="B118" i="148"/>
  <c r="BA108" i="148"/>
  <c r="D118" i="148"/>
  <c r="AZ105" i="148"/>
  <c r="D75" i="148"/>
  <c r="D81" i="148"/>
  <c r="L74" i="148"/>
  <c r="L116" i="148"/>
  <c r="BT24" i="149"/>
  <c r="E78" i="148"/>
  <c r="AZ78" i="148" s="1"/>
  <c r="G81" i="148"/>
  <c r="BA111" i="148"/>
  <c r="G80" i="148"/>
  <c r="BA110" i="148"/>
  <c r="F76" i="148"/>
  <c r="BA106" i="148"/>
  <c r="G74" i="148"/>
  <c r="G117" i="148"/>
  <c r="BA104" i="148"/>
  <c r="C74" i="148"/>
  <c r="O116" i="148"/>
  <c r="R107" i="148"/>
  <c r="BX14" i="149"/>
  <c r="BW17" i="149"/>
  <c r="Q110" i="148"/>
  <c r="S163" i="148"/>
  <c r="AC104" i="148"/>
  <c r="CI11" i="149"/>
  <c r="AD105" i="148"/>
  <c r="CJ12" i="149"/>
  <c r="AO33" i="148"/>
  <c r="Q41" i="77"/>
  <c r="BG288" i="148"/>
  <c r="I4" i="164"/>
  <c r="R21" i="164" s="1"/>
  <c r="R31" i="164" s="1"/>
  <c r="BY4" i="75"/>
  <c r="O206" i="77"/>
  <c r="Q38" i="77"/>
  <c r="V38" i="77"/>
  <c r="P38" i="77"/>
  <c r="N47" i="77"/>
  <c r="T18" i="77"/>
  <c r="T20" i="77" s="1"/>
  <c r="R38" i="77"/>
  <c r="Z41" i="77"/>
  <c r="M206" i="77"/>
  <c r="O47" i="77"/>
  <c r="S47" i="77"/>
  <c r="AC41" i="77"/>
  <c r="P311" i="77"/>
  <c r="M38" i="77"/>
  <c r="Y47" i="77"/>
  <c r="H40" i="75" s="1"/>
  <c r="M205" i="77"/>
  <c r="H103" i="75"/>
  <c r="H104" i="75" s="1"/>
  <c r="I187" i="75"/>
  <c r="P206" i="77"/>
  <c r="M41" i="77"/>
  <c r="E37" i="75"/>
  <c r="X41" i="77"/>
  <c r="F23" i="75"/>
  <c r="E108" i="75"/>
  <c r="T41" i="77"/>
  <c r="AB18" i="77"/>
  <c r="AB21" i="77" s="1"/>
  <c r="M311" i="77"/>
  <c r="M47" i="77"/>
  <c r="R41" i="77"/>
  <c r="Y41" i="77"/>
  <c r="W41" i="77"/>
  <c r="T47" i="77"/>
  <c r="V41" i="77"/>
  <c r="AA18" i="77"/>
  <c r="AA19" i="77" s="1"/>
  <c r="Q26" i="77"/>
  <c r="P26" i="77"/>
  <c r="P41" i="77"/>
  <c r="P18" i="77"/>
  <c r="N18" i="77"/>
  <c r="N21" i="77" s="1"/>
  <c r="X47" i="77"/>
  <c r="G40" i="75" s="1"/>
  <c r="O205" i="77"/>
  <c r="V47" i="77"/>
  <c r="E40" i="75" s="1"/>
  <c r="R26" i="77"/>
  <c r="AB41" i="77"/>
  <c r="AA41" i="77"/>
  <c r="U47" i="77"/>
  <c r="D40" i="75" s="1"/>
  <c r="I39" i="75"/>
  <c r="O41" i="77"/>
  <c r="T38" i="77"/>
  <c r="S41" i="77"/>
  <c r="W47" i="77"/>
  <c r="F40" i="75" s="1"/>
  <c r="AC18" i="77"/>
  <c r="AC21" i="77" s="1"/>
  <c r="F187" i="75"/>
  <c r="D96" i="75"/>
  <c r="S18" i="77"/>
  <c r="S21" i="77" s="1"/>
  <c r="W38" i="77"/>
  <c r="Z38" i="77"/>
  <c r="O38" i="77"/>
  <c r="U38" i="77"/>
  <c r="X38" i="77"/>
  <c r="U41" i="77"/>
  <c r="P47" i="77"/>
  <c r="M26" i="77"/>
  <c r="Z47" i="77"/>
  <c r="I40" i="75" s="1"/>
  <c r="S26" i="77"/>
  <c r="Q47" i="77"/>
  <c r="N41" i="77"/>
  <c r="S38" i="77"/>
  <c r="T26" i="77"/>
  <c r="O26" i="77"/>
  <c r="N26" i="77"/>
  <c r="Q206" i="77"/>
  <c r="Q205" i="77"/>
  <c r="G108" i="75"/>
  <c r="G172" i="75"/>
  <c r="I42" i="75"/>
  <c r="M11" i="77"/>
  <c r="M18" i="77"/>
  <c r="H108" i="75"/>
  <c r="H172" i="75"/>
  <c r="AC26" i="77"/>
  <c r="Q311" i="77"/>
  <c r="AC38" i="77"/>
  <c r="N311" i="77"/>
  <c r="O311" i="77"/>
  <c r="F108" i="75"/>
  <c r="F172" i="75"/>
  <c r="AC47" i="77"/>
  <c r="AB38" i="77"/>
  <c r="AB26" i="77"/>
  <c r="AA38" i="77"/>
  <c r="AA26" i="77"/>
  <c r="H37" i="75"/>
  <c r="Y38" i="77"/>
  <c r="Q11" i="77"/>
  <c r="Q18" i="77"/>
  <c r="N38" i="77"/>
  <c r="N206" i="77"/>
  <c r="I103" i="75"/>
  <c r="I104" i="75" s="1"/>
  <c r="G39" i="75"/>
  <c r="G103" i="75"/>
  <c r="G104" i="75" s="1"/>
  <c r="E103" i="75"/>
  <c r="E104" i="75" s="1"/>
  <c r="D39" i="75"/>
  <c r="R47" i="77"/>
  <c r="E187" i="75"/>
  <c r="D172" i="75"/>
  <c r="AB47" i="77"/>
  <c r="AA47" i="77"/>
  <c r="F39" i="75"/>
  <c r="F103" i="75"/>
  <c r="F104" i="75" s="1"/>
  <c r="O18" i="77"/>
  <c r="R18" i="77"/>
  <c r="H205" i="75" l="1"/>
  <c r="H208" i="75" s="1"/>
  <c r="G205" i="75"/>
  <c r="G208" i="75" s="1"/>
  <c r="P202" i="75"/>
  <c r="P228" i="75"/>
  <c r="P206" i="75"/>
  <c r="P184" i="75"/>
  <c r="D205" i="75"/>
  <c r="AG58" i="148"/>
  <c r="BF25" i="148"/>
  <c r="BF26" i="148" s="1"/>
  <c r="AH66" i="148"/>
  <c r="BC294" i="148"/>
  <c r="W30" i="148"/>
  <c r="O285" i="148"/>
  <c r="X285" i="148"/>
  <c r="AD285" i="148"/>
  <c r="T276" i="148"/>
  <c r="K56" i="164"/>
  <c r="L286" i="148"/>
  <c r="BE276" i="148"/>
  <c r="BE286" i="148" s="1"/>
  <c r="BC280" i="148"/>
  <c r="O276" i="148"/>
  <c r="O293" i="148" s="1"/>
  <c r="BF280" i="148"/>
  <c r="BF290" i="148" s="1"/>
  <c r="AA26" i="148"/>
  <c r="K293" i="148"/>
  <c r="Z276" i="148"/>
  <c r="BF276" i="148" s="1"/>
  <c r="Z285" i="148"/>
  <c r="AA30" i="148"/>
  <c r="BF30" i="148" s="1"/>
  <c r="H82" i="164" s="1"/>
  <c r="T290" i="148"/>
  <c r="BB25" i="148"/>
  <c r="S55" i="148"/>
  <c r="Q26" i="148"/>
  <c r="AP34" i="148"/>
  <c r="BC285" i="148"/>
  <c r="BD25" i="148"/>
  <c r="M26" i="148"/>
  <c r="S53" i="148"/>
  <c r="AC26" i="148"/>
  <c r="BA32" i="75"/>
  <c r="BA31" i="75" s="1"/>
  <c r="BA27" i="75" s="1"/>
  <c r="BF53" i="75"/>
  <c r="S24" i="148"/>
  <c r="S174" i="148" s="1"/>
  <c r="S49" i="148"/>
  <c r="S208" i="148" s="1"/>
  <c r="S54" i="148"/>
  <c r="Y281" i="148"/>
  <c r="X30" i="148"/>
  <c r="T102" i="77"/>
  <c r="T112" i="77" s="1"/>
  <c r="BB57" i="75"/>
  <c r="AG215" i="148"/>
  <c r="S56" i="148"/>
  <c r="AE49" i="148"/>
  <c r="AE208" i="148" s="1"/>
  <c r="AD30" i="148"/>
  <c r="T196" i="77"/>
  <c r="T197" i="77" s="1"/>
  <c r="T257" i="77"/>
  <c r="AB29" i="148"/>
  <c r="AB28" i="148" s="1"/>
  <c r="S52" i="148"/>
  <c r="U293" i="148"/>
  <c r="T290" i="77"/>
  <c r="L24" i="148"/>
  <c r="L174" i="148" s="1"/>
  <c r="M52" i="148"/>
  <c r="M208" i="148"/>
  <c r="M241" i="148" s="1"/>
  <c r="N30" i="148"/>
  <c r="BD18" i="148"/>
  <c r="BD280" i="148"/>
  <c r="BE285" i="148" s="1"/>
  <c r="S290" i="148"/>
  <c r="U26" i="148"/>
  <c r="M54" i="148"/>
  <c r="M213" i="148" s="1"/>
  <c r="L53" i="148"/>
  <c r="L212" i="148" s="1"/>
  <c r="L223" i="148" s="1"/>
  <c r="J150" i="75"/>
  <c r="J230" i="75"/>
  <c r="S276" i="148"/>
  <c r="S281" i="148" s="1"/>
  <c r="M51" i="148"/>
  <c r="M157" i="148" s="1"/>
  <c r="S285" i="148"/>
  <c r="J140" i="75"/>
  <c r="I144" i="75"/>
  <c r="AW32" i="75"/>
  <c r="AW31" i="75" s="1"/>
  <c r="AW27" i="75" s="1"/>
  <c r="AV31" i="75"/>
  <c r="AV27" i="75" s="1"/>
  <c r="AZ28" i="75" s="1"/>
  <c r="BG32" i="75"/>
  <c r="BC31" i="75"/>
  <c r="BC27" i="75" s="1"/>
  <c r="BC28" i="75" s="1"/>
  <c r="BH282" i="148"/>
  <c r="Z55" i="148"/>
  <c r="AA68" i="148" s="1"/>
  <c r="M50" i="148"/>
  <c r="P281" i="148"/>
  <c r="M30" i="148"/>
  <c r="BB30" i="148" s="1"/>
  <c r="D82" i="164" s="1"/>
  <c r="AE55" i="148"/>
  <c r="AF26" i="148"/>
  <c r="T279" i="77"/>
  <c r="W285" i="148"/>
  <c r="D222" i="75"/>
  <c r="E222" i="75"/>
  <c r="D157" i="75"/>
  <c r="M133" i="148"/>
  <c r="Z52" i="148"/>
  <c r="Z211" i="148" s="1"/>
  <c r="R31" i="148"/>
  <c r="M56" i="148"/>
  <c r="M24" i="148"/>
  <c r="M174" i="148" s="1"/>
  <c r="N185" i="148" s="1"/>
  <c r="T303" i="77"/>
  <c r="T304" i="77" s="1"/>
  <c r="BB78" i="75"/>
  <c r="BB54" i="75"/>
  <c r="AF207" i="148"/>
  <c r="AF154" i="148"/>
  <c r="AF132" i="148" s="1"/>
  <c r="AD207" i="148"/>
  <c r="AD154" i="148"/>
  <c r="X207" i="148"/>
  <c r="BE207" i="148" s="1"/>
  <c r="X154" i="148"/>
  <c r="X132" i="148" s="1"/>
  <c r="BE48" i="148"/>
  <c r="T293" i="148"/>
  <c r="T281" i="148"/>
  <c r="T286" i="148"/>
  <c r="P53" i="148"/>
  <c r="P212" i="148" s="1"/>
  <c r="P50" i="148"/>
  <c r="P209" i="148" s="1"/>
  <c r="P51" i="148"/>
  <c r="AG207" i="148"/>
  <c r="AG154" i="148"/>
  <c r="AG132" i="148" s="1"/>
  <c r="AA207" i="148"/>
  <c r="AA154" i="148"/>
  <c r="AA132" i="148" s="1"/>
  <c r="BE32" i="75"/>
  <c r="O26" i="148"/>
  <c r="O30" i="148"/>
  <c r="BF282" i="148"/>
  <c r="BC25" i="148"/>
  <c r="E29" i="163" s="1"/>
  <c r="S207" i="148"/>
  <c r="S154" i="148"/>
  <c r="S132" i="148" s="1"/>
  <c r="U272" i="77"/>
  <c r="D185" i="75" s="1"/>
  <c r="U196" i="77"/>
  <c r="U168" i="77"/>
  <c r="U169" i="77" s="1"/>
  <c r="U246" i="77"/>
  <c r="U261" i="77"/>
  <c r="U289" i="77"/>
  <c r="U266" i="77"/>
  <c r="U290" i="77"/>
  <c r="V303" i="77"/>
  <c r="E194" i="75" s="1"/>
  <c r="V304" i="77" s="1"/>
  <c r="V253" i="77"/>
  <c r="E181" i="75" s="1"/>
  <c r="E206" i="75" s="1"/>
  <c r="E207" i="75" s="1"/>
  <c r="V289" i="77"/>
  <c r="T261" i="77"/>
  <c r="T266" i="77"/>
  <c r="U253" i="77"/>
  <c r="U283" i="77"/>
  <c r="U287" i="77" s="1"/>
  <c r="D189" i="75" s="1"/>
  <c r="V102" i="77"/>
  <c r="V112" i="77" s="1"/>
  <c r="V168" i="77"/>
  <c r="V169" i="77" s="1"/>
  <c r="V266" i="77"/>
  <c r="T306" i="77"/>
  <c r="T253" i="77"/>
  <c r="U306" i="77"/>
  <c r="D196" i="75" s="1"/>
  <c r="U267" i="77"/>
  <c r="U260" i="77"/>
  <c r="V306" i="77"/>
  <c r="E196" i="75" s="1"/>
  <c r="V246" i="77"/>
  <c r="U279" i="77"/>
  <c r="D188" i="75" s="1"/>
  <c r="U255" i="77"/>
  <c r="U102" i="77"/>
  <c r="U112" i="77" s="1"/>
  <c r="V257" i="77"/>
  <c r="V260" i="77"/>
  <c r="U303" i="77"/>
  <c r="D194" i="75" s="1"/>
  <c r="U304" i="77" s="1"/>
  <c r="U257" i="77"/>
  <c r="U117" i="77"/>
  <c r="U120" i="77" s="1"/>
  <c r="V279" i="77"/>
  <c r="E188" i="75" s="1"/>
  <c r="V196" i="77"/>
  <c r="T281" i="77"/>
  <c r="U281" i="77"/>
  <c r="T246" i="77"/>
  <c r="V281" i="77"/>
  <c r="T272" i="77"/>
  <c r="V255" i="77"/>
  <c r="T289" i="77"/>
  <c r="Y26" i="148"/>
  <c r="Y30" i="148"/>
  <c r="R24" i="148"/>
  <c r="R174" i="148" s="1"/>
  <c r="S185" i="148" s="1"/>
  <c r="R48" i="148"/>
  <c r="T207" i="148"/>
  <c r="T154" i="148"/>
  <c r="BB287" i="148"/>
  <c r="AC207" i="148"/>
  <c r="AC154" i="148"/>
  <c r="AC132" i="148" s="1"/>
  <c r="T117" i="77"/>
  <c r="T120" i="77" s="1"/>
  <c r="T137" i="77" s="1"/>
  <c r="BJ31" i="75"/>
  <c r="BJ27" i="75" s="1"/>
  <c r="BJ74" i="75" s="1"/>
  <c r="BN32" i="75"/>
  <c r="AE24" i="148"/>
  <c r="AE174" i="148" s="1"/>
  <c r="AE48" i="148"/>
  <c r="AE56" i="148"/>
  <c r="AE215" i="148" s="1"/>
  <c r="AE53" i="148"/>
  <c r="AE212" i="148" s="1"/>
  <c r="AE54" i="148"/>
  <c r="AE51" i="148"/>
  <c r="AE210" i="148" s="1"/>
  <c r="W6" i="77"/>
  <c r="F167" i="75"/>
  <c r="F66" i="75"/>
  <c r="G5" i="75"/>
  <c r="F112" i="75"/>
  <c r="F7" i="75"/>
  <c r="V117" i="77"/>
  <c r="V120" i="77" s="1"/>
  <c r="N97" i="75"/>
  <c r="N110" i="75"/>
  <c r="O97" i="75" s="1"/>
  <c r="BH284" i="148"/>
  <c r="O28" i="148"/>
  <c r="Z207" i="148"/>
  <c r="Z154" i="148"/>
  <c r="X281" i="148"/>
  <c r="V132" i="148"/>
  <c r="H222" i="75"/>
  <c r="G157" i="75"/>
  <c r="T168" i="77"/>
  <c r="T169" i="77" s="1"/>
  <c r="V272" i="77"/>
  <c r="E185" i="75" s="1"/>
  <c r="T255" i="77"/>
  <c r="T26" i="148"/>
  <c r="T30" i="148"/>
  <c r="T28" i="148" s="1"/>
  <c r="BF284" i="148"/>
  <c r="AB55" i="148"/>
  <c r="AB48" i="148"/>
  <c r="BF48" i="148" s="1"/>
  <c r="Y58" i="148"/>
  <c r="U207" i="148"/>
  <c r="U154" i="148"/>
  <c r="BD284" i="148"/>
  <c r="BO6" i="75"/>
  <c r="BD31" i="75"/>
  <c r="BD27" i="75" s="1"/>
  <c r="BD28" i="75" s="1"/>
  <c r="BH32" i="75"/>
  <c r="T283" i="77"/>
  <c r="T287" i="77" s="1"/>
  <c r="T267" i="77"/>
  <c r="V290" i="77"/>
  <c r="V261" i="77"/>
  <c r="BC85" i="75"/>
  <c r="R5" i="148"/>
  <c r="S135" i="75"/>
  <c r="R131" i="75"/>
  <c r="R102" i="75"/>
  <c r="R103" i="75" s="1"/>
  <c r="R38" i="75" s="1"/>
  <c r="I62" i="164"/>
  <c r="I63" i="164" s="1"/>
  <c r="G62" i="164"/>
  <c r="V4" i="164" s="1"/>
  <c r="K228" i="75"/>
  <c r="T8" i="164" s="1"/>
  <c r="E62" i="164"/>
  <c r="T4" i="164" s="1"/>
  <c r="T13" i="164" s="1"/>
  <c r="BF10" i="150"/>
  <c r="BF172" i="150"/>
  <c r="BG10" i="150"/>
  <c r="BG173" i="150"/>
  <c r="BE10" i="150"/>
  <c r="BE171" i="150"/>
  <c r="BD10" i="150"/>
  <c r="BD170" i="150"/>
  <c r="BH10" i="150"/>
  <c r="BH174" i="150"/>
  <c r="BI10" i="150"/>
  <c r="BI175" i="150"/>
  <c r="AU279" i="148"/>
  <c r="CE23" i="75" s="1"/>
  <c r="CA23" i="75"/>
  <c r="BM10" i="150"/>
  <c r="BM179" i="150"/>
  <c r="BQ10" i="150"/>
  <c r="BQ183" i="150"/>
  <c r="BO10" i="150"/>
  <c r="BO181" i="150"/>
  <c r="BN180" i="150"/>
  <c r="BP10" i="150"/>
  <c r="BP182" i="150"/>
  <c r="BL10" i="150"/>
  <c r="BL178" i="150"/>
  <c r="BK10" i="150"/>
  <c r="BK177" i="150"/>
  <c r="BJ10" i="150"/>
  <c r="BJ176" i="150"/>
  <c r="BH153" i="148"/>
  <c r="BH144" i="148"/>
  <c r="BH132" i="148" s="1"/>
  <c r="J171" i="75"/>
  <c r="BK77" i="150"/>
  <c r="BL77" i="150" s="1"/>
  <c r="BM77" i="150" s="1"/>
  <c r="BN77" i="150" s="1"/>
  <c r="BO77" i="150" s="1"/>
  <c r="BP77" i="150" s="1"/>
  <c r="BQ77" i="150" s="1"/>
  <c r="BR77" i="150" s="1"/>
  <c r="BS77" i="150" s="1"/>
  <c r="BT77" i="150" s="1"/>
  <c r="BU77" i="150" s="1"/>
  <c r="BV77" i="150" s="1"/>
  <c r="BW77" i="150" s="1"/>
  <c r="BX77" i="150" s="1"/>
  <c r="BY77" i="150" s="1"/>
  <c r="BK8" i="150"/>
  <c r="BL78" i="150"/>
  <c r="BM78" i="150" s="1"/>
  <c r="BN78" i="150" s="1"/>
  <c r="BO78" i="150" s="1"/>
  <c r="BP78" i="150" s="1"/>
  <c r="BQ78" i="150" s="1"/>
  <c r="BR78" i="150" s="1"/>
  <c r="BS78" i="150" s="1"/>
  <c r="BT78" i="150" s="1"/>
  <c r="BU78" i="150" s="1"/>
  <c r="BV78" i="150" s="1"/>
  <c r="BW78" i="150" s="1"/>
  <c r="BX78" i="150" s="1"/>
  <c r="BY78" i="150" s="1"/>
  <c r="BL8" i="150"/>
  <c r="BP5" i="150"/>
  <c r="BP7" i="150"/>
  <c r="BN80" i="150"/>
  <c r="BO80" i="150" s="1"/>
  <c r="BP80" i="150" s="1"/>
  <c r="BQ80" i="150" s="1"/>
  <c r="BR80" i="150" s="1"/>
  <c r="BS80" i="150" s="1"/>
  <c r="BT80" i="150" s="1"/>
  <c r="BU80" i="150" s="1"/>
  <c r="BV80" i="150" s="1"/>
  <c r="BW80" i="150" s="1"/>
  <c r="BX80" i="150" s="1"/>
  <c r="BY80" i="150" s="1"/>
  <c r="BN8" i="150"/>
  <c r="AQ57" i="150"/>
  <c r="AR57" i="150" s="1"/>
  <c r="AS57" i="150" s="1"/>
  <c r="AT57" i="150" s="1"/>
  <c r="AU57" i="150" s="1"/>
  <c r="AV57" i="150" s="1"/>
  <c r="AW57" i="150" s="1"/>
  <c r="AX57" i="150" s="1"/>
  <c r="AY57" i="150" s="1"/>
  <c r="AZ57" i="150" s="1"/>
  <c r="BA57" i="150" s="1"/>
  <c r="BB57" i="150" s="1"/>
  <c r="BC57" i="150" s="1"/>
  <c r="BD57" i="150" s="1"/>
  <c r="BE57" i="150" s="1"/>
  <c r="BF57" i="150" s="1"/>
  <c r="BG57" i="150" s="1"/>
  <c r="BH57" i="150" s="1"/>
  <c r="BI57" i="150" s="1"/>
  <c r="BJ57" i="150" s="1"/>
  <c r="BK57" i="150" s="1"/>
  <c r="BL57" i="150" s="1"/>
  <c r="BM57" i="150" s="1"/>
  <c r="BN57" i="150" s="1"/>
  <c r="BO57" i="150" s="1"/>
  <c r="BP57" i="150" s="1"/>
  <c r="BQ57" i="150" s="1"/>
  <c r="BR57" i="150" s="1"/>
  <c r="AV62" i="150"/>
  <c r="AW62" i="150" s="1"/>
  <c r="AX62" i="150" s="1"/>
  <c r="AY62" i="150" s="1"/>
  <c r="AZ62" i="150" s="1"/>
  <c r="BA62" i="150" s="1"/>
  <c r="BB62" i="150" s="1"/>
  <c r="BC62" i="150" s="1"/>
  <c r="BD62" i="150" s="1"/>
  <c r="BE62" i="150" s="1"/>
  <c r="BF62" i="150" s="1"/>
  <c r="BG62" i="150" s="1"/>
  <c r="BH62" i="150" s="1"/>
  <c r="BI62" i="150" s="1"/>
  <c r="BJ62" i="150" s="1"/>
  <c r="BK62" i="150" s="1"/>
  <c r="BL62" i="150" s="1"/>
  <c r="BM62" i="150" s="1"/>
  <c r="BN62" i="150" s="1"/>
  <c r="BO62" i="150" s="1"/>
  <c r="BP62" i="150" s="1"/>
  <c r="BQ62" i="150" s="1"/>
  <c r="BR62" i="150" s="1"/>
  <c r="BS62" i="150" s="1"/>
  <c r="BT62" i="150" s="1"/>
  <c r="BU62" i="150" s="1"/>
  <c r="BV62" i="150" s="1"/>
  <c r="BW62" i="150" s="1"/>
  <c r="AV8" i="150"/>
  <c r="J205" i="75"/>
  <c r="J208" i="75" s="1"/>
  <c r="BB157" i="150"/>
  <c r="BC157" i="150"/>
  <c r="Q166" i="148"/>
  <c r="R166" i="148" s="1"/>
  <c r="P187" i="148"/>
  <c r="Y29" i="148"/>
  <c r="Y28" i="148" s="1"/>
  <c r="Y31" i="148" s="1"/>
  <c r="Y216" i="148" s="1"/>
  <c r="BD33" i="148"/>
  <c r="BD34" i="148" s="1"/>
  <c r="BB133" i="148"/>
  <c r="BE26" i="148"/>
  <c r="O58" i="148"/>
  <c r="AF281" i="148"/>
  <c r="J29" i="148"/>
  <c r="T54" i="148"/>
  <c r="T213" i="148" s="1"/>
  <c r="J53" i="148"/>
  <c r="BB123" i="148"/>
  <c r="M95" i="148"/>
  <c r="BB95" i="148" s="1"/>
  <c r="AE281" i="148"/>
  <c r="J52" i="148"/>
  <c r="J211" i="148" s="1"/>
  <c r="O187" i="148"/>
  <c r="O281" i="148"/>
  <c r="V28" i="148"/>
  <c r="BA284" i="148"/>
  <c r="P116" i="148"/>
  <c r="BG282" i="148"/>
  <c r="F167" i="148"/>
  <c r="F188" i="148" s="1"/>
  <c r="BE123" i="148"/>
  <c r="V31" i="148"/>
  <c r="BE287" i="148"/>
  <c r="BB289" i="148"/>
  <c r="BD12" i="148"/>
  <c r="BD287" i="148"/>
  <c r="D4" i="164"/>
  <c r="D104" i="163" s="1"/>
  <c r="Y95" i="148"/>
  <c r="BE95" i="148" s="1"/>
  <c r="BF287" i="148"/>
  <c r="AT277" i="148"/>
  <c r="CD25" i="75" s="1"/>
  <c r="P54" i="148"/>
  <c r="P160" i="148" s="1"/>
  <c r="W62" i="148"/>
  <c r="BD288" i="148"/>
  <c r="BB26" i="148"/>
  <c r="V58" i="148"/>
  <c r="W71" i="148" s="1"/>
  <c r="O286" i="148"/>
  <c r="X293" i="148"/>
  <c r="BD283" i="148"/>
  <c r="V213" i="148"/>
  <c r="AC291" i="148"/>
  <c r="AC294" i="148" s="1"/>
  <c r="AC281" i="148"/>
  <c r="AC286" i="148"/>
  <c r="AG281" i="148"/>
  <c r="X286" i="148"/>
  <c r="O94" i="148"/>
  <c r="L124" i="148"/>
  <c r="P24" i="148"/>
  <c r="P174" i="148" s="1"/>
  <c r="P185" i="148" s="1"/>
  <c r="X95" i="148"/>
  <c r="G85" i="163"/>
  <c r="G102" i="163"/>
  <c r="P56" i="148"/>
  <c r="P215" i="148" s="1"/>
  <c r="L32" i="148"/>
  <c r="Q187" i="148"/>
  <c r="U29" i="148"/>
  <c r="U28" i="148" s="1"/>
  <c r="AA28" i="148"/>
  <c r="AA31" i="148" s="1"/>
  <c r="V212" i="148"/>
  <c r="F4" i="164"/>
  <c r="F112" i="163" s="1"/>
  <c r="P49" i="148"/>
  <c r="AE28" i="148"/>
  <c r="AE31" i="148" s="1"/>
  <c r="AE216" i="148" s="1"/>
  <c r="L29" i="148"/>
  <c r="L28" i="148" s="1"/>
  <c r="BG285" i="148"/>
  <c r="U281" i="148"/>
  <c r="L55" i="148"/>
  <c r="M68" i="148" s="1"/>
  <c r="L52" i="148"/>
  <c r="L50" i="148"/>
  <c r="L54" i="148"/>
  <c r="L51" i="148"/>
  <c r="BC287" i="148"/>
  <c r="P52" i="148"/>
  <c r="P211" i="148" s="1"/>
  <c r="L231" i="148"/>
  <c r="L95" i="148"/>
  <c r="BB294" i="148"/>
  <c r="BB290" i="148"/>
  <c r="K202" i="75"/>
  <c r="I205" i="75"/>
  <c r="I207" i="75" s="1"/>
  <c r="AZ33" i="75"/>
  <c r="AZ75" i="75" s="1"/>
  <c r="P8" i="148" s="1"/>
  <c r="BH74" i="150"/>
  <c r="BI74" i="150" s="1"/>
  <c r="BJ74" i="150" s="1"/>
  <c r="BK74" i="150" s="1"/>
  <c r="BL74" i="150" s="1"/>
  <c r="BM74" i="150" s="1"/>
  <c r="BN74" i="150" s="1"/>
  <c r="BO74" i="150" s="1"/>
  <c r="BP74" i="150" s="1"/>
  <c r="BQ74" i="150" s="1"/>
  <c r="BR74" i="150" s="1"/>
  <c r="BS74" i="150" s="1"/>
  <c r="BT74" i="150" s="1"/>
  <c r="BU74" i="150" s="1"/>
  <c r="BV74" i="150" s="1"/>
  <c r="BW74" i="150" s="1"/>
  <c r="BX74" i="150" s="1"/>
  <c r="BY74" i="150" s="1"/>
  <c r="K184" i="75"/>
  <c r="I123" i="75"/>
  <c r="BF72" i="150"/>
  <c r="BG72" i="150" s="1"/>
  <c r="BH72" i="150" s="1"/>
  <c r="BI72" i="150" s="1"/>
  <c r="BJ72" i="150" s="1"/>
  <c r="BK72" i="150" s="1"/>
  <c r="BL72" i="150" s="1"/>
  <c r="BM72" i="150" s="1"/>
  <c r="BN72" i="150" s="1"/>
  <c r="BO72" i="150" s="1"/>
  <c r="BP72" i="150" s="1"/>
  <c r="BQ72" i="150" s="1"/>
  <c r="BR72" i="150" s="1"/>
  <c r="BS72" i="150" s="1"/>
  <c r="BT72" i="150" s="1"/>
  <c r="BU72" i="150" s="1"/>
  <c r="BV72" i="150" s="1"/>
  <c r="BW72" i="150" s="1"/>
  <c r="BX72" i="150" s="1"/>
  <c r="BY72" i="150" s="1"/>
  <c r="AZ29" i="75"/>
  <c r="AQ8" i="150"/>
  <c r="J124" i="75"/>
  <c r="K206" i="75"/>
  <c r="AP8" i="150"/>
  <c r="AT74" i="75"/>
  <c r="BG73" i="150"/>
  <c r="BH73" i="150" s="1"/>
  <c r="BI73" i="150" s="1"/>
  <c r="BJ73" i="150" s="1"/>
  <c r="BK73" i="150" s="1"/>
  <c r="BL73" i="150" s="1"/>
  <c r="BM73" i="150" s="1"/>
  <c r="BN73" i="150" s="1"/>
  <c r="BO73" i="150" s="1"/>
  <c r="BP73" i="150" s="1"/>
  <c r="BQ73" i="150" s="1"/>
  <c r="BR73" i="150" s="1"/>
  <c r="BS73" i="150" s="1"/>
  <c r="BT73" i="150" s="1"/>
  <c r="BU73" i="150" s="1"/>
  <c r="BV73" i="150" s="1"/>
  <c r="BW73" i="150" s="1"/>
  <c r="BX73" i="150" s="1"/>
  <c r="BY73" i="150" s="1"/>
  <c r="BE8" i="150"/>
  <c r="R311" i="77"/>
  <c r="BU4" i="150"/>
  <c r="AT60" i="150"/>
  <c r="AU60" i="150" s="1"/>
  <c r="AV60" i="150" s="1"/>
  <c r="AW60" i="150" s="1"/>
  <c r="AX60" i="150" s="1"/>
  <c r="AY60" i="150" s="1"/>
  <c r="AZ60" i="150" s="1"/>
  <c r="BA60" i="150" s="1"/>
  <c r="BB60" i="150" s="1"/>
  <c r="BC60" i="150" s="1"/>
  <c r="BD60" i="150" s="1"/>
  <c r="BE60" i="150" s="1"/>
  <c r="BF60" i="150" s="1"/>
  <c r="BG60" i="150" s="1"/>
  <c r="BH60" i="150" s="1"/>
  <c r="BI60" i="150" s="1"/>
  <c r="BJ60" i="150" s="1"/>
  <c r="BK60" i="150" s="1"/>
  <c r="BL60" i="150" s="1"/>
  <c r="BM60" i="150" s="1"/>
  <c r="BN60" i="150" s="1"/>
  <c r="BO60" i="150" s="1"/>
  <c r="BP60" i="150" s="1"/>
  <c r="BQ60" i="150" s="1"/>
  <c r="BR60" i="150" s="1"/>
  <c r="BS60" i="150" s="1"/>
  <c r="BT60" i="150" s="1"/>
  <c r="BU60" i="150" s="1"/>
  <c r="BT4" i="150"/>
  <c r="BV88" i="150"/>
  <c r="BW88" i="150" s="1"/>
  <c r="BX88" i="150" s="1"/>
  <c r="BY88" i="150" s="1"/>
  <c r="BS4" i="150"/>
  <c r="G20" i="148"/>
  <c r="G22" i="148" s="1"/>
  <c r="K185" i="148"/>
  <c r="AT33" i="75"/>
  <c r="AT35" i="75" s="1"/>
  <c r="AI231" i="75"/>
  <c r="I171" i="75"/>
  <c r="BO5" i="150"/>
  <c r="BR56" i="150"/>
  <c r="BS56" i="150" s="1"/>
  <c r="BT56" i="150" s="1"/>
  <c r="BU56" i="150" s="1"/>
  <c r="BV56" i="150" s="1"/>
  <c r="BW56" i="150" s="1"/>
  <c r="BX56" i="150" s="1"/>
  <c r="BY56" i="150" s="1"/>
  <c r="AR58" i="150"/>
  <c r="AS58" i="150" s="1"/>
  <c r="AT58" i="150" s="1"/>
  <c r="AU58" i="150" s="1"/>
  <c r="AV58" i="150" s="1"/>
  <c r="AW58" i="150" s="1"/>
  <c r="AX58" i="150" s="1"/>
  <c r="AY58" i="150" s="1"/>
  <c r="AZ58" i="150" s="1"/>
  <c r="BA58" i="150" s="1"/>
  <c r="BB58" i="150" s="1"/>
  <c r="BC58" i="150" s="1"/>
  <c r="BD58" i="150" s="1"/>
  <c r="BE58" i="150" s="1"/>
  <c r="BF58" i="150" s="1"/>
  <c r="BG58" i="150" s="1"/>
  <c r="BH58" i="150" s="1"/>
  <c r="BI58" i="150" s="1"/>
  <c r="BJ58" i="150" s="1"/>
  <c r="BK58" i="150" s="1"/>
  <c r="BL58" i="150" s="1"/>
  <c r="BM58" i="150" s="1"/>
  <c r="BN58" i="150" s="1"/>
  <c r="BO58" i="150" s="1"/>
  <c r="BP58" i="150" s="1"/>
  <c r="BQ58" i="150" s="1"/>
  <c r="BR58" i="150" s="1"/>
  <c r="BS58" i="150" s="1"/>
  <c r="AX28" i="75"/>
  <c r="AX74" i="75"/>
  <c r="AX29" i="75"/>
  <c r="BB34" i="75"/>
  <c r="AX45" i="75"/>
  <c r="AX77" i="75" s="1"/>
  <c r="N274" i="148"/>
  <c r="AR8" i="150"/>
  <c r="AX35" i="75"/>
  <c r="AX75" i="75"/>
  <c r="N8" i="148" s="1"/>
  <c r="S270" i="77"/>
  <c r="AK51" i="150"/>
  <c r="AL51" i="150" s="1"/>
  <c r="AM51" i="150" s="1"/>
  <c r="AN51" i="150" s="1"/>
  <c r="AO51" i="150" s="1"/>
  <c r="AP51" i="150" s="1"/>
  <c r="AQ51" i="150" s="1"/>
  <c r="AR51" i="150" s="1"/>
  <c r="AS51" i="150" s="1"/>
  <c r="AT51" i="150" s="1"/>
  <c r="AU51" i="150" s="1"/>
  <c r="AV51" i="150" s="1"/>
  <c r="AW51" i="150" s="1"/>
  <c r="AX51" i="150" s="1"/>
  <c r="AY51" i="150" s="1"/>
  <c r="AZ51" i="150" s="1"/>
  <c r="BA51" i="150" s="1"/>
  <c r="BB51" i="150" s="1"/>
  <c r="BC51" i="150" s="1"/>
  <c r="BD51" i="150" s="1"/>
  <c r="BE51" i="150" s="1"/>
  <c r="BF51" i="150" s="1"/>
  <c r="BG51" i="150" s="1"/>
  <c r="BH51" i="150" s="1"/>
  <c r="BI51" i="150" s="1"/>
  <c r="BJ51" i="150" s="1"/>
  <c r="BK51" i="150" s="1"/>
  <c r="BL51" i="150" s="1"/>
  <c r="S311" i="77"/>
  <c r="G79" i="163"/>
  <c r="L26" i="150"/>
  <c r="M26" i="150" s="1"/>
  <c r="N26" i="150" s="1"/>
  <c r="O26" i="150" s="1"/>
  <c r="P26" i="150" s="1"/>
  <c r="Q26" i="150" s="1"/>
  <c r="R26" i="150" s="1"/>
  <c r="S26" i="150" s="1"/>
  <c r="T26" i="150" s="1"/>
  <c r="U26" i="150" s="1"/>
  <c r="V26" i="150" s="1"/>
  <c r="W26" i="150" s="1"/>
  <c r="X26" i="150" s="1"/>
  <c r="Y26" i="150" s="1"/>
  <c r="Z26" i="150" s="1"/>
  <c r="AA26" i="150" s="1"/>
  <c r="AB26" i="150" s="1"/>
  <c r="AC26" i="150" s="1"/>
  <c r="AD26" i="150" s="1"/>
  <c r="AE26" i="150" s="1"/>
  <c r="AF26" i="150" s="1"/>
  <c r="AG26" i="150" s="1"/>
  <c r="AH26" i="150" s="1"/>
  <c r="AI26" i="150" s="1"/>
  <c r="AJ26" i="150" s="1"/>
  <c r="AK26" i="150" s="1"/>
  <c r="AL26" i="150" s="1"/>
  <c r="AM26" i="150" s="1"/>
  <c r="M184" i="75"/>
  <c r="AU8" i="150"/>
  <c r="AX64" i="150"/>
  <c r="AY64" i="150" s="1"/>
  <c r="AZ64" i="150" s="1"/>
  <c r="BA64" i="150" s="1"/>
  <c r="BB64" i="150" s="1"/>
  <c r="BC64" i="150" s="1"/>
  <c r="BD64" i="150" s="1"/>
  <c r="BE64" i="150" s="1"/>
  <c r="BF64" i="150" s="1"/>
  <c r="BG64" i="150" s="1"/>
  <c r="BH64" i="150" s="1"/>
  <c r="BI64" i="150" s="1"/>
  <c r="BJ64" i="150" s="1"/>
  <c r="BK64" i="150" s="1"/>
  <c r="BL64" i="150" s="1"/>
  <c r="BM64" i="150" s="1"/>
  <c r="BN64" i="150" s="1"/>
  <c r="BO64" i="150" s="1"/>
  <c r="BP64" i="150" s="1"/>
  <c r="BQ64" i="150" s="1"/>
  <c r="BR64" i="150" s="1"/>
  <c r="BS64" i="150" s="1"/>
  <c r="BT64" i="150" s="1"/>
  <c r="BU64" i="150" s="1"/>
  <c r="BV64" i="150" s="1"/>
  <c r="BW64" i="150" s="1"/>
  <c r="BX64" i="150" s="1"/>
  <c r="BY64" i="150" s="1"/>
  <c r="M202" i="75"/>
  <c r="M206" i="75"/>
  <c r="AK231" i="75"/>
  <c r="M228" i="75"/>
  <c r="V8" i="164" s="1"/>
  <c r="AT8" i="150"/>
  <c r="AG47" i="150"/>
  <c r="AH47" i="150" s="1"/>
  <c r="AI47" i="150" s="1"/>
  <c r="AJ47" i="150" s="1"/>
  <c r="AK47" i="150" s="1"/>
  <c r="AL47" i="150" s="1"/>
  <c r="AM47" i="150" s="1"/>
  <c r="AN47" i="150" s="1"/>
  <c r="AO47" i="150" s="1"/>
  <c r="AP47" i="150" s="1"/>
  <c r="AQ47" i="150" s="1"/>
  <c r="AR47" i="150" s="1"/>
  <c r="AS47" i="150" s="1"/>
  <c r="AT47" i="150" s="1"/>
  <c r="AU47" i="150" s="1"/>
  <c r="AV47" i="150" s="1"/>
  <c r="AW47" i="150" s="1"/>
  <c r="AX47" i="150" s="1"/>
  <c r="AY47" i="150" s="1"/>
  <c r="AZ47" i="150" s="1"/>
  <c r="BA47" i="150" s="1"/>
  <c r="BB47" i="150" s="1"/>
  <c r="BC47" i="150" s="1"/>
  <c r="BD47" i="150" s="1"/>
  <c r="BE47" i="150" s="1"/>
  <c r="BF47" i="150" s="1"/>
  <c r="BG47" i="150" s="1"/>
  <c r="BH47" i="150" s="1"/>
  <c r="AI49" i="150"/>
  <c r="AJ49" i="150" s="1"/>
  <c r="AK49" i="150" s="1"/>
  <c r="AL49" i="150" s="1"/>
  <c r="AM49" i="150" s="1"/>
  <c r="AN49" i="150" s="1"/>
  <c r="AO49" i="150" s="1"/>
  <c r="AP49" i="150" s="1"/>
  <c r="AQ49" i="150" s="1"/>
  <c r="AR49" i="150" s="1"/>
  <c r="AS49" i="150" s="1"/>
  <c r="AT49" i="150" s="1"/>
  <c r="AU49" i="150" s="1"/>
  <c r="AV49" i="150" s="1"/>
  <c r="AW49" i="150" s="1"/>
  <c r="AX49" i="150" s="1"/>
  <c r="AY49" i="150" s="1"/>
  <c r="AZ49" i="150" s="1"/>
  <c r="BA49" i="150" s="1"/>
  <c r="BB49" i="150" s="1"/>
  <c r="BC49" i="150" s="1"/>
  <c r="BD49" i="150" s="1"/>
  <c r="BE49" i="150" s="1"/>
  <c r="BF49" i="150" s="1"/>
  <c r="BG49" i="150" s="1"/>
  <c r="BH49" i="150" s="1"/>
  <c r="BI49" i="150" s="1"/>
  <c r="BJ49" i="150" s="1"/>
  <c r="BR5" i="150"/>
  <c r="BR8" i="150" s="1"/>
  <c r="AS8" i="150"/>
  <c r="BU59" i="150"/>
  <c r="BV59" i="150" s="1"/>
  <c r="BW59" i="150" s="1"/>
  <c r="BX59" i="150" s="1"/>
  <c r="BY59" i="150" s="1"/>
  <c r="R270" i="77"/>
  <c r="F205" i="75"/>
  <c r="F171" i="75"/>
  <c r="U273" i="77"/>
  <c r="L184" i="75"/>
  <c r="L206" i="75"/>
  <c r="L202" i="75"/>
  <c r="L228" i="75"/>
  <c r="U8" i="164" s="1"/>
  <c r="AM8" i="150"/>
  <c r="BO53" i="150"/>
  <c r="BP53" i="150" s="1"/>
  <c r="BQ53" i="150" s="1"/>
  <c r="BR53" i="150" s="1"/>
  <c r="BS53" i="150" s="1"/>
  <c r="BT53" i="150" s="1"/>
  <c r="BU53" i="150" s="1"/>
  <c r="BV53" i="150" s="1"/>
  <c r="BW53" i="150" s="1"/>
  <c r="BX53" i="150" s="1"/>
  <c r="BY53" i="150" s="1"/>
  <c r="BD70" i="150"/>
  <c r="BE70" i="150" s="1"/>
  <c r="BF70" i="150" s="1"/>
  <c r="BG70" i="150" s="1"/>
  <c r="BH70" i="150" s="1"/>
  <c r="BI70" i="150" s="1"/>
  <c r="BJ70" i="150" s="1"/>
  <c r="BK70" i="150" s="1"/>
  <c r="BL70" i="150" s="1"/>
  <c r="BM70" i="150" s="1"/>
  <c r="BN70" i="150" s="1"/>
  <c r="BO70" i="150" s="1"/>
  <c r="BP70" i="150" s="1"/>
  <c r="BQ70" i="150" s="1"/>
  <c r="BR70" i="150" s="1"/>
  <c r="BS70" i="150" s="1"/>
  <c r="BT70" i="150" s="1"/>
  <c r="BU70" i="150" s="1"/>
  <c r="BV70" i="150" s="1"/>
  <c r="BW70" i="150" s="1"/>
  <c r="BX70" i="150" s="1"/>
  <c r="BY70" i="150" s="1"/>
  <c r="AM53" i="150"/>
  <c r="AN53" i="150" s="1"/>
  <c r="AO53" i="150" s="1"/>
  <c r="AP53" i="150" s="1"/>
  <c r="AQ53" i="150" s="1"/>
  <c r="AR53" i="150" s="1"/>
  <c r="AS53" i="150" s="1"/>
  <c r="AT53" i="150" s="1"/>
  <c r="AU53" i="150" s="1"/>
  <c r="AV53" i="150" s="1"/>
  <c r="AW53" i="150" s="1"/>
  <c r="AX53" i="150" s="1"/>
  <c r="AY53" i="150" s="1"/>
  <c r="AZ53" i="150" s="1"/>
  <c r="BA53" i="150" s="1"/>
  <c r="BB53" i="150" s="1"/>
  <c r="BC53" i="150" s="1"/>
  <c r="BD53" i="150" s="1"/>
  <c r="BE53" i="150" s="1"/>
  <c r="BF53" i="150" s="1"/>
  <c r="BG53" i="150" s="1"/>
  <c r="BH53" i="150" s="1"/>
  <c r="BI53" i="150" s="1"/>
  <c r="BJ53" i="150" s="1"/>
  <c r="BK53" i="150" s="1"/>
  <c r="BL53" i="150" s="1"/>
  <c r="BM53" i="150" s="1"/>
  <c r="BN53" i="150" s="1"/>
  <c r="AS59" i="150"/>
  <c r="AT59" i="150" s="1"/>
  <c r="AU59" i="150" s="1"/>
  <c r="AV59" i="150" s="1"/>
  <c r="AW59" i="150" s="1"/>
  <c r="AX59" i="150" s="1"/>
  <c r="AY59" i="150" s="1"/>
  <c r="AZ59" i="150" s="1"/>
  <c r="BA59" i="150" s="1"/>
  <c r="BB59" i="150" s="1"/>
  <c r="BC59" i="150" s="1"/>
  <c r="BD59" i="150" s="1"/>
  <c r="BE59" i="150" s="1"/>
  <c r="BF59" i="150" s="1"/>
  <c r="BG59" i="150" s="1"/>
  <c r="BH59" i="150" s="1"/>
  <c r="BI59" i="150" s="1"/>
  <c r="BJ59" i="150" s="1"/>
  <c r="BK59" i="150" s="1"/>
  <c r="BL59" i="150" s="1"/>
  <c r="BM59" i="150" s="1"/>
  <c r="BN59" i="150" s="1"/>
  <c r="BO59" i="150" s="1"/>
  <c r="BP59" i="150" s="1"/>
  <c r="BQ59" i="150" s="1"/>
  <c r="BR59" i="150" s="1"/>
  <c r="BS59" i="150" s="1"/>
  <c r="BT59" i="150" s="1"/>
  <c r="O29" i="150"/>
  <c r="P29" i="150" s="1"/>
  <c r="Q29" i="150" s="1"/>
  <c r="R29" i="150" s="1"/>
  <c r="S29" i="150" s="1"/>
  <c r="T29" i="150" s="1"/>
  <c r="U29" i="150" s="1"/>
  <c r="V29" i="150" s="1"/>
  <c r="W29" i="150" s="1"/>
  <c r="X29" i="150" s="1"/>
  <c r="Y29" i="150" s="1"/>
  <c r="Z29" i="150" s="1"/>
  <c r="AA29" i="150" s="1"/>
  <c r="AB29" i="150" s="1"/>
  <c r="AC29" i="150" s="1"/>
  <c r="AD29" i="150" s="1"/>
  <c r="AE29" i="150" s="1"/>
  <c r="AF29" i="150" s="1"/>
  <c r="AG29" i="150" s="1"/>
  <c r="AH29" i="150" s="1"/>
  <c r="AI29" i="150" s="1"/>
  <c r="AJ29" i="150" s="1"/>
  <c r="AK29" i="150" s="1"/>
  <c r="AL29" i="150" s="1"/>
  <c r="AM29" i="150" s="1"/>
  <c r="AN29" i="150" s="1"/>
  <c r="AO29" i="150" s="1"/>
  <c r="AP29" i="150" s="1"/>
  <c r="AZ66" i="150"/>
  <c r="BA66" i="150" s="1"/>
  <c r="BB66" i="150" s="1"/>
  <c r="BC66" i="150" s="1"/>
  <c r="BD66" i="150" s="1"/>
  <c r="BE66" i="150" s="1"/>
  <c r="BF66" i="150" s="1"/>
  <c r="BG66" i="150" s="1"/>
  <c r="BH66" i="150" s="1"/>
  <c r="BI66" i="150" s="1"/>
  <c r="BJ66" i="150" s="1"/>
  <c r="BK66" i="150" s="1"/>
  <c r="BL66" i="150" s="1"/>
  <c r="BM66" i="150" s="1"/>
  <c r="BN66" i="150" s="1"/>
  <c r="BO66" i="150" s="1"/>
  <c r="BP66" i="150" s="1"/>
  <c r="BQ66" i="150" s="1"/>
  <c r="BR66" i="150" s="1"/>
  <c r="BS66" i="150" s="1"/>
  <c r="BT66" i="150" s="1"/>
  <c r="BU66" i="150" s="1"/>
  <c r="BV66" i="150" s="1"/>
  <c r="BW66" i="150" s="1"/>
  <c r="BX66" i="150" s="1"/>
  <c r="BY66" i="150" s="1"/>
  <c r="AN8" i="150"/>
  <c r="AJ231" i="75"/>
  <c r="Y39" i="150"/>
  <c r="Z39" i="150" s="1"/>
  <c r="AA39" i="150" s="1"/>
  <c r="AB39" i="150" s="1"/>
  <c r="AC39" i="150" s="1"/>
  <c r="AD39" i="150" s="1"/>
  <c r="AE39" i="150" s="1"/>
  <c r="AF39" i="150" s="1"/>
  <c r="AG39" i="150" s="1"/>
  <c r="AH39" i="150" s="1"/>
  <c r="AI39" i="150" s="1"/>
  <c r="AJ39" i="150" s="1"/>
  <c r="AK39" i="150" s="1"/>
  <c r="AL39" i="150" s="1"/>
  <c r="AM39" i="150" s="1"/>
  <c r="AN39" i="150" s="1"/>
  <c r="AO39" i="150" s="1"/>
  <c r="AP39" i="150" s="1"/>
  <c r="AQ39" i="150" s="1"/>
  <c r="AR39" i="150" s="1"/>
  <c r="AS39" i="150" s="1"/>
  <c r="AT39" i="150" s="1"/>
  <c r="AU39" i="150" s="1"/>
  <c r="AV39" i="150" s="1"/>
  <c r="AW39" i="150" s="1"/>
  <c r="AX39" i="150" s="1"/>
  <c r="AY39" i="150" s="1"/>
  <c r="AZ39" i="150" s="1"/>
  <c r="AF46" i="150"/>
  <c r="AG46" i="150" s="1"/>
  <c r="AH46" i="150" s="1"/>
  <c r="AI46" i="150" s="1"/>
  <c r="AJ46" i="150" s="1"/>
  <c r="AK46" i="150" s="1"/>
  <c r="AL46" i="150" s="1"/>
  <c r="AM46" i="150" s="1"/>
  <c r="AN46" i="150" s="1"/>
  <c r="AO46" i="150" s="1"/>
  <c r="AP46" i="150" s="1"/>
  <c r="AQ46" i="150" s="1"/>
  <c r="AR46" i="150" s="1"/>
  <c r="AS46" i="150" s="1"/>
  <c r="AT46" i="150" s="1"/>
  <c r="AU46" i="150" s="1"/>
  <c r="AV46" i="150" s="1"/>
  <c r="AW46" i="150" s="1"/>
  <c r="AX46" i="150" s="1"/>
  <c r="AY46" i="150" s="1"/>
  <c r="AZ46" i="150" s="1"/>
  <c r="BA46" i="150" s="1"/>
  <c r="BB46" i="150" s="1"/>
  <c r="BC46" i="150" s="1"/>
  <c r="BD46" i="150" s="1"/>
  <c r="BE46" i="150" s="1"/>
  <c r="BF46" i="150" s="1"/>
  <c r="BG46" i="150" s="1"/>
  <c r="AE45" i="150"/>
  <c r="AF45" i="150" s="1"/>
  <c r="AG45" i="150" s="1"/>
  <c r="AH45" i="150" s="1"/>
  <c r="AI45" i="150" s="1"/>
  <c r="AJ45" i="150" s="1"/>
  <c r="AK45" i="150" s="1"/>
  <c r="AL45" i="150" s="1"/>
  <c r="AM45" i="150" s="1"/>
  <c r="AN45" i="150" s="1"/>
  <c r="AO45" i="150" s="1"/>
  <c r="AP45" i="150" s="1"/>
  <c r="AQ45" i="150" s="1"/>
  <c r="AR45" i="150" s="1"/>
  <c r="AS45" i="150" s="1"/>
  <c r="AT45" i="150" s="1"/>
  <c r="AU45" i="150" s="1"/>
  <c r="AV45" i="150" s="1"/>
  <c r="AW45" i="150" s="1"/>
  <c r="AX45" i="150" s="1"/>
  <c r="AY45" i="150" s="1"/>
  <c r="AZ45" i="150" s="1"/>
  <c r="BA45" i="150" s="1"/>
  <c r="BB45" i="150" s="1"/>
  <c r="BC45" i="150" s="1"/>
  <c r="BD45" i="150" s="1"/>
  <c r="BE45" i="150" s="1"/>
  <c r="BF45" i="150" s="1"/>
  <c r="P30" i="150"/>
  <c r="Q30" i="150" s="1"/>
  <c r="R30" i="150" s="1"/>
  <c r="S30" i="150" s="1"/>
  <c r="T30" i="150" s="1"/>
  <c r="U30" i="150" s="1"/>
  <c r="V30" i="150" s="1"/>
  <c r="W30" i="150" s="1"/>
  <c r="X30" i="150" s="1"/>
  <c r="Y30" i="150" s="1"/>
  <c r="Z30" i="150" s="1"/>
  <c r="AA30" i="150" s="1"/>
  <c r="AB30" i="150" s="1"/>
  <c r="AC30" i="150" s="1"/>
  <c r="AD30" i="150" s="1"/>
  <c r="AE30" i="150" s="1"/>
  <c r="AF30" i="150" s="1"/>
  <c r="AG30" i="150" s="1"/>
  <c r="AH30" i="150" s="1"/>
  <c r="AI30" i="150" s="1"/>
  <c r="AJ30" i="150" s="1"/>
  <c r="AK30" i="150" s="1"/>
  <c r="AL30" i="150" s="1"/>
  <c r="AM30" i="150" s="1"/>
  <c r="AN30" i="150" s="1"/>
  <c r="AO30" i="150" s="1"/>
  <c r="AP30" i="150" s="1"/>
  <c r="AQ30" i="150" s="1"/>
  <c r="W37" i="150"/>
  <c r="X37" i="150" s="1"/>
  <c r="Y37" i="150" s="1"/>
  <c r="Z37" i="150" s="1"/>
  <c r="AA37" i="150" s="1"/>
  <c r="AB37" i="150" s="1"/>
  <c r="AC37" i="150" s="1"/>
  <c r="AD37" i="150" s="1"/>
  <c r="AE37" i="150" s="1"/>
  <c r="AF37" i="150" s="1"/>
  <c r="AG37" i="150" s="1"/>
  <c r="AH37" i="150" s="1"/>
  <c r="AI37" i="150" s="1"/>
  <c r="AJ37" i="150" s="1"/>
  <c r="AK37" i="150" s="1"/>
  <c r="AL37" i="150" s="1"/>
  <c r="AM37" i="150" s="1"/>
  <c r="AN37" i="150" s="1"/>
  <c r="AO37" i="150" s="1"/>
  <c r="AP37" i="150" s="1"/>
  <c r="AQ37" i="150" s="1"/>
  <c r="AR37" i="150" s="1"/>
  <c r="AS37" i="150" s="1"/>
  <c r="AT37" i="150" s="1"/>
  <c r="AU37" i="150" s="1"/>
  <c r="AV37" i="150" s="1"/>
  <c r="AW37" i="150" s="1"/>
  <c r="AX37" i="150" s="1"/>
  <c r="AN54" i="150"/>
  <c r="AO54" i="150" s="1"/>
  <c r="AP54" i="150" s="1"/>
  <c r="AQ54" i="150" s="1"/>
  <c r="AR54" i="150" s="1"/>
  <c r="AS54" i="150" s="1"/>
  <c r="AT54" i="150" s="1"/>
  <c r="AU54" i="150" s="1"/>
  <c r="AV54" i="150" s="1"/>
  <c r="AW54" i="150" s="1"/>
  <c r="AX54" i="150" s="1"/>
  <c r="AY54" i="150" s="1"/>
  <c r="AZ54" i="150" s="1"/>
  <c r="BA54" i="150" s="1"/>
  <c r="BB54" i="150" s="1"/>
  <c r="BC54" i="150" s="1"/>
  <c r="BD54" i="150" s="1"/>
  <c r="BE54" i="150" s="1"/>
  <c r="BF54" i="150" s="1"/>
  <c r="BG54" i="150" s="1"/>
  <c r="BH54" i="150" s="1"/>
  <c r="BI54" i="150" s="1"/>
  <c r="BJ54" i="150" s="1"/>
  <c r="BK54" i="150" s="1"/>
  <c r="BL54" i="150" s="1"/>
  <c r="BM54" i="150" s="1"/>
  <c r="BN54" i="150" s="1"/>
  <c r="BO54" i="150" s="1"/>
  <c r="AW8" i="150"/>
  <c r="AW63" i="150"/>
  <c r="AX63" i="150" s="1"/>
  <c r="AY63" i="150" s="1"/>
  <c r="AZ63" i="150" s="1"/>
  <c r="BA63" i="150" s="1"/>
  <c r="BB63" i="150" s="1"/>
  <c r="BC63" i="150" s="1"/>
  <c r="BD63" i="150" s="1"/>
  <c r="BE63" i="150" s="1"/>
  <c r="BF63" i="150" s="1"/>
  <c r="BG63" i="150" s="1"/>
  <c r="BH63" i="150" s="1"/>
  <c r="BI63" i="150" s="1"/>
  <c r="BJ63" i="150" s="1"/>
  <c r="BK63" i="150" s="1"/>
  <c r="BL63" i="150" s="1"/>
  <c r="BM63" i="150" s="1"/>
  <c r="BN63" i="150" s="1"/>
  <c r="BO63" i="150" s="1"/>
  <c r="BP63" i="150" s="1"/>
  <c r="BQ63" i="150" s="1"/>
  <c r="BR63" i="150" s="1"/>
  <c r="BS63" i="150" s="1"/>
  <c r="BT63" i="150" s="1"/>
  <c r="BU63" i="150" s="1"/>
  <c r="BV63" i="150" s="1"/>
  <c r="BW63" i="150" s="1"/>
  <c r="BX63" i="150" s="1"/>
  <c r="AL231" i="75"/>
  <c r="N184" i="75"/>
  <c r="N202" i="75"/>
  <c r="N206" i="75"/>
  <c r="N228" i="75"/>
  <c r="W8" i="164" s="1"/>
  <c r="O202" i="75"/>
  <c r="P203" i="75" s="1"/>
  <c r="BC8" i="150"/>
  <c r="BC69" i="150"/>
  <c r="BD69" i="150" s="1"/>
  <c r="BE69" i="150" s="1"/>
  <c r="BF69" i="150" s="1"/>
  <c r="BG69" i="150" s="1"/>
  <c r="BH69" i="150" s="1"/>
  <c r="BI69" i="150" s="1"/>
  <c r="BJ69" i="150" s="1"/>
  <c r="BK69" i="150" s="1"/>
  <c r="BL69" i="150" s="1"/>
  <c r="BM69" i="150" s="1"/>
  <c r="BN69" i="150" s="1"/>
  <c r="BO69" i="150" s="1"/>
  <c r="BP69" i="150" s="1"/>
  <c r="BQ69" i="150" s="1"/>
  <c r="BR69" i="150" s="1"/>
  <c r="BS69" i="150" s="1"/>
  <c r="BT69" i="150" s="1"/>
  <c r="BU69" i="150" s="1"/>
  <c r="BV69" i="150" s="1"/>
  <c r="BW69" i="150" s="1"/>
  <c r="BX69" i="150" s="1"/>
  <c r="BY69" i="150" s="1"/>
  <c r="R32" i="150"/>
  <c r="S32" i="150" s="1"/>
  <c r="T32" i="150" s="1"/>
  <c r="U32" i="150" s="1"/>
  <c r="V32" i="150" s="1"/>
  <c r="W32" i="150" s="1"/>
  <c r="X32" i="150" s="1"/>
  <c r="Y32" i="150" s="1"/>
  <c r="Z32" i="150" s="1"/>
  <c r="AA32" i="150" s="1"/>
  <c r="AB32" i="150" s="1"/>
  <c r="AC32" i="150" s="1"/>
  <c r="AD32" i="150" s="1"/>
  <c r="AE32" i="150" s="1"/>
  <c r="AF32" i="150" s="1"/>
  <c r="AG32" i="150" s="1"/>
  <c r="AH32" i="150" s="1"/>
  <c r="AI32" i="150" s="1"/>
  <c r="AJ32" i="150" s="1"/>
  <c r="AK32" i="150" s="1"/>
  <c r="AL32" i="150" s="1"/>
  <c r="AM32" i="150" s="1"/>
  <c r="AN32" i="150" s="1"/>
  <c r="AO32" i="150" s="1"/>
  <c r="AP32" i="150" s="1"/>
  <c r="AQ32" i="150" s="1"/>
  <c r="AR32" i="150" s="1"/>
  <c r="AS32" i="150" s="1"/>
  <c r="F118" i="164"/>
  <c r="U4" i="164"/>
  <c r="AY65" i="150"/>
  <c r="AZ65" i="150" s="1"/>
  <c r="BA65" i="150" s="1"/>
  <c r="BB65" i="150" s="1"/>
  <c r="BC65" i="150" s="1"/>
  <c r="BD65" i="150" s="1"/>
  <c r="BE65" i="150" s="1"/>
  <c r="BF65" i="150" s="1"/>
  <c r="BG65" i="150" s="1"/>
  <c r="BH65" i="150" s="1"/>
  <c r="BI65" i="150" s="1"/>
  <c r="BJ65" i="150" s="1"/>
  <c r="BK65" i="150" s="1"/>
  <c r="BL65" i="150" s="1"/>
  <c r="BM65" i="150" s="1"/>
  <c r="BN65" i="150" s="1"/>
  <c r="BO65" i="150" s="1"/>
  <c r="BP65" i="150" s="1"/>
  <c r="BQ65" i="150" s="1"/>
  <c r="BR65" i="150" s="1"/>
  <c r="BS65" i="150" s="1"/>
  <c r="BT65" i="150" s="1"/>
  <c r="BU65" i="150" s="1"/>
  <c r="BV65" i="150" s="1"/>
  <c r="BW65" i="150" s="1"/>
  <c r="BX65" i="150" s="1"/>
  <c r="BY65" i="150" s="1"/>
  <c r="C17" i="150"/>
  <c r="D17" i="150" s="1"/>
  <c r="E17" i="150" s="1"/>
  <c r="F17" i="150" s="1"/>
  <c r="G17" i="150" s="1"/>
  <c r="H17" i="150" s="1"/>
  <c r="I17" i="150" s="1"/>
  <c r="J17" i="150" s="1"/>
  <c r="K17" i="150" s="1"/>
  <c r="L17" i="150" s="1"/>
  <c r="M17" i="150" s="1"/>
  <c r="N17" i="150" s="1"/>
  <c r="O17" i="150" s="1"/>
  <c r="P17" i="150" s="1"/>
  <c r="Q17" i="150" s="1"/>
  <c r="R17" i="150" s="1"/>
  <c r="S17" i="150" s="1"/>
  <c r="T17" i="150" s="1"/>
  <c r="U17" i="150" s="1"/>
  <c r="V17" i="150" s="1"/>
  <c r="W17" i="150" s="1"/>
  <c r="X17" i="150" s="1"/>
  <c r="Y17" i="150" s="1"/>
  <c r="Z17" i="150" s="1"/>
  <c r="AA17" i="150" s="1"/>
  <c r="AB17" i="150" s="1"/>
  <c r="AC17" i="150" s="1"/>
  <c r="AD17" i="150" s="1"/>
  <c r="BQ55" i="150"/>
  <c r="BR55" i="150" s="1"/>
  <c r="BS55" i="150" s="1"/>
  <c r="BT55" i="150" s="1"/>
  <c r="BU55" i="150" s="1"/>
  <c r="BV55" i="150" s="1"/>
  <c r="BW55" i="150" s="1"/>
  <c r="BX55" i="150" s="1"/>
  <c r="BY55" i="150" s="1"/>
  <c r="AO8" i="150"/>
  <c r="BA32" i="150"/>
  <c r="AT22" i="150"/>
  <c r="AR19" i="150"/>
  <c r="J184" i="75"/>
  <c r="J202" i="75"/>
  <c r="J203" i="75" s="1"/>
  <c r="J228" i="75"/>
  <c r="S8" i="164" s="1"/>
  <c r="J206" i="75"/>
  <c r="AH231" i="75"/>
  <c r="BI75" i="150"/>
  <c r="BJ75" i="150" s="1"/>
  <c r="BK75" i="150" s="1"/>
  <c r="BI8" i="150"/>
  <c r="D16" i="150"/>
  <c r="BB68" i="150"/>
  <c r="BC68" i="150" s="1"/>
  <c r="BD68" i="150" s="1"/>
  <c r="BE68" i="150" s="1"/>
  <c r="BF68" i="150" s="1"/>
  <c r="BG68" i="150" s="1"/>
  <c r="BH68" i="150" s="1"/>
  <c r="BI68" i="150" s="1"/>
  <c r="BJ68" i="150" s="1"/>
  <c r="BK68" i="150" s="1"/>
  <c r="BL68" i="150" s="1"/>
  <c r="BM68" i="150" s="1"/>
  <c r="BN68" i="150" s="1"/>
  <c r="BO68" i="150" s="1"/>
  <c r="BP68" i="150" s="1"/>
  <c r="BQ68" i="150" s="1"/>
  <c r="BR68" i="150" s="1"/>
  <c r="BS68" i="150" s="1"/>
  <c r="BT68" i="150" s="1"/>
  <c r="BU68" i="150" s="1"/>
  <c r="BV68" i="150" s="1"/>
  <c r="BW68" i="150" s="1"/>
  <c r="BX68" i="150" s="1"/>
  <c r="BY68" i="150" s="1"/>
  <c r="AU61" i="150"/>
  <c r="AV61" i="150" s="1"/>
  <c r="AW61" i="150" s="1"/>
  <c r="AX61" i="150" s="1"/>
  <c r="AY61" i="150" s="1"/>
  <c r="AZ61" i="150" s="1"/>
  <c r="BA61" i="150" s="1"/>
  <c r="BB61" i="150" s="1"/>
  <c r="BC61" i="150" s="1"/>
  <c r="BD61" i="150" s="1"/>
  <c r="BE61" i="150" s="1"/>
  <c r="BF61" i="150" s="1"/>
  <c r="BG61" i="150" s="1"/>
  <c r="BH61" i="150" s="1"/>
  <c r="BI61" i="150" s="1"/>
  <c r="AG16" i="150"/>
  <c r="J20" i="148"/>
  <c r="J22" i="148" s="1"/>
  <c r="T32" i="148"/>
  <c r="N233" i="148"/>
  <c r="BE284" i="148"/>
  <c r="T51" i="148"/>
  <c r="T64" i="148" s="1"/>
  <c r="T55" i="148"/>
  <c r="D105" i="163"/>
  <c r="D102" i="163"/>
  <c r="U56" i="148"/>
  <c r="U54" i="148"/>
  <c r="U55" i="148"/>
  <c r="U53" i="148"/>
  <c r="U52" i="148"/>
  <c r="U51" i="148"/>
  <c r="U49" i="148"/>
  <c r="U24" i="148"/>
  <c r="U174" i="148" s="1"/>
  <c r="T125" i="148"/>
  <c r="S97" i="148"/>
  <c r="BB284" i="148"/>
  <c r="J209" i="148"/>
  <c r="J242" i="148" s="1"/>
  <c r="J156" i="148"/>
  <c r="J134" i="148" s="1"/>
  <c r="T49" i="148"/>
  <c r="AB281" i="148"/>
  <c r="AB291" i="148"/>
  <c r="M189" i="148"/>
  <c r="N168" i="148"/>
  <c r="N234" i="148"/>
  <c r="BE288" i="148"/>
  <c r="AA286" i="148"/>
  <c r="AA281" i="148"/>
  <c r="AA291" i="148"/>
  <c r="AA294" i="148" s="1"/>
  <c r="Q286" i="148"/>
  <c r="Q293" i="148"/>
  <c r="BF285" i="148"/>
  <c r="BE290" i="148"/>
  <c r="BD282" i="148"/>
  <c r="J160" i="148"/>
  <c r="J138" i="148" s="1"/>
  <c r="J213" i="148"/>
  <c r="L169" i="148"/>
  <c r="K190" i="148"/>
  <c r="L185" i="148"/>
  <c r="BG284" i="148"/>
  <c r="BC290" i="148"/>
  <c r="T216" i="148"/>
  <c r="N124" i="148"/>
  <c r="W33" i="148"/>
  <c r="W31" i="148" s="1"/>
  <c r="W32" i="148" s="1"/>
  <c r="BD289" i="148"/>
  <c r="W293" i="148"/>
  <c r="W286" i="148"/>
  <c r="Q51" i="148"/>
  <c r="Q210" i="148" s="1"/>
  <c r="Q56" i="148"/>
  <c r="Q53" i="148"/>
  <c r="Q49" i="148"/>
  <c r="Q54" i="148"/>
  <c r="Q213" i="148" s="1"/>
  <c r="Q50" i="148"/>
  <c r="Q209" i="148" s="1"/>
  <c r="Q52" i="148"/>
  <c r="Q211" i="148" s="1"/>
  <c r="Q55" i="148"/>
  <c r="Q68" i="148" s="1"/>
  <c r="H40" i="164"/>
  <c r="I40" i="164"/>
  <c r="I56" i="164" s="1"/>
  <c r="BE12" i="148"/>
  <c r="AE291" i="148"/>
  <c r="AE294" i="148" s="1"/>
  <c r="AE286" i="148"/>
  <c r="J215" i="148"/>
  <c r="J162" i="148"/>
  <c r="J140" i="148" s="1"/>
  <c r="E4" i="164"/>
  <c r="BC12" i="148"/>
  <c r="BC288" i="148"/>
  <c r="L162" i="148"/>
  <c r="T24" i="148"/>
  <c r="T174" i="148" s="1"/>
  <c r="T52" i="148"/>
  <c r="T56" i="148"/>
  <c r="T215" i="148" s="1"/>
  <c r="T53" i="148"/>
  <c r="T212" i="148" s="1"/>
  <c r="J210" i="148"/>
  <c r="J157" i="148"/>
  <c r="N231" i="148"/>
  <c r="AC215" i="148"/>
  <c r="AC58" i="148"/>
  <c r="BE282" i="148"/>
  <c r="O126" i="148"/>
  <c r="N98" i="148"/>
  <c r="J58" i="148"/>
  <c r="N293" i="148"/>
  <c r="N286" i="148"/>
  <c r="BC276" i="148"/>
  <c r="BC286" i="148" s="1"/>
  <c r="AC212" i="148"/>
  <c r="AC210" i="148"/>
  <c r="BG283" i="148"/>
  <c r="BF283" i="148"/>
  <c r="O212" i="148"/>
  <c r="S213" i="148"/>
  <c r="P68" i="148"/>
  <c r="L226" i="148"/>
  <c r="L219" i="148"/>
  <c r="H293" i="148"/>
  <c r="L281" i="148"/>
  <c r="O57" i="148"/>
  <c r="BF288" i="148"/>
  <c r="AA208" i="148"/>
  <c r="AA212" i="148"/>
  <c r="R55" i="148"/>
  <c r="R49" i="148"/>
  <c r="S62" i="148" s="1"/>
  <c r="R53" i="148"/>
  <c r="S66" i="148" s="1"/>
  <c r="R51" i="148"/>
  <c r="S64" i="148" s="1"/>
  <c r="R56" i="148"/>
  <c r="S69" i="148" s="1"/>
  <c r="R52" i="148"/>
  <c r="S65" i="148" s="1"/>
  <c r="R54" i="148"/>
  <c r="S67" i="148" s="1"/>
  <c r="BD17" i="148"/>
  <c r="BD24" i="148" s="1"/>
  <c r="AB49" i="148"/>
  <c r="AC62" i="148" s="1"/>
  <c r="AB51" i="148"/>
  <c r="AB52" i="148"/>
  <c r="AB54" i="148"/>
  <c r="AB56" i="148"/>
  <c r="AB53" i="148"/>
  <c r="AB24" i="148"/>
  <c r="AB174" i="148" s="1"/>
  <c r="O209" i="148"/>
  <c r="J293" i="148"/>
  <c r="J286" i="148"/>
  <c r="BB276" i="148"/>
  <c r="N281" i="148"/>
  <c r="R293" i="148"/>
  <c r="R286" i="148"/>
  <c r="R281" i="148"/>
  <c r="BD276" i="148"/>
  <c r="V281" i="148"/>
  <c r="M210" i="148"/>
  <c r="Z293" i="148"/>
  <c r="BF293" i="148" s="1"/>
  <c r="O208" i="148"/>
  <c r="O59" i="148"/>
  <c r="O155" i="148"/>
  <c r="O133" i="148" s="1"/>
  <c r="P210" i="148"/>
  <c r="P64" i="148"/>
  <c r="BB283" i="148"/>
  <c r="BA283" i="148"/>
  <c r="U173" i="148"/>
  <c r="O31" i="148"/>
  <c r="G112" i="163"/>
  <c r="G104" i="163"/>
  <c r="G103" i="163"/>
  <c r="N95" i="148"/>
  <c r="BC123" i="148"/>
  <c r="BX22" i="75"/>
  <c r="AR278" i="148"/>
  <c r="BW23" i="75"/>
  <c r="AP285" i="148"/>
  <c r="AP279" i="148"/>
  <c r="BZ23" i="75" s="1"/>
  <c r="G191" i="148"/>
  <c r="M209" i="148"/>
  <c r="M59" i="148"/>
  <c r="M63" i="148"/>
  <c r="L167" i="148"/>
  <c r="K188" i="148"/>
  <c r="O211" i="148"/>
  <c r="N54" i="148"/>
  <c r="N50" i="148"/>
  <c r="N49" i="148"/>
  <c r="N55" i="148"/>
  <c r="O68" i="148" s="1"/>
  <c r="N51" i="148"/>
  <c r="N56" i="148"/>
  <c r="O69" i="148" s="1"/>
  <c r="N52" i="148"/>
  <c r="O65" i="148" s="1"/>
  <c r="N53" i="148"/>
  <c r="O66" i="148" s="1"/>
  <c r="BC17" i="148"/>
  <c r="BC24" i="148" s="1"/>
  <c r="S215" i="148"/>
  <c r="S162" i="148"/>
  <c r="H88" i="148"/>
  <c r="BY25" i="75"/>
  <c r="AS277" i="148"/>
  <c r="AP278" i="148"/>
  <c r="BZ22" i="75" s="1"/>
  <c r="AF51" i="148"/>
  <c r="AF24" i="148"/>
  <c r="AF174" i="148" s="1"/>
  <c r="AF53" i="148"/>
  <c r="AF52" i="148"/>
  <c r="AF55" i="148"/>
  <c r="AF54" i="148"/>
  <c r="AF49" i="148"/>
  <c r="AF56" i="148"/>
  <c r="AA213" i="148"/>
  <c r="AA58" i="148"/>
  <c r="AD291" i="148"/>
  <c r="BG276" i="148"/>
  <c r="AD286" i="148"/>
  <c r="Z33" i="148"/>
  <c r="BF18" i="148"/>
  <c r="M215" i="148"/>
  <c r="M162" i="148"/>
  <c r="M69" i="148"/>
  <c r="O162" i="148"/>
  <c r="S211" i="148"/>
  <c r="BW25" i="75"/>
  <c r="AQ277" i="148"/>
  <c r="H124" i="148"/>
  <c r="BX25" i="75"/>
  <c r="AR277" i="148"/>
  <c r="BW22" i="75"/>
  <c r="AQ278" i="148"/>
  <c r="D29" i="163"/>
  <c r="S293" i="148"/>
  <c r="S286" i="148"/>
  <c r="S32" i="148"/>
  <c r="S216" i="148"/>
  <c r="K53" i="148"/>
  <c r="K56" i="148"/>
  <c r="K52" i="148"/>
  <c r="K51" i="148"/>
  <c r="K54" i="148"/>
  <c r="K55" i="148"/>
  <c r="K50" i="148"/>
  <c r="BB17" i="148"/>
  <c r="BB24" i="148" s="1"/>
  <c r="K33" i="148"/>
  <c r="K29" i="148" s="1"/>
  <c r="K28" i="148" s="1"/>
  <c r="BB18" i="148"/>
  <c r="Z53" i="148"/>
  <c r="Z49" i="148"/>
  <c r="Z54" i="148"/>
  <c r="Z51" i="148"/>
  <c r="Z56" i="148"/>
  <c r="Z24" i="148"/>
  <c r="Z174" i="148" s="1"/>
  <c r="BF17" i="148"/>
  <c r="BF24" i="148" s="1"/>
  <c r="M212" i="148"/>
  <c r="M66" i="148"/>
  <c r="E168" i="148"/>
  <c r="F189" i="148"/>
  <c r="S210" i="148"/>
  <c r="AF31" i="148"/>
  <c r="BX23" i="75"/>
  <c r="AR279" i="148"/>
  <c r="H231" i="148"/>
  <c r="BY22" i="75"/>
  <c r="AS278" i="148"/>
  <c r="AC208" i="148"/>
  <c r="S29" i="148"/>
  <c r="S28" i="148" s="1"/>
  <c r="M211" i="148"/>
  <c r="K98" i="148"/>
  <c r="BB126" i="148"/>
  <c r="W281" i="148"/>
  <c r="O213" i="148"/>
  <c r="O160" i="148"/>
  <c r="N33" i="148"/>
  <c r="N31" i="148" s="1"/>
  <c r="AJ281" i="148"/>
  <c r="AF286" i="148"/>
  <c r="AF291" i="148"/>
  <c r="AF294" i="148" s="1"/>
  <c r="S212" i="148"/>
  <c r="N127" i="148"/>
  <c r="N235" i="148" s="1"/>
  <c r="M99" i="148"/>
  <c r="BB99" i="148" s="1"/>
  <c r="S166" i="148"/>
  <c r="R187" i="148"/>
  <c r="H235" i="148"/>
  <c r="M87" i="148"/>
  <c r="BB87" i="148" s="1"/>
  <c r="D27" i="164" s="1"/>
  <c r="M235" i="148"/>
  <c r="B86" i="148"/>
  <c r="H20" i="148"/>
  <c r="H22" i="148" s="1"/>
  <c r="S108" i="148"/>
  <c r="S78" i="148" s="1"/>
  <c r="BY15" i="149"/>
  <c r="H87" i="148"/>
  <c r="P117" i="148"/>
  <c r="P87" i="148" s="1"/>
  <c r="AR106" i="150"/>
  <c r="AR107" i="150" s="1"/>
  <c r="AR109" i="150" s="1"/>
  <c r="BC107" i="148"/>
  <c r="Q82" i="148"/>
  <c r="BC82" i="148" s="1"/>
  <c r="Q122" i="148"/>
  <c r="BC112" i="148"/>
  <c r="AC113" i="148"/>
  <c r="J234" i="148"/>
  <c r="J124" i="148"/>
  <c r="J233" i="148"/>
  <c r="J244" i="148" s="1"/>
  <c r="J88" i="148"/>
  <c r="M48" i="164"/>
  <c r="BB28" i="75"/>
  <c r="BB74" i="75"/>
  <c r="BB29" i="75"/>
  <c r="AU29" i="75"/>
  <c r="AU74" i="75"/>
  <c r="AU33" i="75"/>
  <c r="AY74" i="75"/>
  <c r="AY28" i="75"/>
  <c r="AY29" i="75"/>
  <c r="AY33" i="75"/>
  <c r="BF28" i="75"/>
  <c r="BF74" i="75"/>
  <c r="BF33" i="75"/>
  <c r="BF29" i="75"/>
  <c r="P86" i="148"/>
  <c r="P20" i="148"/>
  <c r="P22" i="148" s="1"/>
  <c r="Z68" i="148"/>
  <c r="X33" i="148"/>
  <c r="X29" i="148" s="1"/>
  <c r="BE18" i="148"/>
  <c r="P33" i="148"/>
  <c r="P29" i="148" s="1"/>
  <c r="BC18" i="148"/>
  <c r="L129" i="148"/>
  <c r="L128" i="148" s="1"/>
  <c r="K101" i="148"/>
  <c r="K237" i="148"/>
  <c r="BC273" i="148"/>
  <c r="BC193" i="148"/>
  <c r="BD3" i="148"/>
  <c r="BC164" i="148"/>
  <c r="BC103" i="148"/>
  <c r="J32" i="148"/>
  <c r="J216" i="148"/>
  <c r="F29" i="163"/>
  <c r="BD26" i="148"/>
  <c r="H99" i="163"/>
  <c r="H100" i="163" s="1"/>
  <c r="H102" i="163"/>
  <c r="H12" i="164"/>
  <c r="H38" i="163" s="1"/>
  <c r="H104" i="163"/>
  <c r="H85" i="163"/>
  <c r="H103" i="163"/>
  <c r="H112" i="163"/>
  <c r="AD53" i="148"/>
  <c r="AD49" i="148"/>
  <c r="AD52" i="148"/>
  <c r="AD24" i="148"/>
  <c r="AD174" i="148" s="1"/>
  <c r="AD54" i="148"/>
  <c r="AD51" i="148"/>
  <c r="AD56" i="148"/>
  <c r="AD55" i="148"/>
  <c r="BG17" i="148"/>
  <c r="BG24" i="148" s="1"/>
  <c r="X55" i="148"/>
  <c r="X52" i="148"/>
  <c r="X56" i="148"/>
  <c r="X54" i="148"/>
  <c r="X24" i="148"/>
  <c r="X174" i="148" s="1"/>
  <c r="X51" i="148"/>
  <c r="BE17" i="148"/>
  <c r="BE24" i="148" s="1"/>
  <c r="X53" i="148"/>
  <c r="X49" i="148"/>
  <c r="BH207" i="148"/>
  <c r="BH48" i="148"/>
  <c r="BH165" i="148" s="1"/>
  <c r="AB68" i="148"/>
  <c r="Q29" i="148"/>
  <c r="Q28" i="148" s="1"/>
  <c r="K128" i="148"/>
  <c r="M191" i="148"/>
  <c r="M159" i="148"/>
  <c r="N170" i="148"/>
  <c r="E169" i="148"/>
  <c r="F190" i="148"/>
  <c r="J28" i="148"/>
  <c r="AA123" i="148"/>
  <c r="Z95" i="148"/>
  <c r="R28" i="148"/>
  <c r="R216" i="148"/>
  <c r="R32" i="148"/>
  <c r="AC32" i="148"/>
  <c r="AC216" i="148"/>
  <c r="Q216" i="148"/>
  <c r="Q32" i="148"/>
  <c r="E170" i="148"/>
  <c r="F191" i="148"/>
  <c r="R171" i="148"/>
  <c r="U31" i="148"/>
  <c r="AN18" i="148"/>
  <c r="AR18" i="148" s="1"/>
  <c r="BB116" i="148"/>
  <c r="AP107" i="150"/>
  <c r="AP109" i="150" s="1"/>
  <c r="BI278" i="148"/>
  <c r="BI283" i="148" s="1"/>
  <c r="M86" i="148"/>
  <c r="BB86" i="148" s="1"/>
  <c r="M20" i="148"/>
  <c r="M22" i="148" s="1"/>
  <c r="Q87" i="148"/>
  <c r="BC87" i="148" s="1"/>
  <c r="C235" i="148"/>
  <c r="C87" i="148"/>
  <c r="C237" i="148"/>
  <c r="C128" i="148"/>
  <c r="R112" i="148"/>
  <c r="BX18" i="149"/>
  <c r="I128" i="148"/>
  <c r="I87" i="148"/>
  <c r="BA87" i="148" s="1"/>
  <c r="I235" i="148"/>
  <c r="AZ163" i="148"/>
  <c r="N86" i="148"/>
  <c r="N20" i="148"/>
  <c r="N22" i="148" s="1"/>
  <c r="G231" i="148"/>
  <c r="G233" i="148"/>
  <c r="P76" i="148"/>
  <c r="P118" i="148"/>
  <c r="G124" i="148"/>
  <c r="E87" i="148"/>
  <c r="AZ87" i="148" s="1"/>
  <c r="E237" i="148"/>
  <c r="E235" i="148"/>
  <c r="E128" i="148"/>
  <c r="B237" i="148"/>
  <c r="B87" i="148"/>
  <c r="B235" i="148"/>
  <c r="B128" i="148"/>
  <c r="Q106" i="148"/>
  <c r="Q76" i="148" s="1"/>
  <c r="BC76" i="148" s="1"/>
  <c r="BV32" i="149"/>
  <c r="CK16" i="149"/>
  <c r="N87" i="148"/>
  <c r="G88" i="148"/>
  <c r="H128" i="148"/>
  <c r="CL109" i="150"/>
  <c r="AO112" i="150"/>
  <c r="AO149" i="150" s="1"/>
  <c r="F237" i="148"/>
  <c r="F128" i="148"/>
  <c r="F87" i="148"/>
  <c r="F235" i="148"/>
  <c r="G234" i="148"/>
  <c r="M88" i="148"/>
  <c r="BB88" i="148" s="1"/>
  <c r="M231" i="148"/>
  <c r="M234" i="148"/>
  <c r="M124" i="148"/>
  <c r="M233" i="148"/>
  <c r="H234" i="148"/>
  <c r="O88" i="148"/>
  <c r="O124" i="148"/>
  <c r="BC163" i="148"/>
  <c r="J237" i="148"/>
  <c r="J235" i="148"/>
  <c r="J87" i="148"/>
  <c r="J128" i="148"/>
  <c r="AO279" i="148"/>
  <c r="Q136" i="75"/>
  <c r="Q137" i="75" s="1"/>
  <c r="Q102" i="75"/>
  <c r="Q103" i="75" s="1"/>
  <c r="Q38" i="75" s="1"/>
  <c r="AJ291" i="148"/>
  <c r="BT21" i="75"/>
  <c r="BT26" i="75" s="1"/>
  <c r="BH280" i="148"/>
  <c r="BH285" i="148" s="1"/>
  <c r="AN292" i="148"/>
  <c r="AM280" i="148"/>
  <c r="AQ285" i="148" s="1"/>
  <c r="BR21" i="75"/>
  <c r="AH291" i="148"/>
  <c r="AH281" i="148"/>
  <c r="BI277" i="148"/>
  <c r="BI282" i="148" s="1"/>
  <c r="O206" i="75"/>
  <c r="AM231" i="75"/>
  <c r="BQ4" i="150"/>
  <c r="BQ7" i="150" s="1"/>
  <c r="CS3" i="150"/>
  <c r="J62" i="164"/>
  <c r="J63" i="164" s="1"/>
  <c r="CR4" i="150"/>
  <c r="CR11" i="150"/>
  <c r="BM79" i="150"/>
  <c r="BN79" i="150" s="1"/>
  <c r="BO79" i="150" s="1"/>
  <c r="BP79" i="150" s="1"/>
  <c r="BQ79" i="150" s="1"/>
  <c r="BR79" i="150" s="1"/>
  <c r="BS79" i="150" s="1"/>
  <c r="BT79" i="150" s="1"/>
  <c r="BU79" i="150" s="1"/>
  <c r="BV79" i="150" s="1"/>
  <c r="BW79" i="150" s="1"/>
  <c r="BX79" i="150" s="1"/>
  <c r="BY79" i="150" s="1"/>
  <c r="AK85" i="148"/>
  <c r="BH85" i="148" s="1"/>
  <c r="BH115" i="148"/>
  <c r="O20" i="148"/>
  <c r="O86" i="148"/>
  <c r="L20" i="148"/>
  <c r="L22" i="148" s="1"/>
  <c r="L86" i="148"/>
  <c r="D235" i="148"/>
  <c r="D128" i="148"/>
  <c r="D87" i="148"/>
  <c r="AZ117" i="148"/>
  <c r="D237" i="148"/>
  <c r="T185" i="148"/>
  <c r="B231" i="148"/>
  <c r="B234" i="148"/>
  <c r="B233" i="148"/>
  <c r="AZ118" i="148"/>
  <c r="B124" i="148"/>
  <c r="B88" i="148"/>
  <c r="G87" i="148"/>
  <c r="G235" i="148"/>
  <c r="BA117" i="148"/>
  <c r="G128" i="148"/>
  <c r="G237" i="148"/>
  <c r="I20" i="148"/>
  <c r="I22" i="148" s="1"/>
  <c r="I86" i="148"/>
  <c r="BA86" i="148" s="1"/>
  <c r="S107" i="148"/>
  <c r="BY14" i="149"/>
  <c r="F124" i="148"/>
  <c r="F233" i="148"/>
  <c r="F88" i="148"/>
  <c r="F231" i="148"/>
  <c r="F234" i="148"/>
  <c r="BA118" i="148"/>
  <c r="CJ11" i="149"/>
  <c r="AD104" i="148"/>
  <c r="E20" i="148"/>
  <c r="E22" i="148" s="1"/>
  <c r="E86" i="148"/>
  <c r="AZ86" i="148" s="1"/>
  <c r="BX13" i="149"/>
  <c r="R106" i="148"/>
  <c r="BW32" i="149"/>
  <c r="BF104" i="148"/>
  <c r="AC74" i="148"/>
  <c r="BF74" i="148" s="1"/>
  <c r="R110" i="148"/>
  <c r="BX17" i="149"/>
  <c r="D122" i="164"/>
  <c r="D41" i="164"/>
  <c r="D57" i="164" s="1"/>
  <c r="L96" i="148"/>
  <c r="L232" i="148"/>
  <c r="AQ114" i="150"/>
  <c r="AD75" i="148"/>
  <c r="BD163" i="148"/>
  <c r="BF113" i="148"/>
  <c r="AC83" i="148"/>
  <c r="BF83" i="148" s="1"/>
  <c r="K124" i="148"/>
  <c r="K88" i="148"/>
  <c r="K233" i="148"/>
  <c r="BB118" i="148"/>
  <c r="K231" i="148"/>
  <c r="K234" i="148"/>
  <c r="D20" i="148"/>
  <c r="D22" i="148" s="1"/>
  <c r="D86" i="148"/>
  <c r="C86" i="148"/>
  <c r="C20" i="148"/>
  <c r="C22" i="148" s="1"/>
  <c r="AZ116" i="148"/>
  <c r="E88" i="148"/>
  <c r="AZ88" i="148" s="1"/>
  <c r="E231" i="148"/>
  <c r="E233" i="148"/>
  <c r="E124" i="148"/>
  <c r="E234" i="148"/>
  <c r="H232" i="148"/>
  <c r="H96" i="148"/>
  <c r="I234" i="148"/>
  <c r="I231" i="148"/>
  <c r="I124" i="148"/>
  <c r="I233" i="148"/>
  <c r="I88" i="148"/>
  <c r="BA88" i="148" s="1"/>
  <c r="BC110" i="148"/>
  <c r="Q80" i="148"/>
  <c r="BC80" i="148" s="1"/>
  <c r="L87" i="148"/>
  <c r="BB117" i="148"/>
  <c r="L235" i="148"/>
  <c r="AE105" i="148"/>
  <c r="CK12" i="149"/>
  <c r="CJ19" i="149"/>
  <c r="AD113" i="148"/>
  <c r="R77" i="148"/>
  <c r="R117" i="148"/>
  <c r="D88" i="148"/>
  <c r="D231" i="148"/>
  <c r="D234" i="148"/>
  <c r="D233" i="148"/>
  <c r="D124" i="148"/>
  <c r="K20" i="148"/>
  <c r="K22" i="148" s="1"/>
  <c r="K86" i="148"/>
  <c r="B22" i="148"/>
  <c r="BA116" i="148"/>
  <c r="F86" i="148"/>
  <c r="F20" i="148"/>
  <c r="C88" i="148"/>
  <c r="C234" i="148"/>
  <c r="C124" i="148"/>
  <c r="C233" i="148"/>
  <c r="C231" i="148"/>
  <c r="AO29" i="148"/>
  <c r="I112" i="163"/>
  <c r="I104" i="163"/>
  <c r="I12" i="164"/>
  <c r="I38" i="163" s="1"/>
  <c r="I102" i="163"/>
  <c r="I103" i="163"/>
  <c r="I99" i="163"/>
  <c r="I85" i="163"/>
  <c r="CC4" i="75"/>
  <c r="BQ69" i="75"/>
  <c r="Q49" i="77"/>
  <c r="T28" i="77"/>
  <c r="T34" i="77" s="1"/>
  <c r="T21" i="77"/>
  <c r="T19" i="77"/>
  <c r="E39" i="75"/>
  <c r="P49" i="77"/>
  <c r="M49" i="77"/>
  <c r="N28" i="77"/>
  <c r="N29" i="77" s="1"/>
  <c r="AA21" i="77"/>
  <c r="S49" i="77"/>
  <c r="R49" i="77"/>
  <c r="H173" i="75"/>
  <c r="AB19" i="77"/>
  <c r="P28" i="77"/>
  <c r="P29" i="77" s="1"/>
  <c r="AB28" i="77"/>
  <c r="I173" i="75"/>
  <c r="P21" i="77"/>
  <c r="I193" i="75"/>
  <c r="AC28" i="77"/>
  <c r="T49" i="77"/>
  <c r="AA28" i="77"/>
  <c r="AA34" i="77" s="1"/>
  <c r="D173" i="75"/>
  <c r="O49" i="77"/>
  <c r="E173" i="75"/>
  <c r="AB49" i="77"/>
  <c r="AC19" i="77"/>
  <c r="S28" i="77"/>
  <c r="S34" i="77" s="1"/>
  <c r="F173" i="75"/>
  <c r="G173" i="75"/>
  <c r="AC49" i="77"/>
  <c r="N49" i="77"/>
  <c r="AA49" i="77"/>
  <c r="G235" i="75"/>
  <c r="I108" i="75"/>
  <c r="I172" i="75"/>
  <c r="M21" i="77"/>
  <c r="M28" i="77"/>
  <c r="R21" i="77"/>
  <c r="R28" i="77"/>
  <c r="H39" i="75"/>
  <c r="O21" i="77"/>
  <c r="O28" i="77"/>
  <c r="F235" i="75"/>
  <c r="Q21" i="77"/>
  <c r="Q28" i="77"/>
  <c r="T258" i="77" l="1"/>
  <c r="BJ29" i="75"/>
  <c r="S58" i="148"/>
  <c r="AD281" i="148"/>
  <c r="S221" i="148"/>
  <c r="Z286" i="148"/>
  <c r="Z281" i="148"/>
  <c r="BE30" i="148"/>
  <c r="G82" i="164" s="1"/>
  <c r="H91" i="164" s="1"/>
  <c r="E167" i="148"/>
  <c r="S155" i="148"/>
  <c r="M57" i="148"/>
  <c r="AF185" i="148"/>
  <c r="M28" i="148"/>
  <c r="M31" i="148" s="1"/>
  <c r="BB208" i="148"/>
  <c r="BB195" i="148" s="1"/>
  <c r="BB293" i="148"/>
  <c r="M160" i="148"/>
  <c r="M138" i="148" s="1"/>
  <c r="T68" i="148"/>
  <c r="AT34" i="148"/>
  <c r="AT33" i="148" s="1"/>
  <c r="AT29" i="148" s="1"/>
  <c r="AP33" i="148"/>
  <c r="AP29" i="148" s="1"/>
  <c r="M64" i="148"/>
  <c r="BA29" i="75"/>
  <c r="BA33" i="75"/>
  <c r="BA82" i="75" s="1"/>
  <c r="BA28" i="75"/>
  <c r="BA74" i="75"/>
  <c r="R185" i="148"/>
  <c r="BF55" i="148"/>
  <c r="AA65" i="148"/>
  <c r="BF52" i="148"/>
  <c r="BD290" i="148"/>
  <c r="BC26" i="148"/>
  <c r="BC30" i="148"/>
  <c r="E82" i="164" s="1"/>
  <c r="E91" i="164" s="1"/>
  <c r="E193" i="75"/>
  <c r="P63" i="148"/>
  <c r="Z65" i="148"/>
  <c r="T291" i="77"/>
  <c r="T301" i="77" s="1"/>
  <c r="M58" i="148"/>
  <c r="BC49" i="148"/>
  <c r="BC62" i="148" s="1"/>
  <c r="T223" i="148"/>
  <c r="D99" i="163"/>
  <c r="BE154" i="148"/>
  <c r="AC68" i="148"/>
  <c r="BE293" i="148"/>
  <c r="BD285" i="148"/>
  <c r="J144" i="75"/>
  <c r="K140" i="75"/>
  <c r="F99" i="163"/>
  <c r="G12" i="164"/>
  <c r="BG31" i="75"/>
  <c r="BG27" i="75" s="1"/>
  <c r="BK32" i="75"/>
  <c r="O110" i="75"/>
  <c r="P110" i="75" s="1"/>
  <c r="Q110" i="75" s="1"/>
  <c r="R110" i="75" s="1"/>
  <c r="S110" i="75" s="1"/>
  <c r="T110" i="75" s="1"/>
  <c r="M244" i="148"/>
  <c r="BJ33" i="75"/>
  <c r="BJ35" i="75" s="1"/>
  <c r="P69" i="148"/>
  <c r="F105" i="163"/>
  <c r="P66" i="148"/>
  <c r="M185" i="148"/>
  <c r="Y32" i="148"/>
  <c r="U268" i="77"/>
  <c r="AV29" i="75"/>
  <c r="AV33" i="75"/>
  <c r="AZ34" i="75" s="1"/>
  <c r="AV74" i="75"/>
  <c r="F103" i="163"/>
  <c r="L159" i="148"/>
  <c r="J248" i="148"/>
  <c r="J259" i="148" s="1"/>
  <c r="BD30" i="148"/>
  <c r="F82" i="164" s="1"/>
  <c r="BC34" i="75"/>
  <c r="BJ28" i="75"/>
  <c r="AB58" i="148"/>
  <c r="AB71" i="148" s="1"/>
  <c r="F102" i="163"/>
  <c r="AW33" i="75"/>
  <c r="AW29" i="75"/>
  <c r="AW74" i="75"/>
  <c r="BC29" i="75"/>
  <c r="BC74" i="75"/>
  <c r="BC33" i="75"/>
  <c r="L245" i="148"/>
  <c r="L256" i="148" s="1"/>
  <c r="U67" i="148"/>
  <c r="BE153" i="148"/>
  <c r="BE144" i="148"/>
  <c r="BE132" i="148" s="1"/>
  <c r="AB207" i="148"/>
  <c r="AB154" i="148"/>
  <c r="AB132" i="148" s="1"/>
  <c r="T132" i="148"/>
  <c r="AD132" i="148"/>
  <c r="AE207" i="148"/>
  <c r="BG207" i="148" s="1"/>
  <c r="AE154" i="148"/>
  <c r="AE132" i="148" s="1"/>
  <c r="BG48" i="148"/>
  <c r="BH61" i="148" s="1"/>
  <c r="D181" i="75"/>
  <c r="T211" i="148"/>
  <c r="T222" i="148" s="1"/>
  <c r="T65" i="148"/>
  <c r="V68" i="148"/>
  <c r="U68" i="148"/>
  <c r="J59" i="148"/>
  <c r="J212" i="148"/>
  <c r="J245" i="148" s="1"/>
  <c r="BL32" i="75"/>
  <c r="BH31" i="75"/>
  <c r="BH27" i="75" s="1"/>
  <c r="D114" i="75"/>
  <c r="U137" i="77"/>
  <c r="AE226" i="148"/>
  <c r="BD29" i="75"/>
  <c r="BD33" i="75"/>
  <c r="BD74" i="75"/>
  <c r="D142" i="75"/>
  <c r="D144" i="75" s="1"/>
  <c r="U197" i="77"/>
  <c r="P59" i="148"/>
  <c r="T224" i="148"/>
  <c r="V273" i="77"/>
  <c r="E184" i="75"/>
  <c r="Z132" i="148"/>
  <c r="BF154" i="148"/>
  <c r="E114" i="75"/>
  <c r="V137" i="77"/>
  <c r="W8" i="77"/>
  <c r="G2" i="142"/>
  <c r="G1" i="142" s="1"/>
  <c r="W196" i="77" s="1"/>
  <c r="W208" i="77"/>
  <c r="W81" i="77"/>
  <c r="T218" i="148"/>
  <c r="U258" i="77"/>
  <c r="U291" i="77"/>
  <c r="BE165" i="148"/>
  <c r="G8" i="164"/>
  <c r="G105" i="163" s="1"/>
  <c r="U132" i="148"/>
  <c r="BF207" i="148"/>
  <c r="BR32" i="75"/>
  <c r="BV32" i="75" s="1"/>
  <c r="BN31" i="75"/>
  <c r="BN27" i="75" s="1"/>
  <c r="R207" i="148"/>
  <c r="R218" i="148" s="1"/>
  <c r="BD48" i="148"/>
  <c r="T268" i="77"/>
  <c r="T270" i="77" s="1"/>
  <c r="S218" i="148"/>
  <c r="BC293" i="148"/>
  <c r="AE58" i="148"/>
  <c r="AE213" i="148"/>
  <c r="AE224" i="148" s="1"/>
  <c r="V197" i="77"/>
  <c r="E142" i="75"/>
  <c r="E144" i="75" s="1"/>
  <c r="E179" i="75"/>
  <c r="V308" i="77"/>
  <c r="V311" i="77" s="1"/>
  <c r="V291" i="77"/>
  <c r="V301" i="77" s="1"/>
  <c r="D179" i="75"/>
  <c r="D198" i="75" s="1"/>
  <c r="U308" i="77"/>
  <c r="U311" i="77" s="1"/>
  <c r="J158" i="148"/>
  <c r="J136" i="148" s="1"/>
  <c r="X6" i="77"/>
  <c r="G167" i="75"/>
  <c r="G66" i="75"/>
  <c r="G7" i="75"/>
  <c r="H5" i="75"/>
  <c r="G112" i="75"/>
  <c r="V258" i="77"/>
  <c r="T308" i="77"/>
  <c r="V268" i="77"/>
  <c r="BE31" i="75"/>
  <c r="BE27" i="75" s="1"/>
  <c r="BI32" i="75"/>
  <c r="S131" i="75"/>
  <c r="S102" i="75" s="1"/>
  <c r="S103" i="75" s="1"/>
  <c r="S38" i="75" s="1"/>
  <c r="BZ21" i="75"/>
  <c r="BZ26" i="75" s="1"/>
  <c r="BB10" i="150"/>
  <c r="BB168" i="150"/>
  <c r="BC10" i="150"/>
  <c r="BC169" i="150"/>
  <c r="Q181" i="75"/>
  <c r="K62" i="164" s="1"/>
  <c r="K63" i="164" s="1"/>
  <c r="L56" i="164"/>
  <c r="AU278" i="148"/>
  <c r="CE22" i="75" s="1"/>
  <c r="CE21" i="75" s="1"/>
  <c r="CA22" i="75"/>
  <c r="CA21" i="75" s="1"/>
  <c r="AV278" i="148"/>
  <c r="CF22" i="75" s="1"/>
  <c r="CB22" i="75"/>
  <c r="AU277" i="148"/>
  <c r="CE25" i="75" s="1"/>
  <c r="CA25" i="75"/>
  <c r="AV277" i="148"/>
  <c r="CF25" i="75" s="1"/>
  <c r="CB25" i="75"/>
  <c r="AV279" i="148"/>
  <c r="CF23" i="75" s="1"/>
  <c r="CB23" i="75"/>
  <c r="AW277" i="148"/>
  <c r="CC25" i="75"/>
  <c r="AW278" i="148"/>
  <c r="CC22" i="75"/>
  <c r="BF61" i="148"/>
  <c r="AP113" i="150"/>
  <c r="AQ113" i="150" s="1"/>
  <c r="AR113" i="150" s="1"/>
  <c r="AS113" i="150" s="1"/>
  <c r="AT113" i="150" s="1"/>
  <c r="AU113" i="150" s="1"/>
  <c r="AV113" i="150" s="1"/>
  <c r="AW113" i="150" s="1"/>
  <c r="AX113" i="150" s="1"/>
  <c r="AY113" i="150" s="1"/>
  <c r="AZ113" i="150" s="1"/>
  <c r="BA113" i="150" s="1"/>
  <c r="BB113" i="150" s="1"/>
  <c r="BC113" i="150" s="1"/>
  <c r="BD113" i="150" s="1"/>
  <c r="BE113" i="150" s="1"/>
  <c r="BF113" i="150" s="1"/>
  <c r="BG113" i="150" s="1"/>
  <c r="BH113" i="150" s="1"/>
  <c r="BI113" i="150" s="1"/>
  <c r="BJ113" i="150" s="1"/>
  <c r="BK113" i="150" s="1"/>
  <c r="BL113" i="150" s="1"/>
  <c r="BM113" i="150" s="1"/>
  <c r="BN113" i="150" s="1"/>
  <c r="BO113" i="150" s="1"/>
  <c r="BP113" i="150" s="1"/>
  <c r="BQ113" i="150" s="1"/>
  <c r="AP11" i="150"/>
  <c r="AP12" i="150" s="1"/>
  <c r="AR115" i="150"/>
  <c r="AS115" i="150" s="1"/>
  <c r="AT115" i="150" s="1"/>
  <c r="AU115" i="150" s="1"/>
  <c r="AV115" i="150" s="1"/>
  <c r="AW115" i="150" s="1"/>
  <c r="AX115" i="150" s="1"/>
  <c r="AY115" i="150" s="1"/>
  <c r="AZ115" i="150" s="1"/>
  <c r="BA115" i="150" s="1"/>
  <c r="BB115" i="150" s="1"/>
  <c r="BC115" i="150" s="1"/>
  <c r="BD115" i="150" s="1"/>
  <c r="BE115" i="150" s="1"/>
  <c r="BF115" i="150" s="1"/>
  <c r="BG115" i="150" s="1"/>
  <c r="BH115" i="150" s="1"/>
  <c r="BI115" i="150" s="1"/>
  <c r="BJ115" i="150" s="1"/>
  <c r="BK115" i="150" s="1"/>
  <c r="BL115" i="150" s="1"/>
  <c r="BM115" i="150" s="1"/>
  <c r="BN115" i="150" s="1"/>
  <c r="BO115" i="150" s="1"/>
  <c r="BP115" i="150" s="1"/>
  <c r="BQ115" i="150" s="1"/>
  <c r="BR115" i="150" s="1"/>
  <c r="BS115" i="150" s="1"/>
  <c r="AR11" i="150"/>
  <c r="AR12" i="150" s="1"/>
  <c r="BO81" i="150"/>
  <c r="BP81" i="150" s="1"/>
  <c r="BQ81" i="150" s="1"/>
  <c r="BR81" i="150" s="1"/>
  <c r="BS81" i="150" s="1"/>
  <c r="BT81" i="150" s="1"/>
  <c r="BU81" i="150" s="1"/>
  <c r="BV81" i="150" s="1"/>
  <c r="BW81" i="150" s="1"/>
  <c r="BX81" i="150" s="1"/>
  <c r="BY81" i="150" s="1"/>
  <c r="BO8" i="150"/>
  <c r="BS5" i="150"/>
  <c r="BS8" i="150" s="1"/>
  <c r="BS7" i="150"/>
  <c r="BP82" i="150"/>
  <c r="BQ82" i="150" s="1"/>
  <c r="BR82" i="150" s="1"/>
  <c r="BS82" i="150" s="1"/>
  <c r="BT82" i="150" s="1"/>
  <c r="BU82" i="150" s="1"/>
  <c r="BV82" i="150" s="1"/>
  <c r="BW82" i="150" s="1"/>
  <c r="BX82" i="150" s="1"/>
  <c r="BY82" i="150" s="1"/>
  <c r="BP8" i="150"/>
  <c r="BU5" i="150"/>
  <c r="BU8" i="150" s="1"/>
  <c r="BU7" i="150"/>
  <c r="BT5" i="150"/>
  <c r="BT8" i="150" s="1"/>
  <c r="BT7" i="150"/>
  <c r="J121" i="75"/>
  <c r="J207" i="75"/>
  <c r="AZ45" i="75"/>
  <c r="BD34" i="75"/>
  <c r="P274" i="148"/>
  <c r="P275" i="148" s="1"/>
  <c r="Y221" i="148"/>
  <c r="Y223" i="148"/>
  <c r="Y219" i="148"/>
  <c r="W216" i="148"/>
  <c r="W222" i="148" s="1"/>
  <c r="J246" i="148"/>
  <c r="J257" i="148" s="1"/>
  <c r="T67" i="148"/>
  <c r="D103" i="163"/>
  <c r="V32" i="148"/>
  <c r="V216" i="148"/>
  <c r="P57" i="148"/>
  <c r="P70" i="148" s="1"/>
  <c r="AE32" i="148"/>
  <c r="U64" i="148"/>
  <c r="D112" i="163"/>
  <c r="D170" i="163" s="1"/>
  <c r="P58" i="148"/>
  <c r="P71" i="148" s="1"/>
  <c r="J159" i="148"/>
  <c r="J137" i="148" s="1"/>
  <c r="J57" i="148"/>
  <c r="J203" i="148" s="1"/>
  <c r="Q63" i="148"/>
  <c r="Q69" i="148"/>
  <c r="W29" i="148"/>
  <c r="W28" i="148" s="1"/>
  <c r="L213" i="148"/>
  <c r="L246" i="148" s="1"/>
  <c r="L160" i="148"/>
  <c r="L138" i="148" s="1"/>
  <c r="T226" i="148"/>
  <c r="F85" i="163"/>
  <c r="F104" i="163"/>
  <c r="BJ277" i="148"/>
  <c r="BJ282" i="148" s="1"/>
  <c r="L211" i="148"/>
  <c r="L222" i="148" s="1"/>
  <c r="P62" i="148"/>
  <c r="P65" i="148"/>
  <c r="M65" i="148"/>
  <c r="L137" i="148"/>
  <c r="Q65" i="148"/>
  <c r="T210" i="148"/>
  <c r="T221" i="148" s="1"/>
  <c r="AT278" i="148"/>
  <c r="CD22" i="75" s="1"/>
  <c r="BJ278" i="148"/>
  <c r="BJ283" i="148" s="1"/>
  <c r="P67" i="148"/>
  <c r="Q185" i="148"/>
  <c r="L58" i="148"/>
  <c r="M71" i="148" s="1"/>
  <c r="D106" i="163"/>
  <c r="D85" i="163"/>
  <c r="AA32" i="148"/>
  <c r="AA216" i="148"/>
  <c r="P208" i="148"/>
  <c r="P205" i="148" s="1"/>
  <c r="M67" i="148"/>
  <c r="L209" i="148"/>
  <c r="L242" i="148" s="1"/>
  <c r="L59" i="148"/>
  <c r="M72" i="148" s="1"/>
  <c r="Y224" i="148"/>
  <c r="P155" i="148"/>
  <c r="P133" i="148" s="1"/>
  <c r="BC52" i="148"/>
  <c r="P162" i="148"/>
  <c r="Y222" i="148"/>
  <c r="L237" i="148"/>
  <c r="L248" i="148" s="1"/>
  <c r="Y226" i="148"/>
  <c r="AV18" i="148"/>
  <c r="Z58" i="148"/>
  <c r="P213" i="148"/>
  <c r="AT279" i="148"/>
  <c r="CD23" i="75" s="1"/>
  <c r="Q64" i="148"/>
  <c r="L57" i="148"/>
  <c r="L203" i="148" s="1"/>
  <c r="U62" i="148"/>
  <c r="L157" i="148"/>
  <c r="L135" i="148" s="1"/>
  <c r="L210" i="148"/>
  <c r="L221" i="148" s="1"/>
  <c r="J123" i="75"/>
  <c r="I208" i="75"/>
  <c r="AZ35" i="75"/>
  <c r="M203" i="75"/>
  <c r="AX235" i="75"/>
  <c r="BB46" i="75"/>
  <c r="AX76" i="75"/>
  <c r="AT45" i="75"/>
  <c r="AX46" i="75" s="1"/>
  <c r="AX52" i="75"/>
  <c r="G63" i="164"/>
  <c r="J274" i="148"/>
  <c r="J275" i="148" s="1"/>
  <c r="AX34" i="75"/>
  <c r="AT75" i="75"/>
  <c r="J8" i="148" s="1"/>
  <c r="F63" i="164"/>
  <c r="E118" i="164"/>
  <c r="G118" i="164"/>
  <c r="BQ5" i="150"/>
  <c r="N275" i="148"/>
  <c r="N203" i="75"/>
  <c r="BR84" i="150"/>
  <c r="BS84" i="150" s="1"/>
  <c r="BT84" i="150" s="1"/>
  <c r="BU84" i="150" s="1"/>
  <c r="BV84" i="150" s="1"/>
  <c r="BW84" i="150" s="1"/>
  <c r="BX84" i="150" s="1"/>
  <c r="BY84" i="150" s="1"/>
  <c r="AD93" i="150"/>
  <c r="AD97" i="150" s="1"/>
  <c r="L203" i="75"/>
  <c r="F208" i="75"/>
  <c r="AS93" i="150"/>
  <c r="AS97" i="150" s="1"/>
  <c r="O203" i="75"/>
  <c r="C93" i="150"/>
  <c r="AP93" i="150"/>
  <c r="AP97" i="150" s="1"/>
  <c r="AZ93" i="150"/>
  <c r="AZ96" i="150" s="1"/>
  <c r="H118" i="164"/>
  <c r="W4" i="164"/>
  <c r="AF93" i="150"/>
  <c r="AF96" i="150" s="1"/>
  <c r="AR93" i="150"/>
  <c r="AR97" i="150" s="1"/>
  <c r="H63" i="164"/>
  <c r="U13" i="164"/>
  <c r="U5" i="164"/>
  <c r="AQ93" i="150"/>
  <c r="AQ97" i="150" s="1"/>
  <c r="AE93" i="150"/>
  <c r="AX93" i="150"/>
  <c r="K203" i="75"/>
  <c r="BB32" i="150"/>
  <c r="BA93" i="150"/>
  <c r="BG93" i="150"/>
  <c r="D93" i="150"/>
  <c r="E16" i="150"/>
  <c r="D118" i="164"/>
  <c r="D63" i="164"/>
  <c r="E63" i="164"/>
  <c r="S4" i="164"/>
  <c r="BH93" i="150"/>
  <c r="V13" i="164"/>
  <c r="V5" i="164"/>
  <c r="BF93" i="150"/>
  <c r="AV93" i="150"/>
  <c r="AH16" i="150"/>
  <c r="AG93" i="150"/>
  <c r="BJ61" i="150"/>
  <c r="BI93" i="150"/>
  <c r="AW93" i="150"/>
  <c r="AU22" i="150"/>
  <c r="AU93" i="150" s="1"/>
  <c r="AT93" i="150"/>
  <c r="Q274" i="148"/>
  <c r="BA75" i="75"/>
  <c r="Q8" i="148" s="1"/>
  <c r="BA45" i="75"/>
  <c r="BB82" i="75"/>
  <c r="AY93" i="150"/>
  <c r="T58" i="148"/>
  <c r="T71" i="148" s="1"/>
  <c r="E105" i="163"/>
  <c r="E102" i="163"/>
  <c r="E12" i="164"/>
  <c r="E103" i="163"/>
  <c r="E99" i="163"/>
  <c r="E100" i="163" s="1"/>
  <c r="E112" i="163"/>
  <c r="E104" i="163"/>
  <c r="E85" i="163"/>
  <c r="Q208" i="148"/>
  <c r="Q59" i="148"/>
  <c r="Q57" i="148"/>
  <c r="Q155" i="148"/>
  <c r="P126" i="148"/>
  <c r="P124" i="148" s="1"/>
  <c r="O98" i="148"/>
  <c r="M32" i="148"/>
  <c r="M216" i="148"/>
  <c r="N189" i="148"/>
  <c r="O168" i="148"/>
  <c r="U125" i="148"/>
  <c r="T97" i="148"/>
  <c r="U212" i="148"/>
  <c r="U66" i="148"/>
  <c r="V66" i="148"/>
  <c r="BD29" i="148"/>
  <c r="BB28" i="148"/>
  <c r="Q67" i="148"/>
  <c r="F12" i="164"/>
  <c r="H56" i="164"/>
  <c r="Q212" i="148"/>
  <c r="Q66" i="148"/>
  <c r="J253" i="148"/>
  <c r="L158" i="148"/>
  <c r="M169" i="148"/>
  <c r="L190" i="148"/>
  <c r="BF291" i="148"/>
  <c r="BF294" i="148" s="1"/>
  <c r="AB294" i="148"/>
  <c r="U185" i="148"/>
  <c r="V185" i="148"/>
  <c r="U213" i="148"/>
  <c r="V67" i="148"/>
  <c r="U58" i="148"/>
  <c r="V71" i="148" s="1"/>
  <c r="U211" i="148"/>
  <c r="U65" i="148"/>
  <c r="V65" i="148"/>
  <c r="BD28" i="148"/>
  <c r="BB29" i="148"/>
  <c r="Q62" i="148"/>
  <c r="T66" i="148"/>
  <c r="T62" i="148"/>
  <c r="T162" i="148"/>
  <c r="Q58" i="148"/>
  <c r="Q215" i="148"/>
  <c r="Q226" i="148" s="1"/>
  <c r="Q162" i="148"/>
  <c r="N96" i="148"/>
  <c r="N232" i="148"/>
  <c r="V62" i="148"/>
  <c r="U208" i="148"/>
  <c r="U215" i="148"/>
  <c r="U69" i="148"/>
  <c r="V69" i="148"/>
  <c r="Q160" i="148"/>
  <c r="BC50" i="148"/>
  <c r="T69" i="148"/>
  <c r="T208" i="148"/>
  <c r="BD125" i="148"/>
  <c r="U210" i="148"/>
  <c r="V64" i="148"/>
  <c r="G232" i="148"/>
  <c r="G96" i="148"/>
  <c r="AF32" i="148"/>
  <c r="AF216" i="148"/>
  <c r="K68" i="148"/>
  <c r="BB55" i="148"/>
  <c r="L68" i="148"/>
  <c r="Z29" i="148"/>
  <c r="BF33" i="148"/>
  <c r="BF34" i="148" s="1"/>
  <c r="AF208" i="148"/>
  <c r="AF62" i="148"/>
  <c r="AG62" i="148"/>
  <c r="AF64" i="148"/>
  <c r="AG64" i="148"/>
  <c r="AF210" i="148"/>
  <c r="S226" i="148"/>
  <c r="BC55" i="148"/>
  <c r="N68" i="148"/>
  <c r="BD286" i="148"/>
  <c r="BD296" i="148"/>
  <c r="BE296" i="148"/>
  <c r="BD281" i="148"/>
  <c r="BE281" i="148"/>
  <c r="AB62" i="148"/>
  <c r="AB208" i="148"/>
  <c r="R210" i="148"/>
  <c r="BD51" i="148"/>
  <c r="R64" i="148"/>
  <c r="AA62" i="148"/>
  <c r="F241" i="163"/>
  <c r="G241" i="163" s="1"/>
  <c r="F170" i="163"/>
  <c r="M252" i="148"/>
  <c r="BB241" i="148"/>
  <c r="E189" i="148"/>
  <c r="D168" i="148"/>
  <c r="Z185" i="148"/>
  <c r="AA185" i="148"/>
  <c r="K213" i="148"/>
  <c r="K246" i="148" s="1"/>
  <c r="K160" i="148"/>
  <c r="L67" i="148"/>
  <c r="K58" i="148"/>
  <c r="K67" i="148"/>
  <c r="BB54" i="148"/>
  <c r="AF213" i="148"/>
  <c r="AF58" i="148"/>
  <c r="AF67" i="148"/>
  <c r="AG67" i="148"/>
  <c r="N62" i="148"/>
  <c r="N208" i="148"/>
  <c r="N59" i="148"/>
  <c r="N72" i="148" s="1"/>
  <c r="N57" i="148"/>
  <c r="N70" i="148" s="1"/>
  <c r="N155" i="148"/>
  <c r="N133" i="148" s="1"/>
  <c r="G113" i="163"/>
  <c r="G170" i="163"/>
  <c r="O62" i="148"/>
  <c r="AB212" i="148"/>
  <c r="AB66" i="148"/>
  <c r="R212" i="148"/>
  <c r="R223" i="148" s="1"/>
  <c r="BD53" i="148"/>
  <c r="R66" i="148"/>
  <c r="AC66" i="148"/>
  <c r="K209" i="148"/>
  <c r="L63" i="148"/>
  <c r="BB50" i="148"/>
  <c r="K59" i="148"/>
  <c r="K156" i="148"/>
  <c r="K63" i="148"/>
  <c r="K57" i="148"/>
  <c r="BB286" i="148"/>
  <c r="BC296" i="148"/>
  <c r="BC281" i="148"/>
  <c r="AB210" i="148"/>
  <c r="AB64" i="148"/>
  <c r="AR33" i="148"/>
  <c r="S187" i="148"/>
  <c r="T166" i="148"/>
  <c r="Z215" i="148"/>
  <c r="Z69" i="148"/>
  <c r="BF56" i="148"/>
  <c r="AA69" i="148"/>
  <c r="K64" i="148"/>
  <c r="L64" i="148"/>
  <c r="K210" i="148"/>
  <c r="K157" i="148"/>
  <c r="BB51" i="148"/>
  <c r="AQ276" i="148"/>
  <c r="AF68" i="148"/>
  <c r="AG68" i="148"/>
  <c r="N212" i="148"/>
  <c r="N66" i="148"/>
  <c r="BC53" i="148"/>
  <c r="N209" i="148"/>
  <c r="BC209" i="148" s="1"/>
  <c r="N63" i="148"/>
  <c r="O32" i="148"/>
  <c r="O216" i="148"/>
  <c r="O224" i="148" s="1"/>
  <c r="O205" i="148"/>
  <c r="AB215" i="148"/>
  <c r="AC69" i="148"/>
  <c r="AB69" i="148"/>
  <c r="R213" i="148"/>
  <c r="R67" i="148"/>
  <c r="BD54" i="148"/>
  <c r="R58" i="148"/>
  <c r="R62" i="148"/>
  <c r="R208" i="148"/>
  <c r="R219" i="148" s="1"/>
  <c r="R155" i="148"/>
  <c r="BD49" i="148"/>
  <c r="S224" i="148"/>
  <c r="N216" i="148"/>
  <c r="N32" i="148"/>
  <c r="K212" i="148"/>
  <c r="BB212" i="148" s="1"/>
  <c r="K66" i="148"/>
  <c r="L66" i="148"/>
  <c r="K159" i="148"/>
  <c r="K137" i="148" s="1"/>
  <c r="N210" i="148"/>
  <c r="N157" i="148"/>
  <c r="N64" i="148"/>
  <c r="O64" i="148"/>
  <c r="BC51" i="148"/>
  <c r="AP276" i="148"/>
  <c r="BF281" i="148"/>
  <c r="BF296" i="148"/>
  <c r="BF286" i="148"/>
  <c r="AB185" i="148"/>
  <c r="AC185" i="148"/>
  <c r="AC64" i="148"/>
  <c r="BY23" i="75"/>
  <c r="AS279" i="148"/>
  <c r="M245" i="148"/>
  <c r="M256" i="148" s="1"/>
  <c r="G100" i="163"/>
  <c r="S223" i="148"/>
  <c r="S219" i="148"/>
  <c r="Z210" i="148"/>
  <c r="AA64" i="148"/>
  <c r="Z64" i="148"/>
  <c r="BF51" i="148"/>
  <c r="BB33" i="148"/>
  <c r="BB34" i="148" s="1"/>
  <c r="K31" i="148"/>
  <c r="K211" i="148"/>
  <c r="K244" i="148" s="1"/>
  <c r="K158" i="148"/>
  <c r="L65" i="148"/>
  <c r="K65" i="148"/>
  <c r="BB52" i="148"/>
  <c r="BG281" i="148"/>
  <c r="BG296" i="148"/>
  <c r="BG286" i="148"/>
  <c r="AF211" i="148"/>
  <c r="AF65" i="148"/>
  <c r="AG65" i="148"/>
  <c r="N211" i="148"/>
  <c r="N65" i="148"/>
  <c r="N67" i="148"/>
  <c r="BC54" i="148"/>
  <c r="N160" i="148"/>
  <c r="N138" i="148" s="1"/>
  <c r="N213" i="148"/>
  <c r="N58" i="148"/>
  <c r="U162" i="148"/>
  <c r="V173" i="148"/>
  <c r="BD293" i="148"/>
  <c r="O63" i="148"/>
  <c r="AB67" i="148"/>
  <c r="AC67" i="148"/>
  <c r="AB213" i="148"/>
  <c r="R211" i="148"/>
  <c r="R65" i="148"/>
  <c r="BD52" i="148"/>
  <c r="R68" i="148"/>
  <c r="BD55" i="148"/>
  <c r="S68" i="148"/>
  <c r="Z208" i="148"/>
  <c r="Z62" i="148"/>
  <c r="BF49" i="148"/>
  <c r="M246" i="148"/>
  <c r="M257" i="148" s="1"/>
  <c r="O127" i="148"/>
  <c r="O138" i="148" s="1"/>
  <c r="N99" i="148"/>
  <c r="M205" i="148"/>
  <c r="Z212" i="148"/>
  <c r="Z66" i="148"/>
  <c r="BF53" i="148"/>
  <c r="M242" i="148"/>
  <c r="N29" i="148"/>
  <c r="N28" i="148" s="1"/>
  <c r="O67" i="148"/>
  <c r="Z213" i="148"/>
  <c r="Z67" i="148"/>
  <c r="BF54" i="148"/>
  <c r="K215" i="148"/>
  <c r="K162" i="148"/>
  <c r="K69" i="148"/>
  <c r="L69" i="148"/>
  <c r="BB56" i="148"/>
  <c r="BB53" i="148"/>
  <c r="AR276" i="148"/>
  <c r="S222" i="148"/>
  <c r="AD294" i="148"/>
  <c r="BG291" i="148"/>
  <c r="BG294" i="148" s="1"/>
  <c r="AA67" i="148"/>
  <c r="AF215" i="148"/>
  <c r="AG69" i="148"/>
  <c r="AF69" i="148"/>
  <c r="AF212" i="148"/>
  <c r="AF66" i="148"/>
  <c r="AG66" i="148"/>
  <c r="N215" i="148"/>
  <c r="N162" i="148"/>
  <c r="N69" i="148"/>
  <c r="BC56" i="148"/>
  <c r="L156" i="148"/>
  <c r="L188" i="148"/>
  <c r="M167" i="148"/>
  <c r="AB211" i="148"/>
  <c r="BF211" i="148" s="1"/>
  <c r="AB65" i="148"/>
  <c r="AC65" i="148"/>
  <c r="R215" i="148"/>
  <c r="R162" i="148"/>
  <c r="R69" i="148"/>
  <c r="BD56" i="148"/>
  <c r="AA66" i="148"/>
  <c r="AG185" i="148"/>
  <c r="J96" i="148"/>
  <c r="J232" i="148"/>
  <c r="J243" i="148" s="1"/>
  <c r="J254" i="148" s="1"/>
  <c r="J135" i="148"/>
  <c r="BC117" i="148"/>
  <c r="T108" i="148"/>
  <c r="T78" i="148" s="1"/>
  <c r="BZ15" i="149"/>
  <c r="AS106" i="150"/>
  <c r="AS107" i="150" s="1"/>
  <c r="AS109" i="150" s="1"/>
  <c r="Q94" i="148"/>
  <c r="BC94" i="148" s="1"/>
  <c r="BC122" i="148"/>
  <c r="AU45" i="75"/>
  <c r="AU75" i="75"/>
  <c r="K8" i="148" s="1"/>
  <c r="K274" i="148"/>
  <c r="AU35" i="75"/>
  <c r="AU82" i="75"/>
  <c r="N48" i="164"/>
  <c r="N56" i="164" s="1"/>
  <c r="V274" i="148"/>
  <c r="BF35" i="75"/>
  <c r="BF34" i="75"/>
  <c r="BF45" i="75"/>
  <c r="BF75" i="75"/>
  <c r="V8" i="148" s="1"/>
  <c r="AY45" i="75"/>
  <c r="AY34" i="75"/>
  <c r="O274" i="148"/>
  <c r="AY35" i="75"/>
  <c r="AZ82" i="75"/>
  <c r="AY75" i="75"/>
  <c r="O8" i="148" s="1"/>
  <c r="AY82" i="75"/>
  <c r="BJ45" i="75"/>
  <c r="Z274" i="148"/>
  <c r="BJ34" i="75"/>
  <c r="BJ75" i="75"/>
  <c r="Z8" i="148" s="1"/>
  <c r="P28" i="148"/>
  <c r="AZ20" i="148"/>
  <c r="AZ22" i="148" s="1"/>
  <c r="E188" i="148"/>
  <c r="D167" i="148"/>
  <c r="E190" i="148"/>
  <c r="D169" i="148"/>
  <c r="K236" i="148"/>
  <c r="K100" i="148"/>
  <c r="E9" i="164"/>
  <c r="X62" i="148"/>
  <c r="X208" i="148"/>
  <c r="Y62" i="148"/>
  <c r="BE49" i="148"/>
  <c r="X64" i="148"/>
  <c r="X210" i="148"/>
  <c r="Y64" i="148"/>
  <c r="BE51" i="148"/>
  <c r="Y65" i="148"/>
  <c r="X211" i="148"/>
  <c r="BE52" i="148"/>
  <c r="BF65" i="148" s="1"/>
  <c r="X65" i="148"/>
  <c r="AD213" i="148"/>
  <c r="AD58" i="148"/>
  <c r="AD67" i="148"/>
  <c r="BG54" i="148"/>
  <c r="AE67" i="148"/>
  <c r="H113" i="163"/>
  <c r="H170" i="163"/>
  <c r="AB31" i="148"/>
  <c r="BE33" i="148"/>
  <c r="BE34" i="148" s="1"/>
  <c r="X31" i="148"/>
  <c r="U32" i="148"/>
  <c r="U216" i="148"/>
  <c r="R160" i="148"/>
  <c r="S171" i="148"/>
  <c r="E191" i="148"/>
  <c r="D170" i="148"/>
  <c r="BD31" i="148"/>
  <c r="BD32" i="148" s="1"/>
  <c r="N191" i="148"/>
  <c r="O170" i="148"/>
  <c r="N159" i="148"/>
  <c r="X212" i="148"/>
  <c r="X66" i="148"/>
  <c r="Y66" i="148"/>
  <c r="BE53" i="148"/>
  <c r="X185" i="148"/>
  <c r="Y185" i="148"/>
  <c r="Y68" i="148"/>
  <c r="X68" i="148"/>
  <c r="BE55" i="148"/>
  <c r="AD68" i="148"/>
  <c r="AE68" i="148"/>
  <c r="BG55" i="148"/>
  <c r="AD185" i="148"/>
  <c r="AE185" i="148"/>
  <c r="AD66" i="148"/>
  <c r="AD212" i="148"/>
  <c r="BG53" i="148"/>
  <c r="AE66" i="148"/>
  <c r="BE3" i="148"/>
  <c r="BD273" i="148"/>
  <c r="BD103" i="148"/>
  <c r="BD164" i="148"/>
  <c r="BD193" i="148"/>
  <c r="L101" i="148"/>
  <c r="M129" i="148"/>
  <c r="BB129" i="148" s="1"/>
  <c r="L140" i="148"/>
  <c r="P31" i="148"/>
  <c r="BC33" i="148"/>
  <c r="BC34" i="148" s="1"/>
  <c r="X28" i="148"/>
  <c r="AB123" i="148"/>
  <c r="AA95" i="148"/>
  <c r="M137" i="148"/>
  <c r="J8" i="164"/>
  <c r="Y67" i="148"/>
  <c r="X67" i="148"/>
  <c r="X213" i="148"/>
  <c r="X58" i="148"/>
  <c r="BE54" i="148"/>
  <c r="AD69" i="148"/>
  <c r="AD215" i="148"/>
  <c r="BG56" i="148"/>
  <c r="AE69" i="148"/>
  <c r="AD65" i="148"/>
  <c r="AD211" i="148"/>
  <c r="BG52" i="148"/>
  <c r="AE65" i="148"/>
  <c r="J222" i="148"/>
  <c r="J221" i="148"/>
  <c r="J220" i="148"/>
  <c r="J219" i="148"/>
  <c r="J214" i="148"/>
  <c r="J226" i="148"/>
  <c r="J224" i="148"/>
  <c r="Z71" i="148"/>
  <c r="AA71" i="148"/>
  <c r="AN33" i="148"/>
  <c r="AN29" i="148" s="1"/>
  <c r="Q222" i="148"/>
  <c r="Q224" i="148"/>
  <c r="Q220" i="148"/>
  <c r="Q221" i="148"/>
  <c r="H8" i="164"/>
  <c r="H16" i="164" s="1"/>
  <c r="AC218" i="148"/>
  <c r="AC221" i="148"/>
  <c r="AC226" i="148"/>
  <c r="AC224" i="148"/>
  <c r="AC219" i="148"/>
  <c r="AC222" i="148"/>
  <c r="AC223" i="148"/>
  <c r="Y69" i="148"/>
  <c r="X215" i="148"/>
  <c r="X69" i="148"/>
  <c r="BE56" i="148"/>
  <c r="AE223" i="148"/>
  <c r="AE222" i="148"/>
  <c r="AE219" i="148"/>
  <c r="AE221" i="148"/>
  <c r="AD210" i="148"/>
  <c r="AD64" i="148"/>
  <c r="BG51" i="148"/>
  <c r="AE64" i="148"/>
  <c r="AD62" i="148"/>
  <c r="AD208" i="148"/>
  <c r="AE62" i="148"/>
  <c r="BG49" i="148"/>
  <c r="BH276" i="148"/>
  <c r="BH281" i="148" s="1"/>
  <c r="O96" i="148"/>
  <c r="M96" i="148"/>
  <c r="BB96" i="148" s="1"/>
  <c r="M232" i="148"/>
  <c r="M243" i="148" s="1"/>
  <c r="M254" i="148" s="1"/>
  <c r="M135" i="148"/>
  <c r="I100" i="148"/>
  <c r="BA100" i="148" s="1"/>
  <c r="I236" i="148"/>
  <c r="C236" i="148"/>
  <c r="C100" i="148"/>
  <c r="F236" i="148"/>
  <c r="F100" i="148"/>
  <c r="P88" i="148"/>
  <c r="BY18" i="149"/>
  <c r="S112" i="148"/>
  <c r="E27" i="164"/>
  <c r="BC106" i="148"/>
  <c r="R122" i="148"/>
  <c r="R82" i="148"/>
  <c r="Q116" i="148"/>
  <c r="BC116" i="148" s="1"/>
  <c r="J100" i="148"/>
  <c r="J236" i="148"/>
  <c r="J130" i="148"/>
  <c r="J102" i="148" s="1"/>
  <c r="H236" i="148"/>
  <c r="H100" i="148"/>
  <c r="C27" i="164"/>
  <c r="Q118" i="148"/>
  <c r="BC118" i="148" s="1"/>
  <c r="AF105" i="148"/>
  <c r="AF75" i="148" s="1"/>
  <c r="CL12" i="149"/>
  <c r="H130" i="148"/>
  <c r="H102" i="148" s="1"/>
  <c r="AP112" i="150"/>
  <c r="AF109" i="148"/>
  <c r="AF79" i="148" s="1"/>
  <c r="CL16" i="149"/>
  <c r="E100" i="148"/>
  <c r="AZ100" i="148" s="1"/>
  <c r="E236" i="148"/>
  <c r="B236" i="148"/>
  <c r="B100" i="148"/>
  <c r="BR26" i="75"/>
  <c r="BS6" i="75" s="1"/>
  <c r="BI279" i="148"/>
  <c r="BI284" i="148" s="1"/>
  <c r="R136" i="75"/>
  <c r="R137" i="75" s="1"/>
  <c r="T126" i="75"/>
  <c r="AI291" i="148"/>
  <c r="BU21" i="75"/>
  <c r="AK291" i="148"/>
  <c r="BV21" i="75"/>
  <c r="BV26" i="75" s="1"/>
  <c r="BW24" i="75"/>
  <c r="AM276" i="148"/>
  <c r="AM285" i="148"/>
  <c r="AN280" i="148"/>
  <c r="AR285" i="148" s="1"/>
  <c r="AO292" i="148"/>
  <c r="AL291" i="148"/>
  <c r="I118" i="164"/>
  <c r="X4" i="164"/>
  <c r="AN231" i="75"/>
  <c r="BL75" i="150"/>
  <c r="CS11" i="150"/>
  <c r="CS4" i="150"/>
  <c r="BB231" i="148"/>
  <c r="AR114" i="150"/>
  <c r="S110" i="148"/>
  <c r="S80" i="148" s="1"/>
  <c r="BY17" i="149"/>
  <c r="AE104" i="148"/>
  <c r="CK11" i="149"/>
  <c r="BA233" i="148"/>
  <c r="BA237" i="148"/>
  <c r="D130" i="148"/>
  <c r="D102" i="148" s="1"/>
  <c r="D232" i="148"/>
  <c r="D96" i="148"/>
  <c r="AE75" i="148"/>
  <c r="BB235" i="148"/>
  <c r="I96" i="148"/>
  <c r="BA96" i="148" s="1"/>
  <c r="I232" i="148"/>
  <c r="I130" i="148"/>
  <c r="I102" i="148" s="1"/>
  <c r="BA102" i="148" s="1"/>
  <c r="R80" i="148"/>
  <c r="F232" i="148"/>
  <c r="F130" i="148"/>
  <c r="F96" i="148"/>
  <c r="BA124" i="148"/>
  <c r="G100" i="148"/>
  <c r="G236" i="148"/>
  <c r="BA128" i="148"/>
  <c r="B232" i="148"/>
  <c r="B96" i="148"/>
  <c r="B130" i="148"/>
  <c r="AZ124" i="148"/>
  <c r="AZ237" i="148"/>
  <c r="C232" i="148"/>
  <c r="C96" i="148"/>
  <c r="C130" i="148"/>
  <c r="C102" i="148" s="1"/>
  <c r="L100" i="148"/>
  <c r="L236" i="148"/>
  <c r="E96" i="148"/>
  <c r="AZ96" i="148" s="1"/>
  <c r="E130" i="148"/>
  <c r="E102" i="148" s="1"/>
  <c r="AZ102" i="148" s="1"/>
  <c r="E232" i="148"/>
  <c r="BB233" i="148"/>
  <c r="BB20" i="148"/>
  <c r="BB22" i="148" s="1"/>
  <c r="L130" i="148"/>
  <c r="L102" i="148" s="1"/>
  <c r="R76" i="148"/>
  <c r="R116" i="148"/>
  <c r="R118" i="148"/>
  <c r="BZ14" i="149"/>
  <c r="T107" i="148"/>
  <c r="BY13" i="149"/>
  <c r="BX32" i="149"/>
  <c r="S106" i="148"/>
  <c r="BA234" i="148"/>
  <c r="BA235" i="148"/>
  <c r="AZ233" i="148"/>
  <c r="BA20" i="148"/>
  <c r="BA22" i="148" s="1"/>
  <c r="F22" i="148"/>
  <c r="AD83" i="148"/>
  <c r="AD74" i="148"/>
  <c r="BA231" i="148"/>
  <c r="S77" i="148"/>
  <c r="S117" i="148"/>
  <c r="AZ234" i="148"/>
  <c r="AZ128" i="148"/>
  <c r="D236" i="148"/>
  <c r="D100" i="148"/>
  <c r="O22" i="148"/>
  <c r="R87" i="148"/>
  <c r="AE113" i="148"/>
  <c r="AE83" i="148" s="1"/>
  <c r="CK19" i="149"/>
  <c r="G130" i="148"/>
  <c r="G102" i="148" s="1"/>
  <c r="BB234" i="148"/>
  <c r="K96" i="148"/>
  <c r="K130" i="148"/>
  <c r="K232" i="148"/>
  <c r="BB124" i="148"/>
  <c r="AZ231" i="148"/>
  <c r="AZ235" i="148"/>
  <c r="I100" i="163"/>
  <c r="I170" i="163"/>
  <c r="I113" i="163"/>
  <c r="CG4" i="75"/>
  <c r="R42" i="75" s="1"/>
  <c r="N41" i="75"/>
  <c r="P25" i="75"/>
  <c r="T21" i="75"/>
  <c r="K12" i="75"/>
  <c r="N38" i="75"/>
  <c r="T51" i="77"/>
  <c r="T29" i="77"/>
  <c r="AB34" i="77"/>
  <c r="N34" i="77"/>
  <c r="N51" i="77"/>
  <c r="N52" i="77" s="1"/>
  <c r="AB51" i="77"/>
  <c r="P51" i="77"/>
  <c r="P53" i="77" s="1"/>
  <c r="AC34" i="77"/>
  <c r="P34" i="77"/>
  <c r="AC51" i="77"/>
  <c r="AC63" i="77" s="1"/>
  <c r="AA51" i="77"/>
  <c r="AA53" i="77" s="1"/>
  <c r="S51" i="77"/>
  <c r="R34" i="77"/>
  <c r="R51" i="77"/>
  <c r="O34" i="77"/>
  <c r="O29" i="77"/>
  <c r="O51" i="77"/>
  <c r="Q29" i="77"/>
  <c r="Q51" i="77"/>
  <c r="Q34" i="77"/>
  <c r="H235" i="75"/>
  <c r="M34" i="77"/>
  <c r="M51" i="77"/>
  <c r="M29" i="77"/>
  <c r="AP149" i="150" l="1"/>
  <c r="BA35" i="75"/>
  <c r="U270" i="77"/>
  <c r="G91" i="164"/>
  <c r="BG61" i="148"/>
  <c r="D34" i="163"/>
  <c r="D26" i="163" s="1"/>
  <c r="AC71" i="148"/>
  <c r="CB21" i="75"/>
  <c r="O21" i="75"/>
  <c r="M49" i="75"/>
  <c r="M170" i="75" s="1"/>
  <c r="M48" i="75"/>
  <c r="G15" i="157" s="1"/>
  <c r="G47" i="157" s="1"/>
  <c r="T23" i="75"/>
  <c r="L13" i="75"/>
  <c r="L43" i="75"/>
  <c r="BR31" i="75"/>
  <c r="F91" i="164"/>
  <c r="Q72" i="148"/>
  <c r="J256" i="148"/>
  <c r="H41" i="75"/>
  <c r="K25" i="75"/>
  <c r="P24" i="75"/>
  <c r="BF68" i="148"/>
  <c r="BD62" i="148"/>
  <c r="W303" i="77"/>
  <c r="F194" i="75" s="1"/>
  <c r="W304" i="77" s="1"/>
  <c r="L50" i="75"/>
  <c r="O25" i="75"/>
  <c r="J48" i="75"/>
  <c r="D44" i="163" s="1"/>
  <c r="AV75" i="75"/>
  <c r="L8" i="148" s="1"/>
  <c r="L274" i="148"/>
  <c r="AV45" i="75"/>
  <c r="AV83" i="75" s="1"/>
  <c r="AV35" i="75"/>
  <c r="BG33" i="75"/>
  <c r="BG29" i="75"/>
  <c r="BG28" i="75"/>
  <c r="BG74" i="75"/>
  <c r="M70" i="148"/>
  <c r="BG154" i="148"/>
  <c r="BG144" i="148" s="1"/>
  <c r="BG132" i="148" s="1"/>
  <c r="BC82" i="75"/>
  <c r="BC35" i="75"/>
  <c r="S274" i="148"/>
  <c r="BC75" i="75"/>
  <c r="S8" i="148" s="1"/>
  <c r="BC45" i="75"/>
  <c r="M274" i="148"/>
  <c r="AW45" i="75"/>
  <c r="AW75" i="75"/>
  <c r="M8" i="148" s="1"/>
  <c r="AW35" i="75"/>
  <c r="AX82" i="75"/>
  <c r="AW82" i="75"/>
  <c r="BK31" i="75"/>
  <c r="BK27" i="75" s="1"/>
  <c r="BO32" i="75"/>
  <c r="T42" i="75"/>
  <c r="T172" i="75" s="1"/>
  <c r="BE28" i="148"/>
  <c r="P72" i="148"/>
  <c r="J205" i="148"/>
  <c r="BA34" i="75"/>
  <c r="D96" i="163"/>
  <c r="L140" i="75"/>
  <c r="K144" i="75"/>
  <c r="M267" i="148"/>
  <c r="J161" i="148"/>
  <c r="J139" i="148" s="1"/>
  <c r="L9" i="75"/>
  <c r="F5" i="157" s="1"/>
  <c r="N50" i="75"/>
  <c r="J223" i="148"/>
  <c r="BE29" i="148"/>
  <c r="J142" i="148"/>
  <c r="L244" i="148"/>
  <c r="V270" i="77"/>
  <c r="W255" i="77"/>
  <c r="AV82" i="75"/>
  <c r="W197" i="77"/>
  <c r="F142" i="75"/>
  <c r="F144" i="75" s="1"/>
  <c r="R172" i="75"/>
  <c r="R108" i="75"/>
  <c r="BE33" i="75"/>
  <c r="BE28" i="75"/>
  <c r="BE29" i="75"/>
  <c r="BE74" i="75"/>
  <c r="W246" i="77"/>
  <c r="P37" i="75"/>
  <c r="R41" i="75"/>
  <c r="R43" i="75"/>
  <c r="Q42" i="75"/>
  <c r="U309" i="77"/>
  <c r="W289" i="77"/>
  <c r="Q13" i="75"/>
  <c r="P38" i="75"/>
  <c r="P103" i="75" s="1"/>
  <c r="Q40" i="75"/>
  <c r="S43" i="75"/>
  <c r="D117" i="75"/>
  <c r="E95" i="75"/>
  <c r="E96" i="75" s="1"/>
  <c r="D159" i="75"/>
  <c r="D206" i="75"/>
  <c r="D207" i="75" s="1"/>
  <c r="D184" i="75"/>
  <c r="BG153" i="148"/>
  <c r="Q23" i="75"/>
  <c r="BF58" i="148"/>
  <c r="Q22" i="75"/>
  <c r="T309" i="77"/>
  <c r="T311" i="77"/>
  <c r="U247" i="77"/>
  <c r="D228" i="75"/>
  <c r="BN29" i="75"/>
  <c r="BN74" i="75"/>
  <c r="BN33" i="75"/>
  <c r="BN28" i="75"/>
  <c r="U301" i="77"/>
  <c r="D190" i="75"/>
  <c r="D193" i="75" s="1"/>
  <c r="W267" i="77"/>
  <c r="W257" i="77"/>
  <c r="W261" i="77"/>
  <c r="W272" i="77"/>
  <c r="E117" i="75"/>
  <c r="F95" i="75"/>
  <c r="F96" i="75" s="1"/>
  <c r="E159" i="75"/>
  <c r="J255" i="148"/>
  <c r="S13" i="75"/>
  <c r="R40" i="75"/>
  <c r="R173" i="75" s="1"/>
  <c r="R13" i="75"/>
  <c r="BH33" i="75"/>
  <c r="BH29" i="75"/>
  <c r="BH74" i="75"/>
  <c r="BH28" i="75"/>
  <c r="I8" i="164"/>
  <c r="J16" i="164" s="1"/>
  <c r="X81" i="77"/>
  <c r="X208" i="77"/>
  <c r="X8" i="77"/>
  <c r="H2" i="142"/>
  <c r="H1" i="142" s="1"/>
  <c r="X272" i="77" s="1"/>
  <c r="BZ32" i="75"/>
  <c r="W281" i="77"/>
  <c r="W117" i="77"/>
  <c r="W120" i="77" s="1"/>
  <c r="W290" i="77"/>
  <c r="W279" i="77"/>
  <c r="F188" i="75" s="1"/>
  <c r="BF153" i="148"/>
  <c r="BF144" i="148"/>
  <c r="BF132" i="148" s="1"/>
  <c r="BD35" i="75"/>
  <c r="BD75" i="75"/>
  <c r="T8" i="148" s="1"/>
  <c r="T274" i="148"/>
  <c r="BD82" i="75"/>
  <c r="BD45" i="75"/>
  <c r="BD46" i="75" s="1"/>
  <c r="S24" i="75"/>
  <c r="O37" i="75"/>
  <c r="BL31" i="75"/>
  <c r="BL27" i="75" s="1"/>
  <c r="BP32" i="75"/>
  <c r="S42" i="75"/>
  <c r="O9" i="75"/>
  <c r="BD216" i="148"/>
  <c r="Q25" i="75"/>
  <c r="U218" i="148"/>
  <c r="BE61" i="148"/>
  <c r="W168" i="77"/>
  <c r="W169" i="77" s="1"/>
  <c r="W102" i="77"/>
  <c r="W112" i="77" s="1"/>
  <c r="W306" i="77"/>
  <c r="F196" i="75" s="1"/>
  <c r="O38" i="75"/>
  <c r="O39" i="75" s="1"/>
  <c r="S41" i="75"/>
  <c r="S40" i="75"/>
  <c r="S173" i="75" s="1"/>
  <c r="R50" i="75"/>
  <c r="K245" i="148"/>
  <c r="K256" i="148" s="1"/>
  <c r="BM32" i="75"/>
  <c r="BI31" i="75"/>
  <c r="BI27" i="75" s="1"/>
  <c r="H66" i="75"/>
  <c r="Y6" i="77"/>
  <c r="I5" i="75"/>
  <c r="H167" i="75"/>
  <c r="H7" i="75"/>
  <c r="H112" i="75"/>
  <c r="E228" i="75"/>
  <c r="V247" i="77"/>
  <c r="E198" i="75"/>
  <c r="V309" i="77" s="1"/>
  <c r="R240" i="148"/>
  <c r="W260" i="77"/>
  <c r="W283" i="77"/>
  <c r="W287" i="77" s="1"/>
  <c r="W266" i="77"/>
  <c r="W253" i="77"/>
  <c r="F181" i="75" s="1"/>
  <c r="Q41" i="75"/>
  <c r="R24" i="75"/>
  <c r="P9" i="75"/>
  <c r="BF165" i="148"/>
  <c r="Q43" i="75"/>
  <c r="S50" i="75"/>
  <c r="BT86" i="150"/>
  <c r="BU86" i="150" s="1"/>
  <c r="BV86" i="150" s="1"/>
  <c r="BW86" i="150" s="1"/>
  <c r="BX86" i="150" s="1"/>
  <c r="BY86" i="150" s="1"/>
  <c r="CD21" i="75"/>
  <c r="CD26" i="75" s="1"/>
  <c r="M56" i="164"/>
  <c r="CF21" i="75"/>
  <c r="CF26" i="75" s="1"/>
  <c r="CA26" i="75"/>
  <c r="AU276" i="148"/>
  <c r="AU291" i="148" s="1"/>
  <c r="CE26" i="75"/>
  <c r="AV276" i="148"/>
  <c r="AV291" i="148" s="1"/>
  <c r="CB26" i="75"/>
  <c r="AW279" i="148"/>
  <c r="AW276" i="148" s="1"/>
  <c r="CC23" i="75"/>
  <c r="R23" i="75" s="1"/>
  <c r="R22" i="75"/>
  <c r="CG22" i="75"/>
  <c r="BK278" i="148"/>
  <c r="BK283" i="148" s="1"/>
  <c r="R25" i="75"/>
  <c r="BK277" i="148"/>
  <c r="BK282" i="148" s="1"/>
  <c r="CG25" i="75"/>
  <c r="BU87" i="150"/>
  <c r="BV87" i="150" s="1"/>
  <c r="BW87" i="150" s="1"/>
  <c r="BX87" i="150" s="1"/>
  <c r="BY87" i="150" s="1"/>
  <c r="AS116" i="150"/>
  <c r="AT116" i="150" s="1"/>
  <c r="AU116" i="150" s="1"/>
  <c r="AV116" i="150" s="1"/>
  <c r="AW116" i="150" s="1"/>
  <c r="AX116" i="150" s="1"/>
  <c r="AY116" i="150" s="1"/>
  <c r="AZ116" i="150" s="1"/>
  <c r="BA116" i="150" s="1"/>
  <c r="BB116" i="150" s="1"/>
  <c r="BC116" i="150" s="1"/>
  <c r="BD116" i="150" s="1"/>
  <c r="BE116" i="150" s="1"/>
  <c r="BF116" i="150" s="1"/>
  <c r="BG116" i="150" s="1"/>
  <c r="BH116" i="150" s="1"/>
  <c r="BI116" i="150" s="1"/>
  <c r="BJ116" i="150" s="1"/>
  <c r="BK116" i="150" s="1"/>
  <c r="BL116" i="150" s="1"/>
  <c r="BM116" i="150" s="1"/>
  <c r="BN116" i="150" s="1"/>
  <c r="BO116" i="150" s="1"/>
  <c r="BP116" i="150" s="1"/>
  <c r="BQ116" i="150" s="1"/>
  <c r="BR116" i="150" s="1"/>
  <c r="BS116" i="150" s="1"/>
  <c r="BT116" i="150" s="1"/>
  <c r="AS11" i="150"/>
  <c r="AS12" i="150" s="1"/>
  <c r="BQ83" i="150"/>
  <c r="BR83" i="150" s="1"/>
  <c r="BS83" i="150" s="1"/>
  <c r="BT83" i="150" s="1"/>
  <c r="BU83" i="150" s="1"/>
  <c r="BV83" i="150" s="1"/>
  <c r="BW83" i="150" s="1"/>
  <c r="BX83" i="150" s="1"/>
  <c r="BY83" i="150" s="1"/>
  <c r="BQ8" i="150"/>
  <c r="BS85" i="150"/>
  <c r="BT85" i="150" s="1"/>
  <c r="BU85" i="150" s="1"/>
  <c r="BV85" i="150" s="1"/>
  <c r="BW85" i="150" s="1"/>
  <c r="BX85" i="150" s="1"/>
  <c r="BY85" i="150" s="1"/>
  <c r="J120" i="75"/>
  <c r="AX78" i="75"/>
  <c r="N4" i="148"/>
  <c r="AZ77" i="75"/>
  <c r="AZ52" i="75"/>
  <c r="AZ56" i="75" s="1"/>
  <c r="AZ235" i="75"/>
  <c r="AZ76" i="75"/>
  <c r="AX56" i="75"/>
  <c r="BB86" i="75" s="1"/>
  <c r="R6" i="148" s="1"/>
  <c r="AX57" i="75"/>
  <c r="BB53" i="75"/>
  <c r="AX54" i="75"/>
  <c r="W221" i="148"/>
  <c r="V221" i="148"/>
  <c r="V226" i="148"/>
  <c r="V223" i="148"/>
  <c r="V222" i="148"/>
  <c r="V219" i="148"/>
  <c r="W226" i="148"/>
  <c r="W219" i="148"/>
  <c r="BD213" i="148"/>
  <c r="BD200" i="148" s="1"/>
  <c r="Q71" i="148"/>
  <c r="Q70" i="148"/>
  <c r="W224" i="148"/>
  <c r="BD162" i="148"/>
  <c r="BC65" i="148"/>
  <c r="BB157" i="148"/>
  <c r="BB168" i="148" s="1"/>
  <c r="BB189" i="148" s="1"/>
  <c r="W223" i="148"/>
  <c r="BD215" i="148"/>
  <c r="BD202" i="148" s="1"/>
  <c r="O70" i="148"/>
  <c r="BC208" i="148"/>
  <c r="BJ279" i="148"/>
  <c r="BJ284" i="148" s="1"/>
  <c r="V224" i="148"/>
  <c r="AA221" i="148"/>
  <c r="AA222" i="148"/>
  <c r="AA226" i="148"/>
  <c r="AA219" i="148"/>
  <c r="L224" i="148"/>
  <c r="BD210" i="148"/>
  <c r="L243" i="148"/>
  <c r="L254" i="148" s="1"/>
  <c r="M265" i="148" s="1"/>
  <c r="AO280" i="148"/>
  <c r="AS285" i="148" s="1"/>
  <c r="BC59" i="148"/>
  <c r="R221" i="148"/>
  <c r="AA223" i="148"/>
  <c r="Q214" i="148"/>
  <c r="Q204" i="148" s="1"/>
  <c r="AV33" i="148"/>
  <c r="AV29" i="148" s="1"/>
  <c r="AA224" i="148"/>
  <c r="Q219" i="148"/>
  <c r="BC162" i="148"/>
  <c r="BC173" i="148" s="1"/>
  <c r="BC155" i="148"/>
  <c r="BC166" i="148" s="1"/>
  <c r="BC187" i="148" s="1"/>
  <c r="K135" i="148"/>
  <c r="BC28" i="148"/>
  <c r="AF226" i="148"/>
  <c r="BD211" i="148"/>
  <c r="BD198" i="148" s="1"/>
  <c r="J247" i="148"/>
  <c r="J258" i="148" s="1"/>
  <c r="N203" i="148"/>
  <c r="E10" i="164"/>
  <c r="E107" i="163" s="1"/>
  <c r="L205" i="148"/>
  <c r="L220" i="148"/>
  <c r="L214" i="148"/>
  <c r="AT276" i="148"/>
  <c r="AT76" i="75"/>
  <c r="BY91" i="150"/>
  <c r="BW89" i="150"/>
  <c r="BX89" i="150" s="1"/>
  <c r="BY89" i="150" s="1"/>
  <c r="AT83" i="75"/>
  <c r="AT46" i="75"/>
  <c r="AT235" i="75"/>
  <c r="AT77" i="75"/>
  <c r="AT52" i="75"/>
  <c r="BX90" i="150"/>
  <c r="BY90" i="150" s="1"/>
  <c r="AR29" i="148"/>
  <c r="AZ97" i="150"/>
  <c r="AS96" i="150"/>
  <c r="AR96" i="150"/>
  <c r="AD96" i="150"/>
  <c r="AQ96" i="150"/>
  <c r="CM109" i="150"/>
  <c r="AP96" i="150"/>
  <c r="AF97" i="150"/>
  <c r="AE96" i="150"/>
  <c r="AE97" i="150"/>
  <c r="W13" i="164"/>
  <c r="W5" i="164"/>
  <c r="AU96" i="150"/>
  <c r="AU97" i="150"/>
  <c r="AW96" i="150"/>
  <c r="AW97" i="150"/>
  <c r="E93" i="150"/>
  <c r="F16" i="150"/>
  <c r="AY96" i="150"/>
  <c r="AY97" i="150"/>
  <c r="Q275" i="148"/>
  <c r="BI97" i="150"/>
  <c r="BI96" i="150"/>
  <c r="AV96" i="150"/>
  <c r="AV97" i="150"/>
  <c r="BA96" i="150"/>
  <c r="BA97" i="150"/>
  <c r="AX96" i="150"/>
  <c r="AX97" i="150"/>
  <c r="BK61" i="150"/>
  <c r="BJ93" i="150"/>
  <c r="BH97" i="150"/>
  <c r="BH96" i="150"/>
  <c r="BC32" i="150"/>
  <c r="BB93" i="150"/>
  <c r="AG97" i="150"/>
  <c r="AG96" i="150"/>
  <c r="S13" i="164"/>
  <c r="T5" i="164"/>
  <c r="S5" i="164"/>
  <c r="BG96" i="150"/>
  <c r="BG97" i="150"/>
  <c r="BA76" i="75"/>
  <c r="BA52" i="75"/>
  <c r="BA83" i="75"/>
  <c r="BA77" i="75"/>
  <c r="BB83" i="75"/>
  <c r="BA235" i="75"/>
  <c r="AI16" i="150"/>
  <c r="AH93" i="150"/>
  <c r="BF97" i="150"/>
  <c r="BF96" i="150"/>
  <c r="AT96" i="150"/>
  <c r="AT97" i="150"/>
  <c r="Q223" i="148"/>
  <c r="M219" i="148"/>
  <c r="M223" i="148"/>
  <c r="M226" i="148"/>
  <c r="M203" i="148"/>
  <c r="M222" i="148"/>
  <c r="M224" i="148"/>
  <c r="R222" i="148"/>
  <c r="Q133" i="148"/>
  <c r="F100" i="163"/>
  <c r="M190" i="148"/>
  <c r="N169" i="148"/>
  <c r="M158" i="148"/>
  <c r="BB158" i="148" s="1"/>
  <c r="AF222" i="148"/>
  <c r="AF221" i="148"/>
  <c r="BC57" i="148"/>
  <c r="R224" i="148"/>
  <c r="AF223" i="148"/>
  <c r="L136" i="148"/>
  <c r="L255" i="148"/>
  <c r="V125" i="148"/>
  <c r="U97" i="148"/>
  <c r="BD97" i="148" s="1"/>
  <c r="Q205" i="148"/>
  <c r="BC63" i="148"/>
  <c r="U71" i="148"/>
  <c r="BD212" i="148"/>
  <c r="BD199" i="148" s="1"/>
  <c r="M214" i="148"/>
  <c r="Q126" i="148"/>
  <c r="Q124" i="148" s="1"/>
  <c r="Q96" i="148" s="1"/>
  <c r="BC96" i="148" s="1"/>
  <c r="P98" i="148"/>
  <c r="M221" i="148"/>
  <c r="E170" i="163"/>
  <c r="E113" i="163"/>
  <c r="Q203" i="148"/>
  <c r="R226" i="148"/>
  <c r="F113" i="163"/>
  <c r="AF224" i="148"/>
  <c r="T219" i="148"/>
  <c r="O157" i="148"/>
  <c r="O135" i="148" s="1"/>
  <c r="P168" i="148"/>
  <c r="O189" i="148"/>
  <c r="M220" i="148"/>
  <c r="BD69" i="148"/>
  <c r="BC69" i="148"/>
  <c r="N222" i="148"/>
  <c r="N244" i="148"/>
  <c r="S71" i="148"/>
  <c r="R71" i="148"/>
  <c r="BC212" i="148"/>
  <c r="BC199" i="148" s="1"/>
  <c r="N223" i="148"/>
  <c r="L70" i="148"/>
  <c r="K70" i="148"/>
  <c r="BB57" i="148"/>
  <c r="BB44" i="148" s="1"/>
  <c r="Z28" i="148"/>
  <c r="BF29" i="148"/>
  <c r="N167" i="148"/>
  <c r="M188" i="148"/>
  <c r="M156" i="148"/>
  <c r="BB156" i="148" s="1"/>
  <c r="BB167" i="148" s="1"/>
  <c r="BB188" i="148" s="1"/>
  <c r="BF212" i="148"/>
  <c r="BF208" i="148"/>
  <c r="K136" i="148"/>
  <c r="AP291" i="148"/>
  <c r="AP281" i="148"/>
  <c r="F9" i="164"/>
  <c r="F106" i="163" s="1"/>
  <c r="F96" i="163" s="1"/>
  <c r="BD67" i="148"/>
  <c r="N205" i="148"/>
  <c r="N219" i="148"/>
  <c r="K257" i="148"/>
  <c r="K268" i="148" s="1"/>
  <c r="BB213" i="148"/>
  <c r="BB200" i="148" s="1"/>
  <c r="BC68" i="148"/>
  <c r="BU26" i="75"/>
  <c r="N214" i="148"/>
  <c r="N204" i="148" s="1"/>
  <c r="N224" i="148"/>
  <c r="BC213" i="148"/>
  <c r="BC210" i="148"/>
  <c r="BC197" i="148" s="1"/>
  <c r="N221" i="148"/>
  <c r="BF215" i="148"/>
  <c r="BB209" i="148"/>
  <c r="K205" i="148"/>
  <c r="K138" i="148"/>
  <c r="BB160" i="148"/>
  <c r="BB138" i="148" s="1"/>
  <c r="BC211" i="148"/>
  <c r="BC198" i="148" s="1"/>
  <c r="BD65" i="148"/>
  <c r="BC29" i="148"/>
  <c r="BD173" i="148"/>
  <c r="AR291" i="148"/>
  <c r="BB162" i="148"/>
  <c r="BB140" i="148" s="1"/>
  <c r="K140" i="148"/>
  <c r="N245" i="148"/>
  <c r="N256" i="148" s="1"/>
  <c r="N267" i="148" s="1"/>
  <c r="BC67" i="148"/>
  <c r="BC58" i="148"/>
  <c r="BB211" i="148"/>
  <c r="BB198" i="148" s="1"/>
  <c r="BF210" i="148"/>
  <c r="BC64" i="148"/>
  <c r="AQ291" i="148"/>
  <c r="AQ281" i="148"/>
  <c r="K134" i="148"/>
  <c r="K161" i="148"/>
  <c r="K141" i="148" s="1"/>
  <c r="K142" i="148"/>
  <c r="AG71" i="148"/>
  <c r="AF71" i="148"/>
  <c r="BB58" i="148"/>
  <c r="D79" i="164"/>
  <c r="BB252" i="148"/>
  <c r="BD64" i="148"/>
  <c r="L253" i="148"/>
  <c r="L142" i="148"/>
  <c r="L134" i="148"/>
  <c r="L161" i="148"/>
  <c r="N226" i="148"/>
  <c r="BC215" i="148"/>
  <c r="BB215" i="148"/>
  <c r="BB202" i="148" s="1"/>
  <c r="W173" i="148"/>
  <c r="V162" i="148"/>
  <c r="K216" i="148"/>
  <c r="K226" i="148" s="1"/>
  <c r="K32" i="148"/>
  <c r="BB31" i="148"/>
  <c r="BB32" i="148" s="1"/>
  <c r="K248" i="148"/>
  <c r="K259" i="148" s="1"/>
  <c r="K270" i="148" s="1"/>
  <c r="BD208" i="148"/>
  <c r="N220" i="148"/>
  <c r="N242" i="148"/>
  <c r="K72" i="148"/>
  <c r="L72" i="148"/>
  <c r="J172" i="148"/>
  <c r="J141" i="148"/>
  <c r="K242" i="148"/>
  <c r="K253" i="148" s="1"/>
  <c r="BH291" i="148"/>
  <c r="BC160" i="148"/>
  <c r="BC171" i="148" s="1"/>
  <c r="O99" i="148"/>
  <c r="P127" i="148"/>
  <c r="H9" i="164"/>
  <c r="H106" i="163" s="1"/>
  <c r="BD58" i="148"/>
  <c r="BD68" i="148"/>
  <c r="BB159" i="148"/>
  <c r="O222" i="148"/>
  <c r="O214" i="148"/>
  <c r="O220" i="148"/>
  <c r="O219" i="148"/>
  <c r="O221" i="148"/>
  <c r="O226" i="148"/>
  <c r="O203" i="148"/>
  <c r="O223" i="148"/>
  <c r="BC66" i="148"/>
  <c r="BB59" i="148"/>
  <c r="D10" i="164"/>
  <c r="D107" i="163" s="1"/>
  <c r="BD66" i="148"/>
  <c r="AS276" i="148"/>
  <c r="BJ276" i="148" s="1"/>
  <c r="K71" i="148"/>
  <c r="L71" i="148"/>
  <c r="BD197" i="148"/>
  <c r="O72" i="148"/>
  <c r="AF219" i="148"/>
  <c r="BF213" i="148"/>
  <c r="N246" i="148"/>
  <c r="N257" i="148" s="1"/>
  <c r="N268" i="148" s="1"/>
  <c r="N71" i="148"/>
  <c r="O71" i="148"/>
  <c r="N135" i="148"/>
  <c r="BB210" i="148"/>
  <c r="T155" i="148"/>
  <c r="T187" i="148"/>
  <c r="U166" i="148"/>
  <c r="BB199" i="148"/>
  <c r="N241" i="148"/>
  <c r="N252" i="148" s="1"/>
  <c r="N263" i="148" s="1"/>
  <c r="D189" i="148"/>
  <c r="C168" i="148"/>
  <c r="H241" i="163"/>
  <c r="Q241" i="163"/>
  <c r="G169" i="163"/>
  <c r="N243" i="148"/>
  <c r="N254" i="148" s="1"/>
  <c r="N265" i="148" s="1"/>
  <c r="BH296" i="148"/>
  <c r="Q88" i="148"/>
  <c r="BC88" i="148" s="1"/>
  <c r="E25" i="164"/>
  <c r="U108" i="148"/>
  <c r="U78" i="148" s="1"/>
  <c r="BD78" i="148" s="1"/>
  <c r="CA15" i="149"/>
  <c r="BJ77" i="75"/>
  <c r="BJ46" i="75"/>
  <c r="BJ52" i="75"/>
  <c r="BJ76" i="75"/>
  <c r="AU76" i="75"/>
  <c r="AU235" i="75"/>
  <c r="AU83" i="75"/>
  <c r="AU46" i="75"/>
  <c r="AU77" i="75"/>
  <c r="AU52" i="75"/>
  <c r="O275" i="148"/>
  <c r="BC274" i="148"/>
  <c r="AY46" i="75"/>
  <c r="AY235" i="75"/>
  <c r="AY76" i="75"/>
  <c r="AY77" i="75"/>
  <c r="AY52" i="75"/>
  <c r="AY83" i="75"/>
  <c r="AZ83" i="75"/>
  <c r="V275" i="148"/>
  <c r="K275" i="148"/>
  <c r="BC46" i="75"/>
  <c r="Z275" i="148"/>
  <c r="BF46" i="75"/>
  <c r="BF76" i="75"/>
  <c r="BF77" i="75"/>
  <c r="BE69" i="148"/>
  <c r="BF69" i="148"/>
  <c r="BF198" i="148"/>
  <c r="J225" i="148"/>
  <c r="J204" i="148"/>
  <c r="J201" i="148"/>
  <c r="Y71" i="148"/>
  <c r="X71" i="148"/>
  <c r="N137" i="148"/>
  <c r="X216" i="148"/>
  <c r="X32" i="148"/>
  <c r="BE31" i="148"/>
  <c r="BE32" i="148" s="1"/>
  <c r="AB216" i="148"/>
  <c r="AB32" i="148"/>
  <c r="BG67" i="148"/>
  <c r="BG58" i="148"/>
  <c r="BE210" i="148"/>
  <c r="C169" i="148"/>
  <c r="D190" i="148"/>
  <c r="I9" i="164"/>
  <c r="R22" i="164" s="1"/>
  <c r="BG62" i="148"/>
  <c r="BG64" i="148"/>
  <c r="BC195" i="148"/>
  <c r="E34" i="163"/>
  <c r="E26" i="163" s="1"/>
  <c r="H105" i="163"/>
  <c r="BG65" i="148"/>
  <c r="BE213" i="148"/>
  <c r="AC123" i="148"/>
  <c r="BF123" i="148" s="1"/>
  <c r="AB95" i="148"/>
  <c r="P216" i="148"/>
  <c r="BC31" i="148"/>
  <c r="BC32" i="148" s="1"/>
  <c r="P32" i="148"/>
  <c r="BG68" i="148"/>
  <c r="BE68" i="148"/>
  <c r="O191" i="148"/>
  <c r="O159" i="148"/>
  <c r="P170" i="148"/>
  <c r="S160" i="148"/>
  <c r="T171" i="148"/>
  <c r="BG69" i="148"/>
  <c r="BE67" i="148"/>
  <c r="BE58" i="148"/>
  <c r="BF67" i="148"/>
  <c r="BF3" i="148"/>
  <c r="BE193" i="148"/>
  <c r="BE273" i="148"/>
  <c r="BE164" i="148"/>
  <c r="BE103" i="148"/>
  <c r="U222" i="148"/>
  <c r="U224" i="148"/>
  <c r="U223" i="148"/>
  <c r="U221" i="148"/>
  <c r="U226" i="148"/>
  <c r="U219" i="148"/>
  <c r="BE65" i="148"/>
  <c r="BE64" i="148"/>
  <c r="BF64" i="148"/>
  <c r="BE215" i="148"/>
  <c r="M140" i="148"/>
  <c r="M101" i="148"/>
  <c r="BB101" i="148" s="1"/>
  <c r="N129" i="148"/>
  <c r="M237" i="148"/>
  <c r="M128" i="148"/>
  <c r="BG66" i="148"/>
  <c r="BE66" i="148"/>
  <c r="BF66" i="148"/>
  <c r="BE212" i="148"/>
  <c r="D191" i="148"/>
  <c r="C170" i="148"/>
  <c r="AD71" i="148"/>
  <c r="AE71" i="148"/>
  <c r="BE211" i="148"/>
  <c r="BE62" i="148"/>
  <c r="G9" i="164"/>
  <c r="BF62" i="148"/>
  <c r="BE208" i="148"/>
  <c r="BC196" i="148"/>
  <c r="E17" i="164"/>
  <c r="E106" i="163"/>
  <c r="E96" i="163" s="1"/>
  <c r="C167" i="148"/>
  <c r="D188" i="148"/>
  <c r="AG105" i="148"/>
  <c r="BG105" i="148" s="1"/>
  <c r="CM12" i="149"/>
  <c r="CN12" i="149" s="1"/>
  <c r="CO12" i="149" s="1"/>
  <c r="CP12" i="149" s="1"/>
  <c r="AG109" i="148"/>
  <c r="CM16" i="149"/>
  <c r="AF113" i="148"/>
  <c r="AF83" i="148" s="1"/>
  <c r="CL19" i="149"/>
  <c r="E35" i="164"/>
  <c r="E43" i="164"/>
  <c r="CL11" i="149"/>
  <c r="D35" i="164"/>
  <c r="D43" i="164"/>
  <c r="D59" i="164" s="1"/>
  <c r="Q20" i="148"/>
  <c r="S122" i="148"/>
  <c r="S82" i="148"/>
  <c r="D26" i="164"/>
  <c r="D125" i="164" s="1"/>
  <c r="Q86" i="148"/>
  <c r="BC86" i="148" s="1"/>
  <c r="BC92" i="148" s="1"/>
  <c r="R94" i="148"/>
  <c r="AT106" i="150"/>
  <c r="AT107" i="150" s="1"/>
  <c r="AT109" i="150" s="1"/>
  <c r="AT11" i="150" s="1"/>
  <c r="AT12" i="150" s="1"/>
  <c r="R133" i="148"/>
  <c r="T112" i="148"/>
  <c r="BZ18" i="149"/>
  <c r="AQ112" i="150"/>
  <c r="AQ149" i="150" s="1"/>
  <c r="AP150" i="150"/>
  <c r="CL149" i="150"/>
  <c r="P96" i="148"/>
  <c r="S136" i="75"/>
  <c r="S137" i="75" s="1"/>
  <c r="T135" i="75"/>
  <c r="T131" i="75"/>
  <c r="BI292" i="148"/>
  <c r="AM291" i="148"/>
  <c r="AM281" i="148"/>
  <c r="BW21" i="75"/>
  <c r="BW26" i="75" s="1"/>
  <c r="AN285" i="148"/>
  <c r="BX24" i="75"/>
  <c r="AN276" i="148"/>
  <c r="AR281" i="148" s="1"/>
  <c r="X13" i="164"/>
  <c r="X5" i="164"/>
  <c r="BM75" i="150"/>
  <c r="Y4" i="164"/>
  <c r="J118" i="164"/>
  <c r="AO231" i="75"/>
  <c r="Q202" i="75"/>
  <c r="Q203" i="75" s="1"/>
  <c r="AM85" i="148"/>
  <c r="L259" i="148"/>
  <c r="F102" i="148"/>
  <c r="BA130" i="148"/>
  <c r="C26" i="164"/>
  <c r="L257" i="148"/>
  <c r="BB246" i="148"/>
  <c r="K243" i="148"/>
  <c r="BB232" i="148"/>
  <c r="D70" i="164" s="1"/>
  <c r="K255" i="148"/>
  <c r="BB244" i="148"/>
  <c r="BA236" i="148"/>
  <c r="K102" i="148"/>
  <c r="AZ236" i="148"/>
  <c r="S116" i="148"/>
  <c r="S118" i="148"/>
  <c r="S76" i="148"/>
  <c r="R88" i="148"/>
  <c r="AZ130" i="148"/>
  <c r="B102" i="148"/>
  <c r="AF104" i="148"/>
  <c r="BZ13" i="149"/>
  <c r="T106" i="148"/>
  <c r="BY32" i="149"/>
  <c r="AZ232" i="148"/>
  <c r="U107" i="148"/>
  <c r="BD107" i="148" s="1"/>
  <c r="CA14" i="149"/>
  <c r="S87" i="148"/>
  <c r="BZ17" i="149"/>
  <c r="T110" i="148"/>
  <c r="T80" i="148" s="1"/>
  <c r="BA232" i="148"/>
  <c r="T77" i="148"/>
  <c r="T117" i="148"/>
  <c r="R20" i="148"/>
  <c r="R86" i="148"/>
  <c r="AE74" i="148"/>
  <c r="AS114" i="150"/>
  <c r="N103" i="75"/>
  <c r="N104" i="75" s="1"/>
  <c r="L216" i="75"/>
  <c r="BD10" i="148" s="1"/>
  <c r="AC11" i="77"/>
  <c r="G44" i="163"/>
  <c r="G16" i="157"/>
  <c r="G48" i="157" s="1"/>
  <c r="K42" i="75"/>
  <c r="J24" i="75"/>
  <c r="P13" i="75"/>
  <c r="T13" i="75"/>
  <c r="L12" i="75"/>
  <c r="J21" i="75"/>
  <c r="N40" i="75"/>
  <c r="O40" i="75"/>
  <c r="O173" i="75" s="1"/>
  <c r="K9" i="75"/>
  <c r="J12" i="75"/>
  <c r="L22" i="75"/>
  <c r="T25" i="75"/>
  <c r="T41" i="75"/>
  <c r="M9" i="75"/>
  <c r="J50" i="75"/>
  <c r="L21" i="75"/>
  <c r="P50" i="75"/>
  <c r="M50" i="75"/>
  <c r="N23" i="75"/>
  <c r="L38" i="75"/>
  <c r="N22" i="75"/>
  <c r="P42" i="75"/>
  <c r="P172" i="75" s="1"/>
  <c r="J23" i="75"/>
  <c r="O24" i="75"/>
  <c r="L48" i="75"/>
  <c r="L25" i="75"/>
  <c r="P21" i="75"/>
  <c r="N43" i="75"/>
  <c r="K48" i="75"/>
  <c r="T24" i="75"/>
  <c r="J25" i="75"/>
  <c r="O23" i="75"/>
  <c r="M22" i="75"/>
  <c r="K13" i="75"/>
  <c r="K14" i="75" s="1"/>
  <c r="L23" i="75"/>
  <c r="M40" i="75"/>
  <c r="J40" i="75"/>
  <c r="L32" i="75"/>
  <c r="K22" i="75"/>
  <c r="F41" i="75"/>
  <c r="I41" i="75"/>
  <c r="P41" i="75"/>
  <c r="J37" i="75"/>
  <c r="K38" i="75"/>
  <c r="M24" i="75"/>
  <c r="J13" i="75"/>
  <c r="I22" i="75"/>
  <c r="N13" i="75"/>
  <c r="N24" i="75"/>
  <c r="M43" i="75"/>
  <c r="J41" i="75"/>
  <c r="L40" i="75"/>
  <c r="K21" i="75"/>
  <c r="N21" i="75"/>
  <c r="K40" i="75"/>
  <c r="M32" i="75"/>
  <c r="M21" i="75"/>
  <c r="M12" i="75"/>
  <c r="J43" i="75"/>
  <c r="K24" i="75"/>
  <c r="I23" i="75"/>
  <c r="L37" i="75"/>
  <c r="K37" i="75"/>
  <c r="J49" i="75"/>
  <c r="M42" i="75"/>
  <c r="P23" i="75"/>
  <c r="P40" i="75"/>
  <c r="P173" i="75" s="1"/>
  <c r="J38" i="75"/>
  <c r="O43" i="75"/>
  <c r="T50" i="75"/>
  <c r="E41" i="75"/>
  <c r="L49" i="75"/>
  <c r="M37" i="75"/>
  <c r="N12" i="75"/>
  <c r="J42" i="75"/>
  <c r="J22" i="75"/>
  <c r="O50" i="75"/>
  <c r="M38" i="75"/>
  <c r="J9" i="75"/>
  <c r="M23" i="75"/>
  <c r="K43" i="75"/>
  <c r="O13" i="75"/>
  <c r="Q50" i="75"/>
  <c r="O22" i="75"/>
  <c r="K50" i="75"/>
  <c r="L24" i="75"/>
  <c r="T40" i="75"/>
  <c r="M13" i="75"/>
  <c r="O41" i="75"/>
  <c r="M41" i="75"/>
  <c r="K32" i="75"/>
  <c r="T22" i="75"/>
  <c r="P43" i="75"/>
  <c r="N37" i="75"/>
  <c r="K41" i="75"/>
  <c r="G41" i="75"/>
  <c r="K23" i="75"/>
  <c r="D41" i="75"/>
  <c r="P22" i="75"/>
  <c r="L42" i="75"/>
  <c r="N49" i="75"/>
  <c r="M25" i="75"/>
  <c r="O42" i="75"/>
  <c r="O172" i="75" s="1"/>
  <c r="L41" i="75"/>
  <c r="O49" i="75"/>
  <c r="K49" i="75"/>
  <c r="N42" i="75"/>
  <c r="N32" i="75"/>
  <c r="N9" i="75"/>
  <c r="N25" i="75"/>
  <c r="O26" i="75"/>
  <c r="N63" i="77"/>
  <c r="N64" i="77" s="1"/>
  <c r="AB53" i="77"/>
  <c r="AB63" i="77"/>
  <c r="AB69" i="77" s="1"/>
  <c r="N53" i="77"/>
  <c r="AA63" i="77"/>
  <c r="AA65" i="77" s="1"/>
  <c r="P52" i="77"/>
  <c r="P63" i="77"/>
  <c r="P65" i="77" s="1"/>
  <c r="AC53" i="77"/>
  <c r="M52" i="77"/>
  <c r="M63" i="77"/>
  <c r="M53" i="77"/>
  <c r="AC65" i="77"/>
  <c r="AC69" i="77"/>
  <c r="AC68" i="77"/>
  <c r="O52" i="77"/>
  <c r="O53" i="77"/>
  <c r="O63" i="77"/>
  <c r="Q63" i="77"/>
  <c r="Q52" i="77"/>
  <c r="Q53" i="77"/>
  <c r="G45" i="163" l="1"/>
  <c r="H45" i="163" s="1"/>
  <c r="I45" i="163" s="1"/>
  <c r="J45" i="163" s="1"/>
  <c r="K45" i="163" s="1"/>
  <c r="L45" i="163" s="1"/>
  <c r="M45" i="163" s="1"/>
  <c r="N45" i="163" s="1"/>
  <c r="O45" i="163" s="1"/>
  <c r="AZ46" i="75"/>
  <c r="F193" i="75"/>
  <c r="D15" i="157"/>
  <c r="D47" i="157" s="1"/>
  <c r="BG3" i="148"/>
  <c r="BF164" i="148"/>
  <c r="BF273" i="148"/>
  <c r="BF193" i="148"/>
  <c r="BB242" i="148"/>
  <c r="BD226" i="148"/>
  <c r="CC21" i="75"/>
  <c r="BB135" i="148"/>
  <c r="X303" i="77"/>
  <c r="G194" i="75" s="1"/>
  <c r="X304" i="77" s="1"/>
  <c r="O10" i="75"/>
  <c r="BD224" i="148"/>
  <c r="BB136" i="148"/>
  <c r="AW77" i="75"/>
  <c r="AW52" i="75"/>
  <c r="BA53" i="75" s="1"/>
  <c r="AW46" i="75"/>
  <c r="AW76" i="75"/>
  <c r="AW235" i="75"/>
  <c r="AW83" i="75"/>
  <c r="AX83" i="75"/>
  <c r="BA46" i="75"/>
  <c r="BK74" i="75"/>
  <c r="BK33" i="75"/>
  <c r="BK29" i="75"/>
  <c r="BK28" i="75"/>
  <c r="L153" i="75"/>
  <c r="BC145" i="148"/>
  <c r="BC133" i="148" s="1"/>
  <c r="X261" i="77"/>
  <c r="BG165" i="148"/>
  <c r="BC76" i="75"/>
  <c r="BC83" i="75"/>
  <c r="BC77" i="75"/>
  <c r="AV46" i="75"/>
  <c r="AV77" i="75"/>
  <c r="AV235" i="75"/>
  <c r="AV52" i="75"/>
  <c r="AV84" i="75" s="1"/>
  <c r="AV76" i="75"/>
  <c r="M275" i="148"/>
  <c r="L81" i="75"/>
  <c r="T108" i="75"/>
  <c r="L221" i="75"/>
  <c r="BB245" i="148"/>
  <c r="BB256" i="148" s="1"/>
  <c r="H11" i="164"/>
  <c r="H108" i="163" s="1"/>
  <c r="L275" i="148"/>
  <c r="L144" i="75"/>
  <c r="M140" i="75"/>
  <c r="BS32" i="75"/>
  <c r="BO31" i="75"/>
  <c r="BO27" i="75" s="1"/>
  <c r="BG34" i="75"/>
  <c r="BG35" i="75"/>
  <c r="BG75" i="75"/>
  <c r="W8" i="148" s="1"/>
  <c r="W274" i="148"/>
  <c r="BG45" i="75"/>
  <c r="BG82" i="75"/>
  <c r="F17" i="164"/>
  <c r="BB274" i="148"/>
  <c r="BB275" i="148" s="1"/>
  <c r="W258" i="77"/>
  <c r="S275" i="148"/>
  <c r="BT32" i="75"/>
  <c r="BP31" i="75"/>
  <c r="BP27" i="75" s="1"/>
  <c r="X221" i="148"/>
  <c r="BC43" i="148"/>
  <c r="BC37" i="148"/>
  <c r="G185" i="75"/>
  <c r="W291" i="77"/>
  <c r="W301" i="77" s="1"/>
  <c r="M253" i="148"/>
  <c r="M264" i="148" s="1"/>
  <c r="X266" i="77"/>
  <c r="X257" i="77"/>
  <c r="X306" i="77"/>
  <c r="G196" i="75" s="1"/>
  <c r="X279" i="77"/>
  <c r="G188" i="75" s="1"/>
  <c r="X196" i="77"/>
  <c r="X267" i="77"/>
  <c r="X246" i="77"/>
  <c r="X290" i="77"/>
  <c r="X281" i="77"/>
  <c r="X283" i="77"/>
  <c r="X287" i="77" s="1"/>
  <c r="X289" i="77"/>
  <c r="X168" i="77"/>
  <c r="X169" i="77" s="1"/>
  <c r="X260" i="77"/>
  <c r="X255" i="77"/>
  <c r="X258" i="77" s="1"/>
  <c r="X102" i="77"/>
  <c r="X112" i="77" s="1"/>
  <c r="X253" i="77"/>
  <c r="G181" i="75" s="1"/>
  <c r="X117" i="77"/>
  <c r="X120" i="77" s="1"/>
  <c r="E160" i="75"/>
  <c r="E230" i="75"/>
  <c r="E150" i="75"/>
  <c r="T275" i="148"/>
  <c r="BH35" i="75"/>
  <c r="BH75" i="75"/>
  <c r="X8" i="148" s="1"/>
  <c r="X274" i="148"/>
  <c r="BH45" i="75"/>
  <c r="BH34" i="75"/>
  <c r="BH82" i="75"/>
  <c r="I66" i="75"/>
  <c r="I7" i="75"/>
  <c r="J5" i="75"/>
  <c r="I167" i="75"/>
  <c r="I112" i="75"/>
  <c r="Z6" i="77"/>
  <c r="BL29" i="75"/>
  <c r="BL74" i="75"/>
  <c r="BL33" i="75"/>
  <c r="BL28" i="75"/>
  <c r="W137" i="77"/>
  <c r="F114" i="75"/>
  <c r="I16" i="164"/>
  <c r="I105" i="163"/>
  <c r="F206" i="75"/>
  <c r="F207" i="75" s="1"/>
  <c r="F202" i="75"/>
  <c r="Y81" i="77"/>
  <c r="Y272" i="77"/>
  <c r="Y290" i="77"/>
  <c r="I2" i="142"/>
  <c r="I1" i="142" s="1"/>
  <c r="Y196" i="77"/>
  <c r="Y306" i="77"/>
  <c r="H196" i="75" s="1"/>
  <c r="Y303" i="77"/>
  <c r="H194" i="75" s="1"/>
  <c r="Y289" i="77"/>
  <c r="Y267" i="77"/>
  <c r="Y208" i="77"/>
  <c r="Y8" i="77"/>
  <c r="Y260" i="77"/>
  <c r="Y281" i="77"/>
  <c r="P216" i="75"/>
  <c r="P221" i="75"/>
  <c r="P10" i="75"/>
  <c r="P153" i="75"/>
  <c r="F179" i="75"/>
  <c r="W308" i="77"/>
  <c r="W311" i="77" s="1"/>
  <c r="BI29" i="75"/>
  <c r="BI74" i="75"/>
  <c r="BI28" i="75"/>
  <c r="BI33" i="75"/>
  <c r="BD83" i="75"/>
  <c r="BD76" i="75"/>
  <c r="BD77" i="75"/>
  <c r="CD32" i="75"/>
  <c r="F185" i="75"/>
  <c r="BE75" i="75"/>
  <c r="U8" i="148" s="1"/>
  <c r="BE82" i="75"/>
  <c r="BF82" i="75"/>
  <c r="U274" i="148"/>
  <c r="BE34" i="75"/>
  <c r="BE35" i="75"/>
  <c r="BE45" i="75"/>
  <c r="W268" i="77"/>
  <c r="BQ32" i="75"/>
  <c r="BM31" i="75"/>
  <c r="BM27" i="75" s="1"/>
  <c r="S108" i="75"/>
  <c r="S172" i="75"/>
  <c r="BN35" i="75"/>
  <c r="BN45" i="75"/>
  <c r="BN34" i="75"/>
  <c r="BN75" i="75"/>
  <c r="AD8" i="148" s="1"/>
  <c r="AD274" i="148"/>
  <c r="D160" i="75"/>
  <c r="D230" i="75"/>
  <c r="N68" i="164"/>
  <c r="AU281" i="148"/>
  <c r="AV281" i="148"/>
  <c r="BK276" i="148"/>
  <c r="BK281" i="148" s="1"/>
  <c r="S25" i="75"/>
  <c r="R21" i="75"/>
  <c r="CC26" i="75"/>
  <c r="S22" i="75"/>
  <c r="CG23" i="75"/>
  <c r="CG21" i="75" s="1"/>
  <c r="BK279" i="148"/>
  <c r="BK284" i="148" s="1"/>
  <c r="H96" i="163"/>
  <c r="AT54" i="75"/>
  <c r="AT117" i="150"/>
  <c r="AU117" i="150" s="1"/>
  <c r="AV117" i="150" s="1"/>
  <c r="AW117" i="150" s="1"/>
  <c r="AX117" i="150" s="1"/>
  <c r="AY117" i="150" s="1"/>
  <c r="AZ117" i="150" s="1"/>
  <c r="BA117" i="150" s="1"/>
  <c r="BB117" i="150" s="1"/>
  <c r="BC117" i="150" s="1"/>
  <c r="BD117" i="150" s="1"/>
  <c r="BE117" i="150" s="1"/>
  <c r="BF117" i="150" s="1"/>
  <c r="BG117" i="150" s="1"/>
  <c r="BH117" i="150" s="1"/>
  <c r="BI117" i="150" s="1"/>
  <c r="BJ117" i="150" s="1"/>
  <c r="BK117" i="150" s="1"/>
  <c r="BL117" i="150" s="1"/>
  <c r="BM117" i="150" s="1"/>
  <c r="BN117" i="150" s="1"/>
  <c r="BO117" i="150" s="1"/>
  <c r="BP117" i="150" s="1"/>
  <c r="BQ117" i="150" s="1"/>
  <c r="BR117" i="150" s="1"/>
  <c r="BS117" i="150" s="1"/>
  <c r="BT117" i="150" s="1"/>
  <c r="BU117" i="150" s="1"/>
  <c r="AU160" i="150"/>
  <c r="AU192" i="150" s="1"/>
  <c r="S229" i="148" s="1"/>
  <c r="S240" i="148" s="1"/>
  <c r="S251" i="148" s="1"/>
  <c r="BD53" i="75"/>
  <c r="AZ78" i="75"/>
  <c r="AZ54" i="75"/>
  <c r="P4" i="148"/>
  <c r="AZ57" i="75"/>
  <c r="N5" i="148"/>
  <c r="AT56" i="75"/>
  <c r="AT145" i="75"/>
  <c r="AU145" i="75" s="1"/>
  <c r="AX53" i="75"/>
  <c r="J4" i="148"/>
  <c r="BY24" i="75"/>
  <c r="Q24" i="75" s="1"/>
  <c r="Q201" i="148"/>
  <c r="J249" i="148"/>
  <c r="J260" i="148" s="1"/>
  <c r="BB171" i="148"/>
  <c r="BC182" i="148" s="1"/>
  <c r="AO276" i="148"/>
  <c r="AO281" i="148" s="1"/>
  <c r="BI280" i="148"/>
  <c r="BJ285" i="148" s="1"/>
  <c r="AO285" i="148"/>
  <c r="BC72" i="148"/>
  <c r="BD221" i="148"/>
  <c r="BD223" i="148"/>
  <c r="L201" i="148"/>
  <c r="L225" i="148"/>
  <c r="BD222" i="148"/>
  <c r="BC44" i="148"/>
  <c r="X224" i="148"/>
  <c r="Q225" i="148"/>
  <c r="AW281" i="148"/>
  <c r="AW291" i="148"/>
  <c r="BI285" i="148"/>
  <c r="L204" i="148"/>
  <c r="L247" i="148"/>
  <c r="L258" i="148" s="1"/>
  <c r="BB255" i="148"/>
  <c r="BB169" i="148"/>
  <c r="BB190" i="148" s="1"/>
  <c r="AT281" i="148"/>
  <c r="AT291" i="148"/>
  <c r="AT57" i="75"/>
  <c r="AT78" i="75"/>
  <c r="CM11" i="149"/>
  <c r="BJ97" i="150"/>
  <c r="BJ96" i="150"/>
  <c r="G16" i="150"/>
  <c r="F93" i="150"/>
  <c r="BL61" i="150"/>
  <c r="BK93" i="150"/>
  <c r="AH97" i="150"/>
  <c r="AH96" i="150"/>
  <c r="BA78" i="75"/>
  <c r="BA57" i="75"/>
  <c r="BA56" i="75"/>
  <c r="BE53" i="75"/>
  <c r="BA54" i="75"/>
  <c r="BA84" i="75"/>
  <c r="Q4" i="148"/>
  <c r="BB84" i="75"/>
  <c r="BB97" i="150"/>
  <c r="BB96" i="150"/>
  <c r="AI93" i="150"/>
  <c r="AJ16" i="150"/>
  <c r="BD32" i="150"/>
  <c r="BC93" i="150"/>
  <c r="BD86" i="75"/>
  <c r="T6" i="148" s="1"/>
  <c r="P5" i="148"/>
  <c r="R126" i="148"/>
  <c r="R124" i="148" s="1"/>
  <c r="Q98" i="148"/>
  <c r="BC98" i="148" s="1"/>
  <c r="E26" i="164" s="1"/>
  <c r="BC38" i="148"/>
  <c r="BC41" i="148"/>
  <c r="BC174" i="148"/>
  <c r="BC70" i="148"/>
  <c r="E18" i="164"/>
  <c r="BD219" i="148"/>
  <c r="M201" i="148"/>
  <c r="M225" i="148"/>
  <c r="M204" i="148"/>
  <c r="M136" i="148"/>
  <c r="M255" i="148"/>
  <c r="M266" i="148" s="1"/>
  <c r="P157" i="148"/>
  <c r="P135" i="148" s="1"/>
  <c r="P189" i="148"/>
  <c r="Q168" i="148"/>
  <c r="BC39" i="148"/>
  <c r="BC40" i="148"/>
  <c r="BB173" i="148"/>
  <c r="BC184" i="148" s="1"/>
  <c r="K224" i="148"/>
  <c r="O169" i="148"/>
  <c r="N190" i="148"/>
  <c r="N158" i="148"/>
  <c r="N136" i="148" s="1"/>
  <c r="BC42" i="148"/>
  <c r="BC45" i="148"/>
  <c r="BC126" i="148"/>
  <c r="W125" i="148"/>
  <c r="V97" i="148"/>
  <c r="B168" i="148"/>
  <c r="C189" i="148"/>
  <c r="BB197" i="148"/>
  <c r="BB170" i="148"/>
  <c r="BB191" i="148" s="1"/>
  <c r="BB137" i="148"/>
  <c r="P99" i="148"/>
  <c r="P138" i="148"/>
  <c r="Q127" i="148"/>
  <c r="X173" i="148"/>
  <c r="W162" i="148"/>
  <c r="BC71" i="148"/>
  <c r="E11" i="164"/>
  <c r="BD184" i="148"/>
  <c r="D35" i="163"/>
  <c r="D27" i="163" s="1"/>
  <c r="BB196" i="148"/>
  <c r="BB205" i="148"/>
  <c r="O167" i="148"/>
  <c r="N188" i="148"/>
  <c r="N156" i="148"/>
  <c r="N253" i="148" s="1"/>
  <c r="BC124" i="148"/>
  <c r="X219" i="148"/>
  <c r="X222" i="148"/>
  <c r="U187" i="148"/>
  <c r="V166" i="148"/>
  <c r="U155" i="148"/>
  <c r="F11" i="164"/>
  <c r="BD71" i="148"/>
  <c r="L172" i="148"/>
  <c r="L141" i="148"/>
  <c r="L139" i="148"/>
  <c r="BF195" i="148"/>
  <c r="O204" i="148"/>
  <c r="O225" i="148"/>
  <c r="O201" i="148"/>
  <c r="P79" i="164"/>
  <c r="D97" i="164"/>
  <c r="D106" i="164" s="1"/>
  <c r="BF197" i="148"/>
  <c r="BF202" i="148"/>
  <c r="N225" i="148"/>
  <c r="N201" i="148"/>
  <c r="BB174" i="148"/>
  <c r="BB41" i="148"/>
  <c r="BB40" i="148"/>
  <c r="BB45" i="148"/>
  <c r="BB43" i="148"/>
  <c r="BB42" i="148"/>
  <c r="BB38" i="148"/>
  <c r="BB39" i="148"/>
  <c r="E35" i="163"/>
  <c r="E27" i="163" s="1"/>
  <c r="X223" i="148"/>
  <c r="BF200" i="148"/>
  <c r="D11" i="164"/>
  <c r="D108" i="163" s="1"/>
  <c r="BF199" i="148"/>
  <c r="K203" i="148"/>
  <c r="K219" i="148"/>
  <c r="K214" i="148"/>
  <c r="BB216" i="148"/>
  <c r="BB220" i="148" s="1"/>
  <c r="K172" i="148"/>
  <c r="K183" i="148" s="1"/>
  <c r="K139" i="148"/>
  <c r="K220" i="148"/>
  <c r="M134" i="148"/>
  <c r="M142" i="148"/>
  <c r="M161" i="148"/>
  <c r="M139" i="148" s="1"/>
  <c r="Z31" i="148"/>
  <c r="BF28" i="148"/>
  <c r="X226" i="148"/>
  <c r="BC205" i="148"/>
  <c r="H169" i="163"/>
  <c r="I241" i="163"/>
  <c r="K221" i="148"/>
  <c r="AS291" i="148"/>
  <c r="BJ291" i="148" s="1"/>
  <c r="K223" i="148"/>
  <c r="BD195" i="148"/>
  <c r="F34" i="163"/>
  <c r="F26" i="163" s="1"/>
  <c r="BC202" i="148"/>
  <c r="BB134" i="148"/>
  <c r="BB142" i="148"/>
  <c r="K222" i="148"/>
  <c r="BC200" i="148"/>
  <c r="AH105" i="148"/>
  <c r="AI105" i="148" s="1"/>
  <c r="AH109" i="148"/>
  <c r="AH79" i="148" s="1"/>
  <c r="CN16" i="149"/>
  <c r="E41" i="164"/>
  <c r="E57" i="164" s="1"/>
  <c r="E122" i="164"/>
  <c r="E33" i="164"/>
  <c r="CB15" i="149"/>
  <c r="V108" i="148"/>
  <c r="V78" i="148" s="1"/>
  <c r="AG75" i="148"/>
  <c r="BG75" i="148" s="1"/>
  <c r="BD108" i="148"/>
  <c r="BC275" i="148"/>
  <c r="BJ57" i="75"/>
  <c r="BJ56" i="75"/>
  <c r="BJ53" i="75"/>
  <c r="Z4" i="148"/>
  <c r="BJ54" i="75"/>
  <c r="BN53" i="75"/>
  <c r="BJ78" i="75"/>
  <c r="AY84" i="75"/>
  <c r="AY54" i="75"/>
  <c r="O4" i="148"/>
  <c r="BC53" i="75"/>
  <c r="AY78" i="75"/>
  <c r="AY56" i="75"/>
  <c r="AY57" i="75"/>
  <c r="AY53" i="75"/>
  <c r="AZ84" i="75"/>
  <c r="K4" i="148"/>
  <c r="AU84" i="75"/>
  <c r="AU57" i="75"/>
  <c r="AU78" i="75"/>
  <c r="AU54" i="75"/>
  <c r="AU56" i="75"/>
  <c r="C70" i="164"/>
  <c r="M248" i="148"/>
  <c r="BB237" i="148"/>
  <c r="BF103" i="148"/>
  <c r="T160" i="148"/>
  <c r="U171" i="148"/>
  <c r="P221" i="148"/>
  <c r="P203" i="148"/>
  <c r="P224" i="148"/>
  <c r="P214" i="148"/>
  <c r="P223" i="148"/>
  <c r="BC216" i="148"/>
  <c r="P226" i="148"/>
  <c r="P220" i="148"/>
  <c r="P219" i="148"/>
  <c r="P222" i="148"/>
  <c r="AC95" i="148"/>
  <c r="BF95" i="148" s="1"/>
  <c r="AD123" i="148"/>
  <c r="BE216" i="148"/>
  <c r="BE221" i="148" s="1"/>
  <c r="C188" i="148"/>
  <c r="B167" i="148"/>
  <c r="BE198" i="148"/>
  <c r="BE199" i="148"/>
  <c r="O129" i="148"/>
  <c r="N101" i="148"/>
  <c r="N140" i="148"/>
  <c r="N237" i="148"/>
  <c r="N248" i="148" s="1"/>
  <c r="N259" i="148" s="1"/>
  <c r="N128" i="148"/>
  <c r="P191" i="148"/>
  <c r="Q170" i="148"/>
  <c r="P159" i="148"/>
  <c r="BE200" i="148"/>
  <c r="I106" i="163"/>
  <c r="I96" i="163" s="1"/>
  <c r="I17" i="164"/>
  <c r="BE197" i="148"/>
  <c r="AB222" i="148"/>
  <c r="AB226" i="148"/>
  <c r="AB221" i="148"/>
  <c r="AB223" i="148"/>
  <c r="AB219" i="148"/>
  <c r="AB224" i="148"/>
  <c r="G17" i="164"/>
  <c r="G106" i="163"/>
  <c r="G96" i="163" s="1"/>
  <c r="H17" i="164"/>
  <c r="BE202" i="148"/>
  <c r="O137" i="148"/>
  <c r="C190" i="148"/>
  <c r="B169" i="148"/>
  <c r="I11" i="164"/>
  <c r="R24" i="164" s="1"/>
  <c r="R34" i="164" s="1"/>
  <c r="BG71" i="148"/>
  <c r="BE195" i="148"/>
  <c r="G34" i="163"/>
  <c r="G26" i="163" s="1"/>
  <c r="B170" i="148"/>
  <c r="C191" i="148"/>
  <c r="M236" i="148"/>
  <c r="M100" i="148"/>
  <c r="BB100" i="148" s="1"/>
  <c r="M130" i="148"/>
  <c r="BB128" i="148"/>
  <c r="G11" i="164"/>
  <c r="BE71" i="148"/>
  <c r="BF71" i="148"/>
  <c r="AG113" i="148"/>
  <c r="BG113" i="148" s="1"/>
  <c r="CM19" i="149"/>
  <c r="CN19" i="149" s="1"/>
  <c r="CO19" i="149" s="1"/>
  <c r="CP19" i="149" s="1"/>
  <c r="AK113" i="148" s="1"/>
  <c r="AM113" i="148" s="1"/>
  <c r="AN113" i="148" s="1"/>
  <c r="BG109" i="148"/>
  <c r="AG79" i="148"/>
  <c r="BG79" i="148" s="1"/>
  <c r="AR112" i="150"/>
  <c r="AR149" i="150" s="1"/>
  <c r="AQ150" i="150"/>
  <c r="O230" i="148" s="1"/>
  <c r="S133" i="148"/>
  <c r="S94" i="148"/>
  <c r="AU106" i="150"/>
  <c r="AU107" i="150" s="1"/>
  <c r="AU109" i="150" s="1"/>
  <c r="AU11" i="150" s="1"/>
  <c r="AU12" i="150" s="1"/>
  <c r="U112" i="148"/>
  <c r="BD112" i="148" s="1"/>
  <c r="CA18" i="149"/>
  <c r="AG104" i="148"/>
  <c r="T82" i="148"/>
  <c r="T122" i="148"/>
  <c r="Q22" i="148"/>
  <c r="BC20" i="148"/>
  <c r="O170" i="75"/>
  <c r="O153" i="75"/>
  <c r="N153" i="75"/>
  <c r="T102" i="75"/>
  <c r="T103" i="75" s="1"/>
  <c r="T38" i="75" s="1"/>
  <c r="T136" i="75"/>
  <c r="T137" i="75" s="1"/>
  <c r="AN281" i="148"/>
  <c r="AN291" i="148"/>
  <c r="BX21" i="75"/>
  <c r="K118" i="164"/>
  <c r="Z4" i="164"/>
  <c r="Y5" i="164"/>
  <c r="Y13" i="164"/>
  <c r="BN75" i="150"/>
  <c r="AN85" i="148"/>
  <c r="AO115" i="148"/>
  <c r="K264" i="148"/>
  <c r="L264" i="148"/>
  <c r="R22" i="148"/>
  <c r="L268" i="148"/>
  <c r="M268" i="148"/>
  <c r="BB257" i="148"/>
  <c r="CB14" i="149"/>
  <c r="V107" i="148"/>
  <c r="U106" i="148"/>
  <c r="BD106" i="148" s="1"/>
  <c r="CA13" i="149"/>
  <c r="BZ32" i="149"/>
  <c r="C71" i="164"/>
  <c r="S20" i="148"/>
  <c r="S22" i="148" s="1"/>
  <c r="S86" i="148"/>
  <c r="D34" i="164"/>
  <c r="D42" i="164"/>
  <c r="D58" i="164" s="1"/>
  <c r="D60" i="164" s="1"/>
  <c r="T76" i="148"/>
  <c r="T116" i="148"/>
  <c r="T118" i="148"/>
  <c r="AT114" i="150"/>
  <c r="T87" i="148"/>
  <c r="U117" i="148"/>
  <c r="BD117" i="148" s="1"/>
  <c r="U77" i="148"/>
  <c r="BD77" i="148" s="1"/>
  <c r="S88" i="148"/>
  <c r="K254" i="148"/>
  <c r="BB243" i="148"/>
  <c r="BB254" i="148" s="1"/>
  <c r="BB253" i="148"/>
  <c r="CA17" i="149"/>
  <c r="U110" i="148"/>
  <c r="U80" i="148" s="1"/>
  <c r="BD80" i="148" s="1"/>
  <c r="K267" i="148"/>
  <c r="L267" i="148"/>
  <c r="AF74" i="148"/>
  <c r="K266" i="148"/>
  <c r="L266" i="148"/>
  <c r="L270" i="148"/>
  <c r="O72" i="75"/>
  <c r="M70" i="75"/>
  <c r="P63" i="75"/>
  <c r="P157" i="75" s="1"/>
  <c r="BW61" i="75"/>
  <c r="M211" i="75"/>
  <c r="M213" i="75" s="1"/>
  <c r="M31" i="75"/>
  <c r="N31" i="75"/>
  <c r="N211" i="75"/>
  <c r="N213" i="75" s="1"/>
  <c r="M72" i="75"/>
  <c r="K71" i="75"/>
  <c r="K103" i="75"/>
  <c r="K104" i="75" s="1"/>
  <c r="J72" i="75"/>
  <c r="M103" i="75"/>
  <c r="M104" i="75" s="1"/>
  <c r="M39" i="75"/>
  <c r="J71" i="75"/>
  <c r="N72" i="75"/>
  <c r="K70" i="75"/>
  <c r="J14" i="75"/>
  <c r="J16" i="75" s="1"/>
  <c r="K172" i="75"/>
  <c r="K108" i="75"/>
  <c r="I16" i="157"/>
  <c r="L98" i="75"/>
  <c r="L96" i="75"/>
  <c r="K173" i="75"/>
  <c r="P108" i="75"/>
  <c r="L26" i="75"/>
  <c r="H5" i="157"/>
  <c r="N216" i="75"/>
  <c r="BF10" i="148" s="1"/>
  <c r="N81" i="75"/>
  <c r="N10" i="75"/>
  <c r="N221" i="75"/>
  <c r="N108" i="75"/>
  <c r="N172" i="75"/>
  <c r="N170" i="75"/>
  <c r="H16" i="157"/>
  <c r="H48" i="157" s="1"/>
  <c r="I48" i="157" s="1"/>
  <c r="J48" i="157" s="1"/>
  <c r="L103" i="75"/>
  <c r="L104" i="75" s="1"/>
  <c r="L39" i="75"/>
  <c r="O69" i="75"/>
  <c r="I11" i="157" s="1"/>
  <c r="L108" i="75"/>
  <c r="L172" i="75"/>
  <c r="N96" i="75"/>
  <c r="N98" i="75"/>
  <c r="K211" i="75"/>
  <c r="K31" i="75"/>
  <c r="O70" i="75"/>
  <c r="J70" i="75"/>
  <c r="J170" i="75"/>
  <c r="D45" i="163"/>
  <c r="D16" i="157"/>
  <c r="D48" i="157" s="1"/>
  <c r="N26" i="75"/>
  <c r="L173" i="75"/>
  <c r="P26" i="75"/>
  <c r="N70" i="75"/>
  <c r="N71" i="75"/>
  <c r="N173" i="75"/>
  <c r="N39" i="75"/>
  <c r="N44" i="75" s="1"/>
  <c r="L211" i="75"/>
  <c r="L213" i="75" s="1"/>
  <c r="L31" i="75"/>
  <c r="L71" i="75"/>
  <c r="F44" i="163"/>
  <c r="F15" i="157"/>
  <c r="F47" i="157" s="1"/>
  <c r="K221" i="75"/>
  <c r="K216" i="75"/>
  <c r="BC10" i="148" s="1"/>
  <c r="E5" i="157"/>
  <c r="F6" i="157" s="1"/>
  <c r="K153" i="75"/>
  <c r="K81" i="75"/>
  <c r="K10" i="75"/>
  <c r="AB11" i="77"/>
  <c r="K16" i="75"/>
  <c r="F45" i="163"/>
  <c r="F16" i="157"/>
  <c r="F48" i="157" s="1"/>
  <c r="L170" i="75"/>
  <c r="Q172" i="75"/>
  <c r="Q108" i="75"/>
  <c r="J173" i="75"/>
  <c r="Q173" i="75"/>
  <c r="L14" i="75"/>
  <c r="O108" i="75"/>
  <c r="M71" i="75"/>
  <c r="J172" i="75"/>
  <c r="J108" i="75"/>
  <c r="O81" i="75"/>
  <c r="I5" i="157"/>
  <c r="O216" i="75"/>
  <c r="BG10" i="148" s="1"/>
  <c r="E15" i="157"/>
  <c r="E47" i="157" s="1"/>
  <c r="E44" i="163"/>
  <c r="L72" i="75"/>
  <c r="M153" i="75"/>
  <c r="M216" i="75"/>
  <c r="BE10" i="148" s="1"/>
  <c r="M81" i="75"/>
  <c r="G5" i="157"/>
  <c r="M10" i="75"/>
  <c r="M221" i="75"/>
  <c r="L70" i="75"/>
  <c r="K72" i="75"/>
  <c r="L10" i="75"/>
  <c r="F4" i="163"/>
  <c r="F37" i="157"/>
  <c r="M98" i="75"/>
  <c r="M96" i="75"/>
  <c r="K155" i="75"/>
  <c r="K154" i="75"/>
  <c r="M108" i="75"/>
  <c r="M172" i="75"/>
  <c r="M14" i="75"/>
  <c r="M16" i="75" s="1"/>
  <c r="K170" i="75"/>
  <c r="E16" i="157"/>
  <c r="E48" i="157" s="1"/>
  <c r="E45" i="163"/>
  <c r="T173" i="75"/>
  <c r="J221" i="75"/>
  <c r="J216" i="75"/>
  <c r="BB10" i="148" s="1"/>
  <c r="D5" i="157"/>
  <c r="J153" i="75"/>
  <c r="AA11" i="77"/>
  <c r="N14" i="75"/>
  <c r="J103" i="75"/>
  <c r="J104" i="75" s="1"/>
  <c r="J39" i="75"/>
  <c r="K39" i="75"/>
  <c r="K96" i="75"/>
  <c r="K98" i="75"/>
  <c r="M26" i="75"/>
  <c r="K26" i="75"/>
  <c r="M173" i="75"/>
  <c r="O71" i="75"/>
  <c r="J26" i="75"/>
  <c r="AB68" i="77"/>
  <c r="AB65" i="77"/>
  <c r="P64" i="77"/>
  <c r="AA68" i="77"/>
  <c r="N65" i="77"/>
  <c r="AA69" i="77"/>
  <c r="O65" i="77"/>
  <c r="O64" i="77"/>
  <c r="Q64" i="77"/>
  <c r="Q65" i="77"/>
  <c r="M64" i="77"/>
  <c r="M65" i="77"/>
  <c r="G193" i="75" l="1"/>
  <c r="AT157" i="75"/>
  <c r="W270" i="77"/>
  <c r="BY21" i="75"/>
  <c r="BE222" i="148"/>
  <c r="BG164" i="148"/>
  <c r="BG273" i="148"/>
  <c r="BG103" i="148"/>
  <c r="BG193" i="148"/>
  <c r="AZ53" i="75"/>
  <c r="X291" i="77"/>
  <c r="BG76" i="75"/>
  <c r="BG83" i="75"/>
  <c r="BG46" i="75"/>
  <c r="BG77" i="75"/>
  <c r="BW32" i="75"/>
  <c r="CA32" i="75" s="1"/>
  <c r="CE32" i="75" s="1"/>
  <c r="BS31" i="75"/>
  <c r="BS27" i="75" s="1"/>
  <c r="W275" i="148"/>
  <c r="N140" i="75"/>
  <c r="M144" i="75"/>
  <c r="AW56" i="75"/>
  <c r="AW54" i="75"/>
  <c r="AW78" i="75"/>
  <c r="M4" i="148"/>
  <c r="AW57" i="75"/>
  <c r="AX84" i="75"/>
  <c r="AW84" i="75"/>
  <c r="N264" i="148"/>
  <c r="BO29" i="75"/>
  <c r="BO33" i="75"/>
  <c r="BO28" i="75"/>
  <c r="BO74" i="75"/>
  <c r="BK35" i="75"/>
  <c r="BK45" i="75"/>
  <c r="BK75" i="75"/>
  <c r="AA8" i="148" s="1"/>
  <c r="AA274" i="148"/>
  <c r="BK34" i="75"/>
  <c r="BK82" i="75"/>
  <c r="AV57" i="75"/>
  <c r="L4" i="148"/>
  <c r="AV54" i="75"/>
  <c r="AV56" i="75"/>
  <c r="AV85" i="75" s="1"/>
  <c r="AV78" i="75"/>
  <c r="BU32" i="75"/>
  <c r="P32" i="75" s="1"/>
  <c r="P211" i="75" s="1"/>
  <c r="P213" i="75" s="1"/>
  <c r="BQ31" i="75"/>
  <c r="O32" i="75"/>
  <c r="X275" i="148"/>
  <c r="G184" i="75"/>
  <c r="X273" i="77"/>
  <c r="BN48" i="75"/>
  <c r="BN77" i="75" s="1"/>
  <c r="BN76" i="75"/>
  <c r="BN46" i="75"/>
  <c r="G114" i="75"/>
  <c r="X137" i="77"/>
  <c r="X268" i="77"/>
  <c r="X270" i="77" s="1"/>
  <c r="G142" i="75"/>
  <c r="G144" i="75" s="1"/>
  <c r="X197" i="77"/>
  <c r="BT31" i="75"/>
  <c r="BX32" i="75"/>
  <c r="Y197" i="77"/>
  <c r="H142" i="75"/>
  <c r="H144" i="75" s="1"/>
  <c r="Y304" i="77"/>
  <c r="F228" i="75"/>
  <c r="W247" i="77"/>
  <c r="F198" i="75"/>
  <c r="W309" i="77" s="1"/>
  <c r="Y255" i="77"/>
  <c r="Y168" i="77"/>
  <c r="Y169" i="77" s="1"/>
  <c r="Y246" i="77"/>
  <c r="Y102" i="77"/>
  <c r="Y112" i="77" s="1"/>
  <c r="G206" i="75"/>
  <c r="G207" i="75" s="1"/>
  <c r="G202" i="75"/>
  <c r="AE231" i="75"/>
  <c r="Y291" i="77"/>
  <c r="BP33" i="75"/>
  <c r="BP29" i="75"/>
  <c r="BP28" i="75"/>
  <c r="BP74" i="75"/>
  <c r="AD275" i="148"/>
  <c r="Z208" i="77"/>
  <c r="Z8" i="77"/>
  <c r="J2" i="142"/>
  <c r="J1" i="142" s="1"/>
  <c r="Z117" i="77" s="1"/>
  <c r="Z120" i="77" s="1"/>
  <c r="Z81" i="77"/>
  <c r="F184" i="75"/>
  <c r="W273" i="77"/>
  <c r="Y274" i="148"/>
  <c r="BE274" i="148" s="1"/>
  <c r="BI75" i="75"/>
  <c r="Y8" i="148" s="1"/>
  <c r="BJ82" i="75"/>
  <c r="BI35" i="75"/>
  <c r="BI45" i="75"/>
  <c r="BI82" i="75"/>
  <c r="BI34" i="75"/>
  <c r="Y261" i="77"/>
  <c r="Y117" i="77"/>
  <c r="Y120" i="77" s="1"/>
  <c r="Y283" i="77"/>
  <c r="Y287" i="77" s="1"/>
  <c r="Y266" i="77"/>
  <c r="X301" i="77"/>
  <c r="G179" i="75"/>
  <c r="X308" i="77"/>
  <c r="X311" i="77" s="1"/>
  <c r="H185" i="75"/>
  <c r="BE77" i="75"/>
  <c r="BE46" i="75"/>
  <c r="BE76" i="75"/>
  <c r="BE83" i="75"/>
  <c r="BF83" i="75"/>
  <c r="F117" i="75"/>
  <c r="F159" i="75"/>
  <c r="G95" i="75"/>
  <c r="G96" i="75" s="1"/>
  <c r="BD155" i="148"/>
  <c r="BD166" i="148" s="1"/>
  <c r="BM33" i="75"/>
  <c r="BM28" i="75"/>
  <c r="BM29" i="75"/>
  <c r="BM74" i="75"/>
  <c r="BD274" i="148"/>
  <c r="U275" i="148"/>
  <c r="Y279" i="77"/>
  <c r="H188" i="75" s="1"/>
  <c r="H193" i="75" s="1"/>
  <c r="Y253" i="77"/>
  <c r="H181" i="75" s="1"/>
  <c r="Y257" i="77"/>
  <c r="BL34" i="75"/>
  <c r="BL35" i="75"/>
  <c r="BL82" i="75"/>
  <c r="BL75" i="75"/>
  <c r="AB8" i="148" s="1"/>
  <c r="BL45" i="75"/>
  <c r="AB274" i="148"/>
  <c r="J112" i="75"/>
  <c r="J66" i="75"/>
  <c r="AA6" i="77"/>
  <c r="J167" i="75"/>
  <c r="J7" i="75"/>
  <c r="K5" i="75"/>
  <c r="BH76" i="75"/>
  <c r="BH77" i="75"/>
  <c r="BH52" i="75"/>
  <c r="BH46" i="75"/>
  <c r="BH83" i="75"/>
  <c r="L249" i="148"/>
  <c r="L260" i="148" s="1"/>
  <c r="BI276" i="148"/>
  <c r="BJ281" i="148" s="1"/>
  <c r="AO291" i="148"/>
  <c r="BI291" i="148" s="1"/>
  <c r="BK291" i="148"/>
  <c r="AS281" i="148"/>
  <c r="R26" i="75"/>
  <c r="S23" i="75"/>
  <c r="BY26" i="75"/>
  <c r="Q21" i="75"/>
  <c r="Q26" i="75" s="1"/>
  <c r="S21" i="75"/>
  <c r="S26" i="75" s="1"/>
  <c r="CG26" i="75"/>
  <c r="AV160" i="150"/>
  <c r="AU118" i="150"/>
  <c r="AV118" i="150" s="1"/>
  <c r="AW118" i="150" s="1"/>
  <c r="AX118" i="150" s="1"/>
  <c r="AY118" i="150" s="1"/>
  <c r="AZ118" i="150" s="1"/>
  <c r="BA118" i="150" s="1"/>
  <c r="BB118" i="150" s="1"/>
  <c r="BC118" i="150" s="1"/>
  <c r="BD118" i="150" s="1"/>
  <c r="BE118" i="150" s="1"/>
  <c r="BF118" i="150" s="1"/>
  <c r="BG118" i="150" s="1"/>
  <c r="BH118" i="150" s="1"/>
  <c r="BI118" i="150" s="1"/>
  <c r="BJ118" i="150" s="1"/>
  <c r="BK118" i="150" s="1"/>
  <c r="BL118" i="150" s="1"/>
  <c r="BM118" i="150" s="1"/>
  <c r="BN118" i="150" s="1"/>
  <c r="BO118" i="150" s="1"/>
  <c r="BP118" i="150" s="1"/>
  <c r="BQ118" i="150" s="1"/>
  <c r="BR118" i="150" s="1"/>
  <c r="BS118" i="150" s="1"/>
  <c r="BT118" i="150" s="1"/>
  <c r="BU118" i="150" s="1"/>
  <c r="BV118" i="150" s="1"/>
  <c r="AV161" i="150"/>
  <c r="J5" i="148"/>
  <c r="AX86" i="75"/>
  <c r="N6" i="148" s="1"/>
  <c r="BC46" i="148"/>
  <c r="BC185" i="148"/>
  <c r="AJ113" i="148"/>
  <c r="CN11" i="149"/>
  <c r="BC97" i="150"/>
  <c r="BC96" i="150"/>
  <c r="AJ93" i="150"/>
  <c r="AK16" i="150"/>
  <c r="BE32" i="150"/>
  <c r="BE93" i="150" s="1"/>
  <c r="BD93" i="150"/>
  <c r="AI97" i="150"/>
  <c r="AI96" i="150"/>
  <c r="BA86" i="75"/>
  <c r="Q6" i="148" s="1"/>
  <c r="BB85" i="75"/>
  <c r="Q5" i="148"/>
  <c r="BE86" i="75"/>
  <c r="U6" i="148" s="1"/>
  <c r="BA85" i="75"/>
  <c r="BK96" i="150"/>
  <c r="BK97" i="150"/>
  <c r="BM61" i="150"/>
  <c r="BL93" i="150"/>
  <c r="H16" i="150"/>
  <c r="G93" i="150"/>
  <c r="BB46" i="148"/>
  <c r="X125" i="148"/>
  <c r="W97" i="148"/>
  <c r="R168" i="148"/>
  <c r="Q189" i="148"/>
  <c r="Q157" i="148"/>
  <c r="P169" i="148"/>
  <c r="O158" i="148"/>
  <c r="O190" i="148"/>
  <c r="N255" i="148"/>
  <c r="N266" i="148" s="1"/>
  <c r="S126" i="148"/>
  <c r="S124" i="148" s="1"/>
  <c r="R98" i="148"/>
  <c r="R96" i="148"/>
  <c r="BE226" i="148"/>
  <c r="J241" i="163"/>
  <c r="K241" i="163" s="1"/>
  <c r="L241" i="163" s="1"/>
  <c r="M241" i="163" s="1"/>
  <c r="N241" i="163" s="1"/>
  <c r="T241" i="163" s="1"/>
  <c r="I169" i="163"/>
  <c r="Z216" i="148"/>
  <c r="Z32" i="148"/>
  <c r="BF31" i="148"/>
  <c r="BF32" i="148" s="1"/>
  <c r="BE224" i="148"/>
  <c r="BB161" i="148"/>
  <c r="M141" i="148"/>
  <c r="M172" i="148"/>
  <c r="M183" i="148" s="1"/>
  <c r="BB224" i="148"/>
  <c r="BB221" i="148"/>
  <c r="BB223" i="148"/>
  <c r="BB222" i="148"/>
  <c r="BB203" i="148"/>
  <c r="BB226" i="148"/>
  <c r="BB219" i="148"/>
  <c r="L183" i="148"/>
  <c r="Y173" i="148"/>
  <c r="X162" i="148"/>
  <c r="P167" i="148"/>
  <c r="O188" i="148"/>
  <c r="O156" i="148"/>
  <c r="BE219" i="148"/>
  <c r="BE223" i="148"/>
  <c r="AI75" i="148"/>
  <c r="AJ105" i="148"/>
  <c r="AK105" i="148" s="1"/>
  <c r="AL105" i="148" s="1"/>
  <c r="AL75" i="148" s="1"/>
  <c r="K225" i="148"/>
  <c r="K201" i="148"/>
  <c r="K204" i="148"/>
  <c r="K247" i="148"/>
  <c r="BB214" i="148"/>
  <c r="N134" i="148"/>
  <c r="N142" i="148"/>
  <c r="N161" i="148"/>
  <c r="N139" i="148" s="1"/>
  <c r="B189" i="148"/>
  <c r="F108" i="163"/>
  <c r="F19" i="164"/>
  <c r="BC127" i="148"/>
  <c r="BC138" i="148" s="1"/>
  <c r="Q138" i="148"/>
  <c r="R127" i="148"/>
  <c r="Q99" i="148"/>
  <c r="BC99" i="148" s="1"/>
  <c r="AO85" i="148"/>
  <c r="BI85" i="148" s="1"/>
  <c r="AP115" i="148"/>
  <c r="W166" i="148"/>
  <c r="V187" i="148"/>
  <c r="V155" i="148"/>
  <c r="E108" i="163"/>
  <c r="E19" i="164"/>
  <c r="AI109" i="148"/>
  <c r="CO16" i="149"/>
  <c r="AH75" i="148"/>
  <c r="AI113" i="148"/>
  <c r="AI83" i="148" s="1"/>
  <c r="W108" i="148"/>
  <c r="W78" i="148" s="1"/>
  <c r="CC15" i="149"/>
  <c r="BN86" i="75"/>
  <c r="AD6" i="148" s="1"/>
  <c r="BJ86" i="75"/>
  <c r="Z6" i="148" s="1"/>
  <c r="Z5" i="148"/>
  <c r="AU157" i="75"/>
  <c r="AV145" i="75"/>
  <c r="AU85" i="75"/>
  <c r="K5" i="148"/>
  <c r="AY86" i="75"/>
  <c r="O6" i="148" s="1"/>
  <c r="AY85" i="75"/>
  <c r="BC86" i="75"/>
  <c r="S6" i="148" s="1"/>
  <c r="O5" i="148"/>
  <c r="AZ85" i="75"/>
  <c r="M102" i="148"/>
  <c r="BB102" i="148" s="1"/>
  <c r="BB130" i="148"/>
  <c r="Q191" i="148"/>
  <c r="R170" i="148"/>
  <c r="Q159" i="148"/>
  <c r="BC159" i="148" s="1"/>
  <c r="BE218" i="148"/>
  <c r="BC203" i="148"/>
  <c r="BC221" i="148"/>
  <c r="BC223" i="148"/>
  <c r="BC226" i="148"/>
  <c r="BC224" i="148"/>
  <c r="BC220" i="148"/>
  <c r="BC219" i="148"/>
  <c r="BC222" i="148"/>
  <c r="BI115" i="148"/>
  <c r="G19" i="164"/>
  <c r="G108" i="163"/>
  <c r="B191" i="148"/>
  <c r="B188" i="148"/>
  <c r="BH3" i="148"/>
  <c r="M247" i="148"/>
  <c r="BB236" i="148"/>
  <c r="B190" i="148"/>
  <c r="H19" i="164"/>
  <c r="N236" i="148"/>
  <c r="N247" i="148" s="1"/>
  <c r="N130" i="148"/>
  <c r="N100" i="148"/>
  <c r="AD95" i="148"/>
  <c r="AE123" i="148"/>
  <c r="P201" i="148"/>
  <c r="P225" i="148"/>
  <c r="P204" i="148"/>
  <c r="BC214" i="148"/>
  <c r="U160" i="148"/>
  <c r="BD160" i="148" s="1"/>
  <c r="V171" i="148"/>
  <c r="I19" i="164"/>
  <c r="I108" i="163"/>
  <c r="P137" i="148"/>
  <c r="P129" i="148"/>
  <c r="O140" i="148"/>
  <c r="O101" i="148"/>
  <c r="O128" i="148"/>
  <c r="O236" i="148" s="1"/>
  <c r="M259" i="148"/>
  <c r="M270" i="148" s="1"/>
  <c r="BB248" i="148"/>
  <c r="BB259" i="148" s="1"/>
  <c r="AG83" i="148"/>
  <c r="BG83" i="148" s="1"/>
  <c r="AH113" i="148"/>
  <c r="AH83" i="148" s="1"/>
  <c r="T133" i="148"/>
  <c r="T94" i="148"/>
  <c r="AV106" i="150"/>
  <c r="AV107" i="150" s="1"/>
  <c r="AV109" i="150" s="1"/>
  <c r="AV11" i="150" s="1"/>
  <c r="AV12" i="150" s="1"/>
  <c r="V112" i="148"/>
  <c r="CB18" i="149"/>
  <c r="BC22" i="148"/>
  <c r="BC16" i="148"/>
  <c r="U122" i="148"/>
  <c r="BD122" i="148" s="1"/>
  <c r="U82" i="148"/>
  <c r="BD82" i="148" s="1"/>
  <c r="AS112" i="150"/>
  <c r="AS149" i="150" s="1"/>
  <c r="BD110" i="148"/>
  <c r="N16" i="75"/>
  <c r="N18" i="75" s="1"/>
  <c r="H7" i="157" s="1"/>
  <c r="H8" i="157" s="1"/>
  <c r="N154" i="75"/>
  <c r="N155" i="75"/>
  <c r="BX26" i="75"/>
  <c r="D80" i="164"/>
  <c r="Z5" i="164"/>
  <c r="Z13" i="164"/>
  <c r="BO75" i="150"/>
  <c r="AH104" i="148"/>
  <c r="AI104" i="148" s="1"/>
  <c r="AG74" i="148"/>
  <c r="BG74" i="148" s="1"/>
  <c r="CB17" i="149"/>
  <c r="V110" i="148"/>
  <c r="T88" i="148"/>
  <c r="O237" i="148"/>
  <c r="O232" i="148"/>
  <c r="O233" i="148"/>
  <c r="O231" i="148"/>
  <c r="O235" i="148"/>
  <c r="O241" i="148"/>
  <c r="O234" i="148"/>
  <c r="CC14" i="149"/>
  <c r="W107" i="148"/>
  <c r="E42" i="164"/>
  <c r="E34" i="164"/>
  <c r="E125" i="164"/>
  <c r="E126" i="164" s="1"/>
  <c r="AU114" i="150"/>
  <c r="BG104" i="148"/>
  <c r="CB13" i="149"/>
  <c r="V106" i="148"/>
  <c r="CA32" i="149"/>
  <c r="U87" i="148"/>
  <c r="BD87" i="148" s="1"/>
  <c r="T20" i="148"/>
  <c r="T22" i="148" s="1"/>
  <c r="T86" i="148"/>
  <c r="V117" i="148"/>
  <c r="V77" i="148"/>
  <c r="K265" i="148"/>
  <c r="L265" i="148"/>
  <c r="D117" i="164"/>
  <c r="D61" i="164"/>
  <c r="U116" i="148"/>
  <c r="BD116" i="148" s="1"/>
  <c r="U76" i="148"/>
  <c r="BD76" i="148" s="1"/>
  <c r="U118" i="148"/>
  <c r="BW63" i="75"/>
  <c r="BX61" i="75"/>
  <c r="M18" i="75"/>
  <c r="M73" i="75"/>
  <c r="M27" i="75"/>
  <c r="G37" i="157"/>
  <c r="G4" i="163"/>
  <c r="G6" i="157"/>
  <c r="K69" i="75"/>
  <c r="K44" i="75"/>
  <c r="D37" i="157"/>
  <c r="D4" i="163"/>
  <c r="D73" i="157"/>
  <c r="E4" i="163"/>
  <c r="E37" i="157"/>
  <c r="F38" i="157" s="1"/>
  <c r="E6" i="157"/>
  <c r="L44" i="75"/>
  <c r="L69" i="75"/>
  <c r="N69" i="75"/>
  <c r="H11" i="157" s="1"/>
  <c r="H43" i="157" s="1"/>
  <c r="I43" i="157"/>
  <c r="M171" i="75"/>
  <c r="M205" i="75"/>
  <c r="J69" i="75"/>
  <c r="M69" i="75"/>
  <c r="J44" i="75"/>
  <c r="J27" i="75"/>
  <c r="J18" i="75"/>
  <c r="J73" i="75"/>
  <c r="I4" i="163"/>
  <c r="I6" i="157"/>
  <c r="I38" i="157" s="1"/>
  <c r="I37" i="157"/>
  <c r="I9" i="157"/>
  <c r="L16" i="75"/>
  <c r="L155" i="75"/>
  <c r="L154" i="75"/>
  <c r="K205" i="75"/>
  <c r="K171" i="75"/>
  <c r="K48" i="157"/>
  <c r="J154" i="75"/>
  <c r="J155" i="75"/>
  <c r="N171" i="75"/>
  <c r="N205" i="75"/>
  <c r="M154" i="75"/>
  <c r="M155" i="75"/>
  <c r="K156" i="75"/>
  <c r="L171" i="75"/>
  <c r="L205" i="75"/>
  <c r="K17" i="75"/>
  <c r="K73" i="75"/>
  <c r="K27" i="75"/>
  <c r="K18" i="75"/>
  <c r="H13" i="157"/>
  <c r="H42" i="163"/>
  <c r="K213" i="75"/>
  <c r="K124" i="75"/>
  <c r="H4" i="163"/>
  <c r="H37" i="157"/>
  <c r="H6" i="157"/>
  <c r="H38" i="157" s="1"/>
  <c r="M44" i="75"/>
  <c r="Y301" i="77" l="1"/>
  <c r="M5" i="148"/>
  <c r="AX85" i="75"/>
  <c r="AW85" i="75"/>
  <c r="L5" i="148"/>
  <c r="AZ86" i="75"/>
  <c r="P6" i="148" s="1"/>
  <c r="AA275" i="148"/>
  <c r="AE274" i="148"/>
  <c r="BO45" i="75"/>
  <c r="BO75" i="75"/>
  <c r="AE8" i="148" s="1"/>
  <c r="BO35" i="75"/>
  <c r="BO34" i="75"/>
  <c r="BO82" i="75"/>
  <c r="N144" i="75"/>
  <c r="N193" i="75" s="1"/>
  <c r="O140" i="75"/>
  <c r="Y268" i="77"/>
  <c r="BK52" i="75"/>
  <c r="BK77" i="75"/>
  <c r="BK76" i="75"/>
  <c r="BK46" i="75"/>
  <c r="BK83" i="75"/>
  <c r="BE275" i="148"/>
  <c r="Y275" i="148"/>
  <c r="CB32" i="75"/>
  <c r="BH84" i="75"/>
  <c r="BH57" i="75"/>
  <c r="BH78" i="75"/>
  <c r="X4" i="148"/>
  <c r="BH54" i="75"/>
  <c r="BH56" i="75"/>
  <c r="BH53" i="75"/>
  <c r="BL53" i="75"/>
  <c r="BL46" i="75"/>
  <c r="BL83" i="75"/>
  <c r="BL76" i="75"/>
  <c r="BL48" i="75"/>
  <c r="BL77" i="75" s="1"/>
  <c r="H206" i="75"/>
  <c r="H207" i="75" s="1"/>
  <c r="AF231" i="75"/>
  <c r="H202" i="75"/>
  <c r="EH10" i="77"/>
  <c r="EQ10" i="77"/>
  <c r="ED75" i="77"/>
  <c r="AC61" i="75" s="1"/>
  <c r="BD145" i="148"/>
  <c r="BI77" i="75"/>
  <c r="BI76" i="75"/>
  <c r="BI83" i="75"/>
  <c r="BI46" i="75"/>
  <c r="BI52" i="75"/>
  <c r="BJ83" i="75"/>
  <c r="Y308" i="77"/>
  <c r="Y311" i="77" s="1"/>
  <c r="H179" i="75"/>
  <c r="EH33" i="77"/>
  <c r="O211" i="75"/>
  <c r="O213" i="75" s="1"/>
  <c r="O31" i="75"/>
  <c r="BD275" i="148"/>
  <c r="K66" i="75"/>
  <c r="L5" i="75"/>
  <c r="K167" i="75"/>
  <c r="K112" i="75"/>
  <c r="AB6" i="77"/>
  <c r="K7" i="75"/>
  <c r="AB275" i="148"/>
  <c r="AA208" i="77"/>
  <c r="AA81" i="77"/>
  <c r="K2" i="142"/>
  <c r="K1" i="142" s="1"/>
  <c r="EM28" i="77" s="1"/>
  <c r="AA8" i="77"/>
  <c r="BM35" i="75"/>
  <c r="BM34" i="75"/>
  <c r="BM45" i="75"/>
  <c r="AC274" i="148"/>
  <c r="BF274" i="148" s="1"/>
  <c r="BM82" i="75"/>
  <c r="BM75" i="75"/>
  <c r="AC8" i="148" s="1"/>
  <c r="BN82" i="75"/>
  <c r="F150" i="75"/>
  <c r="F160" i="75"/>
  <c r="F230" i="75"/>
  <c r="Y273" i="77"/>
  <c r="H184" i="75"/>
  <c r="I114" i="75"/>
  <c r="Z137" i="77"/>
  <c r="EB13" i="77"/>
  <c r="EB15" i="77" s="1"/>
  <c r="AA12" i="75" s="1"/>
  <c r="AA14" i="75" s="1"/>
  <c r="ER56" i="77"/>
  <c r="AQ49" i="75" s="1"/>
  <c r="ES33" i="77"/>
  <c r="G228" i="75"/>
  <c r="X247" i="77"/>
  <c r="G198" i="75"/>
  <c r="X309" i="77" s="1"/>
  <c r="H114" i="75"/>
  <c r="Y137" i="77"/>
  <c r="BP45" i="75"/>
  <c r="BP35" i="75"/>
  <c r="BP34" i="75"/>
  <c r="AF274" i="148"/>
  <c r="BP75" i="75"/>
  <c r="AF8" i="148" s="1"/>
  <c r="BP82" i="75"/>
  <c r="DX28" i="77"/>
  <c r="DY75" i="77"/>
  <c r="ED24" i="77"/>
  <c r="AC25" i="75" s="1"/>
  <c r="Y258" i="77"/>
  <c r="EH76" i="77"/>
  <c r="AG62" i="75" s="1"/>
  <c r="EH24" i="77"/>
  <c r="AG25" i="75" s="1"/>
  <c r="EQ24" i="77"/>
  <c r="H95" i="75"/>
  <c r="H96" i="75" s="1"/>
  <c r="G159" i="75"/>
  <c r="G117" i="75"/>
  <c r="BU31" i="75"/>
  <c r="BY32" i="75"/>
  <c r="CC32" i="75" s="1"/>
  <c r="CG32" i="75" s="1"/>
  <c r="BD118" i="148"/>
  <c r="BB139" i="148"/>
  <c r="AJ109" i="148"/>
  <c r="CP16" i="149"/>
  <c r="AK109" i="148" s="1"/>
  <c r="BI296" i="148"/>
  <c r="BI281" i="148"/>
  <c r="AW161" i="150"/>
  <c r="AV192" i="150"/>
  <c r="T229" i="148" s="1"/>
  <c r="AW160" i="150"/>
  <c r="AV119" i="150"/>
  <c r="AW119" i="150" s="1"/>
  <c r="AX119" i="150" s="1"/>
  <c r="AY119" i="150" s="1"/>
  <c r="AZ119" i="150" s="1"/>
  <c r="BA119" i="150" s="1"/>
  <c r="BB119" i="150" s="1"/>
  <c r="BC119" i="150" s="1"/>
  <c r="BD119" i="150" s="1"/>
  <c r="BE119" i="150" s="1"/>
  <c r="BF119" i="150" s="1"/>
  <c r="BG119" i="150" s="1"/>
  <c r="BH119" i="150" s="1"/>
  <c r="BI119" i="150" s="1"/>
  <c r="BJ119" i="150" s="1"/>
  <c r="BK119" i="150" s="1"/>
  <c r="BL119" i="150" s="1"/>
  <c r="BM119" i="150" s="1"/>
  <c r="BN119" i="150" s="1"/>
  <c r="BO119" i="150" s="1"/>
  <c r="BP119" i="150" s="1"/>
  <c r="BQ119" i="150" s="1"/>
  <c r="BR119" i="150" s="1"/>
  <c r="BS119" i="150" s="1"/>
  <c r="BT119" i="150" s="1"/>
  <c r="BU119" i="150" s="1"/>
  <c r="BV119" i="150" s="1"/>
  <c r="BW119" i="150" s="1"/>
  <c r="AW162" i="150"/>
  <c r="AX162" i="150" s="1"/>
  <c r="AY162" i="150" s="1"/>
  <c r="AZ162" i="150" s="1"/>
  <c r="BA162" i="150" s="1"/>
  <c r="BB162" i="150" s="1"/>
  <c r="BC162" i="150" s="1"/>
  <c r="BD162" i="150" s="1"/>
  <c r="BE162" i="150" s="1"/>
  <c r="BF162" i="150" s="1"/>
  <c r="BG162" i="150" s="1"/>
  <c r="BH162" i="150" s="1"/>
  <c r="BI162" i="150" s="1"/>
  <c r="BJ162" i="150" s="1"/>
  <c r="BK162" i="150" s="1"/>
  <c r="BL162" i="150" s="1"/>
  <c r="BM162" i="150" s="1"/>
  <c r="BN162" i="150" s="1"/>
  <c r="BO162" i="150" s="1"/>
  <c r="BP162" i="150" s="1"/>
  <c r="BQ162" i="150" s="1"/>
  <c r="BR162" i="150" s="1"/>
  <c r="BS162" i="150" s="1"/>
  <c r="BT162" i="150" s="1"/>
  <c r="BU162" i="150" s="1"/>
  <c r="BV162" i="150" s="1"/>
  <c r="BW162" i="150" s="1"/>
  <c r="CO11" i="149"/>
  <c r="CP11" i="149" s="1"/>
  <c r="I16" i="150"/>
  <c r="H93" i="150"/>
  <c r="BD96" i="150"/>
  <c r="BD97" i="150"/>
  <c r="AJ96" i="150"/>
  <c r="AJ97" i="150"/>
  <c r="BL97" i="150"/>
  <c r="BL96" i="150"/>
  <c r="BE96" i="150"/>
  <c r="BE97" i="150"/>
  <c r="BN61" i="150"/>
  <c r="BM93" i="150"/>
  <c r="AK93" i="150"/>
  <c r="AL16" i="150"/>
  <c r="T126" i="148"/>
  <c r="T124" i="148" s="1"/>
  <c r="S98" i="148"/>
  <c r="S96" i="148"/>
  <c r="O136" i="148"/>
  <c r="S168" i="148"/>
  <c r="R189" i="148"/>
  <c r="R157" i="148"/>
  <c r="R135" i="148" s="1"/>
  <c r="P158" i="148"/>
  <c r="P136" i="148" s="1"/>
  <c r="P190" i="148"/>
  <c r="Q169" i="148"/>
  <c r="Y125" i="148"/>
  <c r="BE125" i="148" s="1"/>
  <c r="X97" i="148"/>
  <c r="Q135" i="148"/>
  <c r="BC157" i="148"/>
  <c r="Z222" i="148"/>
  <c r="Z224" i="148"/>
  <c r="Z221" i="148"/>
  <c r="Z223" i="148"/>
  <c r="Z226" i="148"/>
  <c r="Z219" i="148"/>
  <c r="BF216" i="148"/>
  <c r="X166" i="148"/>
  <c r="W187" i="148"/>
  <c r="W155" i="148"/>
  <c r="Y162" i="148"/>
  <c r="BE162" i="148" s="1"/>
  <c r="Z173" i="148"/>
  <c r="BB172" i="148"/>
  <c r="BB141" i="148"/>
  <c r="AI74" i="148"/>
  <c r="AJ104" i="148"/>
  <c r="AK104" i="148" s="1"/>
  <c r="AL104" i="148" s="1"/>
  <c r="AL74" i="148" s="1"/>
  <c r="AP85" i="148"/>
  <c r="AQ115" i="148"/>
  <c r="R138" i="148"/>
  <c r="S127" i="148"/>
  <c r="R99" i="148"/>
  <c r="Q167" i="148"/>
  <c r="P188" i="148"/>
  <c r="P156" i="148"/>
  <c r="N141" i="148"/>
  <c r="N172" i="148"/>
  <c r="N183" i="148" s="1"/>
  <c r="O134" i="148"/>
  <c r="O142" i="148"/>
  <c r="O161" i="148"/>
  <c r="K258" i="148"/>
  <c r="K249" i="148"/>
  <c r="K260" i="148" s="1"/>
  <c r="BB225" i="148"/>
  <c r="BB204" i="148"/>
  <c r="D36" i="163"/>
  <c r="D28" i="163" s="1"/>
  <c r="BB201" i="148"/>
  <c r="BD187" i="148"/>
  <c r="BD177" i="148"/>
  <c r="AI79" i="148"/>
  <c r="CD15" i="149"/>
  <c r="X108" i="148"/>
  <c r="D98" i="164"/>
  <c r="D107" i="164" s="1"/>
  <c r="AV157" i="75"/>
  <c r="AW145" i="75"/>
  <c r="N8" i="164"/>
  <c r="N102" i="148"/>
  <c r="D71" i="164"/>
  <c r="BI3" i="148"/>
  <c r="BJ3" i="148" s="1"/>
  <c r="BK3" i="148" s="1"/>
  <c r="BH193" i="148"/>
  <c r="BH273" i="148"/>
  <c r="BH103" i="148"/>
  <c r="BH164" i="148"/>
  <c r="Q137" i="148"/>
  <c r="BD171" i="148"/>
  <c r="Q129" i="148"/>
  <c r="BC129" i="148" s="1"/>
  <c r="BC140" i="148" s="1"/>
  <c r="P101" i="148"/>
  <c r="P140" i="148"/>
  <c r="P128" i="148"/>
  <c r="BC201" i="148"/>
  <c r="E36" i="163"/>
  <c r="E28" i="163" s="1"/>
  <c r="BC225" i="148"/>
  <c r="BC204" i="148"/>
  <c r="AF123" i="148"/>
  <c r="AE95" i="148"/>
  <c r="N249" i="148"/>
  <c r="N260" i="148" s="1"/>
  <c r="N258" i="148"/>
  <c r="M258" i="148"/>
  <c r="M269" i="148" s="1"/>
  <c r="M249" i="148"/>
  <c r="BB247" i="148"/>
  <c r="S170" i="148"/>
  <c r="R159" i="148"/>
  <c r="R191" i="148"/>
  <c r="O100" i="148"/>
  <c r="O130" i="148"/>
  <c r="O102" i="148" s="1"/>
  <c r="N270" i="148"/>
  <c r="BC137" i="148"/>
  <c r="BC170" i="148"/>
  <c r="W171" i="148"/>
  <c r="V160" i="148"/>
  <c r="U94" i="148"/>
  <c r="BD94" i="148" s="1"/>
  <c r="AW106" i="150"/>
  <c r="AW107" i="150" s="1"/>
  <c r="AW109" i="150" s="1"/>
  <c r="U133" i="148"/>
  <c r="BD133" i="148"/>
  <c r="N27" i="75"/>
  <c r="N28" i="75" s="1"/>
  <c r="V122" i="148"/>
  <c r="V82" i="148"/>
  <c r="AR150" i="150"/>
  <c r="AT112" i="150"/>
  <c r="AT149" i="150" s="1"/>
  <c r="AS150" i="150"/>
  <c r="Q230" i="148" s="1"/>
  <c r="CC18" i="149"/>
  <c r="W112" i="148"/>
  <c r="N73" i="75"/>
  <c r="N17" i="75"/>
  <c r="N156" i="75"/>
  <c r="BP75" i="150"/>
  <c r="AH74" i="148"/>
  <c r="BH105" i="148"/>
  <c r="AJ75" i="148"/>
  <c r="W117" i="148"/>
  <c r="W77" i="148"/>
  <c r="V118" i="148"/>
  <c r="V76" i="148"/>
  <c r="V116" i="148"/>
  <c r="CD14" i="149"/>
  <c r="X107" i="148"/>
  <c r="V80" i="148"/>
  <c r="U88" i="148"/>
  <c r="BD88" i="148" s="1"/>
  <c r="CB32" i="149"/>
  <c r="CC13" i="149"/>
  <c r="W106" i="148"/>
  <c r="AV114" i="150"/>
  <c r="O244" i="148"/>
  <c r="W110" i="148"/>
  <c r="W80" i="148" s="1"/>
  <c r="CC17" i="149"/>
  <c r="O246" i="148"/>
  <c r="BD90" i="148"/>
  <c r="F27" i="164"/>
  <c r="O242" i="148"/>
  <c r="O245" i="148"/>
  <c r="O243" i="148"/>
  <c r="O248" i="148"/>
  <c r="U86" i="148"/>
  <c r="BD86" i="148" s="1"/>
  <c r="U20" i="148"/>
  <c r="V87" i="148"/>
  <c r="O252" i="148"/>
  <c r="O263" i="148" s="1"/>
  <c r="O247" i="148"/>
  <c r="J156" i="75"/>
  <c r="H9" i="157"/>
  <c r="I10" i="157" s="1"/>
  <c r="M156" i="75"/>
  <c r="BX63" i="75"/>
  <c r="BY61" i="75"/>
  <c r="Q61" i="75" s="1"/>
  <c r="E7" i="157"/>
  <c r="E21" i="163"/>
  <c r="E87" i="163" s="1"/>
  <c r="L208" i="75"/>
  <c r="L207" i="75"/>
  <c r="F13" i="157"/>
  <c r="F42" i="163"/>
  <c r="L18" i="75"/>
  <c r="L73" i="75"/>
  <c r="L27" i="75"/>
  <c r="L17" i="75"/>
  <c r="D13" i="157"/>
  <c r="D42" i="163"/>
  <c r="G11" i="157"/>
  <c r="G39" i="163"/>
  <c r="G37" i="163" s="1"/>
  <c r="E42" i="163"/>
  <c r="E13" i="157"/>
  <c r="K123" i="75"/>
  <c r="L124" i="75"/>
  <c r="BB7" i="148"/>
  <c r="G7" i="157"/>
  <c r="G21" i="163"/>
  <c r="G87" i="163" s="1"/>
  <c r="N207" i="75"/>
  <c r="N208" i="75"/>
  <c r="D7" i="157"/>
  <c r="D21" i="163"/>
  <c r="D87" i="163" s="1"/>
  <c r="D11" i="157"/>
  <c r="D39" i="163"/>
  <c r="D37" i="163" s="1"/>
  <c r="E11" i="157"/>
  <c r="E39" i="163"/>
  <c r="E37" i="163" s="1"/>
  <c r="M29" i="75"/>
  <c r="M74" i="75"/>
  <c r="M33" i="75"/>
  <c r="M232" i="75"/>
  <c r="J33" i="75"/>
  <c r="J74" i="75"/>
  <c r="J29" i="75"/>
  <c r="J232" i="75"/>
  <c r="BE7" i="148"/>
  <c r="K232" i="75"/>
  <c r="K74" i="75"/>
  <c r="K33" i="75"/>
  <c r="K29" i="75"/>
  <c r="K28" i="75"/>
  <c r="G38" i="157"/>
  <c r="M208" i="75"/>
  <c r="M207" i="75"/>
  <c r="BC7" i="148"/>
  <c r="L48" i="157"/>
  <c r="M48" i="157" s="1"/>
  <c r="F39" i="163"/>
  <c r="F37" i="163" s="1"/>
  <c r="F11" i="157"/>
  <c r="M17" i="75"/>
  <c r="G42" i="163"/>
  <c r="G13" i="157"/>
  <c r="K121" i="75"/>
  <c r="K207" i="75"/>
  <c r="K208" i="75"/>
  <c r="L156" i="75"/>
  <c r="E38" i="157"/>
  <c r="H39" i="157"/>
  <c r="H40" i="157" s="1"/>
  <c r="DY32" i="77" l="1"/>
  <c r="DY10" i="77"/>
  <c r="EP63" i="77"/>
  <c r="EI10" i="77"/>
  <c r="ET76" i="77"/>
  <c r="AS62" i="75" s="1"/>
  <c r="EN13" i="77"/>
  <c r="EN15" i="77" s="1"/>
  <c r="AM12" i="75" s="1"/>
  <c r="AM14" i="75" s="1"/>
  <c r="AM16" i="75" s="1"/>
  <c r="EI72" i="77"/>
  <c r="EG69" i="77"/>
  <c r="AF57" i="75" s="1"/>
  <c r="ET51" i="77"/>
  <c r="ET52" i="77" s="1"/>
  <c r="DW72" i="77"/>
  <c r="EG55" i="77"/>
  <c r="AF48" i="75" s="1"/>
  <c r="AF77" i="75" s="1"/>
  <c r="EE72" i="77"/>
  <c r="EF72" i="77"/>
  <c r="EN63" i="77"/>
  <c r="EN64" i="77" s="1"/>
  <c r="Q32" i="75"/>
  <c r="Q211" i="75" s="1"/>
  <c r="P140" i="75"/>
  <c r="O144" i="75"/>
  <c r="O193" i="75" s="1"/>
  <c r="BO48" i="75"/>
  <c r="BO77" i="75" s="1"/>
  <c r="BO46" i="75"/>
  <c r="BO76" i="75"/>
  <c r="BO83" i="75"/>
  <c r="BK78" i="75"/>
  <c r="BK53" i="75"/>
  <c r="BK56" i="75"/>
  <c r="BK54" i="75"/>
  <c r="AA4" i="148"/>
  <c r="BO53" i="75"/>
  <c r="BL84" i="75"/>
  <c r="BK57" i="75"/>
  <c r="BK84" i="75"/>
  <c r="DY56" i="77"/>
  <c r="X49" i="75" s="1"/>
  <c r="DW56" i="77"/>
  <c r="Y270" i="77"/>
  <c r="ES75" i="77"/>
  <c r="AR61" i="75" s="1"/>
  <c r="DX72" i="77"/>
  <c r="DX77" i="77"/>
  <c r="EM55" i="77"/>
  <c r="EQ55" i="77"/>
  <c r="AE275" i="148"/>
  <c r="EC56" i="77"/>
  <c r="AB49" i="75" s="1"/>
  <c r="EE28" i="77"/>
  <c r="EI55" i="77"/>
  <c r="AH48" i="75" s="1"/>
  <c r="ED51" i="77"/>
  <c r="ED52" i="77" s="1"/>
  <c r="EL75" i="77"/>
  <c r="AK61" i="75" s="1"/>
  <c r="EO33" i="77"/>
  <c r="ED77" i="77"/>
  <c r="EO55" i="77"/>
  <c r="AN48" i="75" s="1"/>
  <c r="AN77" i="75" s="1"/>
  <c r="CC28" i="77"/>
  <c r="EM29" i="77"/>
  <c r="O171" i="75"/>
  <c r="O205" i="75"/>
  <c r="O207" i="75" s="1"/>
  <c r="AG9" i="75"/>
  <c r="CG24" i="77"/>
  <c r="AP25" i="75"/>
  <c r="EL24" i="77"/>
  <c r="AK25" i="75" s="1"/>
  <c r="ED72" i="77"/>
  <c r="EM75" i="77"/>
  <c r="BF275" i="148"/>
  <c r="EE10" i="77"/>
  <c r="ET24" i="77"/>
  <c r="AS25" i="75" s="1"/>
  <c r="EN10" i="77"/>
  <c r="AM9" i="75" s="1"/>
  <c r="EN76" i="77"/>
  <c r="AM62" i="75" s="1"/>
  <c r="EB55" i="77"/>
  <c r="AA48" i="75" s="1"/>
  <c r="EL69" i="77"/>
  <c r="AK57" i="75" s="1"/>
  <c r="EF10" i="77"/>
  <c r="EK75" i="77"/>
  <c r="EH55" i="77"/>
  <c r="AG48" i="75" s="1"/>
  <c r="EA55" i="77"/>
  <c r="EG24" i="77"/>
  <c r="AF25" i="75" s="1"/>
  <c r="ES55" i="77"/>
  <c r="AR48" i="75" s="1"/>
  <c r="EC68" i="77"/>
  <c r="AB56" i="75" s="1"/>
  <c r="DW63" i="77"/>
  <c r="DZ68" i="77"/>
  <c r="Y56" i="75" s="1"/>
  <c r="EJ24" i="77"/>
  <c r="AI25" i="75" s="1"/>
  <c r="EF24" i="77"/>
  <c r="AE25" i="75" s="1"/>
  <c r="EH77" i="77"/>
  <c r="EA63" i="77"/>
  <c r="DW51" i="77"/>
  <c r="EE75" i="77"/>
  <c r="DZ10" i="77"/>
  <c r="EN24" i="77"/>
  <c r="AM25" i="75" s="1"/>
  <c r="DY69" i="77"/>
  <c r="X57" i="75" s="1"/>
  <c r="ES56" i="77"/>
  <c r="AR49" i="75" s="1"/>
  <c r="EO72" i="77"/>
  <c r="CF32" i="75"/>
  <c r="S32" i="75" s="1"/>
  <c r="R32" i="75"/>
  <c r="R211" i="75" s="1"/>
  <c r="BP76" i="75"/>
  <c r="BP48" i="75"/>
  <c r="BP77" i="75" s="1"/>
  <c r="BP46" i="75"/>
  <c r="BP83" i="75"/>
  <c r="X9" i="75"/>
  <c r="AP48" i="75"/>
  <c r="CG55" i="77"/>
  <c r="G150" i="75"/>
  <c r="G160" i="75"/>
  <c r="G230" i="75"/>
  <c r="AG72" i="75"/>
  <c r="I95" i="75"/>
  <c r="I96" i="75" s="1"/>
  <c r="H117" i="75"/>
  <c r="H159" i="75"/>
  <c r="EI56" i="77"/>
  <c r="EI68" i="77"/>
  <c r="AH56" i="75" s="1"/>
  <c r="EN28" i="77"/>
  <c r="CD28" i="77" s="1"/>
  <c r="M5" i="75"/>
  <c r="L7" i="75"/>
  <c r="L66" i="75"/>
  <c r="L167" i="75"/>
  <c r="L112" i="75"/>
  <c r="AC6" i="77"/>
  <c r="DY13" i="77"/>
  <c r="DY15" i="77" s="1"/>
  <c r="X12" i="75" s="1"/>
  <c r="X14" i="75" s="1"/>
  <c r="ET77" i="77"/>
  <c r="ES32" i="77"/>
  <c r="EF77" i="77"/>
  <c r="EG75" i="77"/>
  <c r="EF51" i="77"/>
  <c r="EQ33" i="77"/>
  <c r="ET72" i="77"/>
  <c r="EO68" i="77"/>
  <c r="AN56" i="75" s="1"/>
  <c r="EO51" i="77"/>
  <c r="EO52" i="77" s="1"/>
  <c r="EO10" i="77"/>
  <c r="DW69" i="77"/>
  <c r="V57" i="75" s="1"/>
  <c r="EL13" i="77"/>
  <c r="EL15" i="77" s="1"/>
  <c r="AK12" i="75" s="1"/>
  <c r="AK14" i="75" s="1"/>
  <c r="EJ32" i="77"/>
  <c r="DZ13" i="77"/>
  <c r="DZ15" i="77" s="1"/>
  <c r="Y12" i="75" s="1"/>
  <c r="Y14" i="75" s="1"/>
  <c r="EG13" i="77"/>
  <c r="EG15" i="77" s="1"/>
  <c r="AF12" i="75" s="1"/>
  <c r="AF14" i="75" s="1"/>
  <c r="EP51" i="77"/>
  <c r="EP52" i="77" s="1"/>
  <c r="ER77" i="77"/>
  <c r="DW75" i="77"/>
  <c r="EE24" i="77"/>
  <c r="EP69" i="77"/>
  <c r="AO57" i="75" s="1"/>
  <c r="DX75" i="77"/>
  <c r="W61" i="75" s="1"/>
  <c r="DX13" i="77"/>
  <c r="DX15" i="77" s="1"/>
  <c r="W12" i="75" s="1"/>
  <c r="W14" i="75" s="1"/>
  <c r="EH72" i="77"/>
  <c r="ET28" i="77"/>
  <c r="EG32" i="77"/>
  <c r="X61" i="75"/>
  <c r="DY77" i="77"/>
  <c r="U77" i="77" s="1"/>
  <c r="AF275" i="148"/>
  <c r="EL28" i="77"/>
  <c r="EA72" i="77"/>
  <c r="ER32" i="77"/>
  <c r="EM10" i="77"/>
  <c r="EP55" i="77"/>
  <c r="AO48" i="75" s="1"/>
  <c r="DY63" i="77"/>
  <c r="EJ72" i="77"/>
  <c r="EB10" i="77"/>
  <c r="EA32" i="77"/>
  <c r="EP28" i="77"/>
  <c r="DX51" i="77"/>
  <c r="DX52" i="77" s="1"/>
  <c r="ES13" i="77"/>
  <c r="ES15" i="77" s="1"/>
  <c r="AR12" i="75" s="1"/>
  <c r="AR14" i="75" s="1"/>
  <c r="EO32" i="77"/>
  <c r="EH13" i="77"/>
  <c r="EH15" i="77" s="1"/>
  <c r="AG12" i="75" s="1"/>
  <c r="AG14" i="75" s="1"/>
  <c r="ET13" i="77"/>
  <c r="ET15" i="77" s="1"/>
  <c r="AS12" i="75" s="1"/>
  <c r="AS14" i="75" s="1"/>
  <c r="EP56" i="77"/>
  <c r="AO49" i="75" s="1"/>
  <c r="EF13" i="77"/>
  <c r="EF15" i="77" s="1"/>
  <c r="AE12" i="75" s="1"/>
  <c r="AE14" i="75" s="1"/>
  <c r="DY68" i="77"/>
  <c r="X56" i="75" s="1"/>
  <c r="EQ13" i="77"/>
  <c r="EB33" i="77"/>
  <c r="EQ75" i="77"/>
  <c r="EQ28" i="77"/>
  <c r="EI33" i="77"/>
  <c r="EM33" i="77"/>
  <c r="EG76" i="77"/>
  <c r="AF62" i="75" s="1"/>
  <c r="EB63" i="77"/>
  <c r="DZ56" i="77"/>
  <c r="Y49" i="75" s="1"/>
  <c r="EQ51" i="77"/>
  <c r="DY28" i="77"/>
  <c r="ED76" i="77"/>
  <c r="AC62" i="75" s="1"/>
  <c r="ED33" i="77"/>
  <c r="EA76" i="77"/>
  <c r="EJ75" i="77"/>
  <c r="AI61" i="75" s="1"/>
  <c r="EA28" i="77"/>
  <c r="ER72" i="77"/>
  <c r="EK68" i="77"/>
  <c r="AJ56" i="75" s="1"/>
  <c r="EJ77" i="77"/>
  <c r="EF33" i="77"/>
  <c r="EN69" i="77"/>
  <c r="AM57" i="75" s="1"/>
  <c r="EP10" i="77"/>
  <c r="EP76" i="77"/>
  <c r="AO62" i="75" s="1"/>
  <c r="EN33" i="77"/>
  <c r="DX56" i="77"/>
  <c r="W49" i="75" s="1"/>
  <c r="EF69" i="77"/>
  <c r="AE57" i="75" s="1"/>
  <c r="EP68" i="77"/>
  <c r="AO56" i="75" s="1"/>
  <c r="EJ33" i="77"/>
  <c r="ER28" i="77"/>
  <c r="EI75" i="77"/>
  <c r="DW33" i="77"/>
  <c r="EN32" i="77"/>
  <c r="ET56" i="77"/>
  <c r="AS49" i="75" s="1"/>
  <c r="EN68" i="77"/>
  <c r="AM56" i="75" s="1"/>
  <c r="EF55" i="77"/>
  <c r="AE48" i="75" s="1"/>
  <c r="DZ72" i="77"/>
  <c r="DZ76" i="77"/>
  <c r="Y62" i="75" s="1"/>
  <c r="EA13" i="77"/>
  <c r="EE55" i="77"/>
  <c r="EF75" i="77"/>
  <c r="AE61" i="75" s="1"/>
  <c r="EM56" i="77"/>
  <c r="EN51" i="77"/>
  <c r="EN52" i="77" s="1"/>
  <c r="ED13" i="77"/>
  <c r="ED15" i="77" s="1"/>
  <c r="AC12" i="75" s="1"/>
  <c r="AC14" i="75" s="1"/>
  <c r="EP33" i="77"/>
  <c r="EN55" i="77"/>
  <c r="AM48" i="75" s="1"/>
  <c r="EC63" i="77"/>
  <c r="EF28" i="77"/>
  <c r="EJ76" i="77"/>
  <c r="AI62" i="75" s="1"/>
  <c r="EK72" i="77"/>
  <c r="EB76" i="77"/>
  <c r="AA62" i="75" s="1"/>
  <c r="DY76" i="77"/>
  <c r="X62" i="75" s="1"/>
  <c r="EM69" i="77"/>
  <c r="AL57" i="75" s="1"/>
  <c r="DY51" i="77"/>
  <c r="DY52" i="77" s="1"/>
  <c r="EO56" i="77"/>
  <c r="AN49" i="75" s="1"/>
  <c r="ED69" i="77"/>
  <c r="AC57" i="75" s="1"/>
  <c r="EG51" i="77"/>
  <c r="EG52" i="77" s="1"/>
  <c r="EK76" i="77"/>
  <c r="AJ62" i="75" s="1"/>
  <c r="ET63" i="77"/>
  <c r="EG56" i="77"/>
  <c r="AF49" i="75" s="1"/>
  <c r="EM63" i="77"/>
  <c r="EK28" i="77"/>
  <c r="ED55" i="77"/>
  <c r="AC48" i="75" s="1"/>
  <c r="EC28" i="77"/>
  <c r="ES72" i="77"/>
  <c r="EF63" i="77"/>
  <c r="ET75" i="77"/>
  <c r="AS61" i="75" s="1"/>
  <c r="DY33" i="77"/>
  <c r="EI69" i="77"/>
  <c r="AH57" i="75" s="1"/>
  <c r="EJ51" i="77"/>
  <c r="EJ52" i="77" s="1"/>
  <c r="DW10" i="77"/>
  <c r="ET68" i="77"/>
  <c r="AS56" i="75" s="1"/>
  <c r="EK32" i="77"/>
  <c r="EC75" i="77"/>
  <c r="EP72" i="77"/>
  <c r="EL63" i="77"/>
  <c r="EE56" i="77"/>
  <c r="EI24" i="77"/>
  <c r="EE63" i="77"/>
  <c r="EH28" i="77"/>
  <c r="ER51" i="77"/>
  <c r="EE32" i="77"/>
  <c r="DX63" i="77"/>
  <c r="EF68" i="77"/>
  <c r="AE56" i="75" s="1"/>
  <c r="DX69" i="77"/>
  <c r="W57" i="75" s="1"/>
  <c r="EG68" i="77"/>
  <c r="AF56" i="75" s="1"/>
  <c r="EM51" i="77"/>
  <c r="EJ56" i="77"/>
  <c r="AI49" i="75" s="1"/>
  <c r="EO75" i="77"/>
  <c r="DY55" i="77"/>
  <c r="X48" i="75" s="1"/>
  <c r="EQ72" i="77"/>
  <c r="ER24" i="77"/>
  <c r="AQ25" i="75" s="1"/>
  <c r="DX55" i="77"/>
  <c r="W48" i="75" s="1"/>
  <c r="ED63" i="77"/>
  <c r="EM68" i="77"/>
  <c r="AL56" i="75" s="1"/>
  <c r="EP13" i="77"/>
  <c r="EP15" i="77" s="1"/>
  <c r="AO12" i="75" s="1"/>
  <c r="AO14" i="75" s="1"/>
  <c r="DW55" i="77"/>
  <c r="DW32" i="77"/>
  <c r="ER68" i="77"/>
  <c r="AQ56" i="75" s="1"/>
  <c r="EN75" i="77"/>
  <c r="AM61" i="75" s="1"/>
  <c r="EM32" i="77"/>
  <c r="EP77" i="77"/>
  <c r="EK56" i="77"/>
  <c r="AJ49" i="75" s="1"/>
  <c r="EO13" i="77"/>
  <c r="EO15" i="77" s="1"/>
  <c r="AN12" i="75" s="1"/>
  <c r="AN14" i="75" s="1"/>
  <c r="EL33" i="77"/>
  <c r="ER63" i="77"/>
  <c r="EE51" i="77"/>
  <c r="EP32" i="77"/>
  <c r="DX32" i="77"/>
  <c r="EK10" i="77"/>
  <c r="ED32" i="77"/>
  <c r="EQ76" i="77"/>
  <c r="EE68" i="77"/>
  <c r="AD56" i="75" s="1"/>
  <c r="EM72" i="77"/>
  <c r="EM76" i="77"/>
  <c r="EL56" i="77"/>
  <c r="AK49" i="75" s="1"/>
  <c r="EE76" i="77"/>
  <c r="DW28" i="77"/>
  <c r="EC10" i="77"/>
  <c r="EH69" i="77"/>
  <c r="AG57" i="75" s="1"/>
  <c r="ES63" i="77"/>
  <c r="EL32" i="77"/>
  <c r="EL68" i="77"/>
  <c r="AK56" i="75" s="1"/>
  <c r="EL72" i="77"/>
  <c r="EN56" i="77"/>
  <c r="AM49" i="75" s="1"/>
  <c r="ES69" i="77"/>
  <c r="AR57" i="75" s="1"/>
  <c r="ER69" i="77"/>
  <c r="AQ57" i="75" s="1"/>
  <c r="EQ63" i="77"/>
  <c r="ER76" i="77"/>
  <c r="AQ62" i="75" s="1"/>
  <c r="DX10" i="77"/>
  <c r="EC33" i="77"/>
  <c r="DZ77" i="77"/>
  <c r="EB72" i="77"/>
  <c r="ED10" i="77"/>
  <c r="EA33" i="77"/>
  <c r="EI32" i="77"/>
  <c r="EL10" i="77"/>
  <c r="ET32" i="77"/>
  <c r="EB32" i="77"/>
  <c r="ER10" i="77"/>
  <c r="EP75" i="77"/>
  <c r="AO61" i="75" s="1"/>
  <c r="EC55" i="77"/>
  <c r="AB48" i="75" s="1"/>
  <c r="EI51" i="77"/>
  <c r="DW24" i="77"/>
  <c r="EH32" i="77"/>
  <c r="EK13" i="77"/>
  <c r="EK15" i="77" s="1"/>
  <c r="AJ12" i="75" s="1"/>
  <c r="AJ14" i="75" s="1"/>
  <c r="EB75" i="77"/>
  <c r="AA61" i="75" s="1"/>
  <c r="EA75" i="77"/>
  <c r="DW13" i="77"/>
  <c r="EI63" i="77"/>
  <c r="EG72" i="77"/>
  <c r="EJ63" i="77"/>
  <c r="EH56" i="77"/>
  <c r="AG49" i="75" s="1"/>
  <c r="DZ63" i="77"/>
  <c r="EP24" i="77"/>
  <c r="AO25" i="75" s="1"/>
  <c r="ER75" i="77"/>
  <c r="AQ61" i="75" s="1"/>
  <c r="EB68" i="77"/>
  <c r="AA56" i="75" s="1"/>
  <c r="EO63" i="77"/>
  <c r="EK33" i="77"/>
  <c r="EL51" i="77"/>
  <c r="EL52" i="77" s="1"/>
  <c r="ET69" i="77"/>
  <c r="AS57" i="75" s="1"/>
  <c r="EB24" i="77"/>
  <c r="AA25" i="75" s="1"/>
  <c r="DZ55" i="77"/>
  <c r="Y48" i="75" s="1"/>
  <c r="EG28" i="77"/>
  <c r="EL77" i="77"/>
  <c r="EQ32" i="77"/>
  <c r="EC51" i="77"/>
  <c r="EC52" i="77" s="1"/>
  <c r="EC76" i="77"/>
  <c r="AB62" i="75" s="1"/>
  <c r="ET33" i="77"/>
  <c r="EI13" i="77"/>
  <c r="EA69" i="77"/>
  <c r="Z57" i="75" s="1"/>
  <c r="EK63" i="77"/>
  <c r="DY24" i="77"/>
  <c r="X25" i="75" s="1"/>
  <c r="EN77" i="77"/>
  <c r="EJ28" i="77"/>
  <c r="EA56" i="77"/>
  <c r="EC13" i="77"/>
  <c r="EC15" i="77" s="1"/>
  <c r="AB12" i="75" s="1"/>
  <c r="AB14" i="75" s="1"/>
  <c r="EQ68" i="77"/>
  <c r="AP56" i="75" s="1"/>
  <c r="EK51" i="77"/>
  <c r="ED56" i="77"/>
  <c r="AC49" i="75" s="1"/>
  <c r="ES28" i="77"/>
  <c r="EA24" i="77"/>
  <c r="ES10" i="77"/>
  <c r="EC72" i="77"/>
  <c r="EH75" i="77"/>
  <c r="AG61" i="75" s="1"/>
  <c r="DZ51" i="77"/>
  <c r="DZ52" i="77" s="1"/>
  <c r="ED68" i="77"/>
  <c r="AC56" i="75" s="1"/>
  <c r="EL76" i="77"/>
  <c r="AK62" i="75" s="1"/>
  <c r="EM24" i="77"/>
  <c r="ES68" i="77"/>
  <c r="AR56" i="75" s="1"/>
  <c r="EG33" i="77"/>
  <c r="DZ33" i="77"/>
  <c r="DX29" i="77"/>
  <c r="I117" i="75"/>
  <c r="J97" i="75"/>
  <c r="J98" i="75" s="1"/>
  <c r="J95" i="75"/>
  <c r="J96" i="75" s="1"/>
  <c r="I159" i="75"/>
  <c r="EP64" i="77"/>
  <c r="AP9" i="75"/>
  <c r="CH10" i="77"/>
  <c r="CG10" i="77"/>
  <c r="BH85" i="75"/>
  <c r="X5" i="148"/>
  <c r="BL86" i="75"/>
  <c r="AB6" i="148" s="1"/>
  <c r="BH86" i="75"/>
  <c r="X6" i="148" s="1"/>
  <c r="BM56" i="77"/>
  <c r="BN56" i="77"/>
  <c r="DY72" i="77"/>
  <c r="ED28" i="77"/>
  <c r="ER13" i="77"/>
  <c r="ER15" i="77" s="1"/>
  <c r="AQ12" i="75" s="1"/>
  <c r="AQ14" i="75" s="1"/>
  <c r="ER33" i="77"/>
  <c r="EI28" i="77"/>
  <c r="AC275" i="148"/>
  <c r="DW68" i="77"/>
  <c r="V56" i="75" s="1"/>
  <c r="EB69" i="77"/>
  <c r="AA57" i="75" s="1"/>
  <c r="DZ28" i="77"/>
  <c r="EC24" i="77"/>
  <c r="AB25" i="75" s="1"/>
  <c r="ER55" i="77"/>
  <c r="AQ48" i="75" s="1"/>
  <c r="EE33" i="77"/>
  <c r="ET55" i="77"/>
  <c r="AS48" i="75" s="1"/>
  <c r="EH68" i="77"/>
  <c r="AG56" i="75" s="1"/>
  <c r="AG85" i="75" s="1"/>
  <c r="EN72" i="77"/>
  <c r="ES76" i="77"/>
  <c r="AR62" i="75" s="1"/>
  <c r="DZ69" i="77"/>
  <c r="Y57" i="75" s="1"/>
  <c r="EK55" i="77"/>
  <c r="AJ48" i="75" s="1"/>
  <c r="DZ24" i="77"/>
  <c r="Y25" i="75" s="1"/>
  <c r="EO28" i="77"/>
  <c r="EA10" i="77"/>
  <c r="EQ69" i="77"/>
  <c r="AP57" i="75" s="1"/>
  <c r="ES51" i="77"/>
  <c r="ES52" i="77" s="1"/>
  <c r="EM13" i="77"/>
  <c r="EF76" i="77"/>
  <c r="AE62" i="75" s="1"/>
  <c r="DX76" i="77"/>
  <c r="W62" i="75" s="1"/>
  <c r="EF32" i="77"/>
  <c r="EJ55" i="77"/>
  <c r="AI48" i="75" s="1"/>
  <c r="DW76" i="77"/>
  <c r="EC32" i="77"/>
  <c r="EB77" i="77"/>
  <c r="DZ32" i="77"/>
  <c r="AL48" i="75"/>
  <c r="CC55" i="77"/>
  <c r="BY10" i="77"/>
  <c r="AH9" i="75"/>
  <c r="EO69" i="77"/>
  <c r="AN57" i="75" s="1"/>
  <c r="EG10" i="77"/>
  <c r="EH51" i="77"/>
  <c r="EH52" i="77" s="1"/>
  <c r="EE69" i="77"/>
  <c r="AD57" i="75" s="1"/>
  <c r="EQ56" i="77"/>
  <c r="EE13" i="77"/>
  <c r="BM48" i="75"/>
  <c r="BM46" i="75"/>
  <c r="BM83" i="75"/>
  <c r="BM76" i="75"/>
  <c r="BN83" i="75"/>
  <c r="AB81" i="77"/>
  <c r="AB8" i="77"/>
  <c r="AB208" i="77"/>
  <c r="DZ75" i="77"/>
  <c r="Y61" i="75" s="1"/>
  <c r="Y247" i="77"/>
  <c r="H198" i="75"/>
  <c r="H228" i="75"/>
  <c r="EJ68" i="77"/>
  <c r="AI56" i="75" s="1"/>
  <c r="BI57" i="75"/>
  <c r="BI54" i="75"/>
  <c r="Y4" i="148"/>
  <c r="BI78" i="75"/>
  <c r="BI53" i="75"/>
  <c r="BI56" i="75"/>
  <c r="BI84" i="75"/>
  <c r="BJ84" i="75"/>
  <c r="BM53" i="75"/>
  <c r="EJ69" i="77"/>
  <c r="AI57" i="75" s="1"/>
  <c r="EO76" i="77"/>
  <c r="AN62" i="75" s="1"/>
  <c r="EA68" i="77"/>
  <c r="Z56" i="75" s="1"/>
  <c r="Z85" i="75" s="1"/>
  <c r="EC69" i="77"/>
  <c r="AB57" i="75" s="1"/>
  <c r="EO24" i="77"/>
  <c r="AN25" i="75" s="1"/>
  <c r="ET10" i="77"/>
  <c r="DX24" i="77"/>
  <c r="W25" i="75" s="1"/>
  <c r="EI76" i="77"/>
  <c r="EJ13" i="77"/>
  <c r="EJ15" i="77" s="1"/>
  <c r="AI12" i="75" s="1"/>
  <c r="AI14" i="75" s="1"/>
  <c r="EK24" i="77"/>
  <c r="AJ25" i="75" s="1"/>
  <c r="EB28" i="77"/>
  <c r="DX33" i="77"/>
  <c r="EH63" i="77"/>
  <c r="EF56" i="77"/>
  <c r="AE49" i="75" s="1"/>
  <c r="EB56" i="77"/>
  <c r="AA49" i="75" s="1"/>
  <c r="DX68" i="77"/>
  <c r="W56" i="75" s="1"/>
  <c r="EL55" i="77"/>
  <c r="AK48" i="75" s="1"/>
  <c r="EB51" i="77"/>
  <c r="EB52" i="77" s="1"/>
  <c r="EK69" i="77"/>
  <c r="AJ57" i="75" s="1"/>
  <c r="EJ10" i="77"/>
  <c r="CA10" i="77" s="1"/>
  <c r="EG63" i="77"/>
  <c r="ES24" i="77"/>
  <c r="CI24" i="77" s="1"/>
  <c r="EA51" i="77"/>
  <c r="BK193" i="148"/>
  <c r="BK103" i="148"/>
  <c r="BK273" i="148"/>
  <c r="BD89" i="148"/>
  <c r="BD92" i="148"/>
  <c r="T240" i="148"/>
  <c r="T251" i="148" s="1"/>
  <c r="AX161" i="150"/>
  <c r="AW192" i="150"/>
  <c r="U229" i="148" s="1"/>
  <c r="AX163" i="150"/>
  <c r="AY163" i="150" s="1"/>
  <c r="AZ163" i="150" s="1"/>
  <c r="BA163" i="150" s="1"/>
  <c r="BB163" i="150" s="1"/>
  <c r="BC163" i="150" s="1"/>
  <c r="BD163" i="150" s="1"/>
  <c r="BE163" i="150" s="1"/>
  <c r="BF163" i="150" s="1"/>
  <c r="BG163" i="150" s="1"/>
  <c r="BH163" i="150" s="1"/>
  <c r="BI163" i="150" s="1"/>
  <c r="BJ163" i="150" s="1"/>
  <c r="BK163" i="150" s="1"/>
  <c r="BL163" i="150" s="1"/>
  <c r="BM163" i="150" s="1"/>
  <c r="BN163" i="150" s="1"/>
  <c r="BO163" i="150" s="1"/>
  <c r="BP163" i="150" s="1"/>
  <c r="BQ163" i="150" s="1"/>
  <c r="BR163" i="150" s="1"/>
  <c r="BS163" i="150" s="1"/>
  <c r="BT163" i="150" s="1"/>
  <c r="BU163" i="150" s="1"/>
  <c r="BV163" i="150" s="1"/>
  <c r="BW163" i="150" s="1"/>
  <c r="BX163" i="150" s="1"/>
  <c r="AW11" i="150"/>
  <c r="AW12" i="150" s="1"/>
  <c r="AX160" i="150"/>
  <c r="BJ103" i="148"/>
  <c r="BJ273" i="148"/>
  <c r="BJ193" i="148"/>
  <c r="BM97" i="150"/>
  <c r="BM96" i="150"/>
  <c r="AK97" i="150"/>
  <c r="AK96" i="150"/>
  <c r="BO61" i="150"/>
  <c r="BN93" i="150"/>
  <c r="I93" i="150"/>
  <c r="J16" i="150"/>
  <c r="AM16" i="150"/>
  <c r="AL93" i="150"/>
  <c r="BC168" i="148"/>
  <c r="BC135" i="148"/>
  <c r="Y97" i="148"/>
  <c r="BE97" i="148" s="1"/>
  <c r="Z125" i="148"/>
  <c r="S157" i="148"/>
  <c r="S135" i="148" s="1"/>
  <c r="T168" i="148"/>
  <c r="S189" i="148"/>
  <c r="Q158" i="148"/>
  <c r="Q136" i="148" s="1"/>
  <c r="R169" i="148"/>
  <c r="Q190" i="148"/>
  <c r="U126" i="148"/>
  <c r="U124" i="148" s="1"/>
  <c r="T98" i="148"/>
  <c r="T96" i="148"/>
  <c r="BE173" i="148"/>
  <c r="BE152" i="148"/>
  <c r="Y166" i="148"/>
  <c r="X187" i="148"/>
  <c r="X155" i="148"/>
  <c r="O172" i="148"/>
  <c r="O183" i="148" s="1"/>
  <c r="O141" i="148"/>
  <c r="P134" i="148"/>
  <c r="P161" i="148"/>
  <c r="P139" i="148" s="1"/>
  <c r="P142" i="148"/>
  <c r="S99" i="148"/>
  <c r="S138" i="148"/>
  <c r="T127" i="148"/>
  <c r="AA173" i="148"/>
  <c r="Z162" i="148"/>
  <c r="K269" i="148"/>
  <c r="L269" i="148"/>
  <c r="BF221" i="148"/>
  <c r="BF224" i="148"/>
  <c r="BF219" i="148"/>
  <c r="BF226" i="148"/>
  <c r="BF222" i="148"/>
  <c r="BF223" i="148"/>
  <c r="BF218" i="148"/>
  <c r="O139" i="148"/>
  <c r="K271" i="148"/>
  <c r="L271" i="148"/>
  <c r="R167" i="148"/>
  <c r="Q188" i="148"/>
  <c r="Q156" i="148"/>
  <c r="BC156" i="148" s="1"/>
  <c r="AR115" i="148"/>
  <c r="AQ85" i="148"/>
  <c r="AJ79" i="148"/>
  <c r="X78" i="148"/>
  <c r="Y108" i="148"/>
  <c r="Y78" i="148" s="1"/>
  <c r="BE78" i="148" s="1"/>
  <c r="CE15" i="149"/>
  <c r="AW157" i="75"/>
  <c r="AX145" i="75"/>
  <c r="N232" i="75"/>
  <c r="BB258" i="148"/>
  <c r="D81" i="164"/>
  <c r="BD182" i="148"/>
  <c r="X171" i="148"/>
  <c r="W160" i="148"/>
  <c r="BC181" i="148"/>
  <c r="BC191" i="148"/>
  <c r="R137" i="148"/>
  <c r="M260" i="148"/>
  <c r="M271" i="148" s="1"/>
  <c r="BB249" i="148"/>
  <c r="BB260" i="148" s="1"/>
  <c r="R129" i="148"/>
  <c r="Q101" i="148"/>
  <c r="BC101" i="148" s="1"/>
  <c r="Q140" i="148"/>
  <c r="Q128" i="148"/>
  <c r="BI164" i="148"/>
  <c r="BI103" i="148"/>
  <c r="BI193" i="148"/>
  <c r="BI273" i="148"/>
  <c r="T170" i="148"/>
  <c r="S159" i="148"/>
  <c r="S191" i="148"/>
  <c r="N269" i="148"/>
  <c r="AF95" i="148"/>
  <c r="AG123" i="148"/>
  <c r="P100" i="148"/>
  <c r="P130" i="148"/>
  <c r="P102" i="148" s="1"/>
  <c r="N74" i="75"/>
  <c r="N29" i="75"/>
  <c r="N33" i="75"/>
  <c r="N75" i="75" s="1"/>
  <c r="W82" i="148"/>
  <c r="W122" i="148"/>
  <c r="CD18" i="149"/>
  <c r="X112" i="148"/>
  <c r="Q231" i="148"/>
  <c r="Q242" i="148" s="1"/>
  <c r="Q232" i="148"/>
  <c r="Q243" i="148" s="1"/>
  <c r="Q254" i="148" s="1"/>
  <c r="Q241" i="148"/>
  <c r="Q233" i="148"/>
  <c r="Q244" i="148" s="1"/>
  <c r="Q234" i="148"/>
  <c r="Q245" i="148" s="1"/>
  <c r="Q256" i="148" s="1"/>
  <c r="Q237" i="148"/>
  <c r="Q248" i="148" s="1"/>
  <c r="Q259" i="148" s="1"/>
  <c r="Q235" i="148"/>
  <c r="Q246" i="148" s="1"/>
  <c r="Q257" i="148" s="1"/>
  <c r="AX106" i="150"/>
  <c r="AX107" i="150" s="1"/>
  <c r="AX109" i="150" s="1"/>
  <c r="AX11" i="150" s="1"/>
  <c r="AX12" i="150" s="1"/>
  <c r="V94" i="148"/>
  <c r="V133" i="148"/>
  <c r="AW120" i="150"/>
  <c r="AX120" i="150" s="1"/>
  <c r="AY120" i="150" s="1"/>
  <c r="AZ120" i="150" s="1"/>
  <c r="BA120" i="150" s="1"/>
  <c r="BB120" i="150" s="1"/>
  <c r="BC120" i="150" s="1"/>
  <c r="BD120" i="150" s="1"/>
  <c r="BE120" i="150" s="1"/>
  <c r="BF120" i="150" s="1"/>
  <c r="BG120" i="150" s="1"/>
  <c r="BH120" i="150" s="1"/>
  <c r="BI120" i="150" s="1"/>
  <c r="BJ120" i="150" s="1"/>
  <c r="BK120" i="150" s="1"/>
  <c r="BL120" i="150" s="1"/>
  <c r="BM120" i="150" s="1"/>
  <c r="BN120" i="150" s="1"/>
  <c r="BO120" i="150" s="1"/>
  <c r="BP120" i="150" s="1"/>
  <c r="BQ120" i="150" s="1"/>
  <c r="BR120" i="150" s="1"/>
  <c r="BS120" i="150" s="1"/>
  <c r="BT120" i="150" s="1"/>
  <c r="BU120" i="150" s="1"/>
  <c r="BV120" i="150" s="1"/>
  <c r="BW120" i="150" s="1"/>
  <c r="BX120" i="150" s="1"/>
  <c r="CN109" i="150"/>
  <c r="P230" i="148"/>
  <c r="CM150" i="150"/>
  <c r="AU112" i="150"/>
  <c r="AU149" i="150" s="1"/>
  <c r="AT150" i="150"/>
  <c r="R230" i="148" s="1"/>
  <c r="F25" i="164"/>
  <c r="CM149" i="150"/>
  <c r="BF7" i="148"/>
  <c r="O249" i="148"/>
  <c r="O260" i="148" s="1"/>
  <c r="BQ75" i="150"/>
  <c r="BR75" i="150" s="1"/>
  <c r="BS75" i="150" s="1"/>
  <c r="BT75" i="150" s="1"/>
  <c r="BU75" i="150" s="1"/>
  <c r="BV75" i="150" s="1"/>
  <c r="BW75" i="150" s="1"/>
  <c r="BX75" i="150" s="1"/>
  <c r="BY75" i="150" s="1"/>
  <c r="V88" i="148"/>
  <c r="AW114" i="150"/>
  <c r="X77" i="148"/>
  <c r="X117" i="148"/>
  <c r="U22" i="148"/>
  <c r="BD20" i="148"/>
  <c r="BH113" i="148"/>
  <c r="AJ83" i="148"/>
  <c r="W87" i="148"/>
  <c r="CD17" i="149"/>
  <c r="X110" i="148"/>
  <c r="X80" i="148" s="1"/>
  <c r="O259" i="148"/>
  <c r="O254" i="148"/>
  <c r="BD91" i="148"/>
  <c r="CE14" i="149"/>
  <c r="Y107" i="148"/>
  <c r="BE107" i="148" s="1"/>
  <c r="F35" i="164"/>
  <c r="F43" i="164"/>
  <c r="W116" i="148"/>
  <c r="W118" i="148"/>
  <c r="W76" i="148"/>
  <c r="V20" i="148"/>
  <c r="V86" i="148"/>
  <c r="O256" i="148"/>
  <c r="O253" i="148"/>
  <c r="O257" i="148"/>
  <c r="O255" i="148"/>
  <c r="CD13" i="149"/>
  <c r="X106" i="148"/>
  <c r="CC32" i="149"/>
  <c r="AK75" i="148"/>
  <c r="BH75" i="148" s="1"/>
  <c r="O258" i="148"/>
  <c r="H44" i="157"/>
  <c r="H46" i="157" s="1"/>
  <c r="H47" i="157" s="1"/>
  <c r="H49" i="157" s="1"/>
  <c r="H50" i="157" s="1"/>
  <c r="BY63" i="75"/>
  <c r="BZ61" i="75"/>
  <c r="F9" i="157"/>
  <c r="F43" i="157"/>
  <c r="F41" i="157" s="1"/>
  <c r="E38" i="163"/>
  <c r="M124" i="75"/>
  <c r="N124" i="75" s="1"/>
  <c r="L123" i="75"/>
  <c r="H37" i="163"/>
  <c r="G38" i="163"/>
  <c r="F38" i="163"/>
  <c r="J75" i="75"/>
  <c r="J35" i="75"/>
  <c r="AA29" i="77"/>
  <c r="J45" i="75"/>
  <c r="D40" i="163"/>
  <c r="D12" i="157"/>
  <c r="K82" i="75"/>
  <c r="K34" i="75"/>
  <c r="E40" i="163"/>
  <c r="K35" i="75"/>
  <c r="K75" i="75"/>
  <c r="AB29" i="77"/>
  <c r="E12" i="157"/>
  <c r="K45" i="75"/>
  <c r="G40" i="163"/>
  <c r="M35" i="75"/>
  <c r="M45" i="75"/>
  <c r="M75" i="75"/>
  <c r="G12" i="157"/>
  <c r="G39" i="157"/>
  <c r="G40" i="157" s="1"/>
  <c r="G8" i="157"/>
  <c r="L33" i="75"/>
  <c r="M34" i="75" s="1"/>
  <c r="L74" i="75"/>
  <c r="L29" i="75"/>
  <c r="L232" i="75"/>
  <c r="L28" i="75"/>
  <c r="E9" i="157"/>
  <c r="E43" i="157"/>
  <c r="E41" i="157" s="1"/>
  <c r="D43" i="157"/>
  <c r="D41" i="157" s="1"/>
  <c r="D9" i="157"/>
  <c r="G43" i="157"/>
  <c r="G41" i="157" s="1"/>
  <c r="G9" i="157"/>
  <c r="D39" i="157"/>
  <c r="D40" i="157" s="1"/>
  <c r="D8" i="157"/>
  <c r="BD7" i="148"/>
  <c r="E39" i="157"/>
  <c r="E40" i="157" s="1"/>
  <c r="E8" i="157"/>
  <c r="H110" i="164"/>
  <c r="K120" i="75"/>
  <c r="L121" i="75"/>
  <c r="M28" i="75"/>
  <c r="F7" i="157"/>
  <c r="F21" i="163"/>
  <c r="F87" i="163" s="1"/>
  <c r="CI10" i="77" l="1"/>
  <c r="AI85" i="75"/>
  <c r="EN18" i="77"/>
  <c r="EN20" i="77" s="1"/>
  <c r="EM34" i="77"/>
  <c r="AL85" i="75"/>
  <c r="X72" i="77"/>
  <c r="BP56" i="77"/>
  <c r="AF52" i="75"/>
  <c r="BY55" i="77"/>
  <c r="EE34" i="77"/>
  <c r="CF28" i="77"/>
  <c r="CH55" i="77"/>
  <c r="EE29" i="77"/>
  <c r="Y55" i="77"/>
  <c r="H48" i="75" s="1"/>
  <c r="H77" i="75" s="1"/>
  <c r="CJ10" i="77"/>
  <c r="BU28" i="77"/>
  <c r="W85" i="75"/>
  <c r="CF55" i="77"/>
  <c r="U56" i="77"/>
  <c r="D49" i="75" s="1"/>
  <c r="D170" i="75" s="1"/>
  <c r="AN52" i="75"/>
  <c r="BZ55" i="77"/>
  <c r="U72" i="77"/>
  <c r="CJ24" i="77"/>
  <c r="BO56" i="77"/>
  <c r="EP61" i="77"/>
  <c r="ES77" i="77"/>
  <c r="Z77" i="77" s="1"/>
  <c r="CE55" i="77"/>
  <c r="V49" i="75"/>
  <c r="Z10" i="77"/>
  <c r="I9" i="75" s="1"/>
  <c r="AC85" i="75"/>
  <c r="AA85" i="75"/>
  <c r="W72" i="77"/>
  <c r="DX34" i="77"/>
  <c r="DX49" i="77" s="1"/>
  <c r="DX48" i="77" s="1"/>
  <c r="Z72" i="77"/>
  <c r="AJ85" i="75"/>
  <c r="X85" i="75"/>
  <c r="AN85" i="75"/>
  <c r="EH18" i="77"/>
  <c r="EH19" i="77" s="1"/>
  <c r="AA5" i="148"/>
  <c r="BO86" i="75"/>
  <c r="AE6" i="148" s="1"/>
  <c r="BL85" i="75"/>
  <c r="BK86" i="75"/>
  <c r="AA6" i="148" s="1"/>
  <c r="BK85" i="75"/>
  <c r="P144" i="75"/>
  <c r="Q140" i="75"/>
  <c r="R140" i="75" s="1"/>
  <c r="S140" i="75" s="1"/>
  <c r="T140" i="75" s="1"/>
  <c r="CA55" i="77"/>
  <c r="BZ10" i="77"/>
  <c r="CD55" i="77"/>
  <c r="AE85" i="75"/>
  <c r="CC34" i="77"/>
  <c r="EB29" i="77"/>
  <c r="EB34" i="77"/>
  <c r="EB49" i="77" s="1"/>
  <c r="EB48" i="77" s="1"/>
  <c r="AH81" i="75"/>
  <c r="AH70" i="75"/>
  <c r="EI11" i="77"/>
  <c r="AH71" i="75"/>
  <c r="AH10" i="75"/>
  <c r="AH76" i="75"/>
  <c r="BQ10" i="77"/>
  <c r="BT10" i="77"/>
  <c r="BR10" i="77"/>
  <c r="BS10" i="77"/>
  <c r="Z9" i="75"/>
  <c r="V10" i="77"/>
  <c r="CF33" i="77"/>
  <c r="CD33" i="77"/>
  <c r="CE33" i="77"/>
  <c r="CC33" i="77"/>
  <c r="Y33" i="77"/>
  <c r="EI64" i="77"/>
  <c r="CA63" i="77"/>
  <c r="BY63" i="77"/>
  <c r="BZ63" i="77"/>
  <c r="EI61" i="77"/>
  <c r="CB63" i="77"/>
  <c r="X52" i="75"/>
  <c r="X77" i="75"/>
  <c r="AH25" i="75"/>
  <c r="AH72" i="75" s="1"/>
  <c r="X24" i="77"/>
  <c r="BZ24" i="77"/>
  <c r="BY24" i="77"/>
  <c r="CB24" i="77"/>
  <c r="CA24" i="77"/>
  <c r="EF29" i="77"/>
  <c r="EF34" i="77"/>
  <c r="EF49" i="77" s="1"/>
  <c r="EF48" i="77" s="1"/>
  <c r="AL49" i="75"/>
  <c r="CC56" i="77"/>
  <c r="CF56" i="77"/>
  <c r="CE56" i="77"/>
  <c r="Y56" i="77"/>
  <c r="H49" i="75" s="1"/>
  <c r="H170" i="75" s="1"/>
  <c r="CD56" i="77"/>
  <c r="AE52" i="75"/>
  <c r="AE77" i="75"/>
  <c r="ER29" i="77"/>
  <c r="ER34" i="77"/>
  <c r="ER49" i="77" s="1"/>
  <c r="ER48" i="77" s="1"/>
  <c r="DY29" i="77"/>
  <c r="DY34" i="77"/>
  <c r="DY49" i="77" s="1"/>
  <c r="DY48" i="77" s="1"/>
  <c r="X33" i="77"/>
  <c r="CA33" i="77"/>
  <c r="CB33" i="77"/>
  <c r="BY33" i="77"/>
  <c r="BZ33" i="77"/>
  <c r="AO52" i="75"/>
  <c r="AO77" i="75"/>
  <c r="H230" i="75"/>
  <c r="H150" i="75"/>
  <c r="H160" i="75"/>
  <c r="CI55" i="77"/>
  <c r="AM72" i="75"/>
  <c r="C277" i="148"/>
  <c r="AA77" i="75"/>
  <c r="AA52" i="75"/>
  <c r="F277" i="148"/>
  <c r="AP72" i="75"/>
  <c r="I25" i="75"/>
  <c r="EN61" i="77"/>
  <c r="BV28" i="77"/>
  <c r="AK52" i="75"/>
  <c r="AK77" i="75"/>
  <c r="V48" i="75"/>
  <c r="BP55" i="77"/>
  <c r="BO55" i="77"/>
  <c r="BM55" i="77"/>
  <c r="BN55" i="77"/>
  <c r="U55" i="77"/>
  <c r="D48" i="75" s="1"/>
  <c r="AH49" i="75"/>
  <c r="AH52" i="75" s="1"/>
  <c r="CB56" i="77"/>
  <c r="CA56" i="77"/>
  <c r="X56" i="77"/>
  <c r="G49" i="75" s="1"/>
  <c r="G170" i="75" s="1"/>
  <c r="BZ56" i="77"/>
  <c r="BY56" i="77"/>
  <c r="X70" i="75"/>
  <c r="X76" i="75"/>
  <c r="DY11" i="77"/>
  <c r="X71" i="75"/>
  <c r="AR52" i="75"/>
  <c r="AR77" i="75"/>
  <c r="U24" i="77"/>
  <c r="BM24" i="77"/>
  <c r="BN24" i="77"/>
  <c r="V25" i="75"/>
  <c r="BO24" i="77"/>
  <c r="BP24" i="77"/>
  <c r="AS85" i="75"/>
  <c r="AS86" i="75"/>
  <c r="I6" i="148" s="1"/>
  <c r="I5" i="148"/>
  <c r="AW86" i="75"/>
  <c r="M6" i="148" s="1"/>
  <c r="AT85" i="75"/>
  <c r="EK52" i="77"/>
  <c r="BY51" i="77"/>
  <c r="CB51" i="77"/>
  <c r="EI52" i="77"/>
  <c r="CA51" i="77"/>
  <c r="BZ51" i="77"/>
  <c r="BX51" i="77"/>
  <c r="BW51" i="77"/>
  <c r="BU51" i="77"/>
  <c r="EE52" i="77"/>
  <c r="BV51" i="77"/>
  <c r="EE49" i="77"/>
  <c r="AN61" i="75"/>
  <c r="EO77" i="77"/>
  <c r="Y77" i="77" s="1"/>
  <c r="BW56" i="77"/>
  <c r="BV56" i="77"/>
  <c r="BU56" i="77"/>
  <c r="W56" i="77"/>
  <c r="F49" i="75" s="1"/>
  <c r="F170" i="75" s="1"/>
  <c r="AD49" i="75"/>
  <c r="BX56" i="77"/>
  <c r="BP10" i="77"/>
  <c r="BO10" i="77"/>
  <c r="BN10" i="77"/>
  <c r="V9" i="75"/>
  <c r="BM10" i="77"/>
  <c r="U10" i="77"/>
  <c r="ET64" i="77"/>
  <c r="ET61" i="77"/>
  <c r="EC64" i="77"/>
  <c r="EC61" i="77"/>
  <c r="CG51" i="77"/>
  <c r="EQ52" i="77"/>
  <c r="CH51" i="77"/>
  <c r="CI51" i="77"/>
  <c r="CJ51" i="77"/>
  <c r="EP29" i="77"/>
  <c r="EP34" i="77"/>
  <c r="EP49" i="77" s="1"/>
  <c r="EP48" i="77" s="1"/>
  <c r="DZ18" i="77"/>
  <c r="DZ26" i="77" s="1"/>
  <c r="DZ25" i="77" s="1"/>
  <c r="Y24" i="75" s="1"/>
  <c r="Y21" i="75" s="1"/>
  <c r="Y26" i="75" s="1"/>
  <c r="Y9" i="75"/>
  <c r="Y72" i="75" s="1"/>
  <c r="CB55" i="77"/>
  <c r="BU34" i="77"/>
  <c r="AF9" i="75"/>
  <c r="AG81" i="75" s="1"/>
  <c r="EG18" i="77"/>
  <c r="CC13" i="77"/>
  <c r="CE13" i="77"/>
  <c r="Y13" i="77"/>
  <c r="Y15" i="77" s="1"/>
  <c r="H12" i="75" s="1"/>
  <c r="H14" i="75" s="1"/>
  <c r="CF13" i="77"/>
  <c r="CD13" i="77"/>
  <c r="EM15" i="77"/>
  <c r="AJ52" i="75"/>
  <c r="AJ77" i="75"/>
  <c r="BU33" i="77"/>
  <c r="W33" i="77"/>
  <c r="BX33" i="77"/>
  <c r="BV33" i="77"/>
  <c r="BW33" i="77"/>
  <c r="C25" i="148"/>
  <c r="AM18" i="75"/>
  <c r="AM73" i="75"/>
  <c r="AR85" i="75"/>
  <c r="AR86" i="75"/>
  <c r="H6" i="148" s="1"/>
  <c r="H5" i="148"/>
  <c r="AV86" i="75"/>
  <c r="L6" i="148" s="1"/>
  <c r="AP85" i="75"/>
  <c r="F5" i="148"/>
  <c r="AP86" i="75"/>
  <c r="F6" i="148" s="1"/>
  <c r="AT86" i="75"/>
  <c r="J6" i="148" s="1"/>
  <c r="EK61" i="77"/>
  <c r="EK64" i="77"/>
  <c r="CG32" i="77"/>
  <c r="CH32" i="77"/>
  <c r="CI32" i="77"/>
  <c r="CJ32" i="77"/>
  <c r="Z32" i="77"/>
  <c r="DZ64" i="77"/>
  <c r="DZ61" i="77"/>
  <c r="Z61" i="75"/>
  <c r="EA77" i="77"/>
  <c r="V75" i="77"/>
  <c r="AB77" i="75"/>
  <c r="AB52" i="75"/>
  <c r="AF53" i="75" s="1"/>
  <c r="BY32" i="77"/>
  <c r="X32" i="77"/>
  <c r="CB32" i="77"/>
  <c r="BZ32" i="77"/>
  <c r="CA32" i="77"/>
  <c r="W9" i="75"/>
  <c r="X81" i="75" s="1"/>
  <c r="DX18" i="77"/>
  <c r="BN28" i="77"/>
  <c r="BO28" i="77"/>
  <c r="BP28" i="77"/>
  <c r="DW34" i="77"/>
  <c r="DW49" i="77" s="1"/>
  <c r="DW29" i="77"/>
  <c r="BM28" i="77"/>
  <c r="AP62" i="75"/>
  <c r="Z76" i="77"/>
  <c r="ER64" i="77"/>
  <c r="ER61" i="77"/>
  <c r="ED64" i="77"/>
  <c r="ED61" i="77"/>
  <c r="BU32" i="77"/>
  <c r="BW32" i="77"/>
  <c r="W32" i="77"/>
  <c r="BX32" i="77"/>
  <c r="BV32" i="77"/>
  <c r="EL64" i="77"/>
  <c r="EL61" i="77"/>
  <c r="EC34" i="77"/>
  <c r="EC49" i="77" s="1"/>
  <c r="EC48" i="77" s="1"/>
  <c r="EC29" i="77"/>
  <c r="AM77" i="75"/>
  <c r="AM52" i="75"/>
  <c r="BU55" i="77"/>
  <c r="W55" i="77"/>
  <c r="F48" i="75" s="1"/>
  <c r="BX55" i="77"/>
  <c r="AD48" i="75"/>
  <c r="BV55" i="77"/>
  <c r="BW55" i="77"/>
  <c r="AO85" i="75"/>
  <c r="EQ77" i="77"/>
  <c r="Z75" i="77"/>
  <c r="AP61" i="75"/>
  <c r="V32" i="77"/>
  <c r="BR32" i="77"/>
  <c r="BQ32" i="77"/>
  <c r="BT32" i="77"/>
  <c r="BS32" i="77"/>
  <c r="ET29" i="77"/>
  <c r="ET34" i="77"/>
  <c r="ET49" i="77" s="1"/>
  <c r="ET48" i="77" s="1"/>
  <c r="V61" i="75"/>
  <c r="U75" i="77"/>
  <c r="DW77" i="77"/>
  <c r="CG33" i="77"/>
  <c r="Z33" i="77"/>
  <c r="CI33" i="77"/>
  <c r="CH33" i="77"/>
  <c r="CJ33" i="77"/>
  <c r="X16" i="75"/>
  <c r="M7" i="75"/>
  <c r="M66" i="75"/>
  <c r="N5" i="75"/>
  <c r="M167" i="75"/>
  <c r="M112" i="75"/>
  <c r="Z55" i="77"/>
  <c r="I48" i="75" s="1"/>
  <c r="S211" i="75"/>
  <c r="T32" i="75"/>
  <c r="T211" i="75" s="1"/>
  <c r="EE77" i="77"/>
  <c r="AD61" i="75"/>
  <c r="W75" i="77"/>
  <c r="Y85" i="75"/>
  <c r="AG52" i="75"/>
  <c r="AG77" i="75"/>
  <c r="AM70" i="75"/>
  <c r="C11" i="148"/>
  <c r="EN11" i="77"/>
  <c r="AM71" i="75"/>
  <c r="AM76" i="75"/>
  <c r="X55" i="77"/>
  <c r="G48" i="75" s="1"/>
  <c r="EH20" i="77"/>
  <c r="BX28" i="77"/>
  <c r="D277" i="148"/>
  <c r="DZ29" i="77"/>
  <c r="DZ34" i="77"/>
  <c r="DZ49" i="77" s="1"/>
  <c r="DZ48" i="77" s="1"/>
  <c r="EJ34" i="77"/>
  <c r="EJ49" i="77" s="1"/>
  <c r="EJ48" i="77" s="1"/>
  <c r="EJ29" i="77"/>
  <c r="ES64" i="77"/>
  <c r="ES61" i="77"/>
  <c r="EE64" i="77"/>
  <c r="BU63" i="77"/>
  <c r="EE61" i="77"/>
  <c r="BW63" i="77"/>
  <c r="BV63" i="77"/>
  <c r="BX63" i="77"/>
  <c r="EM64" i="77"/>
  <c r="CD63" i="77"/>
  <c r="CE63" i="77"/>
  <c r="EM61" i="77"/>
  <c r="CC63" i="77"/>
  <c r="CF63" i="77"/>
  <c r="DY64" i="77"/>
  <c r="DY61" i="77"/>
  <c r="AP77" i="75"/>
  <c r="EO34" i="77"/>
  <c r="EO49" i="77" s="1"/>
  <c r="EO48" i="77" s="1"/>
  <c r="EO29" i="77"/>
  <c r="Y72" i="77"/>
  <c r="EG64" i="77"/>
  <c r="EG61" i="77"/>
  <c r="BI85" i="75"/>
  <c r="Y5" i="148"/>
  <c r="BI86" i="75"/>
  <c r="Y6" i="148" s="1"/>
  <c r="BM86" i="75"/>
  <c r="AC6" i="148" s="1"/>
  <c r="BJ85" i="75"/>
  <c r="ED29" i="77"/>
  <c r="ED34" i="77"/>
  <c r="ED49" i="77" s="1"/>
  <c r="ED48" i="77" s="1"/>
  <c r="I160" i="75"/>
  <c r="I230" i="75"/>
  <c r="I150" i="75"/>
  <c r="BM13" i="77"/>
  <c r="BN13" i="77"/>
  <c r="BP13" i="77"/>
  <c r="DW15" i="77"/>
  <c r="U13" i="77"/>
  <c r="U15" i="77" s="1"/>
  <c r="D12" i="75" s="1"/>
  <c r="D14" i="75" s="1"/>
  <c r="BO13" i="77"/>
  <c r="AD85" i="75"/>
  <c r="DX64" i="77"/>
  <c r="DX61" i="77"/>
  <c r="AM85" i="75"/>
  <c r="EA29" i="77"/>
  <c r="EA34" i="77"/>
  <c r="BR28" i="77"/>
  <c r="BT28" i="77"/>
  <c r="BQ28" i="77"/>
  <c r="BS28" i="77"/>
  <c r="AI9" i="75"/>
  <c r="AI72" i="75" s="1"/>
  <c r="EJ18" i="77"/>
  <c r="EJ26" i="77" s="1"/>
  <c r="EJ25" i="77" s="1"/>
  <c r="AI24" i="75" s="1"/>
  <c r="AI21" i="75" s="1"/>
  <c r="AI26" i="75" s="1"/>
  <c r="AH62" i="75"/>
  <c r="X76" i="77"/>
  <c r="EH64" i="77"/>
  <c r="EH61" i="77"/>
  <c r="N48" i="75"/>
  <c r="H15" i="157" s="1"/>
  <c r="BM77" i="75"/>
  <c r="CB10" i="77"/>
  <c r="AL52" i="75"/>
  <c r="AL77" i="75"/>
  <c r="V62" i="75"/>
  <c r="U76" i="77"/>
  <c r="AQ77" i="75"/>
  <c r="AQ52" i="75"/>
  <c r="Y24" i="77"/>
  <c r="CD24" i="77"/>
  <c r="AL25" i="75"/>
  <c r="CF24" i="77"/>
  <c r="CE24" i="77"/>
  <c r="CC24" i="77"/>
  <c r="ES18" i="77"/>
  <c r="ES26" i="77" s="1"/>
  <c r="ES25" i="77" s="1"/>
  <c r="AR9" i="75"/>
  <c r="BS33" i="77"/>
  <c r="V33" i="77"/>
  <c r="BT33" i="77"/>
  <c r="BQ33" i="77"/>
  <c r="BR33" i="77"/>
  <c r="AK85" i="75"/>
  <c r="AD62" i="75"/>
  <c r="W76" i="77"/>
  <c r="G5" i="148"/>
  <c r="AQ86" i="75"/>
  <c r="G6" i="148" s="1"/>
  <c r="AQ85" i="75"/>
  <c r="AU86" i="75"/>
  <c r="K6" i="148" s="1"/>
  <c r="W52" i="75"/>
  <c r="W77" i="75"/>
  <c r="CF51" i="77"/>
  <c r="EM52" i="77"/>
  <c r="CE51" i="77"/>
  <c r="CD51" i="77"/>
  <c r="CC51" i="77"/>
  <c r="EM49" i="77"/>
  <c r="ER52" i="77"/>
  <c r="AC52" i="75"/>
  <c r="AC77" i="75"/>
  <c r="BQ13" i="77"/>
  <c r="EA15" i="77"/>
  <c r="BR13" i="77"/>
  <c r="BT13" i="77"/>
  <c r="V13" i="77"/>
  <c r="V15" i="77" s="1"/>
  <c r="E12" i="75" s="1"/>
  <c r="E14" i="75" s="1"/>
  <c r="BS13" i="77"/>
  <c r="V76" i="77"/>
  <c r="Z62" i="75"/>
  <c r="EB64" i="77"/>
  <c r="EB61" i="77"/>
  <c r="AA9" i="75"/>
  <c r="AA72" i="75" s="1"/>
  <c r="EB18" i="77"/>
  <c r="EB26" i="77" s="1"/>
  <c r="EB25" i="77" s="1"/>
  <c r="AA24" i="75" s="1"/>
  <c r="AA21" i="75" s="1"/>
  <c r="AA26" i="75" s="1"/>
  <c r="V72" i="77"/>
  <c r="EF52" i="77"/>
  <c r="AC8" i="77"/>
  <c r="AC81" i="77"/>
  <c r="AC208" i="77"/>
  <c r="EN29" i="77"/>
  <c r="EN34" i="77"/>
  <c r="EN49" i="77" s="1"/>
  <c r="EN48" i="77" s="1"/>
  <c r="CJ55" i="77"/>
  <c r="DW52" i="77"/>
  <c r="BP51" i="77"/>
  <c r="BM51" i="77"/>
  <c r="BN51" i="77"/>
  <c r="BO51" i="77"/>
  <c r="BM63" i="77"/>
  <c r="BO63" i="77"/>
  <c r="BP63" i="77"/>
  <c r="DW61" i="77"/>
  <c r="DW64" i="77"/>
  <c r="BN63" i="77"/>
  <c r="EK77" i="77"/>
  <c r="X77" i="77" s="1"/>
  <c r="AJ61" i="75"/>
  <c r="I277" i="148"/>
  <c r="EM77" i="77"/>
  <c r="AL61" i="75"/>
  <c r="Y75" i="77"/>
  <c r="Z24" i="77"/>
  <c r="EH11" i="77"/>
  <c r="AG71" i="75"/>
  <c r="AG70" i="75"/>
  <c r="AG76" i="75"/>
  <c r="AG16" i="75"/>
  <c r="CE28" i="77"/>
  <c r="EA52" i="77"/>
  <c r="BQ51" i="77"/>
  <c r="BS51" i="77"/>
  <c r="BR51" i="77"/>
  <c r="BT51" i="77"/>
  <c r="AP49" i="75"/>
  <c r="AP52" i="75" s="1"/>
  <c r="CG56" i="77"/>
  <c r="Z56" i="77"/>
  <c r="I49" i="75" s="1"/>
  <c r="CH56" i="77"/>
  <c r="CI56" i="77"/>
  <c r="CJ56" i="77"/>
  <c r="ES34" i="77"/>
  <c r="ES49" i="77" s="1"/>
  <c r="ES48" i="77" s="1"/>
  <c r="ES29" i="77"/>
  <c r="Y77" i="75"/>
  <c r="Y52" i="75"/>
  <c r="AL62" i="75"/>
  <c r="Y76" i="77"/>
  <c r="EI77" i="77"/>
  <c r="X75" i="77"/>
  <c r="AH61" i="75"/>
  <c r="EF61" i="77"/>
  <c r="EF64" i="77"/>
  <c r="AS77" i="75"/>
  <c r="AS52" i="75"/>
  <c r="X72" i="75"/>
  <c r="E277" i="148"/>
  <c r="AK9" i="75"/>
  <c r="AK72" i="75" s="1"/>
  <c r="EL18" i="77"/>
  <c r="AB9" i="75"/>
  <c r="AB72" i="75" s="1"/>
  <c r="EC18" i="77"/>
  <c r="CE32" i="77"/>
  <c r="CC32" i="77"/>
  <c r="CD32" i="77"/>
  <c r="CF32" i="77"/>
  <c r="Y32" i="77"/>
  <c r="AO9" i="75"/>
  <c r="AP11" i="75" s="1"/>
  <c r="EP18" i="77"/>
  <c r="CG28" i="77"/>
  <c r="CJ28" i="77"/>
  <c r="CI28" i="77"/>
  <c r="EQ29" i="77"/>
  <c r="EQ34" i="77"/>
  <c r="EQ49" i="77" s="1"/>
  <c r="CH28" i="77"/>
  <c r="AL9" i="75"/>
  <c r="AM81" i="75" s="1"/>
  <c r="Y10" i="77"/>
  <c r="CE10" i="77"/>
  <c r="CF10" i="77"/>
  <c r="CD10" i="77"/>
  <c r="CC10" i="77"/>
  <c r="BU24" i="77"/>
  <c r="W24" i="77"/>
  <c r="AD25" i="75"/>
  <c r="BV24" i="77"/>
  <c r="BW24" i="77"/>
  <c r="BX24" i="77"/>
  <c r="BR55" i="77"/>
  <c r="BS55" i="77"/>
  <c r="V55" i="77"/>
  <c r="E48" i="75" s="1"/>
  <c r="BQ55" i="77"/>
  <c r="BT55" i="77"/>
  <c r="Z48" i="75"/>
  <c r="AS9" i="75"/>
  <c r="AS72" i="75" s="1"/>
  <c r="ET18" i="77"/>
  <c r="Y309" i="77"/>
  <c r="EE15" i="77"/>
  <c r="EE18" i="77" s="1"/>
  <c r="BV13" i="77"/>
  <c r="BU13" i="77"/>
  <c r="BX13" i="77"/>
  <c r="W13" i="77"/>
  <c r="W15" i="77" s="1"/>
  <c r="F12" i="75" s="1"/>
  <c r="F14" i="75" s="1"/>
  <c r="BW13" i="77"/>
  <c r="X10" i="77"/>
  <c r="AI77" i="75"/>
  <c r="AI52" i="75"/>
  <c r="EI29" i="77"/>
  <c r="BZ28" i="77"/>
  <c r="BY28" i="77"/>
  <c r="EI34" i="77"/>
  <c r="EI49" i="77" s="1"/>
  <c r="CB28" i="77"/>
  <c r="CA28" i="77"/>
  <c r="F11" i="148"/>
  <c r="AP71" i="75"/>
  <c r="AP70" i="75"/>
  <c r="EQ11" i="77"/>
  <c r="AP76" i="75"/>
  <c r="Z25" i="75"/>
  <c r="BR24" i="77"/>
  <c r="BS24" i="77"/>
  <c r="BQ24" i="77"/>
  <c r="V24" i="77"/>
  <c r="BT24" i="77"/>
  <c r="Z49" i="75"/>
  <c r="BQ56" i="77"/>
  <c r="V56" i="77"/>
  <c r="E49" i="75" s="1"/>
  <c r="E170" i="75" s="1"/>
  <c r="BT56" i="77"/>
  <c r="BS56" i="77"/>
  <c r="BR56" i="77"/>
  <c r="EI15" i="77"/>
  <c r="CA13" i="77"/>
  <c r="X13" i="77"/>
  <c r="X15" i="77" s="1"/>
  <c r="G12" i="75" s="1"/>
  <c r="BZ13" i="77"/>
  <c r="BY13" i="77"/>
  <c r="CB13" i="77"/>
  <c r="EG29" i="77"/>
  <c r="EG34" i="77"/>
  <c r="EG49" i="77" s="1"/>
  <c r="EG48" i="77" s="1"/>
  <c r="EO64" i="77"/>
  <c r="EO61" i="77"/>
  <c r="EJ64" i="77"/>
  <c r="EJ61" i="77"/>
  <c r="AQ9" i="75"/>
  <c r="ER18" i="77"/>
  <c r="ER26" i="77" s="1"/>
  <c r="ER25" i="77" s="1"/>
  <c r="AQ24" i="75" s="1"/>
  <c r="AC9" i="75"/>
  <c r="ED18" i="77"/>
  <c r="ED26" i="77" s="1"/>
  <c r="ED25" i="77" s="1"/>
  <c r="AC24" i="75" s="1"/>
  <c r="AC21" i="75" s="1"/>
  <c r="AC26" i="75" s="1"/>
  <c r="CJ63" i="77"/>
  <c r="CI63" i="77"/>
  <c r="CH63" i="77"/>
  <c r="EQ61" i="77"/>
  <c r="CG63" i="77"/>
  <c r="EQ64" i="77"/>
  <c r="AJ9" i="75"/>
  <c r="EK18" i="77"/>
  <c r="EK26" i="77" s="1"/>
  <c r="EK25" i="77" s="1"/>
  <c r="AJ24" i="75" s="1"/>
  <c r="AJ21" i="75" s="1"/>
  <c r="AJ26" i="75" s="1"/>
  <c r="BM32" i="77"/>
  <c r="BN32" i="77"/>
  <c r="BP32" i="77"/>
  <c r="BO32" i="77"/>
  <c r="U32" i="77"/>
  <c r="G277" i="148"/>
  <c r="AQ72" i="75"/>
  <c r="AF85" i="75"/>
  <c r="EH29" i="77"/>
  <c r="EH34" i="77"/>
  <c r="EH49" i="77" s="1"/>
  <c r="EH48" i="77" s="1"/>
  <c r="EC77" i="77"/>
  <c r="V77" i="77" s="1"/>
  <c r="AB61" i="75"/>
  <c r="EK29" i="77"/>
  <c r="EK34" i="77"/>
  <c r="EK49" i="77" s="1"/>
  <c r="EK48" i="77" s="1"/>
  <c r="BM33" i="77"/>
  <c r="U33" i="77"/>
  <c r="BN33" i="77"/>
  <c r="BP33" i="77"/>
  <c r="BO33" i="77"/>
  <c r="CH13" i="77"/>
  <c r="CG13" i="77"/>
  <c r="EQ15" i="77"/>
  <c r="CI13" i="77"/>
  <c r="Z13" i="77"/>
  <c r="Z15" i="77" s="1"/>
  <c r="I12" i="75" s="1"/>
  <c r="I14" i="75" s="1"/>
  <c r="CJ13" i="77"/>
  <c r="EL34" i="77"/>
  <c r="EL49" i="77" s="1"/>
  <c r="EL48" i="77" s="1"/>
  <c r="EL29" i="77"/>
  <c r="EL26" i="77"/>
  <c r="EL25" i="77" s="1"/>
  <c r="AK24" i="75" s="1"/>
  <c r="AK21" i="75" s="1"/>
  <c r="AK26" i="75" s="1"/>
  <c r="AN9" i="75"/>
  <c r="EO18" i="77"/>
  <c r="EO26" i="77" s="1"/>
  <c r="EO25" i="77" s="1"/>
  <c r="AN24" i="75" s="1"/>
  <c r="EG77" i="77"/>
  <c r="W77" i="77" s="1"/>
  <c r="AF61" i="75"/>
  <c r="AH85" i="75"/>
  <c r="DY18" i="77"/>
  <c r="DY26" i="77" s="1"/>
  <c r="DY25" i="77" s="1"/>
  <c r="X24" i="75" s="1"/>
  <c r="X21" i="75" s="1"/>
  <c r="X26" i="75" s="1"/>
  <c r="X69" i="75" s="1"/>
  <c r="BQ63" i="77"/>
  <c r="EA64" i="77"/>
  <c r="BR63" i="77"/>
  <c r="BT63" i="77"/>
  <c r="EA61" i="77"/>
  <c r="BS63" i="77"/>
  <c r="AB85" i="75"/>
  <c r="EF18" i="77"/>
  <c r="EF26" i="77" s="1"/>
  <c r="EF25" i="77" s="1"/>
  <c r="AE24" i="75" s="1"/>
  <c r="AE21" i="75" s="1"/>
  <c r="AE26" i="75" s="1"/>
  <c r="AE9" i="75"/>
  <c r="AD9" i="75"/>
  <c r="BX10" i="77"/>
  <c r="BW10" i="77"/>
  <c r="BU10" i="77"/>
  <c r="BV10" i="77"/>
  <c r="W10" i="77"/>
  <c r="AH77" i="75"/>
  <c r="CH24" i="77"/>
  <c r="BW28" i="77"/>
  <c r="BN97" i="150"/>
  <c r="BP97" i="150" s="1"/>
  <c r="BQ97" i="150" s="1"/>
  <c r="BR97" i="150" s="1"/>
  <c r="BS97" i="150" s="1"/>
  <c r="BT97" i="150" s="1"/>
  <c r="BU97" i="150" s="1"/>
  <c r="BV97" i="150" s="1"/>
  <c r="BW97" i="150" s="1"/>
  <c r="BX97" i="150" s="1"/>
  <c r="BY97" i="150" s="1"/>
  <c r="BN96" i="150"/>
  <c r="R234" i="148"/>
  <c r="R233" i="148"/>
  <c r="R232" i="148"/>
  <c r="R237" i="148"/>
  <c r="R231" i="148"/>
  <c r="R235" i="148"/>
  <c r="Q63" i="75"/>
  <c r="U240" i="148"/>
  <c r="U251" i="148" s="1"/>
  <c r="AY161" i="150"/>
  <c r="AX192" i="150"/>
  <c r="V229" i="148" s="1"/>
  <c r="AY160" i="150"/>
  <c r="AX121" i="150"/>
  <c r="AY121" i="150" s="1"/>
  <c r="AZ121" i="150" s="1"/>
  <c r="BA121" i="150" s="1"/>
  <c r="BB121" i="150" s="1"/>
  <c r="BC121" i="150" s="1"/>
  <c r="BD121" i="150" s="1"/>
  <c r="BE121" i="150" s="1"/>
  <c r="BF121" i="150" s="1"/>
  <c r="BG121" i="150" s="1"/>
  <c r="BH121" i="150" s="1"/>
  <c r="BI121" i="150" s="1"/>
  <c r="BJ121" i="150" s="1"/>
  <c r="BK121" i="150" s="1"/>
  <c r="BL121" i="150" s="1"/>
  <c r="BM121" i="150" s="1"/>
  <c r="BN121" i="150" s="1"/>
  <c r="BO121" i="150" s="1"/>
  <c r="BP121" i="150" s="1"/>
  <c r="BQ121" i="150" s="1"/>
  <c r="BR121" i="150" s="1"/>
  <c r="BS121" i="150" s="1"/>
  <c r="BT121" i="150" s="1"/>
  <c r="BU121" i="150" s="1"/>
  <c r="BV121" i="150" s="1"/>
  <c r="BW121" i="150" s="1"/>
  <c r="BX121" i="150" s="1"/>
  <c r="BY121" i="150" s="1"/>
  <c r="AY164" i="150"/>
  <c r="AZ164" i="150" s="1"/>
  <c r="BA164" i="150" s="1"/>
  <c r="BB164" i="150" s="1"/>
  <c r="BC164" i="150" s="1"/>
  <c r="BD164" i="150" s="1"/>
  <c r="BE164" i="150" s="1"/>
  <c r="BF164" i="150" s="1"/>
  <c r="BG164" i="150" s="1"/>
  <c r="BH164" i="150" s="1"/>
  <c r="BI164" i="150" s="1"/>
  <c r="BJ164" i="150" s="1"/>
  <c r="BK164" i="150" s="1"/>
  <c r="BL164" i="150" s="1"/>
  <c r="BM164" i="150" s="1"/>
  <c r="BN164" i="150" s="1"/>
  <c r="BO164" i="150" s="1"/>
  <c r="BP164" i="150" s="1"/>
  <c r="BQ164" i="150" s="1"/>
  <c r="BR164" i="150" s="1"/>
  <c r="BS164" i="150" s="1"/>
  <c r="BT164" i="150" s="1"/>
  <c r="BU164" i="150" s="1"/>
  <c r="BV164" i="150" s="1"/>
  <c r="BW164" i="150" s="1"/>
  <c r="BX164" i="150" s="1"/>
  <c r="BY164" i="150" s="1"/>
  <c r="BC158" i="148"/>
  <c r="Q255" i="148"/>
  <c r="BV31" i="75"/>
  <c r="AL97" i="150"/>
  <c r="AL96" i="150"/>
  <c r="K16" i="150"/>
  <c r="J93" i="150"/>
  <c r="AN16" i="150"/>
  <c r="AM93" i="150"/>
  <c r="BP61" i="150"/>
  <c r="BO93" i="150"/>
  <c r="AA125" i="148"/>
  <c r="Z97" i="148"/>
  <c r="S169" i="148"/>
  <c r="R158" i="148"/>
  <c r="R136" i="148" s="1"/>
  <c r="R190" i="148"/>
  <c r="Q253" i="148"/>
  <c r="V126" i="148"/>
  <c r="V124" i="148" s="1"/>
  <c r="U98" i="148"/>
  <c r="BD98" i="148" s="1"/>
  <c r="BD126" i="148"/>
  <c r="T157" i="148"/>
  <c r="T135" i="148" s="1"/>
  <c r="T189" i="148"/>
  <c r="U168" i="148"/>
  <c r="BC179" i="148"/>
  <c r="BC189" i="148"/>
  <c r="AS115" i="148"/>
  <c r="AT115" i="148" s="1"/>
  <c r="AU115" i="148" s="1"/>
  <c r="AV115" i="148" s="1"/>
  <c r="AW115" i="148" s="1"/>
  <c r="AR85" i="148"/>
  <c r="AB173" i="148"/>
  <c r="AA162" i="148"/>
  <c r="BC134" i="148"/>
  <c r="BC167" i="148"/>
  <c r="U127" i="148"/>
  <c r="BD127" i="148" s="1"/>
  <c r="BD138" i="148" s="1"/>
  <c r="T138" i="148"/>
  <c r="T99" i="148"/>
  <c r="P172" i="148"/>
  <c r="P183" i="148" s="1"/>
  <c r="P141" i="148"/>
  <c r="Q134" i="148"/>
  <c r="Q161" i="148"/>
  <c r="Q139" i="148" s="1"/>
  <c r="Q142" i="148"/>
  <c r="Z166" i="148"/>
  <c r="Y187" i="148"/>
  <c r="Y155" i="148"/>
  <c r="BE155" i="148" s="1"/>
  <c r="S167" i="148"/>
  <c r="R188" i="148"/>
  <c r="BE184" i="148"/>
  <c r="BE108" i="148"/>
  <c r="BH109" i="148"/>
  <c r="AK79" i="148"/>
  <c r="BH79" i="148" s="1"/>
  <c r="CF15" i="149"/>
  <c r="Z108" i="148"/>
  <c r="Z78" i="148" s="1"/>
  <c r="Q236" i="148"/>
  <c r="Q247" i="148" s="1"/>
  <c r="N271" i="148"/>
  <c r="AY145" i="75"/>
  <c r="AX157" i="75"/>
  <c r="N45" i="75"/>
  <c r="T159" i="148"/>
  <c r="U170" i="148"/>
  <c r="T191" i="148"/>
  <c r="Y171" i="148"/>
  <c r="X160" i="148"/>
  <c r="S129" i="148"/>
  <c r="R101" i="148"/>
  <c r="R140" i="148"/>
  <c r="R128" i="148"/>
  <c r="R236" i="148" s="1"/>
  <c r="AH123" i="148"/>
  <c r="AG95" i="148"/>
  <c r="BG95" i="148" s="1"/>
  <c r="BG123" i="148"/>
  <c r="S137" i="148"/>
  <c r="Q100" i="148"/>
  <c r="BC100" i="148" s="1"/>
  <c r="Q130" i="148"/>
  <c r="Q102" i="148" s="1"/>
  <c r="BC102" i="148" s="1"/>
  <c r="BC128" i="148"/>
  <c r="D99" i="164"/>
  <c r="N34" i="75"/>
  <c r="N35" i="75"/>
  <c r="N82" i="75"/>
  <c r="H12" i="157"/>
  <c r="CE18" i="149"/>
  <c r="Y112" i="148"/>
  <c r="Y82" i="148" s="1"/>
  <c r="BE82" i="148" s="1"/>
  <c r="X82" i="148"/>
  <c r="X122" i="148"/>
  <c r="AV112" i="150"/>
  <c r="AV149" i="150" s="1"/>
  <c r="AU150" i="150"/>
  <c r="S230" i="148" s="1"/>
  <c r="Q252" i="148"/>
  <c r="AY106" i="150"/>
  <c r="AY107" i="150" s="1"/>
  <c r="AY109" i="150" s="1"/>
  <c r="AY11" i="150" s="1"/>
  <c r="AY12" i="150" s="1"/>
  <c r="W133" i="148"/>
  <c r="W94" i="148"/>
  <c r="F122" i="164"/>
  <c r="F41" i="164"/>
  <c r="F57" i="164" s="1"/>
  <c r="F33" i="164"/>
  <c r="P235" i="148"/>
  <c r="P234" i="148"/>
  <c r="P231" i="148"/>
  <c r="P233" i="148"/>
  <c r="P237" i="148"/>
  <c r="P241" i="148"/>
  <c r="P236" i="148"/>
  <c r="P232" i="148"/>
  <c r="BC230" i="148"/>
  <c r="O124" i="75"/>
  <c r="N123" i="75"/>
  <c r="O265" i="148"/>
  <c r="X87" i="148"/>
  <c r="O269" i="148"/>
  <c r="R241" i="148"/>
  <c r="Y106" i="148"/>
  <c r="CE13" i="149"/>
  <c r="CD32" i="149"/>
  <c r="Y117" i="148"/>
  <c r="Y77" i="148"/>
  <c r="BE77" i="148" s="1"/>
  <c r="W88" i="148"/>
  <c r="CF14" i="149"/>
  <c r="Z107" i="148"/>
  <c r="O271" i="148"/>
  <c r="BD16" i="148"/>
  <c r="BD22" i="148"/>
  <c r="AX114" i="150"/>
  <c r="AJ74" i="148"/>
  <c r="AM105" i="148"/>
  <c r="O268" i="148"/>
  <c r="X116" i="148"/>
  <c r="X118" i="148"/>
  <c r="X76" i="148"/>
  <c r="V22" i="148"/>
  <c r="E59" i="164"/>
  <c r="O264" i="148"/>
  <c r="O270" i="148"/>
  <c r="AK83" i="148"/>
  <c r="BH83" i="148" s="1"/>
  <c r="O266" i="148"/>
  <c r="O267" i="148"/>
  <c r="W86" i="148"/>
  <c r="W20" i="148"/>
  <c r="W22" i="148" s="1"/>
  <c r="Y110" i="148"/>
  <c r="CE17" i="149"/>
  <c r="M82" i="75"/>
  <c r="E10" i="157"/>
  <c r="BZ63" i="75"/>
  <c r="CA61" i="75"/>
  <c r="P49" i="75"/>
  <c r="P170" i="75" s="1"/>
  <c r="M77" i="75"/>
  <c r="M76" i="75"/>
  <c r="M235" i="75"/>
  <c r="M52" i="75"/>
  <c r="E41" i="163"/>
  <c r="E43" i="163"/>
  <c r="E42" i="157"/>
  <c r="G14" i="157"/>
  <c r="G44" i="157"/>
  <c r="G46" i="157" s="1"/>
  <c r="G41" i="163"/>
  <c r="G43" i="163"/>
  <c r="BF8" i="148"/>
  <c r="BC8" i="148"/>
  <c r="D44" i="157"/>
  <c r="D46" i="157" s="1"/>
  <c r="D14" i="157"/>
  <c r="BB8" i="148"/>
  <c r="M123" i="75"/>
  <c r="F39" i="157"/>
  <c r="F40" i="157" s="1"/>
  <c r="F8" i="157"/>
  <c r="G10" i="157"/>
  <c r="H10" i="157"/>
  <c r="K46" i="75"/>
  <c r="K83" i="75"/>
  <c r="AB52" i="77"/>
  <c r="K77" i="75"/>
  <c r="K76" i="75"/>
  <c r="K52" i="75"/>
  <c r="K235" i="75"/>
  <c r="D43" i="163"/>
  <c r="D41" i="163"/>
  <c r="F42" i="157"/>
  <c r="J77" i="75"/>
  <c r="J52" i="75"/>
  <c r="AA52" i="77"/>
  <c r="J235" i="75"/>
  <c r="J76" i="75"/>
  <c r="H39" i="163"/>
  <c r="I37" i="163"/>
  <c r="F10" i="157"/>
  <c r="L120" i="75"/>
  <c r="M121" i="75"/>
  <c r="N121" i="75" s="1"/>
  <c r="G42" i="157"/>
  <c r="H41" i="157"/>
  <c r="I41" i="157" s="1"/>
  <c r="J41" i="157" s="1"/>
  <c r="BE8" i="148"/>
  <c r="AC29" i="77"/>
  <c r="F12" i="157"/>
  <c r="F40" i="163"/>
  <c r="L45" i="75"/>
  <c r="M46" i="75" s="1"/>
  <c r="L75" i="75"/>
  <c r="L35" i="75"/>
  <c r="L82" i="75"/>
  <c r="L34" i="75"/>
  <c r="E14" i="157"/>
  <c r="E44" i="157"/>
  <c r="E46" i="157" s="1"/>
  <c r="EN26" i="77" l="1"/>
  <c r="EN25" i="77" s="1"/>
  <c r="AM24" i="75" s="1"/>
  <c r="EN19" i="77"/>
  <c r="AC69" i="75"/>
  <c r="AI69" i="75"/>
  <c r="AA69" i="75"/>
  <c r="W72" i="75"/>
  <c r="AF78" i="75"/>
  <c r="AE69" i="75"/>
  <c r="AJ69" i="75"/>
  <c r="AG10" i="75"/>
  <c r="BV34" i="77"/>
  <c r="AI81" i="75"/>
  <c r="AP10" i="75"/>
  <c r="AO72" i="75"/>
  <c r="Y69" i="75"/>
  <c r="AN54" i="75"/>
  <c r="H52" i="75"/>
  <c r="H61" i="75" s="1"/>
  <c r="AN78" i="75"/>
  <c r="V72" i="75"/>
  <c r="X10" i="75"/>
  <c r="Q144" i="75"/>
  <c r="P193" i="75"/>
  <c r="EH26" i="77"/>
  <c r="EH25" i="77" s="1"/>
  <c r="AG24" i="75" s="1"/>
  <c r="AG21" i="75" s="1"/>
  <c r="AG26" i="75" s="1"/>
  <c r="AG69" i="75" s="1"/>
  <c r="AD72" i="75"/>
  <c r="CH49" i="77"/>
  <c r="CI49" i="77"/>
  <c r="EQ48" i="77"/>
  <c r="CJ49" i="77"/>
  <c r="CG49" i="77"/>
  <c r="G280" i="148"/>
  <c r="AQ21" i="75"/>
  <c r="AQ26" i="75" s="1"/>
  <c r="AQ69" i="75" s="1"/>
  <c r="BY49" i="77"/>
  <c r="EI48" i="77"/>
  <c r="CA49" i="77"/>
  <c r="BZ49" i="77"/>
  <c r="CB49" i="77"/>
  <c r="AH54" i="75"/>
  <c r="AH78" i="75"/>
  <c r="AH84" i="75"/>
  <c r="D280" i="148"/>
  <c r="AN21" i="75"/>
  <c r="AN26" i="75" s="1"/>
  <c r="AN69" i="75" s="1"/>
  <c r="F4" i="148"/>
  <c r="AP78" i="75"/>
  <c r="AP84" i="75"/>
  <c r="AP54" i="75"/>
  <c r="AP53" i="75"/>
  <c r="AT53" i="75"/>
  <c r="AE71" i="75"/>
  <c r="AE16" i="75"/>
  <c r="AE70" i="75"/>
  <c r="EF11" i="77"/>
  <c r="AE10" i="75"/>
  <c r="AE81" i="75"/>
  <c r="AE76" i="75"/>
  <c r="F289" i="148"/>
  <c r="F294" i="148"/>
  <c r="F18" i="148"/>
  <c r="F288" i="148"/>
  <c r="J13" i="148"/>
  <c r="F17" i="148"/>
  <c r="I170" i="75"/>
  <c r="C45" i="163"/>
  <c r="C16" i="157"/>
  <c r="C48" i="157" s="1"/>
  <c r="D155" i="75"/>
  <c r="D154" i="75"/>
  <c r="F77" i="75"/>
  <c r="F52" i="75"/>
  <c r="V77" i="75"/>
  <c r="V52" i="75"/>
  <c r="I155" i="75"/>
  <c r="I154" i="75"/>
  <c r="F155" i="75"/>
  <c r="F154" i="75"/>
  <c r="EP20" i="77"/>
  <c r="EP19" i="77"/>
  <c r="C289" i="148"/>
  <c r="C18" i="148"/>
  <c r="C33" i="148" s="1"/>
  <c r="C29" i="148" s="1"/>
  <c r="C17" i="148"/>
  <c r="C288" i="148"/>
  <c r="C294" i="148"/>
  <c r="C30" i="148"/>
  <c r="AJ54" i="75"/>
  <c r="AJ84" i="75"/>
  <c r="AJ78" i="75"/>
  <c r="AJ53" i="75"/>
  <c r="X54" i="75"/>
  <c r="X53" i="75"/>
  <c r="X78" i="75"/>
  <c r="AO81" i="75"/>
  <c r="AN76" i="75"/>
  <c r="AN10" i="75"/>
  <c r="AN70" i="75"/>
  <c r="AN16" i="75"/>
  <c r="AN71" i="75"/>
  <c r="AN81" i="75"/>
  <c r="D11" i="148"/>
  <c r="D287" i="148" s="1"/>
  <c r="EO11" i="77"/>
  <c r="EC20" i="77"/>
  <c r="EC19" i="77"/>
  <c r="BM61" i="77"/>
  <c r="BO61" i="77"/>
  <c r="BP61" i="77"/>
  <c r="U61" i="77"/>
  <c r="BN61" i="77"/>
  <c r="Z18" i="77"/>
  <c r="O5" i="75"/>
  <c r="N167" i="75"/>
  <c r="N7" i="75"/>
  <c r="N112" i="75"/>
  <c r="N66" i="75"/>
  <c r="EG26" i="77"/>
  <c r="EG25" i="77" s="1"/>
  <c r="AF24" i="75" s="1"/>
  <c r="AF21" i="75" s="1"/>
  <c r="AF26" i="75" s="1"/>
  <c r="AF69" i="75" s="1"/>
  <c r="EG19" i="77"/>
  <c r="EG20" i="77"/>
  <c r="AA78" i="75"/>
  <c r="AA54" i="75"/>
  <c r="AA53" i="75"/>
  <c r="CD34" i="77"/>
  <c r="DY19" i="77"/>
  <c r="DY20" i="77"/>
  <c r="AK69" i="75"/>
  <c r="CI15" i="77"/>
  <c r="CJ15" i="77"/>
  <c r="CH15" i="77"/>
  <c r="AP12" i="75"/>
  <c r="AP14" i="75" s="1"/>
  <c r="AP16" i="75" s="1"/>
  <c r="CG15" i="77"/>
  <c r="EQ18" i="77"/>
  <c r="G296" i="148"/>
  <c r="G297" i="148" s="1"/>
  <c r="K282" i="148"/>
  <c r="EK19" i="77"/>
  <c r="EK20" i="77"/>
  <c r="AQ70" i="75"/>
  <c r="AQ76" i="75"/>
  <c r="G11" i="148"/>
  <c r="AQ10" i="75"/>
  <c r="ER11" i="77"/>
  <c r="AQ71" i="75"/>
  <c r="AQ81" i="75"/>
  <c r="AQ16" i="75"/>
  <c r="AH12" i="75"/>
  <c r="AH14" i="75" s="1"/>
  <c r="AH16" i="75" s="1"/>
  <c r="BY15" i="77"/>
  <c r="CA15" i="77"/>
  <c r="BZ15" i="77"/>
  <c r="CB15" i="77"/>
  <c r="EI18" i="77"/>
  <c r="Z72" i="75"/>
  <c r="AI78" i="75"/>
  <c r="AI54" i="75"/>
  <c r="AI84" i="75"/>
  <c r="AI53" i="75"/>
  <c r="AS70" i="75"/>
  <c r="AT81" i="75"/>
  <c r="I11" i="148"/>
  <c r="AS71" i="75"/>
  <c r="ET11" i="77"/>
  <c r="AT11" i="75"/>
  <c r="AT10" i="75"/>
  <c r="AS76" i="75"/>
  <c r="AS16" i="75"/>
  <c r="AS11" i="75"/>
  <c r="AS81" i="75"/>
  <c r="AS10" i="75"/>
  <c r="F25" i="75"/>
  <c r="AB10" i="75"/>
  <c r="EC11" i="77"/>
  <c r="AB70" i="75"/>
  <c r="AB71" i="75"/>
  <c r="AB81" i="75"/>
  <c r="AB76" i="75"/>
  <c r="AB16" i="75"/>
  <c r="I4" i="148"/>
  <c r="AS78" i="75"/>
  <c r="AS53" i="75"/>
  <c r="AW53" i="75"/>
  <c r="AS54" i="75"/>
  <c r="AS84" i="75"/>
  <c r="AT84" i="75"/>
  <c r="M282" i="148"/>
  <c r="I296" i="148"/>
  <c r="I297" i="148" s="1"/>
  <c r="X84" i="75"/>
  <c r="W53" i="75"/>
  <c r="W54" i="75"/>
  <c r="W78" i="75"/>
  <c r="AL72" i="75"/>
  <c r="B277" i="148"/>
  <c r="I153" i="75"/>
  <c r="BA11" i="148"/>
  <c r="C5" i="157"/>
  <c r="Z11" i="77"/>
  <c r="I16" i="75"/>
  <c r="I216" i="75"/>
  <c r="BA10" i="148" s="1"/>
  <c r="I221" i="75"/>
  <c r="J81" i="75"/>
  <c r="I70" i="75"/>
  <c r="J10" i="75"/>
  <c r="I71" i="75"/>
  <c r="CC61" i="77"/>
  <c r="CD61" i="77"/>
  <c r="CF61" i="77"/>
  <c r="Y61" i="77"/>
  <c r="CE61" i="77"/>
  <c r="AN72" i="75"/>
  <c r="DX20" i="77"/>
  <c r="DX19" i="77"/>
  <c r="DX26" i="77"/>
  <c r="DX25" i="77" s="1"/>
  <c r="W24" i="75" s="1"/>
  <c r="W21" i="75" s="1"/>
  <c r="W26" i="75" s="1"/>
  <c r="W69" i="75" s="1"/>
  <c r="AF70" i="75"/>
  <c r="AF71" i="75"/>
  <c r="AF76" i="75"/>
  <c r="EG11" i="77"/>
  <c r="AF16" i="75"/>
  <c r="AF81" i="75"/>
  <c r="AF10" i="75"/>
  <c r="Y10" i="75"/>
  <c r="Y76" i="75"/>
  <c r="Y70" i="75"/>
  <c r="Y81" i="75"/>
  <c r="DZ11" i="77"/>
  <c r="Y16" i="75"/>
  <c r="Y71" i="75"/>
  <c r="DW11" i="77"/>
  <c r="V76" i="75"/>
  <c r="V71" i="75"/>
  <c r="V10" i="75"/>
  <c r="V70" i="75"/>
  <c r="BU49" i="77"/>
  <c r="BW49" i="77"/>
  <c r="BV49" i="77"/>
  <c r="BX49" i="77"/>
  <c r="EE48" i="77"/>
  <c r="D25" i="75"/>
  <c r="BY61" i="77"/>
  <c r="BZ61" i="77"/>
  <c r="X61" i="77"/>
  <c r="CA61" i="77"/>
  <c r="CB61" i="77"/>
  <c r="AN53" i="75"/>
  <c r="CF34" i="77"/>
  <c r="F9" i="75"/>
  <c r="W18" i="77"/>
  <c r="W21" i="77" s="1"/>
  <c r="BP49" i="77"/>
  <c r="BO49" i="77"/>
  <c r="BM49" i="77"/>
  <c r="DW48" i="77"/>
  <c r="BN49" i="77"/>
  <c r="AR78" i="75"/>
  <c r="AR54" i="75"/>
  <c r="AR84" i="75"/>
  <c r="AR53" i="75"/>
  <c r="H4" i="148"/>
  <c r="AV53" i="75"/>
  <c r="EF20" i="77"/>
  <c r="EF19" i="77"/>
  <c r="AC70" i="75"/>
  <c r="AC81" i="75"/>
  <c r="AC71" i="75"/>
  <c r="AC10" i="75"/>
  <c r="ED11" i="77"/>
  <c r="AC76" i="75"/>
  <c r="AC16" i="75"/>
  <c r="AC72" i="75"/>
  <c r="G14" i="75"/>
  <c r="AY30" i="148"/>
  <c r="AL78" i="75"/>
  <c r="AL84" i="75"/>
  <c r="AL54" i="75"/>
  <c r="AL53" i="75"/>
  <c r="DW18" i="77"/>
  <c r="V12" i="75"/>
  <c r="V14" i="75" s="1"/>
  <c r="V16" i="75" s="1"/>
  <c r="BO15" i="77"/>
  <c r="BM15" i="77"/>
  <c r="BP15" i="77"/>
  <c r="BN15" i="77"/>
  <c r="D77" i="75"/>
  <c r="D52" i="75"/>
  <c r="ET19" i="77"/>
  <c r="ET20" i="77"/>
  <c r="CG34" i="77"/>
  <c r="CH34" i="77"/>
  <c r="CI34" i="77"/>
  <c r="CJ34" i="77"/>
  <c r="EA18" i="77"/>
  <c r="Z12" i="75"/>
  <c r="Z14" i="75" s="1"/>
  <c r="Z16" i="75" s="1"/>
  <c r="BQ15" i="77"/>
  <c r="BS15" i="77"/>
  <c r="BT15" i="77"/>
  <c r="BR15" i="77"/>
  <c r="G77" i="75"/>
  <c r="G52" i="75"/>
  <c r="ET26" i="77"/>
  <c r="ET25" i="77" s="1"/>
  <c r="AS24" i="75" s="1"/>
  <c r="AM78" i="75"/>
  <c r="AM54" i="75"/>
  <c r="AM53" i="75"/>
  <c r="AM84" i="75"/>
  <c r="AK54" i="75"/>
  <c r="AK53" i="75"/>
  <c r="AK78" i="75"/>
  <c r="AK84" i="75"/>
  <c r="AE53" i="75"/>
  <c r="AE78" i="75"/>
  <c r="AE54" i="75"/>
  <c r="AN84" i="75"/>
  <c r="BQ61" i="77"/>
  <c r="V61" i="77"/>
  <c r="BR61" i="77"/>
  <c r="BT61" i="77"/>
  <c r="BS61" i="77"/>
  <c r="AJ72" i="75"/>
  <c r="AJ76" i="75"/>
  <c r="AJ70" i="75"/>
  <c r="AJ81" i="75"/>
  <c r="AJ10" i="75"/>
  <c r="EK11" i="77"/>
  <c r="AJ71" i="75"/>
  <c r="AJ16" i="75"/>
  <c r="BY34" i="77"/>
  <c r="CB34" i="77"/>
  <c r="BZ34" i="77"/>
  <c r="CA34" i="77"/>
  <c r="H9" i="75"/>
  <c r="Y18" i="77"/>
  <c r="EL20" i="77"/>
  <c r="EL19" i="77"/>
  <c r="Y84" i="75"/>
  <c r="Y54" i="75"/>
  <c r="Y78" i="75"/>
  <c r="Y53" i="75"/>
  <c r="AG73" i="75"/>
  <c r="AG18" i="75"/>
  <c r="EB20" i="77"/>
  <c r="EB19" i="77"/>
  <c r="AR16" i="75"/>
  <c r="AR71" i="75"/>
  <c r="AR72" i="75"/>
  <c r="AR70" i="75"/>
  <c r="AR69" i="75"/>
  <c r="AR76" i="75"/>
  <c r="H11" i="148"/>
  <c r="ES11" i="77"/>
  <c r="AR10" i="75"/>
  <c r="AR81" i="75"/>
  <c r="EJ20" i="77"/>
  <c r="EJ19" i="77"/>
  <c r="BU61" i="77"/>
  <c r="BX61" i="77"/>
  <c r="W61" i="77"/>
  <c r="BV61" i="77"/>
  <c r="BW61" i="77"/>
  <c r="AG78" i="75"/>
  <c r="AG54" i="75"/>
  <c r="AG53" i="75"/>
  <c r="AG84" i="75"/>
  <c r="AD77" i="75"/>
  <c r="AD52" i="75"/>
  <c r="AH53" i="75" s="1"/>
  <c r="EC26" i="77"/>
  <c r="EC25" i="77" s="1"/>
  <c r="AB24" i="75" s="1"/>
  <c r="AB21" i="75" s="1"/>
  <c r="AB26" i="75" s="1"/>
  <c r="AB69" i="75" s="1"/>
  <c r="W71" i="75"/>
  <c r="W10" i="75"/>
  <c r="DX11" i="77"/>
  <c r="W70" i="75"/>
  <c r="W81" i="75"/>
  <c r="W76" i="75"/>
  <c r="W16" i="75"/>
  <c r="AB78" i="75"/>
  <c r="AB54" i="75"/>
  <c r="AB84" i="75"/>
  <c r="AB53" i="75"/>
  <c r="BX34" i="77"/>
  <c r="DZ20" i="77"/>
  <c r="DZ19" i="77"/>
  <c r="AF72" i="75"/>
  <c r="G25" i="75"/>
  <c r="AF84" i="75"/>
  <c r="O123" i="75"/>
  <c r="P124" i="75"/>
  <c r="P123" i="75" s="1"/>
  <c r="ED20" i="77"/>
  <c r="ED19" i="77"/>
  <c r="C287" i="148"/>
  <c r="EO20" i="77"/>
  <c r="EO19" i="77"/>
  <c r="AM21" i="75"/>
  <c r="AM26" i="75" s="1"/>
  <c r="C280" i="148"/>
  <c r="C290" i="148" s="1"/>
  <c r="D9" i="75"/>
  <c r="U18" i="77"/>
  <c r="J282" i="148"/>
  <c r="BA277" i="148"/>
  <c r="F296" i="148"/>
  <c r="F297" i="148" s="1"/>
  <c r="F287" i="148"/>
  <c r="AO54" i="75"/>
  <c r="AO78" i="75"/>
  <c r="AO53" i="75"/>
  <c r="AO84" i="75"/>
  <c r="E9" i="75"/>
  <c r="V18" i="77"/>
  <c r="CG61" i="77"/>
  <c r="CJ61" i="77"/>
  <c r="Z61" i="77"/>
  <c r="CI61" i="77"/>
  <c r="CH61" i="77"/>
  <c r="ER19" i="77"/>
  <c r="ER20" i="77"/>
  <c r="E77" i="75"/>
  <c r="E52" i="75"/>
  <c r="AO70" i="75"/>
  <c r="AO71" i="75"/>
  <c r="EP11" i="77"/>
  <c r="E11" i="148"/>
  <c r="E287" i="148" s="1"/>
  <c r="AO76" i="75"/>
  <c r="AO10" i="75"/>
  <c r="AO16" i="75"/>
  <c r="CE49" i="77"/>
  <c r="EM48" i="77"/>
  <c r="CC49" i="77"/>
  <c r="CD49" i="77"/>
  <c r="CF49" i="77"/>
  <c r="AQ53" i="75"/>
  <c r="AQ78" i="75"/>
  <c r="G4" i="148"/>
  <c r="AQ54" i="75"/>
  <c r="AQ84" i="75"/>
  <c r="AU53" i="75"/>
  <c r="CC15" i="77"/>
  <c r="AL12" i="75"/>
  <c r="AL14" i="75" s="1"/>
  <c r="AL16" i="75" s="1"/>
  <c r="CF15" i="77"/>
  <c r="CD15" i="77"/>
  <c r="CE15" i="77"/>
  <c r="Z76" i="75"/>
  <c r="EA11" i="77"/>
  <c r="Z71" i="75"/>
  <c r="Z81" i="75"/>
  <c r="Z70" i="75"/>
  <c r="Z10" i="75"/>
  <c r="BU18" i="77"/>
  <c r="BW18" i="77"/>
  <c r="EE19" i="77"/>
  <c r="BX18" i="77"/>
  <c r="BV18" i="77"/>
  <c r="EE20" i="77"/>
  <c r="EE26" i="77"/>
  <c r="EE11" i="77"/>
  <c r="AD70" i="75"/>
  <c r="AD71" i="75"/>
  <c r="AD76" i="75"/>
  <c r="AD10" i="75"/>
  <c r="AD81" i="75"/>
  <c r="E25" i="75"/>
  <c r="AP81" i="75"/>
  <c r="G9" i="75"/>
  <c r="X18" i="77"/>
  <c r="BX15" i="77"/>
  <c r="BU15" i="77"/>
  <c r="AD12" i="75"/>
  <c r="AD14" i="75" s="1"/>
  <c r="AD16" i="75" s="1"/>
  <c r="BW15" i="77"/>
  <c r="BV15" i="77"/>
  <c r="Z77" i="75"/>
  <c r="Z52" i="75"/>
  <c r="AA84" i="75" s="1"/>
  <c r="EM18" i="77"/>
  <c r="AM10" i="75"/>
  <c r="AL81" i="75"/>
  <c r="AL10" i="75"/>
  <c r="AL70" i="75"/>
  <c r="AL76" i="75"/>
  <c r="AL11" i="75"/>
  <c r="EM11" i="77"/>
  <c r="AL71" i="75"/>
  <c r="B11" i="148"/>
  <c r="C12" i="148" s="1"/>
  <c r="AK10" i="75"/>
  <c r="AK81" i="75"/>
  <c r="AK76" i="75"/>
  <c r="AK71" i="75"/>
  <c r="EL11" i="77"/>
  <c r="AK70" i="75"/>
  <c r="AK16" i="75"/>
  <c r="AA71" i="75"/>
  <c r="AA70" i="75"/>
  <c r="AA16" i="75"/>
  <c r="AA76" i="75"/>
  <c r="EB11" i="77"/>
  <c r="AA10" i="75"/>
  <c r="AA81" i="75"/>
  <c r="E155" i="75"/>
  <c r="E154" i="75"/>
  <c r="AC53" i="75"/>
  <c r="AC84" i="75"/>
  <c r="AC78" i="75"/>
  <c r="AC54" i="75"/>
  <c r="ES19" i="77"/>
  <c r="ES20" i="77"/>
  <c r="H25" i="75"/>
  <c r="AI70" i="75"/>
  <c r="AI76" i="75"/>
  <c r="AI71" i="75"/>
  <c r="EJ11" i="77"/>
  <c r="AI16" i="75"/>
  <c r="AI10" i="75"/>
  <c r="EA49" i="77"/>
  <c r="BQ34" i="77"/>
  <c r="BS34" i="77"/>
  <c r="BR34" i="77"/>
  <c r="BT34" i="77"/>
  <c r="C15" i="157"/>
  <c r="C47" i="157" s="1"/>
  <c r="C44" i="163"/>
  <c r="X17" i="75"/>
  <c r="X73" i="75"/>
  <c r="X18" i="75"/>
  <c r="X27" i="75"/>
  <c r="BM34" i="77"/>
  <c r="BP34" i="77"/>
  <c r="BO34" i="77"/>
  <c r="BN34" i="77"/>
  <c r="C26" i="148"/>
  <c r="H155" i="75"/>
  <c r="H154" i="75"/>
  <c r="BW34" i="77"/>
  <c r="EP26" i="77"/>
  <c r="EP25" i="77" s="1"/>
  <c r="AO24" i="75" s="1"/>
  <c r="I72" i="75"/>
  <c r="AE72" i="75"/>
  <c r="AF54" i="75"/>
  <c r="CE34" i="77"/>
  <c r="BO96" i="150"/>
  <c r="BO95" i="150" s="1"/>
  <c r="BO99" i="150" s="1"/>
  <c r="AM27" i="148" s="1"/>
  <c r="AM238" i="148" s="1"/>
  <c r="S235" i="148"/>
  <c r="S246" i="148" s="1"/>
  <c r="S257" i="148" s="1"/>
  <c r="S231" i="148"/>
  <c r="S233" i="148"/>
  <c r="S244" i="148" s="1"/>
  <c r="S232" i="148"/>
  <c r="S243" i="148" s="1"/>
  <c r="S254" i="148" s="1"/>
  <c r="S237" i="148"/>
  <c r="S234" i="148"/>
  <c r="S245" i="148" s="1"/>
  <c r="S256" i="148" s="1"/>
  <c r="R63" i="75"/>
  <c r="BW49" i="75"/>
  <c r="BX49" i="75" s="1"/>
  <c r="BY49" i="75" s="1"/>
  <c r="V240" i="148"/>
  <c r="AZ161" i="150"/>
  <c r="AY192" i="150"/>
  <c r="W229" i="148" s="1"/>
  <c r="AZ160" i="150"/>
  <c r="AY122" i="150"/>
  <c r="AZ122" i="150" s="1"/>
  <c r="BA122" i="150" s="1"/>
  <c r="BB122" i="150" s="1"/>
  <c r="BC122" i="150" s="1"/>
  <c r="BD122" i="150" s="1"/>
  <c r="BE122" i="150" s="1"/>
  <c r="BF122" i="150" s="1"/>
  <c r="BG122" i="150" s="1"/>
  <c r="BH122" i="150" s="1"/>
  <c r="BI122" i="150" s="1"/>
  <c r="BJ122" i="150" s="1"/>
  <c r="BK122" i="150" s="1"/>
  <c r="BL122" i="150" s="1"/>
  <c r="BM122" i="150" s="1"/>
  <c r="BN122" i="150" s="1"/>
  <c r="BO122" i="150" s="1"/>
  <c r="BP122" i="150" s="1"/>
  <c r="BQ122" i="150" s="1"/>
  <c r="BR122" i="150" s="1"/>
  <c r="BS122" i="150" s="1"/>
  <c r="BT122" i="150" s="1"/>
  <c r="BU122" i="150" s="1"/>
  <c r="BV122" i="150" s="1"/>
  <c r="BW122" i="150" s="1"/>
  <c r="BX122" i="150" s="1"/>
  <c r="BY122" i="150" s="1"/>
  <c r="AZ165" i="150"/>
  <c r="BA165" i="150" s="1"/>
  <c r="BB165" i="150" s="1"/>
  <c r="BC165" i="150" s="1"/>
  <c r="BD165" i="150" s="1"/>
  <c r="BE165" i="150" s="1"/>
  <c r="BF165" i="150" s="1"/>
  <c r="BG165" i="150" s="1"/>
  <c r="BH165" i="150" s="1"/>
  <c r="BI165" i="150" s="1"/>
  <c r="BJ165" i="150" s="1"/>
  <c r="BK165" i="150" s="1"/>
  <c r="BL165" i="150" s="1"/>
  <c r="BM165" i="150" s="1"/>
  <c r="BN165" i="150" s="1"/>
  <c r="BO165" i="150" s="1"/>
  <c r="BP165" i="150" s="1"/>
  <c r="BQ165" i="150" s="1"/>
  <c r="BR165" i="150" s="1"/>
  <c r="BS165" i="150" s="1"/>
  <c r="BT165" i="150" s="1"/>
  <c r="BU165" i="150" s="1"/>
  <c r="BV165" i="150" s="1"/>
  <c r="BW165" i="150" s="1"/>
  <c r="BX165" i="150" s="1"/>
  <c r="BY165" i="150" s="1"/>
  <c r="BC136" i="148"/>
  <c r="BC169" i="148"/>
  <c r="BC180" i="148" s="1"/>
  <c r="BC142" i="148"/>
  <c r="AS85" i="148"/>
  <c r="BJ85" i="148" s="1"/>
  <c r="BJ115" i="148"/>
  <c r="K93" i="150"/>
  <c r="L16" i="150"/>
  <c r="AM96" i="150"/>
  <c r="AM97" i="150"/>
  <c r="BQ61" i="150"/>
  <c r="BP93" i="150"/>
  <c r="AO16" i="150"/>
  <c r="AO93" i="150" s="1"/>
  <c r="AN93" i="150"/>
  <c r="Q258" i="148"/>
  <c r="S190" i="148"/>
  <c r="T169" i="148"/>
  <c r="S158" i="148"/>
  <c r="S136" i="148" s="1"/>
  <c r="U96" i="148"/>
  <c r="BD96" i="148" s="1"/>
  <c r="BD124" i="148"/>
  <c r="U157" i="148"/>
  <c r="V168" i="148"/>
  <c r="U189" i="148"/>
  <c r="W126" i="148"/>
  <c r="W124" i="148" s="1"/>
  <c r="V98" i="148"/>
  <c r="V96" i="148"/>
  <c r="AA97" i="148"/>
  <c r="AB125" i="148"/>
  <c r="BE145" i="148"/>
  <c r="BE166" i="148"/>
  <c r="BC178" i="148"/>
  <c r="BC188" i="148"/>
  <c r="T167" i="148"/>
  <c r="S188" i="148"/>
  <c r="Z187" i="148"/>
  <c r="AA166" i="148"/>
  <c r="Z155" i="148"/>
  <c r="Q249" i="148"/>
  <c r="Q260" i="148" s="1"/>
  <c r="Q141" i="148"/>
  <c r="Q172" i="148"/>
  <c r="Q183" i="148" s="1"/>
  <c r="BC161" i="148"/>
  <c r="BC139" i="148" s="1"/>
  <c r="V127" i="148"/>
  <c r="U99" i="148"/>
  <c r="BD99" i="148" s="1"/>
  <c r="U138" i="148"/>
  <c r="AC173" i="148"/>
  <c r="AB162" i="148"/>
  <c r="AM109" i="148"/>
  <c r="AA108" i="148"/>
  <c r="AA78" i="148" s="1"/>
  <c r="CG15" i="149"/>
  <c r="AY157" i="75"/>
  <c r="AZ145" i="75"/>
  <c r="N235" i="75"/>
  <c r="N77" i="75"/>
  <c r="N83" i="75"/>
  <c r="N52" i="75"/>
  <c r="N162" i="75" s="1"/>
  <c r="N76" i="75"/>
  <c r="N46" i="75"/>
  <c r="R100" i="148"/>
  <c r="R130" i="148"/>
  <c r="T129" i="148"/>
  <c r="S140" i="148"/>
  <c r="S101" i="148"/>
  <c r="S128" i="148"/>
  <c r="S236" i="148" s="1"/>
  <c r="U159" i="148"/>
  <c r="BD159" i="148" s="1"/>
  <c r="V170" i="148"/>
  <c r="U191" i="148"/>
  <c r="AI123" i="148"/>
  <c r="AJ123" i="148" s="1"/>
  <c r="AH95" i="148"/>
  <c r="BC130" i="148"/>
  <c r="Z171" i="148"/>
  <c r="Y160" i="148"/>
  <c r="T137" i="148"/>
  <c r="D108" i="164"/>
  <c r="D100" i="164"/>
  <c r="D109" i="164" s="1"/>
  <c r="BE112" i="148"/>
  <c r="H14" i="157"/>
  <c r="E69" i="164"/>
  <c r="P243" i="148"/>
  <c r="BC232" i="148"/>
  <c r="P245" i="148"/>
  <c r="BC234" i="148"/>
  <c r="P242" i="148"/>
  <c r="BC231" i="148"/>
  <c r="P247" i="148"/>
  <c r="BC236" i="148"/>
  <c r="P246" i="148"/>
  <c r="BC235" i="148"/>
  <c r="P244" i="148"/>
  <c r="BC233" i="148"/>
  <c r="AW112" i="150"/>
  <c r="AW149" i="150" s="1"/>
  <c r="AV150" i="150"/>
  <c r="T230" i="148" s="1"/>
  <c r="X133" i="148"/>
  <c r="AZ106" i="150"/>
  <c r="AZ107" i="150" s="1"/>
  <c r="AZ109" i="150" s="1"/>
  <c r="X94" i="148"/>
  <c r="Y122" i="148"/>
  <c r="BE122" i="148" s="1"/>
  <c r="P252" i="148"/>
  <c r="P263" i="148" s="1"/>
  <c r="BC241" i="148"/>
  <c r="Z112" i="148"/>
  <c r="CF18" i="149"/>
  <c r="P248" i="148"/>
  <c r="BC237" i="148"/>
  <c r="S248" i="148"/>
  <c r="S259" i="148" s="1"/>
  <c r="S241" i="148"/>
  <c r="N120" i="75"/>
  <c r="O121" i="75"/>
  <c r="AM75" i="148"/>
  <c r="AN105" i="148"/>
  <c r="AA107" i="148"/>
  <c r="R244" i="148"/>
  <c r="X88" i="148"/>
  <c r="Y80" i="148"/>
  <c r="BE80" i="148" s="1"/>
  <c r="BE110" i="148"/>
  <c r="Y76" i="148"/>
  <c r="BE76" i="148" s="1"/>
  <c r="Y118" i="148"/>
  <c r="Y116" i="148"/>
  <c r="BE116" i="148" s="1"/>
  <c r="Z110" i="148"/>
  <c r="CF17" i="149"/>
  <c r="X20" i="148"/>
  <c r="X22" i="148" s="1"/>
  <c r="X86" i="148"/>
  <c r="AK74" i="148"/>
  <c r="BH74" i="148" s="1"/>
  <c r="R243" i="148"/>
  <c r="AY114" i="150"/>
  <c r="Y87" i="148"/>
  <c r="BE87" i="148" s="1"/>
  <c r="BE117" i="148"/>
  <c r="R246" i="148"/>
  <c r="R252" i="148"/>
  <c r="R263" i="148" s="1"/>
  <c r="BH104" i="148"/>
  <c r="Z77" i="148"/>
  <c r="Z117" i="148"/>
  <c r="R245" i="148"/>
  <c r="R248" i="148"/>
  <c r="CF13" i="149"/>
  <c r="CE32" i="149"/>
  <c r="Z106" i="148"/>
  <c r="BE106" i="148"/>
  <c r="CA63" i="75"/>
  <c r="CB61" i="75"/>
  <c r="BD8" i="148"/>
  <c r="M120" i="75"/>
  <c r="I39" i="163"/>
  <c r="M83" i="75"/>
  <c r="E46" i="163"/>
  <c r="BC4" i="148"/>
  <c r="K162" i="75"/>
  <c r="K59" i="75"/>
  <c r="E17" i="157"/>
  <c r="K84" i="75"/>
  <c r="K61" i="75"/>
  <c r="K169" i="75"/>
  <c r="K224" i="75"/>
  <c r="AB64" i="77"/>
  <c r="K54" i="75"/>
  <c r="K53" i="75"/>
  <c r="K78" i="75"/>
  <c r="K62" i="75"/>
  <c r="L76" i="75"/>
  <c r="AC52" i="77"/>
  <c r="L235" i="75"/>
  <c r="L52" i="75"/>
  <c r="M53" i="75" s="1"/>
  <c r="L77" i="75"/>
  <c r="L83" i="75"/>
  <c r="L46" i="75"/>
  <c r="F43" i="163"/>
  <c r="F41" i="163"/>
  <c r="J16" i="157"/>
  <c r="J54" i="75"/>
  <c r="J162" i="75"/>
  <c r="J62" i="75"/>
  <c r="J78" i="75"/>
  <c r="J169" i="75"/>
  <c r="BB4" i="148"/>
  <c r="J61" i="75"/>
  <c r="J59" i="75"/>
  <c r="J224" i="75"/>
  <c r="D46" i="163"/>
  <c r="AA64" i="77"/>
  <c r="D17" i="157"/>
  <c r="D49" i="157" s="1"/>
  <c r="F14" i="157"/>
  <c r="F44" i="157"/>
  <c r="F46" i="157" s="1"/>
  <c r="M61" i="75"/>
  <c r="G46" i="163"/>
  <c r="M59" i="75"/>
  <c r="BE4" i="148"/>
  <c r="M54" i="75"/>
  <c r="G17" i="157"/>
  <c r="M62" i="75"/>
  <c r="M78" i="75"/>
  <c r="M169" i="75"/>
  <c r="M162" i="75"/>
  <c r="M224" i="75"/>
  <c r="K41" i="157"/>
  <c r="H163" i="75" l="1"/>
  <c r="I163" i="75" s="1"/>
  <c r="H62" i="75"/>
  <c r="H169" i="75"/>
  <c r="H178" i="75" s="1"/>
  <c r="H53" i="75"/>
  <c r="H224" i="75"/>
  <c r="AZ9" i="148" s="1"/>
  <c r="H162" i="75"/>
  <c r="AZ4" i="148"/>
  <c r="H54" i="75"/>
  <c r="F13" i="148"/>
  <c r="F12" i="148"/>
  <c r="D290" i="148"/>
  <c r="AG27" i="75"/>
  <c r="AG29" i="75" s="1"/>
  <c r="Q193" i="75"/>
  <c r="R144" i="75"/>
  <c r="C31" i="148"/>
  <c r="C32" i="148" s="1"/>
  <c r="C203" i="148" s="1"/>
  <c r="BC190" i="148"/>
  <c r="G72" i="75"/>
  <c r="I156" i="75"/>
  <c r="D72" i="75"/>
  <c r="H72" i="75"/>
  <c r="AD73" i="75"/>
  <c r="AD18" i="75"/>
  <c r="AD17" i="75"/>
  <c r="X33" i="75"/>
  <c r="X74" i="75"/>
  <c r="X29" i="75"/>
  <c r="X28" i="75"/>
  <c r="X19" i="77"/>
  <c r="Y19" i="77"/>
  <c r="AC18" i="75"/>
  <c r="AC73" i="75"/>
  <c r="AC17" i="75"/>
  <c r="AC27" i="75"/>
  <c r="I17" i="148"/>
  <c r="J12" i="148"/>
  <c r="I288" i="148"/>
  <c r="I294" i="148"/>
  <c r="I13" i="148"/>
  <c r="I289" i="148"/>
  <c r="I18" i="148"/>
  <c r="I33" i="148" s="1"/>
  <c r="I29" i="148" s="1"/>
  <c r="M13" i="148"/>
  <c r="I12" i="148"/>
  <c r="AP17" i="75"/>
  <c r="AP18" i="75"/>
  <c r="AP73" i="75"/>
  <c r="F7" i="148" s="1"/>
  <c r="AT17" i="75"/>
  <c r="F25" i="148"/>
  <c r="AO21" i="75"/>
  <c r="AO26" i="75" s="1"/>
  <c r="AO69" i="75" s="1"/>
  <c r="E280" i="148"/>
  <c r="AA73" i="75"/>
  <c r="AA18" i="75"/>
  <c r="AA27" i="75"/>
  <c r="AA17" i="75"/>
  <c r="E53" i="75"/>
  <c r="E84" i="75"/>
  <c r="E56" i="75"/>
  <c r="E54" i="75"/>
  <c r="E224" i="75"/>
  <c r="E169" i="75"/>
  <c r="E178" i="75" s="1"/>
  <c r="E163" i="75"/>
  <c r="E162" i="75"/>
  <c r="E78" i="75"/>
  <c r="E223" i="75" s="1"/>
  <c r="BA287" i="148"/>
  <c r="BB282" i="148"/>
  <c r="BU48" i="77"/>
  <c r="BX48" i="77"/>
  <c r="BV48" i="77"/>
  <c r="BW48" i="77"/>
  <c r="W48" i="77"/>
  <c r="W49" i="77" s="1"/>
  <c r="Y73" i="75"/>
  <c r="Y17" i="75"/>
  <c r="Y18" i="75"/>
  <c r="Y27" i="75"/>
  <c r="G288" i="148"/>
  <c r="K13" i="148"/>
  <c r="G12" i="148"/>
  <c r="G17" i="148"/>
  <c r="G13" i="148"/>
  <c r="G289" i="148"/>
  <c r="G18" i="148"/>
  <c r="G294" i="148"/>
  <c r="W17" i="75"/>
  <c r="W18" i="75"/>
  <c r="W73" i="75"/>
  <c r="W27" i="75"/>
  <c r="AG17" i="75"/>
  <c r="G163" i="75"/>
  <c r="G61" i="75"/>
  <c r="G53" i="75"/>
  <c r="G84" i="75"/>
  <c r="G54" i="75"/>
  <c r="G78" i="75"/>
  <c r="G223" i="75" s="1"/>
  <c r="G224" i="75"/>
  <c r="AY9" i="148" s="1"/>
  <c r="AY4" i="148"/>
  <c r="G169" i="75"/>
  <c r="G178" i="75" s="1"/>
  <c r="G162" i="75"/>
  <c r="G62" i="75"/>
  <c r="Z18" i="75"/>
  <c r="Z73" i="75"/>
  <c r="Z17" i="75"/>
  <c r="H84" i="75"/>
  <c r="W19" i="77"/>
  <c r="I81" i="75"/>
  <c r="F72" i="75"/>
  <c r="BZ18" i="77"/>
  <c r="BY18" i="77"/>
  <c r="EI19" i="77"/>
  <c r="EI20" i="77"/>
  <c r="CA18" i="77"/>
  <c r="CB18" i="77"/>
  <c r="X21" i="77"/>
  <c r="EI26" i="77"/>
  <c r="AU17" i="75"/>
  <c r="G25" i="148"/>
  <c r="AQ73" i="75"/>
  <c r="G7" i="148" s="1"/>
  <c r="AQ18" i="75"/>
  <c r="AQ17" i="75"/>
  <c r="AQ27" i="75"/>
  <c r="G287" i="148"/>
  <c r="Z19" i="77"/>
  <c r="Z20" i="77"/>
  <c r="C52" i="148"/>
  <c r="C24" i="148"/>
  <c r="C174" i="148" s="1"/>
  <c r="C54" i="148"/>
  <c r="C56" i="148"/>
  <c r="C51" i="148"/>
  <c r="C53" i="148"/>
  <c r="C50" i="148"/>
  <c r="C55" i="148"/>
  <c r="BZ48" i="77"/>
  <c r="BY48" i="77"/>
  <c r="CB48" i="77"/>
  <c r="CA48" i="77"/>
  <c r="X48" i="77"/>
  <c r="X49" i="77" s="1"/>
  <c r="CG48" i="77"/>
  <c r="CJ48" i="77"/>
  <c r="CH48" i="77"/>
  <c r="CI48" i="77"/>
  <c r="Z48" i="77"/>
  <c r="Z49" i="77" s="1"/>
  <c r="B25" i="148"/>
  <c r="AL17" i="75"/>
  <c r="AL18" i="75"/>
  <c r="AL73" i="75"/>
  <c r="BX26" i="77"/>
  <c r="BW26" i="77"/>
  <c r="EE25" i="77"/>
  <c r="BV26" i="77"/>
  <c r="BU26" i="77"/>
  <c r="E71" i="75"/>
  <c r="E81" i="75"/>
  <c r="E70" i="75"/>
  <c r="V11" i="77"/>
  <c r="E216" i="75"/>
  <c r="E221" i="75"/>
  <c r="E153" i="75"/>
  <c r="E156" i="75" s="1"/>
  <c r="E10" i="75"/>
  <c r="E16" i="75"/>
  <c r="V20" i="77" s="1"/>
  <c r="E76" i="75"/>
  <c r="G290" i="148"/>
  <c r="K285" i="148"/>
  <c r="AI18" i="75"/>
  <c r="AI73" i="75"/>
  <c r="AI17" i="75"/>
  <c r="AI27" i="75"/>
  <c r="AM17" i="75"/>
  <c r="G153" i="75"/>
  <c r="AY11" i="148"/>
  <c r="G76" i="75"/>
  <c r="G10" i="75"/>
  <c r="G81" i="75"/>
  <c r="G16" i="75"/>
  <c r="X20" i="77" s="1"/>
  <c r="G221" i="75"/>
  <c r="G70" i="75"/>
  <c r="G71" i="75"/>
  <c r="X11" i="77"/>
  <c r="G216" i="75"/>
  <c r="AY10" i="148" s="1"/>
  <c r="AO17" i="75"/>
  <c r="AO73" i="75"/>
  <c r="E25" i="148"/>
  <c r="AO18" i="75"/>
  <c r="B287" i="148"/>
  <c r="AZ277" i="148"/>
  <c r="BA282" i="148" s="1"/>
  <c r="AB73" i="75"/>
  <c r="AB17" i="75"/>
  <c r="AB18" i="75"/>
  <c r="AB27" i="75"/>
  <c r="AS18" i="75"/>
  <c r="AW17" i="75"/>
  <c r="I25" i="148"/>
  <c r="I30" i="148" s="1"/>
  <c r="AS73" i="75"/>
  <c r="I7" i="148" s="1"/>
  <c r="AS17" i="75"/>
  <c r="H56" i="75"/>
  <c r="H60" i="75"/>
  <c r="AH18" i="75"/>
  <c r="AH73" i="75"/>
  <c r="AH17" i="75"/>
  <c r="P5" i="75"/>
  <c r="O112" i="75"/>
  <c r="O66" i="75"/>
  <c r="O7" i="75"/>
  <c r="O167" i="75"/>
  <c r="E12" i="148"/>
  <c r="D18" i="148"/>
  <c r="D33" i="148" s="1"/>
  <c r="D29" i="148" s="1"/>
  <c r="D289" i="148"/>
  <c r="D294" i="148"/>
  <c r="D12" i="148"/>
  <c r="D17" i="148"/>
  <c r="D288" i="148"/>
  <c r="V54" i="75"/>
  <c r="V53" i="75"/>
  <c r="V78" i="75"/>
  <c r="F56" i="148"/>
  <c r="F55" i="148"/>
  <c r="F51" i="148"/>
  <c r="F52" i="148"/>
  <c r="F54" i="148"/>
  <c r="F53" i="148"/>
  <c r="F50" i="148"/>
  <c r="F24" i="148"/>
  <c r="F174" i="148" s="1"/>
  <c r="EM19" i="77"/>
  <c r="CC18" i="77"/>
  <c r="CF18" i="77"/>
  <c r="CD18" i="77"/>
  <c r="Y21" i="77"/>
  <c r="EM20" i="77"/>
  <c r="CE18" i="77"/>
  <c r="EM26" i="77"/>
  <c r="E72" i="75"/>
  <c r="E294" i="148"/>
  <c r="E289" i="148"/>
  <c r="E18" i="148"/>
  <c r="E33" i="148" s="1"/>
  <c r="E29" i="148" s="1"/>
  <c r="E288" i="148"/>
  <c r="E17" i="148"/>
  <c r="E30" i="148"/>
  <c r="E28" i="148" s="1"/>
  <c r="U19" i="77"/>
  <c r="C276" i="148"/>
  <c r="AE84" i="75"/>
  <c r="EA26" i="77"/>
  <c r="BQ18" i="77"/>
  <c r="EA19" i="77"/>
  <c r="BS18" i="77"/>
  <c r="EA20" i="77"/>
  <c r="BR18" i="77"/>
  <c r="V21" i="77"/>
  <c r="BT18" i="77"/>
  <c r="F221" i="75"/>
  <c r="F16" i="75"/>
  <c r="W20" i="77" s="1"/>
  <c r="F10" i="75"/>
  <c r="F71" i="75"/>
  <c r="F70" i="75"/>
  <c r="W11" i="77"/>
  <c r="F76" i="75"/>
  <c r="F81" i="75"/>
  <c r="F153" i="75"/>
  <c r="F156" i="75" s="1"/>
  <c r="F216" i="75"/>
  <c r="AF73" i="75"/>
  <c r="AF18" i="75"/>
  <c r="AF17" i="75"/>
  <c r="AF27" i="75"/>
  <c r="C37" i="157"/>
  <c r="D38" i="157" s="1"/>
  <c r="C4" i="163"/>
  <c r="D6" i="157"/>
  <c r="W84" i="75"/>
  <c r="I287" i="148"/>
  <c r="F162" i="75"/>
  <c r="F53" i="75"/>
  <c r="F224" i="75"/>
  <c r="F56" i="75"/>
  <c r="F54" i="75"/>
  <c r="F163" i="75"/>
  <c r="F78" i="75"/>
  <c r="F223" i="75" s="1"/>
  <c r="F169" i="75"/>
  <c r="F178" i="75" s="1"/>
  <c r="F84" i="75"/>
  <c r="AE17" i="75"/>
  <c r="AE73" i="75"/>
  <c r="AE18" i="75"/>
  <c r="AE27" i="75"/>
  <c r="AJ18" i="75"/>
  <c r="AJ73" i="75"/>
  <c r="AJ17" i="75"/>
  <c r="AJ27" i="75"/>
  <c r="B294" i="148"/>
  <c r="B289" i="148"/>
  <c r="B17" i="148"/>
  <c r="B288" i="148"/>
  <c r="B18" i="148"/>
  <c r="AM69" i="75"/>
  <c r="AM27" i="75"/>
  <c r="Y11" i="77"/>
  <c r="H153" i="75"/>
  <c r="H156" i="75" s="1"/>
  <c r="H76" i="75"/>
  <c r="AZ11" i="148"/>
  <c r="BA12" i="148" s="1"/>
  <c r="H221" i="75"/>
  <c r="H10" i="75"/>
  <c r="H70" i="75"/>
  <c r="H71" i="75"/>
  <c r="H81" i="75"/>
  <c r="H16" i="75"/>
  <c r="I17" i="75" s="1"/>
  <c r="H216" i="75"/>
  <c r="AZ10" i="148" s="1"/>
  <c r="V17" i="75"/>
  <c r="V73" i="75"/>
  <c r="V18" i="75"/>
  <c r="I73" i="75"/>
  <c r="BA7" i="148" s="1"/>
  <c r="I18" i="75"/>
  <c r="J17" i="75"/>
  <c r="G276" i="148"/>
  <c r="AS21" i="75"/>
  <c r="AS26" i="75" s="1"/>
  <c r="AS69" i="75" s="1"/>
  <c r="I280" i="148"/>
  <c r="O120" i="75"/>
  <c r="BZ49" i="75"/>
  <c r="BT49" i="77"/>
  <c r="BS49" i="77"/>
  <c r="BQ49" i="77"/>
  <c r="EA48" i="77"/>
  <c r="BR49" i="77"/>
  <c r="AK17" i="75"/>
  <c r="AK73" i="75"/>
  <c r="AK18" i="75"/>
  <c r="AK27" i="75"/>
  <c r="Z53" i="75"/>
  <c r="Z84" i="75"/>
  <c r="Z78" i="75"/>
  <c r="Z54" i="75"/>
  <c r="CF48" i="77"/>
  <c r="CD48" i="77"/>
  <c r="Y48" i="77"/>
  <c r="Y49" i="77" s="1"/>
  <c r="CE48" i="77"/>
  <c r="CC48" i="77"/>
  <c r="V19" i="77"/>
  <c r="D153" i="75"/>
  <c r="D156" i="75" s="1"/>
  <c r="D71" i="75"/>
  <c r="D16" i="75"/>
  <c r="U20" i="77" s="1"/>
  <c r="D70" i="75"/>
  <c r="U11" i="77"/>
  <c r="D221" i="75"/>
  <c r="D81" i="75"/>
  <c r="D10" i="75"/>
  <c r="D76" i="75"/>
  <c r="D216" i="75"/>
  <c r="AD84" i="75"/>
  <c r="AD53" i="75"/>
  <c r="AD54" i="75"/>
  <c r="AD78" i="75"/>
  <c r="D276" i="148"/>
  <c r="H13" i="148"/>
  <c r="H294" i="148"/>
  <c r="H17" i="148"/>
  <c r="H289" i="148"/>
  <c r="H290" i="148"/>
  <c r="H287" i="148"/>
  <c r="H18" i="148"/>
  <c r="H33" i="148" s="1"/>
  <c r="H29" i="148" s="1"/>
  <c r="H12" i="148"/>
  <c r="H288" i="148"/>
  <c r="L13" i="148"/>
  <c r="H286" i="148"/>
  <c r="AR73" i="75"/>
  <c r="H7" i="148" s="1"/>
  <c r="AR27" i="75"/>
  <c r="AV17" i="75"/>
  <c r="H25" i="148"/>
  <c r="H30" i="148" s="1"/>
  <c r="AR18" i="75"/>
  <c r="D169" i="75"/>
  <c r="D178" i="75" s="1"/>
  <c r="D163" i="75"/>
  <c r="D78" i="75"/>
  <c r="D223" i="75" s="1"/>
  <c r="D224" i="75"/>
  <c r="D84" i="75"/>
  <c r="D53" i="75"/>
  <c r="D162" i="75"/>
  <c r="D61" i="75"/>
  <c r="D56" i="75" s="1"/>
  <c r="D85" i="75" s="1"/>
  <c r="D54" i="75"/>
  <c r="H78" i="75"/>
  <c r="H223" i="75" s="1"/>
  <c r="BM18" i="77"/>
  <c r="DW19" i="77"/>
  <c r="DW20" i="77"/>
  <c r="BP18" i="77"/>
  <c r="BN18" i="77"/>
  <c r="U21" i="77"/>
  <c r="BO18" i="77"/>
  <c r="DW26" i="77"/>
  <c r="G154" i="75"/>
  <c r="G155" i="75"/>
  <c r="BM48" i="77"/>
  <c r="BP48" i="77"/>
  <c r="BO48" i="77"/>
  <c r="U48" i="77"/>
  <c r="U49" i="77" s="1"/>
  <c r="BN48" i="77"/>
  <c r="I10" i="75"/>
  <c r="BA289" i="148"/>
  <c r="BB12" i="148"/>
  <c r="C4" i="164"/>
  <c r="BA288" i="148"/>
  <c r="BA294" i="148"/>
  <c r="CJ18" i="77"/>
  <c r="EQ20" i="77"/>
  <c r="CG18" i="77"/>
  <c r="CI18" i="77"/>
  <c r="Z21" i="77"/>
  <c r="EQ19" i="77"/>
  <c r="CH18" i="77"/>
  <c r="EQ26" i="77"/>
  <c r="AR17" i="75"/>
  <c r="AN73" i="75"/>
  <c r="AN18" i="75"/>
  <c r="AN17" i="75"/>
  <c r="D25" i="148"/>
  <c r="AN27" i="75"/>
  <c r="C28" i="148"/>
  <c r="F33" i="148"/>
  <c r="BW31" i="75"/>
  <c r="T232" i="148"/>
  <c r="T237" i="148"/>
  <c r="T234" i="148"/>
  <c r="T231" i="148"/>
  <c r="T233" i="148"/>
  <c r="T235" i="148"/>
  <c r="S63" i="75"/>
  <c r="W240" i="148"/>
  <c r="W251" i="148" s="1"/>
  <c r="BA161" i="150"/>
  <c r="AZ192" i="150"/>
  <c r="X229" i="148" s="1"/>
  <c r="V251" i="148"/>
  <c r="BA166" i="150"/>
  <c r="BB166" i="150" s="1"/>
  <c r="BC166" i="150" s="1"/>
  <c r="BD166" i="150" s="1"/>
  <c r="BE166" i="150" s="1"/>
  <c r="BF166" i="150" s="1"/>
  <c r="BG166" i="150" s="1"/>
  <c r="BH166" i="150" s="1"/>
  <c r="BI166" i="150" s="1"/>
  <c r="BJ166" i="150" s="1"/>
  <c r="BK166" i="150" s="1"/>
  <c r="BL166" i="150" s="1"/>
  <c r="BM166" i="150" s="1"/>
  <c r="BN166" i="150" s="1"/>
  <c r="BO166" i="150" s="1"/>
  <c r="BP166" i="150" s="1"/>
  <c r="BQ166" i="150" s="1"/>
  <c r="BR166" i="150" s="1"/>
  <c r="BS166" i="150" s="1"/>
  <c r="BT166" i="150" s="1"/>
  <c r="BU166" i="150" s="1"/>
  <c r="BV166" i="150" s="1"/>
  <c r="BW166" i="150" s="1"/>
  <c r="BX166" i="150" s="1"/>
  <c r="AZ11" i="150"/>
  <c r="AZ12" i="150" s="1"/>
  <c r="BA160" i="150"/>
  <c r="AT85" i="148"/>
  <c r="BQ93" i="150"/>
  <c r="BQ96" i="150" s="1"/>
  <c r="BQ95" i="150" s="1"/>
  <c r="BR61" i="150"/>
  <c r="AO96" i="150"/>
  <c r="AO97" i="150"/>
  <c r="AO150" i="150"/>
  <c r="CL150" i="150" s="1"/>
  <c r="M16" i="150"/>
  <c r="L93" i="150"/>
  <c r="BP96" i="150"/>
  <c r="P31" i="75"/>
  <c r="AN96" i="150"/>
  <c r="AN97" i="150"/>
  <c r="S255" i="148"/>
  <c r="W168" i="148"/>
  <c r="V189" i="148"/>
  <c r="V157" i="148"/>
  <c r="V135" i="148" s="1"/>
  <c r="U169" i="148"/>
  <c r="T158" i="148"/>
  <c r="T136" i="148" s="1"/>
  <c r="T190" i="148"/>
  <c r="AC125" i="148"/>
  <c r="BF125" i="148" s="1"/>
  <c r="AB97" i="148"/>
  <c r="BD157" i="148"/>
  <c r="U135" i="148"/>
  <c r="X126" i="148"/>
  <c r="X124" i="148" s="1"/>
  <c r="W98" i="148"/>
  <c r="W96" i="148"/>
  <c r="F26" i="164"/>
  <c r="V138" i="148"/>
  <c r="W127" i="148"/>
  <c r="V99" i="148"/>
  <c r="T188" i="148"/>
  <c r="U167" i="148"/>
  <c r="BE133" i="148"/>
  <c r="AB166" i="148"/>
  <c r="AA187" i="148"/>
  <c r="AA155" i="148"/>
  <c r="BC141" i="148"/>
  <c r="BC172" i="148"/>
  <c r="AD173" i="148"/>
  <c r="AC162" i="148"/>
  <c r="BF162" i="148" s="1"/>
  <c r="BE187" i="148"/>
  <c r="BE177" i="148"/>
  <c r="AN109" i="148"/>
  <c r="AM79" i="148"/>
  <c r="AB108" i="148"/>
  <c r="AB78" i="148" s="1"/>
  <c r="CH15" i="149"/>
  <c r="BA145" i="75"/>
  <c r="AZ157" i="75"/>
  <c r="N62" i="75"/>
  <c r="N54" i="75"/>
  <c r="BF4" i="148"/>
  <c r="N78" i="75"/>
  <c r="N223" i="75" s="1"/>
  <c r="N59" i="75"/>
  <c r="N53" i="75"/>
  <c r="N224" i="75"/>
  <c r="BF9" i="148" s="1"/>
  <c r="N169" i="75"/>
  <c r="N178" i="75" s="1"/>
  <c r="N84" i="75"/>
  <c r="H17" i="157"/>
  <c r="N61" i="75"/>
  <c r="BD137" i="148"/>
  <c r="BD170" i="148"/>
  <c r="U137" i="148"/>
  <c r="BE160" i="148"/>
  <c r="U129" i="148"/>
  <c r="T101" i="148"/>
  <c r="T140" i="148"/>
  <c r="T128" i="148"/>
  <c r="T236" i="148" s="1"/>
  <c r="AA171" i="148"/>
  <c r="Z160" i="148"/>
  <c r="AI95" i="148"/>
  <c r="S100" i="148"/>
  <c r="S130" i="148"/>
  <c r="S102" i="148" s="1"/>
  <c r="R102" i="148"/>
  <c r="W170" i="148"/>
  <c r="V191" i="148"/>
  <c r="V159" i="148"/>
  <c r="P249" i="148"/>
  <c r="BC249" i="148" s="1"/>
  <c r="BC260" i="148" s="1"/>
  <c r="BC271" i="148" s="1"/>
  <c r="CG18" i="149"/>
  <c r="AA112" i="148"/>
  <c r="AX112" i="150"/>
  <c r="AX149" i="150" s="1"/>
  <c r="Z122" i="148"/>
  <c r="Z82" i="148"/>
  <c r="Y94" i="148"/>
  <c r="BE94" i="148" s="1"/>
  <c r="Y133" i="148"/>
  <c r="BA106" i="150"/>
  <c r="BA107" i="150" s="1"/>
  <c r="BA109" i="150" s="1"/>
  <c r="BA11" i="150" s="1"/>
  <c r="BA12" i="150" s="1"/>
  <c r="P258" i="148"/>
  <c r="BC247" i="148"/>
  <c r="BC258" i="148" s="1"/>
  <c r="BC269" i="148" s="1"/>
  <c r="P256" i="148"/>
  <c r="BC245" i="148"/>
  <c r="BC256" i="148" s="1"/>
  <c r="BC267" i="148" s="1"/>
  <c r="S252" i="148"/>
  <c r="S263" i="148" s="1"/>
  <c r="Q263" i="148"/>
  <c r="P255" i="148"/>
  <c r="BC244" i="148"/>
  <c r="BC255" i="148" s="1"/>
  <c r="BC266" i="148" s="1"/>
  <c r="E79" i="164"/>
  <c r="E88" i="164" s="1"/>
  <c r="BC252" i="148"/>
  <c r="BC263" i="148" s="1"/>
  <c r="AZ123" i="150"/>
  <c r="BA123" i="150" s="1"/>
  <c r="BB123" i="150" s="1"/>
  <c r="BC123" i="150" s="1"/>
  <c r="BD123" i="150" s="1"/>
  <c r="BE123" i="150" s="1"/>
  <c r="BF123" i="150" s="1"/>
  <c r="BG123" i="150" s="1"/>
  <c r="BH123" i="150" s="1"/>
  <c r="BI123" i="150" s="1"/>
  <c r="BJ123" i="150" s="1"/>
  <c r="BK123" i="150" s="1"/>
  <c r="BL123" i="150" s="1"/>
  <c r="BM123" i="150" s="1"/>
  <c r="BN123" i="150" s="1"/>
  <c r="BO123" i="150" s="1"/>
  <c r="BP123" i="150" s="1"/>
  <c r="BQ123" i="150" s="1"/>
  <c r="BR123" i="150" s="1"/>
  <c r="BS123" i="150" s="1"/>
  <c r="BT123" i="150" s="1"/>
  <c r="BU123" i="150" s="1"/>
  <c r="BV123" i="150" s="1"/>
  <c r="BW123" i="150" s="1"/>
  <c r="BX123" i="150" s="1"/>
  <c r="BY123" i="150" s="1"/>
  <c r="P254" i="148"/>
  <c r="BC243" i="148"/>
  <c r="BC254" i="148" s="1"/>
  <c r="BC265" i="148" s="1"/>
  <c r="E71" i="164"/>
  <c r="E70" i="164"/>
  <c r="P259" i="148"/>
  <c r="BC248" i="148"/>
  <c r="BC259" i="148" s="1"/>
  <c r="BC270" i="148" s="1"/>
  <c r="P257" i="148"/>
  <c r="BC246" i="148"/>
  <c r="P253" i="148"/>
  <c r="BC242" i="148"/>
  <c r="M84" i="75"/>
  <c r="R256" i="148"/>
  <c r="BE90" i="148"/>
  <c r="G27" i="164"/>
  <c r="AA110" i="148"/>
  <c r="AA80" i="148" s="1"/>
  <c r="CG17" i="149"/>
  <c r="AM83" i="148"/>
  <c r="T241" i="148"/>
  <c r="Z87" i="148"/>
  <c r="Z90" i="148" s="1"/>
  <c r="R257" i="148"/>
  <c r="R254" i="148"/>
  <c r="AM104" i="148"/>
  <c r="Z80" i="148"/>
  <c r="Z116" i="148"/>
  <c r="Z118" i="148"/>
  <c r="Z76" i="148"/>
  <c r="AO105" i="148"/>
  <c r="AN75" i="148"/>
  <c r="AA77" i="148"/>
  <c r="AA117" i="148"/>
  <c r="R259" i="148"/>
  <c r="Y86" i="148"/>
  <c r="BE86" i="148" s="1"/>
  <c r="Y20" i="148"/>
  <c r="Y22" i="148" s="1"/>
  <c r="AA106" i="148"/>
  <c r="CF41" i="149"/>
  <c r="CG13" i="149"/>
  <c r="CF32" i="149"/>
  <c r="AZ114" i="150"/>
  <c r="Y88" i="148"/>
  <c r="BE88" i="148" s="1"/>
  <c r="R255" i="148"/>
  <c r="BE118" i="148"/>
  <c r="M57" i="75"/>
  <c r="CC61" i="75"/>
  <c r="CB63" i="75"/>
  <c r="J56" i="75"/>
  <c r="M178" i="75"/>
  <c r="K57" i="75"/>
  <c r="K60" i="75"/>
  <c r="L187" i="75"/>
  <c r="L41" i="157"/>
  <c r="M41" i="157" s="1"/>
  <c r="G80" i="163"/>
  <c r="BE9" i="148"/>
  <c r="M56" i="75"/>
  <c r="J57" i="75"/>
  <c r="K56" i="75"/>
  <c r="BC9" i="148"/>
  <c r="E80" i="163"/>
  <c r="M223" i="75"/>
  <c r="K223" i="75"/>
  <c r="K178" i="75"/>
  <c r="M60" i="75"/>
  <c r="N187" i="75"/>
  <c r="K187" i="75"/>
  <c r="J60" i="75"/>
  <c r="J223" i="75"/>
  <c r="G81" i="157"/>
  <c r="G80" i="157" s="1"/>
  <c r="G77" i="157" s="1"/>
  <c r="G49" i="157"/>
  <c r="D80" i="163"/>
  <c r="BB9" i="148"/>
  <c r="J178" i="75"/>
  <c r="AC64" i="77"/>
  <c r="L54" i="75"/>
  <c r="L162" i="75"/>
  <c r="L224" i="75"/>
  <c r="F46" i="163"/>
  <c r="L59" i="75"/>
  <c r="BD4" i="148"/>
  <c r="L169" i="75"/>
  <c r="L61" i="75"/>
  <c r="L78" i="75"/>
  <c r="F17" i="157"/>
  <c r="L62" i="75"/>
  <c r="L53" i="75"/>
  <c r="L84" i="75"/>
  <c r="E81" i="157"/>
  <c r="E80" i="157" s="1"/>
  <c r="E77" i="157" s="1"/>
  <c r="E49" i="157"/>
  <c r="BA18" i="148" l="1"/>
  <c r="AG33" i="75"/>
  <c r="AG74" i="75"/>
  <c r="AG28" i="75"/>
  <c r="H28" i="148"/>
  <c r="R193" i="75"/>
  <c r="S144" i="75"/>
  <c r="C216" i="148"/>
  <c r="AO27" i="75"/>
  <c r="AO28" i="75" s="1"/>
  <c r="I28" i="148"/>
  <c r="Y20" i="77"/>
  <c r="F85" i="75"/>
  <c r="H26" i="148"/>
  <c r="H31" i="148"/>
  <c r="F215" i="148"/>
  <c r="F248" i="148" s="1"/>
  <c r="F162" i="148"/>
  <c r="F69" i="148"/>
  <c r="C162" i="148"/>
  <c r="C140" i="148" s="1"/>
  <c r="C215" i="148"/>
  <c r="X35" i="75"/>
  <c r="X75" i="75"/>
  <c r="X44" i="75"/>
  <c r="X43" i="75" s="1"/>
  <c r="X34" i="75"/>
  <c r="CA49" i="75"/>
  <c r="CB49" i="75" s="1"/>
  <c r="CC49" i="75" s="1"/>
  <c r="CD49" i="75" s="1"/>
  <c r="CE49" i="75" s="1"/>
  <c r="CF49" i="75" s="1"/>
  <c r="CG49" i="75" s="1"/>
  <c r="H73" i="75"/>
  <c r="AZ7" i="148" s="1"/>
  <c r="H17" i="75"/>
  <c r="H18" i="75"/>
  <c r="AJ28" i="75"/>
  <c r="AJ74" i="75"/>
  <c r="AJ33" i="75"/>
  <c r="AJ29" i="75"/>
  <c r="F159" i="148"/>
  <c r="F212" i="148"/>
  <c r="E26" i="148"/>
  <c r="E31" i="148"/>
  <c r="C213" i="148"/>
  <c r="C58" i="148"/>
  <c r="C160" i="148"/>
  <c r="EI25" i="77"/>
  <c r="CA26" i="77"/>
  <c r="BY26" i="77"/>
  <c r="BZ26" i="77"/>
  <c r="CB26" i="77"/>
  <c r="W28" i="75"/>
  <c r="W74" i="75"/>
  <c r="W29" i="75"/>
  <c r="W33" i="75"/>
  <c r="AA74" i="75"/>
  <c r="AA33" i="75"/>
  <c r="AA29" i="75"/>
  <c r="AA28" i="75"/>
  <c r="F26" i="148"/>
  <c r="BA25" i="148"/>
  <c r="F31" i="148"/>
  <c r="F30" i="148"/>
  <c r="AC74" i="75"/>
  <c r="AC28" i="75"/>
  <c r="AC29" i="75"/>
  <c r="AC33" i="75"/>
  <c r="AR74" i="75"/>
  <c r="AV28" i="75"/>
  <c r="AR33" i="75"/>
  <c r="AR29" i="75"/>
  <c r="AR28" i="75"/>
  <c r="BS48" i="77"/>
  <c r="BR48" i="77"/>
  <c r="V48" i="77"/>
  <c r="V49" i="77" s="1"/>
  <c r="BQ48" i="77"/>
  <c r="BT48" i="77"/>
  <c r="K281" i="148"/>
  <c r="G293" i="148"/>
  <c r="G286" i="148"/>
  <c r="B33" i="148"/>
  <c r="AZ33" i="148" s="1"/>
  <c r="AZ18" i="148"/>
  <c r="BQ26" i="77"/>
  <c r="EA25" i="77"/>
  <c r="BR26" i="77"/>
  <c r="BS26" i="77"/>
  <c r="BT26" i="77"/>
  <c r="E53" i="148"/>
  <c r="E50" i="148"/>
  <c r="E54" i="148"/>
  <c r="F67" i="148" s="1"/>
  <c r="E51" i="148"/>
  <c r="E55" i="148"/>
  <c r="E56" i="148"/>
  <c r="E24" i="148"/>
  <c r="E174" i="148" s="1"/>
  <c r="F185" i="148" s="1"/>
  <c r="E52" i="148"/>
  <c r="CD26" i="77"/>
  <c r="CC26" i="77"/>
  <c r="EM25" i="77"/>
  <c r="CE26" i="77"/>
  <c r="CF26" i="77"/>
  <c r="F160" i="148"/>
  <c r="F213" i="148"/>
  <c r="F58" i="148"/>
  <c r="G156" i="75"/>
  <c r="AG44" i="75"/>
  <c r="AG43" i="75" s="1"/>
  <c r="AG35" i="75"/>
  <c r="AG75" i="75"/>
  <c r="P171" i="75"/>
  <c r="P205" i="75"/>
  <c r="AF33" i="75"/>
  <c r="AG82" i="75" s="1"/>
  <c r="AF29" i="75"/>
  <c r="AF74" i="75"/>
  <c r="AF28" i="75"/>
  <c r="F73" i="75"/>
  <c r="F17" i="75"/>
  <c r="F18" i="75"/>
  <c r="D52" i="148"/>
  <c r="D55" i="148"/>
  <c r="D56" i="148"/>
  <c r="D53" i="148"/>
  <c r="D24" i="148"/>
  <c r="D174" i="148" s="1"/>
  <c r="D50" i="148"/>
  <c r="D51" i="148"/>
  <c r="D54" i="148"/>
  <c r="AS27" i="75"/>
  <c r="AO29" i="75"/>
  <c r="AO33" i="75"/>
  <c r="AO74" i="75"/>
  <c r="E17" i="75"/>
  <c r="E18" i="75"/>
  <c r="E73" i="75"/>
  <c r="B26" i="148"/>
  <c r="AZ25" i="148"/>
  <c r="AZ26" i="148" s="1"/>
  <c r="G30" i="148"/>
  <c r="G26" i="148"/>
  <c r="C21" i="163"/>
  <c r="C87" i="163" s="1"/>
  <c r="C7" i="157"/>
  <c r="F156" i="148"/>
  <c r="F209" i="148"/>
  <c r="F59" i="148"/>
  <c r="F57" i="148"/>
  <c r="F29" i="148"/>
  <c r="D286" i="148"/>
  <c r="D293" i="148"/>
  <c r="D17" i="75"/>
  <c r="D73" i="75"/>
  <c r="D18" i="75"/>
  <c r="AZ289" i="148"/>
  <c r="AZ12" i="148"/>
  <c r="AZ294" i="148"/>
  <c r="AZ288" i="148"/>
  <c r="AE28" i="75"/>
  <c r="AE74" i="75"/>
  <c r="AE33" i="75"/>
  <c r="AE29" i="75"/>
  <c r="I26" i="148"/>
  <c r="I31" i="148"/>
  <c r="AQ29" i="75"/>
  <c r="AU28" i="75"/>
  <c r="AQ28" i="75"/>
  <c r="AQ33" i="75"/>
  <c r="AQ74" i="75"/>
  <c r="AN28" i="75"/>
  <c r="AN74" i="75"/>
  <c r="AN29" i="75"/>
  <c r="AN33" i="75"/>
  <c r="CI26" i="77"/>
  <c r="CH26" i="77"/>
  <c r="EQ25" i="77"/>
  <c r="CJ26" i="77"/>
  <c r="CG26" i="77"/>
  <c r="C105" i="163"/>
  <c r="C104" i="163"/>
  <c r="C106" i="163"/>
  <c r="C103" i="163"/>
  <c r="D12" i="164"/>
  <c r="C85" i="163"/>
  <c r="C102" i="163"/>
  <c r="C99" i="163"/>
  <c r="D100" i="163" s="1"/>
  <c r="C112" i="163"/>
  <c r="DW25" i="77"/>
  <c r="BM26" i="77"/>
  <c r="BO26" i="77"/>
  <c r="BN26" i="77"/>
  <c r="BP26" i="77"/>
  <c r="D60" i="75"/>
  <c r="D62" i="75"/>
  <c r="H50" i="148"/>
  <c r="H24" i="148"/>
  <c r="H174" i="148" s="1"/>
  <c r="H55" i="148"/>
  <c r="H54" i="148"/>
  <c r="H53" i="148"/>
  <c r="H52" i="148"/>
  <c r="H51" i="148"/>
  <c r="H56" i="148"/>
  <c r="AK29" i="75"/>
  <c r="AK28" i="75"/>
  <c r="AK74" i="75"/>
  <c r="AK33" i="75"/>
  <c r="F158" i="148"/>
  <c r="F211" i="148"/>
  <c r="P167" i="75"/>
  <c r="P7" i="75"/>
  <c r="Q5" i="75"/>
  <c r="P66" i="75"/>
  <c r="P112" i="75"/>
  <c r="AZ5" i="148"/>
  <c r="AZ287" i="148"/>
  <c r="AY25" i="148"/>
  <c r="AY26" i="148" s="1"/>
  <c r="G17" i="75"/>
  <c r="G18" i="75"/>
  <c r="G73" i="75"/>
  <c r="AY7" i="148" s="1"/>
  <c r="C209" i="148"/>
  <c r="C242" i="148" s="1"/>
  <c r="C59" i="148"/>
  <c r="C57" i="148"/>
  <c r="C156" i="148"/>
  <c r="C211" i="148"/>
  <c r="C222" i="148" s="1"/>
  <c r="C158" i="148"/>
  <c r="C136" i="148" s="1"/>
  <c r="E85" i="75"/>
  <c r="I53" i="148"/>
  <c r="I56" i="148"/>
  <c r="I54" i="148"/>
  <c r="I51" i="148"/>
  <c r="I55" i="148"/>
  <c r="I24" i="148"/>
  <c r="I174" i="148" s="1"/>
  <c r="I52" i="148"/>
  <c r="I50" i="148"/>
  <c r="AM33" i="75"/>
  <c r="AM74" i="75"/>
  <c r="AM29" i="75"/>
  <c r="AM28" i="75"/>
  <c r="C210" i="148"/>
  <c r="C221" i="148" s="1"/>
  <c r="C157" i="148"/>
  <c r="C135" i="148" s="1"/>
  <c r="G50" i="148"/>
  <c r="G52" i="148"/>
  <c r="G53" i="148"/>
  <c r="G24" i="148"/>
  <c r="G174" i="148" s="1"/>
  <c r="G185" i="148" s="1"/>
  <c r="G55" i="148"/>
  <c r="G54" i="148"/>
  <c r="G56" i="148"/>
  <c r="G51" i="148"/>
  <c r="C219" i="148"/>
  <c r="B30" i="148"/>
  <c r="D30" i="148"/>
  <c r="D28" i="148" s="1"/>
  <c r="D26" i="148"/>
  <c r="D31" i="148"/>
  <c r="I290" i="148"/>
  <c r="M285" i="148"/>
  <c r="I276" i="148"/>
  <c r="B24" i="148"/>
  <c r="B174" i="148" s="1"/>
  <c r="C185" i="148" s="1"/>
  <c r="B50" i="148"/>
  <c r="B55" i="148"/>
  <c r="B53" i="148"/>
  <c r="C66" i="148" s="1"/>
  <c r="B56" i="148"/>
  <c r="B52" i="148"/>
  <c r="C65" i="148" s="1"/>
  <c r="B51" i="148"/>
  <c r="C64" i="148" s="1"/>
  <c r="B54" i="148"/>
  <c r="AZ17" i="148"/>
  <c r="AZ24" i="148" s="1"/>
  <c r="C293" i="148"/>
  <c r="C286" i="148"/>
  <c r="BA17" i="148"/>
  <c r="BA24" i="148" s="1"/>
  <c r="F210" i="148"/>
  <c r="F243" i="148" s="1"/>
  <c r="F157" i="148"/>
  <c r="F64" i="148"/>
  <c r="AB28" i="75"/>
  <c r="AB33" i="75"/>
  <c r="AB29" i="75"/>
  <c r="AB74" i="75"/>
  <c r="AI29" i="75"/>
  <c r="AI28" i="75"/>
  <c r="AI33" i="75"/>
  <c r="AI74" i="75"/>
  <c r="W25" i="77"/>
  <c r="BV25" i="77"/>
  <c r="AD24" i="75"/>
  <c r="AD21" i="75" s="1"/>
  <c r="AD26" i="75" s="1"/>
  <c r="BU25" i="77"/>
  <c r="BX25" i="77"/>
  <c r="BW25" i="77"/>
  <c r="C212" i="148"/>
  <c r="C159" i="148"/>
  <c r="C137" i="148" s="1"/>
  <c r="G56" i="75"/>
  <c r="H85" i="75" s="1"/>
  <c r="AZ6" i="148" s="1"/>
  <c r="G60" i="75"/>
  <c r="G33" i="148"/>
  <c r="G31" i="148" s="1"/>
  <c r="Y33" i="75"/>
  <c r="Y29" i="75"/>
  <c r="Y28" i="75"/>
  <c r="Y74" i="75"/>
  <c r="E290" i="148"/>
  <c r="E276" i="148"/>
  <c r="S49" i="75"/>
  <c r="M16" i="157" s="1"/>
  <c r="N16" i="157" s="1"/>
  <c r="BE89" i="148"/>
  <c r="BE92" i="148"/>
  <c r="T63" i="75"/>
  <c r="X240" i="148"/>
  <c r="BB161" i="150"/>
  <c r="BA192" i="150"/>
  <c r="Y229" i="148" s="1"/>
  <c r="BY166" i="150"/>
  <c r="BB160" i="150"/>
  <c r="BA124" i="150"/>
  <c r="BB124" i="150" s="1"/>
  <c r="BC124" i="150" s="1"/>
  <c r="BD124" i="150" s="1"/>
  <c r="BE124" i="150" s="1"/>
  <c r="BF124" i="150" s="1"/>
  <c r="BG124" i="150" s="1"/>
  <c r="BH124" i="150" s="1"/>
  <c r="BI124" i="150" s="1"/>
  <c r="BJ124" i="150" s="1"/>
  <c r="BK124" i="150" s="1"/>
  <c r="BL124" i="150" s="1"/>
  <c r="BM124" i="150" s="1"/>
  <c r="BN124" i="150" s="1"/>
  <c r="BO124" i="150" s="1"/>
  <c r="BP124" i="150" s="1"/>
  <c r="BQ124" i="150" s="1"/>
  <c r="BR124" i="150" s="1"/>
  <c r="BS124" i="150" s="1"/>
  <c r="BT124" i="150" s="1"/>
  <c r="BU124" i="150" s="1"/>
  <c r="BV124" i="150" s="1"/>
  <c r="BW124" i="150" s="1"/>
  <c r="BX124" i="150" s="1"/>
  <c r="BY124" i="150" s="1"/>
  <c r="BB167" i="150"/>
  <c r="BC167" i="150" s="1"/>
  <c r="BD167" i="150" s="1"/>
  <c r="BE167" i="150" s="1"/>
  <c r="BF167" i="150" s="1"/>
  <c r="BG167" i="150" s="1"/>
  <c r="BH167" i="150" s="1"/>
  <c r="BI167" i="150" s="1"/>
  <c r="BJ167" i="150" s="1"/>
  <c r="BK167" i="150" s="1"/>
  <c r="BL167" i="150" s="1"/>
  <c r="BM167" i="150" s="1"/>
  <c r="BN167" i="150" s="1"/>
  <c r="BO167" i="150" s="1"/>
  <c r="BP167" i="150" s="1"/>
  <c r="BQ167" i="150" s="1"/>
  <c r="BR167" i="150" s="1"/>
  <c r="BS167" i="150" s="1"/>
  <c r="BT167" i="150" s="1"/>
  <c r="BU167" i="150" s="1"/>
  <c r="BV167" i="150" s="1"/>
  <c r="BW167" i="150" s="1"/>
  <c r="BX167" i="150" s="1"/>
  <c r="BY167" i="150" s="1"/>
  <c r="AU85" i="148"/>
  <c r="BS61" i="150"/>
  <c r="BR93" i="150"/>
  <c r="BY31" i="75"/>
  <c r="BQ99" i="150"/>
  <c r="AO27" i="148" s="1"/>
  <c r="AO238" i="148" s="1"/>
  <c r="BH238" i="148"/>
  <c r="BH27" i="148"/>
  <c r="M93" i="150"/>
  <c r="N16" i="150"/>
  <c r="BP95" i="150"/>
  <c r="BD168" i="148"/>
  <c r="BD135" i="148"/>
  <c r="AD125" i="148"/>
  <c r="AC97" i="148"/>
  <c r="BF97" i="148" s="1"/>
  <c r="U190" i="148"/>
  <c r="V169" i="148"/>
  <c r="U158" i="148"/>
  <c r="P260" i="148"/>
  <c r="Q271" i="148" s="1"/>
  <c r="X168" i="148"/>
  <c r="W189" i="148"/>
  <c r="W157" i="148"/>
  <c r="W135" i="148" s="1"/>
  <c r="F125" i="164"/>
  <c r="F126" i="164" s="1"/>
  <c r="F34" i="164"/>
  <c r="F42" i="164"/>
  <c r="E58" i="164" s="1"/>
  <c r="X98" i="148"/>
  <c r="Y126" i="148"/>
  <c r="Y124" i="148" s="1"/>
  <c r="X96" i="148"/>
  <c r="BF173" i="148"/>
  <c r="BF152" i="148"/>
  <c r="BC183" i="148"/>
  <c r="AB155" i="148"/>
  <c r="AB187" i="148"/>
  <c r="AC166" i="148"/>
  <c r="AE173" i="148"/>
  <c r="AD162" i="148"/>
  <c r="V167" i="148"/>
  <c r="U188" i="148"/>
  <c r="BI105" i="148"/>
  <c r="AP105" i="148"/>
  <c r="W138" i="148"/>
  <c r="X127" i="148"/>
  <c r="W99" i="148"/>
  <c r="AO109" i="148"/>
  <c r="AP109" i="148" s="1"/>
  <c r="AN79" i="148"/>
  <c r="CI15" i="149"/>
  <c r="AC108" i="148"/>
  <c r="BA157" i="75"/>
  <c r="BB145" i="75"/>
  <c r="O187" i="75"/>
  <c r="N57" i="75"/>
  <c r="H81" i="157"/>
  <c r="H80" i="157" s="1"/>
  <c r="H77" i="157" s="1"/>
  <c r="H78" i="157" s="1"/>
  <c r="H75" i="157" s="1"/>
  <c r="H73" i="157" s="1"/>
  <c r="N60" i="75"/>
  <c r="N56" i="75"/>
  <c r="V137" i="148"/>
  <c r="AK123" i="148"/>
  <c r="AJ95" i="148"/>
  <c r="V129" i="148"/>
  <c r="U140" i="148"/>
  <c r="U101" i="148"/>
  <c r="BD101" i="148" s="1"/>
  <c r="U128" i="148"/>
  <c r="BD129" i="148"/>
  <c r="BD140" i="148" s="1"/>
  <c r="BE171" i="148"/>
  <c r="BE150" i="148"/>
  <c r="CO109" i="150"/>
  <c r="X170" i="148"/>
  <c r="W191" i="148"/>
  <c r="W159" i="148"/>
  <c r="AB171" i="148"/>
  <c r="AA160" i="148"/>
  <c r="T100" i="148"/>
  <c r="T130" i="148"/>
  <c r="BD191" i="148"/>
  <c r="BD181" i="148"/>
  <c r="E97" i="164"/>
  <c r="E106" i="164" s="1"/>
  <c r="Q268" i="148"/>
  <c r="P268" i="148"/>
  <c r="BE20" i="148"/>
  <c r="BE22" i="148" s="1"/>
  <c r="G25" i="164"/>
  <c r="P270" i="148"/>
  <c r="Q270" i="148"/>
  <c r="Q265" i="148"/>
  <c r="P265" i="148"/>
  <c r="Q267" i="148"/>
  <c r="P267" i="148"/>
  <c r="AA122" i="148"/>
  <c r="AA82" i="148"/>
  <c r="E80" i="164"/>
  <c r="E89" i="164" s="1"/>
  <c r="BC253" i="148"/>
  <c r="BC264" i="148" s="1"/>
  <c r="Q266" i="148"/>
  <c r="P266" i="148"/>
  <c r="BB106" i="150"/>
  <c r="BB107" i="150" s="1"/>
  <c r="BB109" i="150" s="1"/>
  <c r="BB11" i="150" s="1"/>
  <c r="BB12" i="150" s="1"/>
  <c r="Z94" i="148"/>
  <c r="Z133" i="148"/>
  <c r="AB112" i="148"/>
  <c r="CH18" i="149"/>
  <c r="Q264" i="148"/>
  <c r="P264" i="148"/>
  <c r="Q269" i="148"/>
  <c r="P269" i="148"/>
  <c r="AW150" i="150"/>
  <c r="U230" i="148" s="1"/>
  <c r="CN149" i="150"/>
  <c r="E81" i="164"/>
  <c r="E90" i="164" s="1"/>
  <c r="BC257" i="148"/>
  <c r="BC268" i="148" s="1"/>
  <c r="AY112" i="150"/>
  <c r="AY149" i="150" s="1"/>
  <c r="AX150" i="150"/>
  <c r="V230" i="148" s="1"/>
  <c r="G35" i="164"/>
  <c r="G43" i="164"/>
  <c r="R270" i="148"/>
  <c r="S270" i="148"/>
  <c r="R268" i="148"/>
  <c r="S268" i="148"/>
  <c r="Z86" i="148"/>
  <c r="Z89" i="148" s="1"/>
  <c r="Z20" i="148"/>
  <c r="AN104" i="148"/>
  <c r="AM74" i="148"/>
  <c r="T246" i="148"/>
  <c r="BE91" i="148"/>
  <c r="AB106" i="148"/>
  <c r="CH13" i="149"/>
  <c r="CG14" i="149"/>
  <c r="R265" i="148"/>
  <c r="S265" i="148"/>
  <c r="T252" i="148"/>
  <c r="T263" i="148" s="1"/>
  <c r="T248" i="148"/>
  <c r="Z88" i="148"/>
  <c r="Z91" i="148" s="1"/>
  <c r="T243" i="148"/>
  <c r="CH17" i="149"/>
  <c r="AB110" i="148"/>
  <c r="R267" i="148"/>
  <c r="S267" i="148"/>
  <c r="AO75" i="148"/>
  <c r="BI75" i="148" s="1"/>
  <c r="R266" i="148"/>
  <c r="S266" i="148"/>
  <c r="BA114" i="150"/>
  <c r="AA87" i="148"/>
  <c r="AA90" i="148" s="1"/>
  <c r="T244" i="148"/>
  <c r="D18" i="157"/>
  <c r="D50" i="157" s="1"/>
  <c r="AA118" i="148"/>
  <c r="AA116" i="148"/>
  <c r="AA76" i="148"/>
  <c r="T245" i="148"/>
  <c r="AO113" i="148"/>
  <c r="AP113" i="148" s="1"/>
  <c r="AN83" i="148"/>
  <c r="D47" i="163"/>
  <c r="D89" i="163" s="1"/>
  <c r="BB5" i="148"/>
  <c r="CC63" i="75"/>
  <c r="CD61" i="75"/>
  <c r="L56" i="75"/>
  <c r="M85" i="75" s="1"/>
  <c r="F81" i="157"/>
  <c r="F80" i="157" s="1"/>
  <c r="F77" i="157" s="1"/>
  <c r="F49" i="157"/>
  <c r="L223" i="75"/>
  <c r="Q124" i="75"/>
  <c r="R124" i="75" s="1"/>
  <c r="S124" i="75" s="1"/>
  <c r="BE5" i="148"/>
  <c r="G47" i="163"/>
  <c r="G18" i="157"/>
  <c r="L193" i="75"/>
  <c r="K193" i="75"/>
  <c r="E47" i="163"/>
  <c r="K85" i="75"/>
  <c r="E18" i="157"/>
  <c r="BC5" i="148"/>
  <c r="G78" i="157"/>
  <c r="G75" i="157" s="1"/>
  <c r="G73" i="157" s="1"/>
  <c r="G79" i="157"/>
  <c r="E79" i="157"/>
  <c r="E78" i="157"/>
  <c r="E75" i="157" s="1"/>
  <c r="E73" i="157" s="1"/>
  <c r="F80" i="163"/>
  <c r="BD9" i="148"/>
  <c r="L57" i="75"/>
  <c r="L178" i="75"/>
  <c r="M187" i="75"/>
  <c r="L60" i="75"/>
  <c r="C243" i="148" l="1"/>
  <c r="BA51" i="148"/>
  <c r="BE16" i="148"/>
  <c r="G29" i="148"/>
  <c r="G28" i="148" s="1"/>
  <c r="C226" i="148"/>
  <c r="BA56" i="148"/>
  <c r="BB69" i="148" s="1"/>
  <c r="B31" i="148"/>
  <c r="B32" i="148" s="1"/>
  <c r="B203" i="148" s="1"/>
  <c r="BA55" i="148"/>
  <c r="BB68" i="148" s="1"/>
  <c r="B29" i="148"/>
  <c r="AZ29" i="148" s="1"/>
  <c r="BA52" i="148"/>
  <c r="BA29" i="148"/>
  <c r="C214" i="148"/>
  <c r="C225" i="148" s="1"/>
  <c r="S193" i="75"/>
  <c r="T144" i="75"/>
  <c r="T193" i="75" s="1"/>
  <c r="BA54" i="148"/>
  <c r="BA50" i="148"/>
  <c r="BB63" i="148" s="1"/>
  <c r="F259" i="148"/>
  <c r="G32" i="148"/>
  <c r="G203" i="148" s="1"/>
  <c r="G216" i="148"/>
  <c r="C253" i="148"/>
  <c r="C69" i="148"/>
  <c r="AZ56" i="148"/>
  <c r="B162" i="148"/>
  <c r="B215" i="148"/>
  <c r="F136" i="148"/>
  <c r="Z24" i="75"/>
  <c r="Z21" i="75" s="1"/>
  <c r="Z26" i="75" s="1"/>
  <c r="BQ25" i="77"/>
  <c r="BR25" i="77"/>
  <c r="BS25" i="77"/>
  <c r="BT25" i="77"/>
  <c r="V25" i="77"/>
  <c r="AC35" i="75"/>
  <c r="AC34" i="75"/>
  <c r="AC82" i="75"/>
  <c r="AC44" i="75"/>
  <c r="AC43" i="75" s="1"/>
  <c r="AC75" i="75"/>
  <c r="W34" i="75"/>
  <c r="W44" i="75"/>
  <c r="W43" i="75" s="1"/>
  <c r="W75" i="75"/>
  <c r="W35" i="75"/>
  <c r="AM35" i="75"/>
  <c r="AM75" i="75"/>
  <c r="C274" i="148"/>
  <c r="AM44" i="75"/>
  <c r="AM43" i="75" s="1"/>
  <c r="AM34" i="75"/>
  <c r="BM25" i="77"/>
  <c r="V24" i="75"/>
  <c r="V21" i="75" s="1"/>
  <c r="V26" i="75" s="1"/>
  <c r="BO25" i="77"/>
  <c r="U25" i="77"/>
  <c r="BN25" i="77"/>
  <c r="BP25" i="77"/>
  <c r="D67" i="148"/>
  <c r="D58" i="148"/>
  <c r="D213" i="148"/>
  <c r="D246" i="148" s="1"/>
  <c r="D160" i="148"/>
  <c r="AG34" i="75"/>
  <c r="E156" i="148"/>
  <c r="E57" i="148"/>
  <c r="F70" i="148" s="1"/>
  <c r="E209" i="148"/>
  <c r="E242" i="148" s="1"/>
  <c r="E59" i="148"/>
  <c r="F72" i="148" s="1"/>
  <c r="E63" i="148"/>
  <c r="C68" i="148"/>
  <c r="AZ55" i="148"/>
  <c r="I156" i="148"/>
  <c r="I57" i="148"/>
  <c r="I209" i="148"/>
  <c r="J63" i="148"/>
  <c r="I59" i="148"/>
  <c r="I63" i="148"/>
  <c r="C170" i="163"/>
  <c r="C242" i="163" s="1"/>
  <c r="C229" i="163"/>
  <c r="D229" i="163" s="1"/>
  <c r="C224" i="163"/>
  <c r="C225" i="163"/>
  <c r="C233" i="163"/>
  <c r="D233" i="163" s="1"/>
  <c r="C231" i="163"/>
  <c r="D231" i="163" s="1"/>
  <c r="C245" i="163"/>
  <c r="C227" i="163"/>
  <c r="D227" i="163" s="1"/>
  <c r="C237" i="163"/>
  <c r="D237" i="163" s="1"/>
  <c r="C253" i="163"/>
  <c r="D253" i="163" s="1"/>
  <c r="C238" i="163"/>
  <c r="D238" i="163" s="1"/>
  <c r="C228" i="163"/>
  <c r="D228" i="163" s="1"/>
  <c r="C250" i="163"/>
  <c r="D250" i="163" s="1"/>
  <c r="C246" i="163"/>
  <c r="D113" i="163"/>
  <c r="C226" i="163"/>
  <c r="D226" i="163" s="1"/>
  <c r="C235" i="163"/>
  <c r="D235" i="163" s="1"/>
  <c r="C249" i="163"/>
  <c r="D249" i="163" s="1"/>
  <c r="C255" i="163"/>
  <c r="D255" i="163" s="1"/>
  <c r="C248" i="163"/>
  <c r="D248" i="163" s="1"/>
  <c r="C240" i="163"/>
  <c r="D240" i="163" s="1"/>
  <c r="C223" i="163"/>
  <c r="D223" i="163" s="1"/>
  <c r="C232" i="163"/>
  <c r="D232" i="163" s="1"/>
  <c r="C247" i="163"/>
  <c r="C234" i="163"/>
  <c r="D234" i="163" s="1"/>
  <c r="C230" i="163"/>
  <c r="D230" i="163" s="1"/>
  <c r="C239" i="163"/>
  <c r="D239" i="163" s="1"/>
  <c r="C254" i="163"/>
  <c r="D254" i="163" s="1"/>
  <c r="C236" i="163"/>
  <c r="D236" i="163" s="1"/>
  <c r="D65" i="148"/>
  <c r="D211" i="148"/>
  <c r="D158" i="148"/>
  <c r="D136" i="148" s="1"/>
  <c r="C117" i="163"/>
  <c r="C125" i="163" s="1"/>
  <c r="C180" i="163" s="1"/>
  <c r="C179" i="163" s="1"/>
  <c r="C251" i="163" s="1"/>
  <c r="F24" i="75"/>
  <c r="F21" i="75" s="1"/>
  <c r="F26" i="75" s="1"/>
  <c r="W26" i="77"/>
  <c r="W28" i="77" s="1"/>
  <c r="F135" i="148"/>
  <c r="B58" i="148"/>
  <c r="C71" i="148" s="1"/>
  <c r="B213" i="148"/>
  <c r="B160" i="148"/>
  <c r="AZ54" i="148"/>
  <c r="C63" i="148"/>
  <c r="B57" i="148"/>
  <c r="B59" i="148"/>
  <c r="C72" i="148" s="1"/>
  <c r="B209" i="148"/>
  <c r="B242" i="148" s="1"/>
  <c r="AZ50" i="148"/>
  <c r="B156" i="148"/>
  <c r="C224" i="148"/>
  <c r="G159" i="148"/>
  <c r="G137" i="148" s="1"/>
  <c r="G66" i="148"/>
  <c r="G212" i="148"/>
  <c r="G245" i="148" s="1"/>
  <c r="J65" i="148"/>
  <c r="I158" i="148"/>
  <c r="I136" i="148" s="1"/>
  <c r="I211" i="148"/>
  <c r="I244" i="148" s="1"/>
  <c r="I65" i="148"/>
  <c r="I212" i="148"/>
  <c r="I159" i="148"/>
  <c r="I137" i="148" s="1"/>
  <c r="J66" i="148"/>
  <c r="I66" i="148"/>
  <c r="H160" i="148"/>
  <c r="H138" i="148" s="1"/>
  <c r="H58" i="148"/>
  <c r="H213" i="148"/>
  <c r="H67" i="148"/>
  <c r="G274" i="148"/>
  <c r="AU34" i="75"/>
  <c r="AQ34" i="75"/>
  <c r="AQ75" i="75"/>
  <c r="G8" i="148" s="1"/>
  <c r="AQ44" i="75"/>
  <c r="AQ43" i="75" s="1"/>
  <c r="AQ35" i="75"/>
  <c r="C116" i="163"/>
  <c r="B216" i="148"/>
  <c r="AO44" i="75"/>
  <c r="AO43" i="75" s="1"/>
  <c r="AO82" i="75"/>
  <c r="AO34" i="75"/>
  <c r="AO35" i="75"/>
  <c r="AO75" i="75"/>
  <c r="E274" i="148"/>
  <c r="D156" i="148"/>
  <c r="D63" i="148"/>
  <c r="D57" i="148"/>
  <c r="D209" i="148"/>
  <c r="D242" i="148" s="1"/>
  <c r="D59" i="148"/>
  <c r="E162" i="148"/>
  <c r="E140" i="148" s="1"/>
  <c r="E215" i="148"/>
  <c r="E69" i="148"/>
  <c r="AV34" i="75"/>
  <c r="AR35" i="75"/>
  <c r="H274" i="148"/>
  <c r="AR44" i="75"/>
  <c r="AR43" i="75" s="1"/>
  <c r="AR75" i="75"/>
  <c r="H8" i="148" s="1"/>
  <c r="AR82" i="75"/>
  <c r="AR34" i="75"/>
  <c r="C67" i="148"/>
  <c r="BA53" i="148"/>
  <c r="AJ34" i="75"/>
  <c r="AJ75" i="75"/>
  <c r="AJ44" i="75"/>
  <c r="AJ43" i="75" s="1"/>
  <c r="AJ35" i="75"/>
  <c r="AJ82" i="75"/>
  <c r="BB64" i="148"/>
  <c r="C115" i="163"/>
  <c r="R5" i="75"/>
  <c r="Q167" i="75"/>
  <c r="Q66" i="75"/>
  <c r="Q112" i="75"/>
  <c r="Q7" i="75"/>
  <c r="H59" i="148"/>
  <c r="H57" i="148"/>
  <c r="H209" i="148"/>
  <c r="H63" i="148"/>
  <c r="H156" i="148"/>
  <c r="D69" i="148"/>
  <c r="D162" i="148"/>
  <c r="D140" i="148" s="1"/>
  <c r="D215" i="148"/>
  <c r="D248" i="148" s="1"/>
  <c r="D259" i="148" s="1"/>
  <c r="F246" i="148"/>
  <c r="F137" i="148"/>
  <c r="Y82" i="75"/>
  <c r="Y35" i="75"/>
  <c r="Y44" i="75"/>
  <c r="Y43" i="75" s="1"/>
  <c r="Y34" i="75"/>
  <c r="Y75" i="75"/>
  <c r="J67" i="148"/>
  <c r="I160" i="148"/>
  <c r="I58" i="148"/>
  <c r="I213" i="148"/>
  <c r="I67" i="148"/>
  <c r="H65" i="148"/>
  <c r="H158" i="148"/>
  <c r="H136" i="148" s="1"/>
  <c r="H211" i="148"/>
  <c r="H244" i="148" s="1"/>
  <c r="CJ25" i="77"/>
  <c r="CI25" i="77"/>
  <c r="AP24" i="75"/>
  <c r="Z25" i="77"/>
  <c r="Z26" i="77" s="1"/>
  <c r="Z28" i="77" s="1"/>
  <c r="CG25" i="77"/>
  <c r="CH25" i="77"/>
  <c r="E158" i="148"/>
  <c r="E136" i="148" s="1"/>
  <c r="E211" i="148"/>
  <c r="E65" i="148"/>
  <c r="F254" i="148"/>
  <c r="F63" i="148"/>
  <c r="E159" i="148"/>
  <c r="E137" i="148" s="1"/>
  <c r="E212" i="148"/>
  <c r="E66" i="148"/>
  <c r="AH24" i="75"/>
  <c r="AH21" i="75" s="1"/>
  <c r="AH26" i="75" s="1"/>
  <c r="BY25" i="77"/>
  <c r="CA25" i="77"/>
  <c r="BZ25" i="77"/>
  <c r="X25" i="77"/>
  <c r="CB25" i="77"/>
  <c r="AB75" i="75"/>
  <c r="AB82" i="75"/>
  <c r="AB34" i="75"/>
  <c r="AB44" i="75"/>
  <c r="AB43" i="75" s="1"/>
  <c r="AB35" i="75"/>
  <c r="B210" i="148"/>
  <c r="AZ51" i="148"/>
  <c r="BA64" i="148" s="1"/>
  <c r="B157" i="148"/>
  <c r="G64" i="148"/>
  <c r="G157" i="148"/>
  <c r="G135" i="148" s="1"/>
  <c r="G210" i="148"/>
  <c r="G65" i="148"/>
  <c r="G158" i="148"/>
  <c r="G136" i="148" s="1"/>
  <c r="G211" i="148"/>
  <c r="J185" i="148"/>
  <c r="I185" i="148"/>
  <c r="C134" i="148"/>
  <c r="C142" i="148"/>
  <c r="C161" i="148"/>
  <c r="F65" i="148"/>
  <c r="H68" i="148"/>
  <c r="C96" i="163"/>
  <c r="AN44" i="75"/>
  <c r="AN43" i="75" s="1"/>
  <c r="AN82" i="75"/>
  <c r="D274" i="148"/>
  <c r="AN75" i="75"/>
  <c r="AN34" i="75"/>
  <c r="AN35" i="75"/>
  <c r="AE44" i="75"/>
  <c r="AE43" i="75" s="1"/>
  <c r="AE35" i="75"/>
  <c r="AE75" i="75"/>
  <c r="AE34" i="75"/>
  <c r="E185" i="148"/>
  <c r="D185" i="148"/>
  <c r="AF35" i="75"/>
  <c r="AF44" i="75"/>
  <c r="AF43" i="75" s="1"/>
  <c r="AF75" i="75"/>
  <c r="AF82" i="75"/>
  <c r="AF34" i="75"/>
  <c r="Y25" i="77"/>
  <c r="CC25" i="77"/>
  <c r="AL24" i="75"/>
  <c r="CE25" i="77"/>
  <c r="CF25" i="77"/>
  <c r="CD25" i="77"/>
  <c r="F68" i="148"/>
  <c r="AZ34" i="148"/>
  <c r="F28" i="148"/>
  <c r="BA30" i="148"/>
  <c r="C82" i="164" s="1"/>
  <c r="D91" i="164" s="1"/>
  <c r="AA75" i="75"/>
  <c r="AA44" i="75"/>
  <c r="AA43" i="75" s="1"/>
  <c r="AA35" i="75"/>
  <c r="AA34" i="75"/>
  <c r="C138" i="148"/>
  <c r="F66" i="148"/>
  <c r="C248" i="148"/>
  <c r="C259" i="148" s="1"/>
  <c r="F140" i="148"/>
  <c r="G213" i="148"/>
  <c r="G160" i="148"/>
  <c r="G138" i="148" s="1"/>
  <c r="G58" i="148"/>
  <c r="G71" i="148" s="1"/>
  <c r="G67" i="148"/>
  <c r="I157" i="148"/>
  <c r="I135" i="148" s="1"/>
  <c r="I210" i="148"/>
  <c r="J64" i="148"/>
  <c r="I64" i="148"/>
  <c r="H64" i="148"/>
  <c r="H157" i="148"/>
  <c r="H135" i="148" s="1"/>
  <c r="H210" i="148"/>
  <c r="F134" i="148"/>
  <c r="F142" i="148"/>
  <c r="F161" i="148"/>
  <c r="F141" i="148" s="1"/>
  <c r="AS33" i="75"/>
  <c r="AS29" i="75"/>
  <c r="AS74" i="75"/>
  <c r="AW28" i="75"/>
  <c r="AS28" i="75"/>
  <c r="E160" i="148"/>
  <c r="E58" i="148"/>
  <c r="F71" i="148" s="1"/>
  <c r="E213" i="148"/>
  <c r="E67" i="148"/>
  <c r="BA26" i="148"/>
  <c r="C29" i="163"/>
  <c r="C246" i="148"/>
  <c r="C257" i="148" s="1"/>
  <c r="H216" i="148"/>
  <c r="H32" i="148"/>
  <c r="H203" i="148" s="1"/>
  <c r="AD69" i="75"/>
  <c r="AD27" i="75"/>
  <c r="B212" i="148"/>
  <c r="AZ53" i="148"/>
  <c r="B159" i="148"/>
  <c r="G68" i="148"/>
  <c r="C205" i="148"/>
  <c r="C220" i="148"/>
  <c r="AK44" i="75"/>
  <c r="AK43" i="75" s="1"/>
  <c r="AK75" i="75"/>
  <c r="AK35" i="75"/>
  <c r="AK82" i="75"/>
  <c r="AK34" i="75"/>
  <c r="I32" i="148"/>
  <c r="I203" i="148" s="1"/>
  <c r="I216" i="148"/>
  <c r="C39" i="157"/>
  <c r="C40" i="157" s="1"/>
  <c r="C8" i="157"/>
  <c r="E68" i="148"/>
  <c r="D68" i="148"/>
  <c r="F138" i="148"/>
  <c r="E216" i="148"/>
  <c r="E32" i="148"/>
  <c r="E203" i="148" s="1"/>
  <c r="S170" i="75"/>
  <c r="E293" i="148"/>
  <c r="E286" i="148"/>
  <c r="C245" i="148"/>
  <c r="C256" i="148" s="1"/>
  <c r="C223" i="148"/>
  <c r="D216" i="148"/>
  <c r="D32" i="148"/>
  <c r="D203" i="148" s="1"/>
  <c r="C254" i="148"/>
  <c r="I162" i="148"/>
  <c r="I140" i="148" s="1"/>
  <c r="J69" i="148"/>
  <c r="I215" i="148"/>
  <c r="I69" i="148"/>
  <c r="H66" i="148"/>
  <c r="H212" i="148"/>
  <c r="H159" i="148"/>
  <c r="H137" i="148" s="1"/>
  <c r="D157" i="148"/>
  <c r="D135" i="148" s="1"/>
  <c r="D210" i="148"/>
  <c r="D64" i="148"/>
  <c r="AY5" i="148"/>
  <c r="G85" i="75"/>
  <c r="AY6" i="148" s="1"/>
  <c r="AI35" i="75"/>
  <c r="AI44" i="75"/>
  <c r="AI43" i="75" s="1"/>
  <c r="AI75" i="75"/>
  <c r="AI34" i="75"/>
  <c r="B211" i="148"/>
  <c r="AZ52" i="148"/>
  <c r="B158" i="148"/>
  <c r="I293" i="148"/>
  <c r="M281" i="148"/>
  <c r="I286" i="148"/>
  <c r="B28" i="148"/>
  <c r="AZ28" i="148" s="1"/>
  <c r="AZ30" i="148"/>
  <c r="G215" i="148"/>
  <c r="G69" i="148"/>
  <c r="G162" i="148"/>
  <c r="G209" i="148"/>
  <c r="G63" i="148"/>
  <c r="G156" i="148"/>
  <c r="G59" i="148"/>
  <c r="G72" i="148" s="1"/>
  <c r="G57" i="148"/>
  <c r="G70" i="148" s="1"/>
  <c r="J68" i="148"/>
  <c r="I68" i="148"/>
  <c r="C244" i="148"/>
  <c r="C255" i="148" s="1"/>
  <c r="F244" i="148"/>
  <c r="F255" i="148" s="1"/>
  <c r="H215" i="148"/>
  <c r="H162" i="148"/>
  <c r="H140" i="148" s="1"/>
  <c r="H69" i="148"/>
  <c r="H185" i="148"/>
  <c r="BA33" i="148"/>
  <c r="BA34" i="148" s="1"/>
  <c r="F242" i="148"/>
  <c r="F205" i="148"/>
  <c r="D66" i="148"/>
  <c r="D212" i="148"/>
  <c r="D159" i="148"/>
  <c r="D137" i="148" s="1"/>
  <c r="P208" i="75"/>
  <c r="P207" i="75"/>
  <c r="P121" i="75"/>
  <c r="P120" i="75" s="1"/>
  <c r="E157" i="148"/>
  <c r="E135" i="148" s="1"/>
  <c r="E210" i="148"/>
  <c r="E64" i="148"/>
  <c r="BA31" i="148"/>
  <c r="BA32" i="148" s="1"/>
  <c r="F32" i="148"/>
  <c r="F203" i="148" s="1"/>
  <c r="F216" i="148"/>
  <c r="F224" i="148" s="1"/>
  <c r="F245" i="148"/>
  <c r="X82" i="75"/>
  <c r="R49" i="75"/>
  <c r="V232" i="148"/>
  <c r="V234" i="148"/>
  <c r="V237" i="148"/>
  <c r="V231" i="148"/>
  <c r="V233" i="148"/>
  <c r="V235" i="148"/>
  <c r="E60" i="164"/>
  <c r="E61" i="164" s="1"/>
  <c r="U233" i="148"/>
  <c r="U237" i="148"/>
  <c r="U236" i="148"/>
  <c r="U235" i="148"/>
  <c r="U234" i="148"/>
  <c r="U232" i="148"/>
  <c r="U231" i="148"/>
  <c r="Y240" i="148"/>
  <c r="Y251" i="148" s="1"/>
  <c r="BC161" i="150"/>
  <c r="BB192" i="150"/>
  <c r="Z229" i="148" s="1"/>
  <c r="X251" i="148"/>
  <c r="BA193" i="150"/>
  <c r="BE229" i="148"/>
  <c r="G68" i="164" s="1"/>
  <c r="BC160" i="150"/>
  <c r="BB125" i="150"/>
  <c r="BC125" i="150" s="1"/>
  <c r="BD125" i="150" s="1"/>
  <c r="BE125" i="150" s="1"/>
  <c r="BF125" i="150" s="1"/>
  <c r="BG125" i="150" s="1"/>
  <c r="BH125" i="150" s="1"/>
  <c r="BI125" i="150" s="1"/>
  <c r="BJ125" i="150" s="1"/>
  <c r="BK125" i="150" s="1"/>
  <c r="BL125" i="150" s="1"/>
  <c r="BM125" i="150" s="1"/>
  <c r="BN125" i="150" s="1"/>
  <c r="BO125" i="150" s="1"/>
  <c r="BP125" i="150" s="1"/>
  <c r="BQ125" i="150" s="1"/>
  <c r="BR125" i="150" s="1"/>
  <c r="BS125" i="150" s="1"/>
  <c r="BT125" i="150" s="1"/>
  <c r="BU125" i="150" s="1"/>
  <c r="BV125" i="150" s="1"/>
  <c r="BW125" i="150" s="1"/>
  <c r="BX125" i="150" s="1"/>
  <c r="BY125" i="150" s="1"/>
  <c r="BC168" i="150"/>
  <c r="BD168" i="150" s="1"/>
  <c r="BE168" i="150" s="1"/>
  <c r="BF168" i="150" s="1"/>
  <c r="BG168" i="150" s="1"/>
  <c r="BH168" i="150" s="1"/>
  <c r="BI168" i="150" s="1"/>
  <c r="BJ168" i="150" s="1"/>
  <c r="BK168" i="150" s="1"/>
  <c r="BL168" i="150" s="1"/>
  <c r="BM168" i="150" s="1"/>
  <c r="BN168" i="150" s="1"/>
  <c r="BO168" i="150" s="1"/>
  <c r="BP168" i="150" s="1"/>
  <c r="BQ168" i="150" s="1"/>
  <c r="BR168" i="150" s="1"/>
  <c r="BS168" i="150" s="1"/>
  <c r="BT168" i="150" s="1"/>
  <c r="BU168" i="150" s="1"/>
  <c r="BV168" i="150" s="1"/>
  <c r="BW168" i="150" s="1"/>
  <c r="BX168" i="150" s="1"/>
  <c r="BY168" i="150" s="1"/>
  <c r="AV85" i="148"/>
  <c r="AW85" i="148"/>
  <c r="BK85" i="148" s="1"/>
  <c r="BR96" i="150"/>
  <c r="BT61" i="150"/>
  <c r="BS93" i="150"/>
  <c r="BS96" i="150" s="1"/>
  <c r="BS95" i="150" s="1"/>
  <c r="P271" i="148"/>
  <c r="O16" i="150"/>
  <c r="N93" i="150"/>
  <c r="BX31" i="75"/>
  <c r="BP99" i="150"/>
  <c r="Q31" i="75"/>
  <c r="AD97" i="148"/>
  <c r="AE125" i="148"/>
  <c r="U136" i="148"/>
  <c r="BD158" i="148"/>
  <c r="Z126" i="148"/>
  <c r="Z124" i="148" s="1"/>
  <c r="Y98" i="148"/>
  <c r="BE98" i="148" s="1"/>
  <c r="BE126" i="148"/>
  <c r="Y168" i="148"/>
  <c r="X189" i="148"/>
  <c r="X157" i="148"/>
  <c r="W169" i="148"/>
  <c r="V190" i="148"/>
  <c r="V158" i="148"/>
  <c r="BD189" i="148"/>
  <c r="BD179" i="148"/>
  <c r="AD166" i="148"/>
  <c r="AC187" i="148"/>
  <c r="AC155" i="148"/>
  <c r="BF155" i="148" s="1"/>
  <c r="AQ109" i="148"/>
  <c r="AP79" i="148"/>
  <c r="AQ105" i="148"/>
  <c r="AP75" i="148"/>
  <c r="AF173" i="148"/>
  <c r="AE162" i="148"/>
  <c r="V188" i="148"/>
  <c r="W167" i="148"/>
  <c r="X99" i="148"/>
  <c r="X138" i="148"/>
  <c r="Y127" i="148"/>
  <c r="BE127" i="148" s="1"/>
  <c r="BE138" i="148" s="1"/>
  <c r="AQ113" i="148"/>
  <c r="AP83" i="148"/>
  <c r="BF184" i="148"/>
  <c r="AO79" i="148"/>
  <c r="BI79" i="148" s="1"/>
  <c r="BI109" i="148"/>
  <c r="AC78" i="148"/>
  <c r="BF78" i="148" s="1"/>
  <c r="BF108" i="148"/>
  <c r="AD108" i="148"/>
  <c r="AD78" i="148" s="1"/>
  <c r="CJ15" i="149"/>
  <c r="BC145" i="75"/>
  <c r="BB157" i="75"/>
  <c r="BF5" i="148"/>
  <c r="H79" i="157"/>
  <c r="H18" i="157"/>
  <c r="N85" i="75"/>
  <c r="BF6" i="148" s="1"/>
  <c r="AB160" i="148"/>
  <c r="AC171" i="148"/>
  <c r="BD128" i="148"/>
  <c r="U100" i="148"/>
  <c r="BD100" i="148" s="1"/>
  <c r="U130" i="148"/>
  <c r="U102" i="148" s="1"/>
  <c r="BD102" i="148" s="1"/>
  <c r="T102" i="148"/>
  <c r="X191" i="148"/>
  <c r="Y170" i="148"/>
  <c r="X159" i="148"/>
  <c r="BE182" i="148"/>
  <c r="AK95" i="148"/>
  <c r="BH95" i="148" s="1"/>
  <c r="AL123" i="148"/>
  <c r="AL95" i="148" s="1"/>
  <c r="W137" i="148"/>
  <c r="V101" i="148"/>
  <c r="W129" i="148"/>
  <c r="V140" i="148"/>
  <c r="V128" i="148"/>
  <c r="V236" i="148" s="1"/>
  <c r="BH123" i="148"/>
  <c r="G33" i="164"/>
  <c r="G41" i="164"/>
  <c r="G57" i="164" s="1"/>
  <c r="G122" i="164"/>
  <c r="CN150" i="150"/>
  <c r="CI18" i="149"/>
  <c r="AC112" i="148"/>
  <c r="AZ112" i="150"/>
  <c r="AZ149" i="150" s="1"/>
  <c r="AY150" i="150"/>
  <c r="W230" i="148" s="1"/>
  <c r="E99" i="164"/>
  <c r="E108" i="164" s="1"/>
  <c r="AB82" i="148"/>
  <c r="AB122" i="148"/>
  <c r="AA133" i="148"/>
  <c r="BC106" i="150"/>
  <c r="BC107" i="150" s="1"/>
  <c r="BC109" i="150" s="1"/>
  <c r="BC11" i="150" s="1"/>
  <c r="BC12" i="150" s="1"/>
  <c r="AA94" i="148"/>
  <c r="E98" i="164"/>
  <c r="F47" i="163"/>
  <c r="G48" i="163" s="1"/>
  <c r="AB76" i="148"/>
  <c r="AB118" i="148"/>
  <c r="AB107" i="148"/>
  <c r="AB116" i="148" s="1"/>
  <c r="T256" i="148"/>
  <c r="AB80" i="148"/>
  <c r="F59" i="164"/>
  <c r="T255" i="148"/>
  <c r="CG41" i="149"/>
  <c r="AN74" i="148"/>
  <c r="AO104" i="148"/>
  <c r="AP104" i="148" s="1"/>
  <c r="D83" i="157"/>
  <c r="AA86" i="148"/>
  <c r="AA89" i="148" s="1"/>
  <c r="AA20" i="148"/>
  <c r="AA22" i="148" s="1"/>
  <c r="CI17" i="149"/>
  <c r="AC110" i="148"/>
  <c r="AC80" i="148" s="1"/>
  <c r="BF80" i="148" s="1"/>
  <c r="T259" i="148"/>
  <c r="CG32" i="149"/>
  <c r="V241" i="148"/>
  <c r="AO83" i="148"/>
  <c r="BI83" i="148" s="1"/>
  <c r="BI113" i="148"/>
  <c r="T254" i="148"/>
  <c r="Z22" i="148"/>
  <c r="CI13" i="149"/>
  <c r="AC106" i="148"/>
  <c r="BF106" i="148" s="1"/>
  <c r="CH14" i="149"/>
  <c r="CH41" i="149" s="1"/>
  <c r="CH9" i="149"/>
  <c r="T257" i="148"/>
  <c r="BB114" i="150"/>
  <c r="AA88" i="148"/>
  <c r="AA91" i="148" s="1"/>
  <c r="BD5" i="148"/>
  <c r="F18" i="157"/>
  <c r="F83" i="157" s="1"/>
  <c r="L85" i="75"/>
  <c r="CD63" i="75"/>
  <c r="CE61" i="75"/>
  <c r="BC6" i="148"/>
  <c r="G83" i="157"/>
  <c r="G50" i="157"/>
  <c r="E83" i="157"/>
  <c r="E50" i="157"/>
  <c r="E19" i="157"/>
  <c r="E89" i="163"/>
  <c r="E48" i="163"/>
  <c r="G89" i="163"/>
  <c r="BE6" i="148"/>
  <c r="F78" i="157"/>
  <c r="F75" i="157" s="1"/>
  <c r="F73" i="157" s="1"/>
  <c r="G74" i="157" s="1"/>
  <c r="F79" i="157"/>
  <c r="H76" i="157"/>
  <c r="H74" i="157"/>
  <c r="M193" i="75"/>
  <c r="E74" i="157"/>
  <c r="E76" i="157"/>
  <c r="G76" i="157"/>
  <c r="Q49" i="75"/>
  <c r="I255" i="148" l="1"/>
  <c r="C204" i="148"/>
  <c r="BA28" i="148"/>
  <c r="C201" i="148"/>
  <c r="D257" i="148"/>
  <c r="D268" i="148" s="1"/>
  <c r="H226" i="148"/>
  <c r="AZ31" i="148"/>
  <c r="AZ32" i="148" s="1"/>
  <c r="G256" i="148"/>
  <c r="BA211" i="148"/>
  <c r="BA58" i="148"/>
  <c r="BB71" i="148" s="1"/>
  <c r="F222" i="148"/>
  <c r="BA160" i="148"/>
  <c r="BA171" i="148" s="1"/>
  <c r="BB182" i="148" s="1"/>
  <c r="BB65" i="148"/>
  <c r="BA210" i="148"/>
  <c r="BA197" i="148" s="1"/>
  <c r="F221" i="148"/>
  <c r="D226" i="148"/>
  <c r="F226" i="148"/>
  <c r="BA156" i="148"/>
  <c r="BA167" i="148" s="1"/>
  <c r="BB67" i="148"/>
  <c r="BA212" i="148"/>
  <c r="BA199" i="148" s="1"/>
  <c r="H71" i="148"/>
  <c r="BA209" i="148"/>
  <c r="BA196" i="148" s="1"/>
  <c r="C247" i="148"/>
  <c r="C249" i="148" s="1"/>
  <c r="C260" i="148" s="1"/>
  <c r="H70" i="148"/>
  <c r="H72" i="148"/>
  <c r="D253" i="148"/>
  <c r="D264" i="148" s="1"/>
  <c r="G246" i="148"/>
  <c r="G257" i="148" s="1"/>
  <c r="G224" i="148"/>
  <c r="AZ210" i="148"/>
  <c r="B221" i="148"/>
  <c r="D270" i="148"/>
  <c r="AZ58" i="148"/>
  <c r="D182" i="163"/>
  <c r="E254" i="163"/>
  <c r="D225" i="163"/>
  <c r="C128" i="163"/>
  <c r="L16" i="157"/>
  <c r="R170" i="75"/>
  <c r="H245" i="148"/>
  <c r="H256" i="148" s="1"/>
  <c r="H223" i="148"/>
  <c r="AH69" i="75"/>
  <c r="AH27" i="75"/>
  <c r="H246" i="148"/>
  <c r="H257" i="148" s="1"/>
  <c r="H224" i="148"/>
  <c r="F69" i="75"/>
  <c r="F27" i="75"/>
  <c r="E237" i="163"/>
  <c r="D165" i="163"/>
  <c r="H243" i="148"/>
  <c r="H254" i="148" s="1"/>
  <c r="H221" i="148"/>
  <c r="I24" i="75"/>
  <c r="I21" i="75" s="1"/>
  <c r="I26" i="75" s="1"/>
  <c r="F280" i="148"/>
  <c r="AP21" i="75"/>
  <c r="AP26" i="75" s="1"/>
  <c r="C123" i="163"/>
  <c r="C150" i="163" s="1"/>
  <c r="D115" i="163"/>
  <c r="D116" i="163"/>
  <c r="C124" i="163"/>
  <c r="C172" i="163" s="1"/>
  <c r="I223" i="148"/>
  <c r="AZ209" i="148"/>
  <c r="B205" i="148"/>
  <c r="B220" i="148"/>
  <c r="E227" i="163"/>
  <c r="D155" i="163"/>
  <c r="G223" i="148"/>
  <c r="G219" i="148"/>
  <c r="G214" i="148"/>
  <c r="BA215" i="148"/>
  <c r="F220" i="148"/>
  <c r="H248" i="148"/>
  <c r="H259" i="148" s="1"/>
  <c r="G242" i="148"/>
  <c r="G140" i="148"/>
  <c r="D219" i="148"/>
  <c r="D214" i="148"/>
  <c r="AT82" i="75"/>
  <c r="AS35" i="75"/>
  <c r="I274" i="148"/>
  <c r="AS82" i="75"/>
  <c r="AW34" i="75"/>
  <c r="AS44" i="75"/>
  <c r="AS43" i="75" s="1"/>
  <c r="AS75" i="75"/>
  <c r="I8" i="148" s="1"/>
  <c r="AS34" i="75"/>
  <c r="G244" i="148"/>
  <c r="G255" i="148" s="1"/>
  <c r="G266" i="148" s="1"/>
  <c r="G222" i="148"/>
  <c r="AZ157" i="148"/>
  <c r="AZ168" i="148" s="1"/>
  <c r="AZ189" i="148" s="1"/>
  <c r="B135" i="148"/>
  <c r="G24" i="75"/>
  <c r="G21" i="75" s="1"/>
  <c r="G26" i="75" s="1"/>
  <c r="X26" i="77"/>
  <c r="X28" i="77" s="1"/>
  <c r="E245" i="148"/>
  <c r="E256" i="148" s="1"/>
  <c r="E223" i="148"/>
  <c r="E244" i="148"/>
  <c r="E255" i="148" s="1"/>
  <c r="F266" i="148" s="1"/>
  <c r="E222" i="148"/>
  <c r="I246" i="148"/>
  <c r="I257" i="148" s="1"/>
  <c r="I224" i="148"/>
  <c r="D134" i="148"/>
  <c r="D142" i="148"/>
  <c r="D161" i="148"/>
  <c r="D141" i="148" s="1"/>
  <c r="E234" i="163"/>
  <c r="D162" i="163"/>
  <c r="D183" i="163"/>
  <c r="E255" i="163"/>
  <c r="E250" i="163"/>
  <c r="D178" i="163"/>
  <c r="C130" i="163"/>
  <c r="D245" i="163"/>
  <c r="I134" i="148"/>
  <c r="I142" i="148"/>
  <c r="I161" i="148"/>
  <c r="I141" i="148" s="1"/>
  <c r="E205" i="148"/>
  <c r="E220" i="148"/>
  <c r="D224" i="148"/>
  <c r="D204" i="148"/>
  <c r="C275" i="148"/>
  <c r="Z69" i="75"/>
  <c r="Z27" i="75"/>
  <c r="AD28" i="75" s="1"/>
  <c r="BA67" i="148"/>
  <c r="BA159" i="148"/>
  <c r="BA137" i="148" s="1"/>
  <c r="B214" i="148"/>
  <c r="B204" i="148" s="1"/>
  <c r="B219" i="148"/>
  <c r="AZ216" i="148"/>
  <c r="W34" i="77"/>
  <c r="W51" i="77"/>
  <c r="D154" i="163"/>
  <c r="E226" i="163"/>
  <c r="BA162" i="148"/>
  <c r="R66" i="75"/>
  <c r="S5" i="75"/>
  <c r="R167" i="75"/>
  <c r="R112" i="75"/>
  <c r="R7" i="75"/>
  <c r="AZ59" i="148"/>
  <c r="I242" i="148"/>
  <c r="I205" i="148"/>
  <c r="I220" i="148"/>
  <c r="B140" i="148"/>
  <c r="AZ162" i="148"/>
  <c r="AZ140" i="148" s="1"/>
  <c r="BA63" i="148"/>
  <c r="AZ159" i="148"/>
  <c r="AZ137" i="148" s="1"/>
  <c r="B137" i="148"/>
  <c r="E246" i="148"/>
  <c r="E257" i="148" s="1"/>
  <c r="E224" i="148"/>
  <c r="D176" i="163"/>
  <c r="E248" i="163"/>
  <c r="E229" i="163"/>
  <c r="D157" i="163"/>
  <c r="D24" i="75"/>
  <c r="D21" i="75" s="1"/>
  <c r="D26" i="75" s="1"/>
  <c r="U26" i="77"/>
  <c r="U28" i="77" s="1"/>
  <c r="AZ173" i="148"/>
  <c r="D243" i="148"/>
  <c r="D254" i="148" s="1"/>
  <c r="D221" i="148"/>
  <c r="I248" i="148"/>
  <c r="I259" i="148" s="1"/>
  <c r="I226" i="148"/>
  <c r="B245" i="148"/>
  <c r="B256" i="148" s="1"/>
  <c r="C267" i="148" s="1"/>
  <c r="AZ212" i="148"/>
  <c r="B223" i="148"/>
  <c r="E138" i="148"/>
  <c r="H24" i="75"/>
  <c r="H21" i="75" s="1"/>
  <c r="H26" i="75" s="1"/>
  <c r="Y26" i="77"/>
  <c r="Y28" i="77" s="1"/>
  <c r="C139" i="148"/>
  <c r="C172" i="148"/>
  <c r="B243" i="148"/>
  <c r="J71" i="148"/>
  <c r="I71" i="148"/>
  <c r="BA213" i="148"/>
  <c r="H134" i="148"/>
  <c r="H142" i="148"/>
  <c r="H161" i="148"/>
  <c r="BB66" i="148"/>
  <c r="BA66" i="148"/>
  <c r="H275" i="148"/>
  <c r="E275" i="148"/>
  <c r="BA57" i="148"/>
  <c r="BA42" i="148" s="1"/>
  <c r="J266" i="148"/>
  <c r="C70" i="148"/>
  <c r="AZ57" i="148"/>
  <c r="AZ39" i="148" s="1"/>
  <c r="BA157" i="148"/>
  <c r="C252" i="163"/>
  <c r="D247" i="163"/>
  <c r="C132" i="163"/>
  <c r="D177" i="163"/>
  <c r="E249" i="163"/>
  <c r="E228" i="163"/>
  <c r="D156" i="163"/>
  <c r="E231" i="163"/>
  <c r="D159" i="163"/>
  <c r="BA69" i="148"/>
  <c r="E71" i="148"/>
  <c r="D71" i="148"/>
  <c r="V69" i="75"/>
  <c r="V27" i="75"/>
  <c r="E24" i="75"/>
  <c r="E21" i="75" s="1"/>
  <c r="E26" i="75" s="1"/>
  <c r="V26" i="77"/>
  <c r="V28" i="77" s="1"/>
  <c r="BA158" i="148"/>
  <c r="BA59" i="148"/>
  <c r="BA68" i="148"/>
  <c r="E243" i="148"/>
  <c r="E254" i="148" s="1"/>
  <c r="F265" i="148" s="1"/>
  <c r="E221" i="148"/>
  <c r="F253" i="148"/>
  <c r="G134" i="148"/>
  <c r="G142" i="148"/>
  <c r="G161" i="148"/>
  <c r="G243" i="148"/>
  <c r="G221" i="148"/>
  <c r="H242" i="148"/>
  <c r="H205" i="148"/>
  <c r="H220" i="148"/>
  <c r="D220" i="148"/>
  <c r="D205" i="148"/>
  <c r="B253" i="148"/>
  <c r="C264" i="148" s="1"/>
  <c r="AZ242" i="148"/>
  <c r="D244" i="148"/>
  <c r="D255" i="148" s="1"/>
  <c r="D222" i="148"/>
  <c r="E223" i="163"/>
  <c r="D151" i="163"/>
  <c r="E253" i="163"/>
  <c r="D181" i="163"/>
  <c r="B248" i="148"/>
  <c r="AZ215" i="148"/>
  <c r="B226" i="148"/>
  <c r="F256" i="148"/>
  <c r="D245" i="148"/>
  <c r="D223" i="148"/>
  <c r="B244" i="148"/>
  <c r="AZ211" i="148"/>
  <c r="B222" i="148"/>
  <c r="I243" i="148"/>
  <c r="I254" i="148" s="1"/>
  <c r="I221" i="148"/>
  <c r="Z51" i="77"/>
  <c r="Z34" i="77"/>
  <c r="E70" i="148"/>
  <c r="D70" i="148"/>
  <c r="B138" i="148"/>
  <c r="AZ160" i="148"/>
  <c r="E239" i="163"/>
  <c r="D167" i="163"/>
  <c r="D168" i="163"/>
  <c r="E240" i="163"/>
  <c r="D224" i="163"/>
  <c r="C127" i="163"/>
  <c r="E253" i="148"/>
  <c r="F219" i="148"/>
  <c r="F214" i="148"/>
  <c r="BA216" i="148"/>
  <c r="G205" i="148"/>
  <c r="G220" i="148"/>
  <c r="I222" i="148"/>
  <c r="I219" i="148"/>
  <c r="I214" i="148"/>
  <c r="H222" i="148"/>
  <c r="H219" i="148"/>
  <c r="H214" i="148"/>
  <c r="H204" i="148" s="1"/>
  <c r="AL21" i="75"/>
  <c r="AL26" i="75" s="1"/>
  <c r="B280" i="148"/>
  <c r="D275" i="148"/>
  <c r="E248" i="148"/>
  <c r="E259" i="148" s="1"/>
  <c r="F270" i="148" s="1"/>
  <c r="E226" i="148"/>
  <c r="B246" i="148"/>
  <c r="AZ213" i="148"/>
  <c r="B224" i="148"/>
  <c r="E230" i="163"/>
  <c r="D158" i="163"/>
  <c r="D246" i="163"/>
  <c r="C131" i="163"/>
  <c r="J70" i="148"/>
  <c r="I70" i="148"/>
  <c r="D138" i="148"/>
  <c r="BA65" i="148"/>
  <c r="F223" i="148"/>
  <c r="G248" i="148"/>
  <c r="G226" i="148"/>
  <c r="B136" i="148"/>
  <c r="AZ158" i="148"/>
  <c r="AZ136" i="148" s="1"/>
  <c r="E214" i="148"/>
  <c r="E204" i="148" s="1"/>
  <c r="E219" i="148"/>
  <c r="AD29" i="75"/>
  <c r="AD74" i="75"/>
  <c r="AD33" i="75"/>
  <c r="F139" i="148"/>
  <c r="F172" i="148"/>
  <c r="C141" i="148"/>
  <c r="H255" i="148"/>
  <c r="I266" i="148" s="1"/>
  <c r="I138" i="148"/>
  <c r="F257" i="148"/>
  <c r="E72" i="148"/>
  <c r="D72" i="148"/>
  <c r="G275" i="148"/>
  <c r="I245" i="148"/>
  <c r="I256" i="148" s="1"/>
  <c r="J267" i="148" s="1"/>
  <c r="AZ156" i="148"/>
  <c r="AZ167" i="148" s="1"/>
  <c r="AZ188" i="148" s="1"/>
  <c r="B161" i="148"/>
  <c r="B141" i="148" s="1"/>
  <c r="B142" i="148"/>
  <c r="B134" i="148"/>
  <c r="D164" i="163"/>
  <c r="E236" i="163"/>
  <c r="D160" i="163"/>
  <c r="E232" i="163"/>
  <c r="D163" i="163"/>
  <c r="E235" i="163"/>
  <c r="D166" i="163"/>
  <c r="E238" i="163"/>
  <c r="E233" i="163"/>
  <c r="D161" i="163"/>
  <c r="J72" i="148"/>
  <c r="I72" i="148"/>
  <c r="E142" i="148"/>
  <c r="E134" i="148"/>
  <c r="E161" i="148"/>
  <c r="C10" i="164"/>
  <c r="BE240" i="148"/>
  <c r="BE251" i="148" s="1"/>
  <c r="W235" i="148"/>
  <c r="W246" i="148" s="1"/>
  <c r="W257" i="148" s="1"/>
  <c r="W232" i="148"/>
  <c r="W243" i="148" s="1"/>
  <c r="W254" i="148" s="1"/>
  <c r="W237" i="148"/>
  <c r="W233" i="148"/>
  <c r="W244" i="148" s="1"/>
  <c r="W231" i="148"/>
  <c r="W234" i="148"/>
  <c r="W245" i="148" s="1"/>
  <c r="W256" i="148" s="1"/>
  <c r="E117" i="164"/>
  <c r="Z240" i="148"/>
  <c r="BD161" i="150"/>
  <c r="BC192" i="150"/>
  <c r="AA229" i="148" s="1"/>
  <c r="BB193" i="150"/>
  <c r="BD160" i="150"/>
  <c r="BC126" i="150"/>
  <c r="BD126" i="150" s="1"/>
  <c r="BE126" i="150" s="1"/>
  <c r="BF126" i="150" s="1"/>
  <c r="BG126" i="150" s="1"/>
  <c r="BH126" i="150" s="1"/>
  <c r="BI126" i="150" s="1"/>
  <c r="BJ126" i="150" s="1"/>
  <c r="BK126" i="150" s="1"/>
  <c r="BL126" i="150" s="1"/>
  <c r="BM126" i="150" s="1"/>
  <c r="BN126" i="150" s="1"/>
  <c r="BO126" i="150" s="1"/>
  <c r="BP126" i="150" s="1"/>
  <c r="BQ126" i="150" s="1"/>
  <c r="BR126" i="150" s="1"/>
  <c r="BS126" i="150" s="1"/>
  <c r="BT126" i="150" s="1"/>
  <c r="BU126" i="150" s="1"/>
  <c r="BV126" i="150" s="1"/>
  <c r="BW126" i="150" s="1"/>
  <c r="BX126" i="150" s="1"/>
  <c r="BY126" i="150" s="1"/>
  <c r="BD169" i="150"/>
  <c r="BE169" i="150" s="1"/>
  <c r="BF169" i="150" s="1"/>
  <c r="BG169" i="150" s="1"/>
  <c r="BH169" i="150" s="1"/>
  <c r="BI169" i="150" s="1"/>
  <c r="BJ169" i="150" s="1"/>
  <c r="BK169" i="150" s="1"/>
  <c r="BL169" i="150" s="1"/>
  <c r="BM169" i="150" s="1"/>
  <c r="BN169" i="150" s="1"/>
  <c r="BO169" i="150" s="1"/>
  <c r="BP169" i="150" s="1"/>
  <c r="BQ169" i="150" s="1"/>
  <c r="BR169" i="150" s="1"/>
  <c r="BS169" i="150" s="1"/>
  <c r="BT169" i="150" s="1"/>
  <c r="BU169" i="150" s="1"/>
  <c r="BV169" i="150" s="1"/>
  <c r="BW169" i="150" s="1"/>
  <c r="BX169" i="150" s="1"/>
  <c r="BY169" i="150" s="1"/>
  <c r="CA31" i="75"/>
  <c r="BK115" i="148"/>
  <c r="BS99" i="150"/>
  <c r="AQ27" i="148" s="1"/>
  <c r="AQ238" i="148" s="1"/>
  <c r="BU61" i="150"/>
  <c r="BV61" i="150" s="1"/>
  <c r="BT93" i="150"/>
  <c r="BT96" i="150" s="1"/>
  <c r="BT95" i="150" s="1"/>
  <c r="BR95" i="150"/>
  <c r="BZ31" i="75" s="1"/>
  <c r="AN27" i="148"/>
  <c r="AN238" i="148" s="1"/>
  <c r="P16" i="150"/>
  <c r="O93" i="150"/>
  <c r="BD136" i="148"/>
  <c r="BD169" i="148"/>
  <c r="Y96" i="148"/>
  <c r="BE96" i="148" s="1"/>
  <c r="BE124" i="148"/>
  <c r="Y157" i="148"/>
  <c r="Y189" i="148"/>
  <c r="Z168" i="148"/>
  <c r="W158" i="148"/>
  <c r="W190" i="148"/>
  <c r="X169" i="148"/>
  <c r="AE97" i="148"/>
  <c r="AF125" i="148"/>
  <c r="V136" i="148"/>
  <c r="X135" i="148"/>
  <c r="Z98" i="148"/>
  <c r="AA126" i="148"/>
  <c r="AA124" i="148" s="1"/>
  <c r="Z96" i="148"/>
  <c r="AQ104" i="148"/>
  <c r="AP74" i="148"/>
  <c r="AG173" i="148"/>
  <c r="AF162" i="148"/>
  <c r="AR109" i="148"/>
  <c r="AQ79" i="148"/>
  <c r="AQ83" i="148"/>
  <c r="AR113" i="148"/>
  <c r="X167" i="148"/>
  <c r="W188" i="148"/>
  <c r="AQ75" i="148"/>
  <c r="AR105" i="148"/>
  <c r="AD187" i="148"/>
  <c r="AE166" i="148"/>
  <c r="AD155" i="148"/>
  <c r="Y138" i="148"/>
  <c r="Y99" i="148"/>
  <c r="BE99" i="148" s="1"/>
  <c r="Z127" i="148"/>
  <c r="BF166" i="148"/>
  <c r="BF145" i="148"/>
  <c r="CK15" i="149"/>
  <c r="AE108" i="148"/>
  <c r="AE78" i="148" s="1"/>
  <c r="BD145" i="75"/>
  <c r="BC157" i="75"/>
  <c r="H19" i="157"/>
  <c r="H83" i="157"/>
  <c r="H90" i="157" s="1"/>
  <c r="W101" i="148"/>
  <c r="X129" i="148"/>
  <c r="W140" i="148"/>
  <c r="W128" i="148"/>
  <c r="W236" i="148" s="1"/>
  <c r="AM123" i="148"/>
  <c r="X137" i="148"/>
  <c r="V100" i="148"/>
  <c r="V130" i="148"/>
  <c r="Z170" i="148"/>
  <c r="Y191" i="148"/>
  <c r="Y159" i="148"/>
  <c r="BE159" i="148" s="1"/>
  <c r="BD130" i="148"/>
  <c r="AD171" i="148"/>
  <c r="AC160" i="148"/>
  <c r="AB94" i="148"/>
  <c r="BD106" i="150"/>
  <c r="BD107" i="150" s="1"/>
  <c r="BD109" i="150" s="1"/>
  <c r="AB133" i="148"/>
  <c r="CJ18" i="149"/>
  <c r="AD112" i="148"/>
  <c r="E107" i="164"/>
  <c r="E100" i="164"/>
  <c r="E109" i="164" s="1"/>
  <c r="U241" i="148"/>
  <c r="BD230" i="148"/>
  <c r="W241" i="148"/>
  <c r="W248" i="148"/>
  <c r="W259" i="148" s="1"/>
  <c r="BA112" i="150"/>
  <c r="BA149" i="150" s="1"/>
  <c r="AZ150" i="150"/>
  <c r="X230" i="148" s="1"/>
  <c r="AC122" i="148"/>
  <c r="AC82" i="148"/>
  <c r="BF82" i="148" s="1"/>
  <c r="BF112" i="148"/>
  <c r="F19" i="157"/>
  <c r="F48" i="163"/>
  <c r="F89" i="163"/>
  <c r="V243" i="148"/>
  <c r="BC114" i="150"/>
  <c r="CJ13" i="149"/>
  <c r="AD106" i="148"/>
  <c r="AD110" i="148"/>
  <c r="CJ17" i="149"/>
  <c r="AO74" i="148"/>
  <c r="BI74" i="148" s="1"/>
  <c r="BF110" i="148"/>
  <c r="T268" i="148"/>
  <c r="V252" i="148"/>
  <c r="AB77" i="148"/>
  <c r="AB117" i="148"/>
  <c r="AC107" i="148"/>
  <c r="CI14" i="149"/>
  <c r="V248" i="148"/>
  <c r="AB88" i="148"/>
  <c r="AB91" i="148" s="1"/>
  <c r="V245" i="148"/>
  <c r="T267" i="148"/>
  <c r="T265" i="148"/>
  <c r="V246" i="148"/>
  <c r="BI104" i="148"/>
  <c r="T266" i="148"/>
  <c r="V244" i="148"/>
  <c r="AB20" i="148"/>
  <c r="AB86" i="148"/>
  <c r="AB89" i="148" s="1"/>
  <c r="AC76" i="148"/>
  <c r="BF76" i="148" s="1"/>
  <c r="AC118" i="148"/>
  <c r="T270" i="148"/>
  <c r="BD6" i="148"/>
  <c r="F50" i="157"/>
  <c r="G51" i="157" s="1"/>
  <c r="G19" i="157"/>
  <c r="CE63" i="75"/>
  <c r="CF61" i="75"/>
  <c r="E90" i="157"/>
  <c r="E84" i="157"/>
  <c r="F76" i="157"/>
  <c r="F74" i="157"/>
  <c r="Q120" i="75"/>
  <c r="H51" i="157"/>
  <c r="G90" i="157"/>
  <c r="G94" i="157" s="1"/>
  <c r="H94" i="157" s="1"/>
  <c r="G84" i="157"/>
  <c r="O208" i="75"/>
  <c r="Q170" i="75"/>
  <c r="K16" i="157"/>
  <c r="Q146" i="75"/>
  <c r="R146" i="75" s="1"/>
  <c r="S146" i="75" s="1"/>
  <c r="F90" i="157"/>
  <c r="F84" i="157"/>
  <c r="E51" i="157"/>
  <c r="BA138" i="148" l="1"/>
  <c r="C11" i="164"/>
  <c r="G267" i="148"/>
  <c r="BA205" i="148"/>
  <c r="AZ40" i="148"/>
  <c r="BA198" i="148"/>
  <c r="BA134" i="148"/>
  <c r="BA248" i="148"/>
  <c r="BA259" i="148" s="1"/>
  <c r="F264" i="148"/>
  <c r="C35" i="163"/>
  <c r="G259" i="148"/>
  <c r="G270" i="148" s="1"/>
  <c r="W255" i="148"/>
  <c r="C258" i="148"/>
  <c r="G78" i="164"/>
  <c r="G87" i="164" s="1"/>
  <c r="AZ253" i="148"/>
  <c r="D18" i="164"/>
  <c r="C107" i="163"/>
  <c r="E164" i="163"/>
  <c r="F236" i="163"/>
  <c r="AD44" i="75"/>
  <c r="AD43" i="75" s="1"/>
  <c r="AD82" i="75"/>
  <c r="AD35" i="75"/>
  <c r="AD75" i="75"/>
  <c r="AE82" i="75"/>
  <c r="AZ243" i="148"/>
  <c r="AZ254" i="148" s="1"/>
  <c r="B254" i="148"/>
  <c r="C265" i="148" s="1"/>
  <c r="E155" i="163"/>
  <c r="F227" i="163"/>
  <c r="D19" i="164"/>
  <c r="C108" i="163"/>
  <c r="E266" i="148"/>
  <c r="D266" i="148"/>
  <c r="E157" i="163"/>
  <c r="F229" i="163"/>
  <c r="BA140" i="148"/>
  <c r="BA173" i="148"/>
  <c r="I275" i="148"/>
  <c r="BA71" i="148"/>
  <c r="E224" i="163"/>
  <c r="D152" i="163"/>
  <c r="D134" i="163" s="1"/>
  <c r="D127" i="163"/>
  <c r="D141" i="163" s="1"/>
  <c r="AZ245" i="148"/>
  <c r="AZ256" i="148" s="1"/>
  <c r="D256" i="148"/>
  <c r="V28" i="75"/>
  <c r="V29" i="75"/>
  <c r="V33" i="75"/>
  <c r="V74" i="75"/>
  <c r="F248" i="163"/>
  <c r="E176" i="163"/>
  <c r="I253" i="148"/>
  <c r="C149" i="163"/>
  <c r="C221" i="163" s="1"/>
  <c r="C222" i="163"/>
  <c r="D128" i="163"/>
  <c r="D142" i="163" s="1"/>
  <c r="D153" i="163"/>
  <c r="D135" i="163" s="1"/>
  <c r="E225" i="163"/>
  <c r="E270" i="148"/>
  <c r="AZ169" i="148"/>
  <c r="AZ190" i="148" s="1"/>
  <c r="H266" i="148"/>
  <c r="I204" i="148"/>
  <c r="I201" i="148"/>
  <c r="I225" i="148"/>
  <c r="I247" i="148"/>
  <c r="I258" i="148" s="1"/>
  <c r="BA214" i="148"/>
  <c r="BA204" i="148" s="1"/>
  <c r="F201" i="148"/>
  <c r="F225" i="148"/>
  <c r="F247" i="148"/>
  <c r="F204" i="148"/>
  <c r="F240" i="163"/>
  <c r="E168" i="163"/>
  <c r="J265" i="148"/>
  <c r="I265" i="148"/>
  <c r="BA245" i="148"/>
  <c r="BA256" i="148" s="1"/>
  <c r="BB267" i="148" s="1"/>
  <c r="F253" i="163"/>
  <c r="E181" i="163"/>
  <c r="BB72" i="148"/>
  <c r="BA72" i="148"/>
  <c r="BA41" i="148"/>
  <c r="BA174" i="148"/>
  <c r="BA70" i="148"/>
  <c r="BB70" i="148"/>
  <c r="BA38" i="148"/>
  <c r="BA40" i="148"/>
  <c r="BA43" i="148"/>
  <c r="BA44" i="148"/>
  <c r="BA39" i="148"/>
  <c r="BA45" i="148"/>
  <c r="BA170" i="148"/>
  <c r="BA200" i="148"/>
  <c r="BA224" i="148"/>
  <c r="Y51" i="77"/>
  <c r="Y34" i="77"/>
  <c r="AZ45" i="148"/>
  <c r="Z28" i="75"/>
  <c r="Z29" i="75"/>
  <c r="Z33" i="75"/>
  <c r="AD34" i="75" s="1"/>
  <c r="Z74" i="75"/>
  <c r="F234" i="163"/>
  <c r="E162" i="163"/>
  <c r="G253" i="148"/>
  <c r="G264" i="148" s="1"/>
  <c r="AZ196" i="148"/>
  <c r="AZ205" i="148"/>
  <c r="AZ220" i="148"/>
  <c r="AP69" i="75"/>
  <c r="AP27" i="75"/>
  <c r="E182" i="163"/>
  <c r="F254" i="163"/>
  <c r="AZ41" i="148"/>
  <c r="E264" i="148"/>
  <c r="BA188" i="148"/>
  <c r="BB178" i="148"/>
  <c r="BA178" i="148"/>
  <c r="F238" i="163"/>
  <c r="E166" i="163"/>
  <c r="F239" i="163"/>
  <c r="E167" i="163"/>
  <c r="V34" i="77"/>
  <c r="V51" i="77"/>
  <c r="E154" i="163"/>
  <c r="F226" i="163"/>
  <c r="E183" i="163"/>
  <c r="F255" i="163"/>
  <c r="F29" i="75"/>
  <c r="F33" i="75"/>
  <c r="F74" i="75"/>
  <c r="I45" i="75"/>
  <c r="Z63" i="77"/>
  <c r="Z53" i="77"/>
  <c r="G141" i="148"/>
  <c r="G139" i="148"/>
  <c r="G172" i="148"/>
  <c r="G183" i="148" s="1"/>
  <c r="E265" i="148"/>
  <c r="X34" i="77"/>
  <c r="X51" i="77"/>
  <c r="BA202" i="148"/>
  <c r="BA226" i="148"/>
  <c r="AH33" i="75"/>
  <c r="AH74" i="75"/>
  <c r="AH29" i="75"/>
  <c r="AH28" i="75"/>
  <c r="BA142" i="148"/>
  <c r="E163" i="163"/>
  <c r="F235" i="163"/>
  <c r="BA223" i="148"/>
  <c r="BA219" i="148"/>
  <c r="BA203" i="148"/>
  <c r="AZ171" i="148"/>
  <c r="BA182" i="148" s="1"/>
  <c r="AZ138" i="148"/>
  <c r="BA242" i="148"/>
  <c r="H253" i="148"/>
  <c r="D175" i="163"/>
  <c r="D139" i="163" s="1"/>
  <c r="E247" i="163"/>
  <c r="D132" i="163"/>
  <c r="D146" i="163" s="1"/>
  <c r="W63" i="77"/>
  <c r="W53" i="77"/>
  <c r="W52" i="77"/>
  <c r="J268" i="148"/>
  <c r="I268" i="148"/>
  <c r="BA222" i="148"/>
  <c r="E160" i="163"/>
  <c r="F232" i="163"/>
  <c r="AZ161" i="148"/>
  <c r="AZ141" i="148" s="1"/>
  <c r="B139" i="148"/>
  <c r="B172" i="148"/>
  <c r="C183" i="148" s="1"/>
  <c r="BA244" i="148"/>
  <c r="BA255" i="148" s="1"/>
  <c r="BB266" i="148" s="1"/>
  <c r="BA161" i="148"/>
  <c r="AZ200" i="148"/>
  <c r="AZ224" i="148"/>
  <c r="AZ280" i="148"/>
  <c r="AZ290" i="148" s="1"/>
  <c r="B290" i="148"/>
  <c r="B276" i="148"/>
  <c r="F267" i="148"/>
  <c r="G254" i="148"/>
  <c r="G265" i="148" s="1"/>
  <c r="BA243" i="148"/>
  <c r="BA254" i="148" s="1"/>
  <c r="F228" i="163"/>
  <c r="E156" i="163"/>
  <c r="BA135" i="148"/>
  <c r="BA168" i="148"/>
  <c r="H69" i="75"/>
  <c r="H27" i="75"/>
  <c r="U51" i="77"/>
  <c r="U34" i="77"/>
  <c r="T5" i="75"/>
  <c r="S167" i="75"/>
  <c r="S112" i="75"/>
  <c r="S66" i="75"/>
  <c r="S7" i="75"/>
  <c r="AZ219" i="148"/>
  <c r="AZ203" i="148"/>
  <c r="D172" i="148"/>
  <c r="D183" i="148" s="1"/>
  <c r="D139" i="148"/>
  <c r="AZ135" i="148"/>
  <c r="AZ170" i="148"/>
  <c r="AZ191" i="148" s="1"/>
  <c r="BA280" i="148"/>
  <c r="F290" i="148"/>
  <c r="J285" i="148"/>
  <c r="F276" i="148"/>
  <c r="H268" i="148"/>
  <c r="I267" i="148"/>
  <c r="H267" i="148"/>
  <c r="AZ197" i="148"/>
  <c r="AZ221" i="148"/>
  <c r="BA220" i="148"/>
  <c r="BA221" i="148"/>
  <c r="H201" i="148"/>
  <c r="H225" i="148"/>
  <c r="H247" i="148"/>
  <c r="H258" i="148" s="1"/>
  <c r="AZ244" i="148"/>
  <c r="AZ255" i="148" s="1"/>
  <c r="B255" i="148"/>
  <c r="C266" i="148" s="1"/>
  <c r="AZ202" i="148"/>
  <c r="AZ226" i="148"/>
  <c r="H141" i="148"/>
  <c r="H139" i="148"/>
  <c r="H172" i="148"/>
  <c r="F268" i="148"/>
  <c r="E268" i="148"/>
  <c r="B225" i="148"/>
  <c r="B201" i="148"/>
  <c r="AZ214" i="148"/>
  <c r="AZ204" i="148" s="1"/>
  <c r="B247" i="148"/>
  <c r="E116" i="163"/>
  <c r="D124" i="163"/>
  <c r="C27" i="163"/>
  <c r="E158" i="163"/>
  <c r="F230" i="163"/>
  <c r="B259" i="148"/>
  <c r="C270" i="148" s="1"/>
  <c r="AZ248" i="148"/>
  <c r="AZ259" i="148" s="1"/>
  <c r="E69" i="75"/>
  <c r="E27" i="75"/>
  <c r="E115" i="163"/>
  <c r="D117" i="163"/>
  <c r="D123" i="163"/>
  <c r="G268" i="148"/>
  <c r="E159" i="163"/>
  <c r="F231" i="163"/>
  <c r="AZ199" i="148"/>
  <c r="AZ223" i="148"/>
  <c r="D265" i="148"/>
  <c r="D173" i="163"/>
  <c r="D137" i="163" s="1"/>
  <c r="E245" i="163"/>
  <c r="D130" i="163"/>
  <c r="D144" i="163" s="1"/>
  <c r="G69" i="75"/>
  <c r="G27" i="75"/>
  <c r="G201" i="148"/>
  <c r="G225" i="148"/>
  <c r="G247" i="148"/>
  <c r="G258" i="148" s="1"/>
  <c r="E172" i="148"/>
  <c r="E183" i="148" s="1"/>
  <c r="E139" i="148"/>
  <c r="E161" i="163"/>
  <c r="F233" i="163"/>
  <c r="AZ134" i="148"/>
  <c r="AZ142" i="148"/>
  <c r="BA246" i="148"/>
  <c r="E225" i="148"/>
  <c r="E201" i="148"/>
  <c r="E247" i="148"/>
  <c r="E258" i="148" s="1"/>
  <c r="D131" i="163"/>
  <c r="D145" i="163" s="1"/>
  <c r="D174" i="163"/>
  <c r="D138" i="163" s="1"/>
  <c r="E246" i="163"/>
  <c r="B257" i="148"/>
  <c r="C268" i="148" s="1"/>
  <c r="AZ246" i="148"/>
  <c r="AZ257" i="148" s="1"/>
  <c r="AL69" i="75"/>
  <c r="AL27" i="75"/>
  <c r="E249" i="148"/>
  <c r="E260" i="148" s="1"/>
  <c r="AZ198" i="148"/>
  <c r="AZ222" i="148"/>
  <c r="F223" i="163"/>
  <c r="E151" i="163"/>
  <c r="BA136" i="148"/>
  <c r="BA169" i="148"/>
  <c r="F249" i="163"/>
  <c r="E177" i="163"/>
  <c r="AZ42" i="148"/>
  <c r="AZ174" i="148"/>
  <c r="AZ38" i="148"/>
  <c r="E141" i="148"/>
  <c r="J270" i="148"/>
  <c r="I270" i="148"/>
  <c r="D69" i="75"/>
  <c r="D27" i="75"/>
  <c r="AZ44" i="148"/>
  <c r="I139" i="148"/>
  <c r="I172" i="148"/>
  <c r="F250" i="163"/>
  <c r="E178" i="163"/>
  <c r="D225" i="148"/>
  <c r="D201" i="148"/>
  <c r="D247" i="148"/>
  <c r="H270" i="148"/>
  <c r="C171" i="163"/>
  <c r="C243" i="163" s="1"/>
  <c r="C136" i="163"/>
  <c r="C244" i="163"/>
  <c r="C129" i="163" s="1"/>
  <c r="I69" i="75"/>
  <c r="I27" i="75"/>
  <c r="E165" i="163"/>
  <c r="F237" i="163"/>
  <c r="AZ43" i="148"/>
  <c r="G204" i="148"/>
  <c r="X237" i="148"/>
  <c r="X248" i="148" s="1"/>
  <c r="X259" i="148" s="1"/>
  <c r="X270" i="148" s="1"/>
  <c r="X235" i="148"/>
  <c r="X246" i="148" s="1"/>
  <c r="X257" i="148" s="1"/>
  <c r="X268" i="148" s="1"/>
  <c r="X231" i="148"/>
  <c r="X232" i="148"/>
  <c r="X243" i="148" s="1"/>
  <c r="X254" i="148" s="1"/>
  <c r="X265" i="148" s="1"/>
  <c r="X234" i="148"/>
  <c r="X245" i="148" s="1"/>
  <c r="X256" i="148" s="1"/>
  <c r="X267" i="148" s="1"/>
  <c r="X233" i="148"/>
  <c r="BE161" i="150"/>
  <c r="BD192" i="150"/>
  <c r="AB229" i="148" s="1"/>
  <c r="Z251" i="148"/>
  <c r="AA240" i="148"/>
  <c r="AA251" i="148" s="1"/>
  <c r="BC193" i="150"/>
  <c r="BE170" i="150"/>
  <c r="BF170" i="150" s="1"/>
  <c r="BG170" i="150" s="1"/>
  <c r="BH170" i="150" s="1"/>
  <c r="BI170" i="150" s="1"/>
  <c r="BJ170" i="150" s="1"/>
  <c r="BK170" i="150" s="1"/>
  <c r="BL170" i="150" s="1"/>
  <c r="BM170" i="150" s="1"/>
  <c r="BN170" i="150" s="1"/>
  <c r="BO170" i="150" s="1"/>
  <c r="BP170" i="150" s="1"/>
  <c r="BQ170" i="150" s="1"/>
  <c r="BR170" i="150" s="1"/>
  <c r="BS170" i="150" s="1"/>
  <c r="BT170" i="150" s="1"/>
  <c r="BU170" i="150" s="1"/>
  <c r="BV170" i="150" s="1"/>
  <c r="BW170" i="150" s="1"/>
  <c r="BX170" i="150" s="1"/>
  <c r="BY170" i="150" s="1"/>
  <c r="BD11" i="150"/>
  <c r="BD12" i="150" s="1"/>
  <c r="BE160" i="150"/>
  <c r="CB31" i="75"/>
  <c r="BU93" i="150"/>
  <c r="BU96" i="150" s="1"/>
  <c r="BU95" i="150" s="1"/>
  <c r="BT99" i="150"/>
  <c r="AR27" i="148" s="1"/>
  <c r="AR238" i="148" s="1"/>
  <c r="BR99" i="150"/>
  <c r="P93" i="150"/>
  <c r="Q16" i="150"/>
  <c r="Q205" i="75"/>
  <c r="Q121" i="75" s="1"/>
  <c r="Q171" i="75"/>
  <c r="BI238" i="148"/>
  <c r="BI27" i="148"/>
  <c r="Y135" i="148"/>
  <c r="G26" i="164"/>
  <c r="AG125" i="148"/>
  <c r="AF97" i="148"/>
  <c r="W136" i="148"/>
  <c r="AB126" i="148"/>
  <c r="AB124" i="148" s="1"/>
  <c r="AA98" i="148"/>
  <c r="AA96" i="148"/>
  <c r="AA168" i="148"/>
  <c r="Z189" i="148"/>
  <c r="Z157" i="148"/>
  <c r="Z135" i="148" s="1"/>
  <c r="BD180" i="148"/>
  <c r="BD190" i="148"/>
  <c r="BE157" i="148"/>
  <c r="Y169" i="148"/>
  <c r="X158" i="148"/>
  <c r="X190" i="148"/>
  <c r="AA127" i="148"/>
  <c r="Z138" i="148"/>
  <c r="Z99" i="148"/>
  <c r="AS105" i="148"/>
  <c r="AR75" i="148"/>
  <c r="AE155" i="148"/>
  <c r="AF166" i="148"/>
  <c r="AE187" i="148"/>
  <c r="AH173" i="148"/>
  <c r="AH162" i="148" s="1"/>
  <c r="AG162" i="148"/>
  <c r="BG162" i="148" s="1"/>
  <c r="AR104" i="148"/>
  <c r="AQ74" i="148"/>
  <c r="BF187" i="148"/>
  <c r="BF177" i="148"/>
  <c r="AS113" i="148"/>
  <c r="AR83" i="148"/>
  <c r="Y167" i="148"/>
  <c r="X188" i="148"/>
  <c r="AS109" i="148"/>
  <c r="AR79" i="148"/>
  <c r="CL15" i="149"/>
  <c r="AF108" i="148"/>
  <c r="AF78" i="148" s="1"/>
  <c r="BE145" i="75"/>
  <c r="BD157" i="75"/>
  <c r="H84" i="157"/>
  <c r="BE170" i="148"/>
  <c r="BE149" i="148"/>
  <c r="BE137" i="148" s="1"/>
  <c r="BF160" i="148"/>
  <c r="AE171" i="148"/>
  <c r="AD160" i="148"/>
  <c r="Y137" i="148"/>
  <c r="AN123" i="148"/>
  <c r="AM95" i="148"/>
  <c r="W100" i="148"/>
  <c r="W130" i="148"/>
  <c r="W102" i="148" s="1"/>
  <c r="V102" i="148"/>
  <c r="Z191" i="148"/>
  <c r="Z159" i="148"/>
  <c r="AA170" i="148"/>
  <c r="Y129" i="148"/>
  <c r="X101" i="148"/>
  <c r="X140" i="148"/>
  <c r="X128" i="148"/>
  <c r="X236" i="148" s="1"/>
  <c r="AC133" i="148"/>
  <c r="AC94" i="148"/>
  <c r="BF94" i="148" s="1"/>
  <c r="BE106" i="150"/>
  <c r="BE107" i="150" s="1"/>
  <c r="BE109" i="150" s="1"/>
  <c r="BE11" i="150" s="1"/>
  <c r="BE12" i="150" s="1"/>
  <c r="AD82" i="148"/>
  <c r="AD122" i="148"/>
  <c r="U245" i="148"/>
  <c r="BD234" i="148"/>
  <c r="F69" i="164"/>
  <c r="BD236" i="148"/>
  <c r="CK18" i="149"/>
  <c r="AE112" i="148"/>
  <c r="U246" i="148"/>
  <c r="BD235" i="148"/>
  <c r="U243" i="148"/>
  <c r="BD232" i="148"/>
  <c r="BF122" i="148"/>
  <c r="BF133" i="148" s="1"/>
  <c r="X241" i="148"/>
  <c r="X244" i="148"/>
  <c r="U248" i="148"/>
  <c r="BD237" i="148"/>
  <c r="U244" i="148"/>
  <c r="BD233" i="148"/>
  <c r="BB112" i="150"/>
  <c r="BB149" i="150" s="1"/>
  <c r="W252" i="148"/>
  <c r="W263" i="148" s="1"/>
  <c r="BD231" i="148"/>
  <c r="BD127" i="150"/>
  <c r="BE127" i="150" s="1"/>
  <c r="BF127" i="150" s="1"/>
  <c r="BG127" i="150" s="1"/>
  <c r="BH127" i="150" s="1"/>
  <c r="BI127" i="150" s="1"/>
  <c r="BJ127" i="150" s="1"/>
  <c r="BK127" i="150" s="1"/>
  <c r="BL127" i="150" s="1"/>
  <c r="BM127" i="150" s="1"/>
  <c r="BN127" i="150" s="1"/>
  <c r="BO127" i="150" s="1"/>
  <c r="BP127" i="150" s="1"/>
  <c r="BQ127" i="150" s="1"/>
  <c r="BR127" i="150" s="1"/>
  <c r="BS127" i="150" s="1"/>
  <c r="BT127" i="150" s="1"/>
  <c r="BU127" i="150" s="1"/>
  <c r="BV127" i="150" s="1"/>
  <c r="BW127" i="150" s="1"/>
  <c r="BX127" i="150" s="1"/>
  <c r="BY127" i="150" s="1"/>
  <c r="U252" i="148"/>
  <c r="U263" i="148" s="1"/>
  <c r="BD241" i="148"/>
  <c r="F51" i="157"/>
  <c r="V255" i="148"/>
  <c r="AD107" i="148"/>
  <c r="CJ14" i="149"/>
  <c r="AC77" i="148"/>
  <c r="BF77" i="148" s="1"/>
  <c r="AC117" i="148"/>
  <c r="BF117" i="148" s="1"/>
  <c r="V254" i="148"/>
  <c r="AD80" i="148"/>
  <c r="AC88" i="148"/>
  <c r="BF118" i="148"/>
  <c r="AB22" i="148"/>
  <c r="V256" i="148"/>
  <c r="BD114" i="150"/>
  <c r="BF107" i="148"/>
  <c r="AD76" i="148"/>
  <c r="V259" i="148"/>
  <c r="AB87" i="148"/>
  <c r="AB90" i="148" s="1"/>
  <c r="CK17" i="149"/>
  <c r="AE110" i="148"/>
  <c r="AE80" i="148" s="1"/>
  <c r="CK13" i="149"/>
  <c r="AE106" i="148"/>
  <c r="AC116" i="148"/>
  <c r="V257" i="148"/>
  <c r="CI20" i="149"/>
  <c r="CI41" i="149" s="1"/>
  <c r="CF63" i="75"/>
  <c r="CG61" i="75"/>
  <c r="Q206" i="75"/>
  <c r="T124" i="75"/>
  <c r="H183" i="148" l="1"/>
  <c r="C36" i="163"/>
  <c r="C28" i="163" s="1"/>
  <c r="G96" i="164"/>
  <c r="G105" i="164" s="1"/>
  <c r="BA257" i="148"/>
  <c r="G231" i="163"/>
  <c r="F159" i="163"/>
  <c r="Z68" i="77"/>
  <c r="Z69" i="77"/>
  <c r="I57" i="75" s="1"/>
  <c r="Z65" i="77"/>
  <c r="G248" i="163"/>
  <c r="F176" i="163"/>
  <c r="F156" i="163"/>
  <c r="G228" i="163"/>
  <c r="G235" i="163"/>
  <c r="F163" i="163"/>
  <c r="AH75" i="75"/>
  <c r="AH35" i="75"/>
  <c r="AH82" i="75"/>
  <c r="AH44" i="75"/>
  <c r="AH43" i="75" s="1"/>
  <c r="AH34" i="75"/>
  <c r="AI82" i="75"/>
  <c r="I235" i="75"/>
  <c r="I52" i="75"/>
  <c r="I46" i="75"/>
  <c r="Z52" i="77"/>
  <c r="I76" i="75"/>
  <c r="I83" i="75"/>
  <c r="J46" i="75"/>
  <c r="J83" i="75"/>
  <c r="I77" i="75"/>
  <c r="G239" i="163"/>
  <c r="F167" i="163"/>
  <c r="F162" i="163"/>
  <c r="G234" i="163"/>
  <c r="BA191" i="148"/>
  <c r="BB181" i="148"/>
  <c r="BA181" i="148"/>
  <c r="BA46" i="148"/>
  <c r="BA270" i="148"/>
  <c r="BB270" i="148"/>
  <c r="BA184" i="148"/>
  <c r="BB184" i="148"/>
  <c r="G236" i="163"/>
  <c r="F164" i="163"/>
  <c r="F115" i="163"/>
  <c r="E123" i="163"/>
  <c r="E117" i="163"/>
  <c r="BA290" i="148"/>
  <c r="BB285" i="148"/>
  <c r="BA285" i="148"/>
  <c r="W65" i="77"/>
  <c r="W69" i="77"/>
  <c r="F57" i="75" s="1"/>
  <c r="W68" i="77"/>
  <c r="W64" i="77"/>
  <c r="BA247" i="148"/>
  <c r="BA258" i="148" s="1"/>
  <c r="F258" i="148"/>
  <c r="F249" i="148"/>
  <c r="E131" i="163"/>
  <c r="E145" i="163" s="1"/>
  <c r="E174" i="163"/>
  <c r="E138" i="163" s="1"/>
  <c r="F246" i="163"/>
  <c r="E33" i="75"/>
  <c r="F34" i="75" s="1"/>
  <c r="E74" i="75"/>
  <c r="E29" i="75"/>
  <c r="E28" i="75"/>
  <c r="G237" i="163"/>
  <c r="F165" i="163"/>
  <c r="F178" i="163"/>
  <c r="G250" i="163"/>
  <c r="AZ46" i="148"/>
  <c r="AL28" i="75"/>
  <c r="AL74" i="75"/>
  <c r="AL33" i="75"/>
  <c r="AL29" i="75"/>
  <c r="F116" i="163"/>
  <c r="E124" i="163"/>
  <c r="J281" i="148"/>
  <c r="F293" i="148"/>
  <c r="BA293" i="148" s="1"/>
  <c r="F286" i="148"/>
  <c r="BA276" i="148"/>
  <c r="H232" i="75"/>
  <c r="H74" i="75"/>
  <c r="H28" i="75"/>
  <c r="H33" i="75"/>
  <c r="H29" i="75"/>
  <c r="BB265" i="148"/>
  <c r="BA265" i="148"/>
  <c r="H265" i="148"/>
  <c r="F28" i="75"/>
  <c r="G226" i="163"/>
  <c r="F154" i="163"/>
  <c r="Y52" i="77"/>
  <c r="Y63" i="77"/>
  <c r="Y53" i="77"/>
  <c r="BA225" i="148"/>
  <c r="BA201" i="148"/>
  <c r="F183" i="148"/>
  <c r="V44" i="75"/>
  <c r="V43" i="75" s="1"/>
  <c r="V34" i="75"/>
  <c r="V35" i="75"/>
  <c r="V75" i="75"/>
  <c r="W82" i="75"/>
  <c r="BA267" i="148"/>
  <c r="BA190" i="148"/>
  <c r="BB180" i="148"/>
  <c r="BA180" i="148"/>
  <c r="U53" i="77"/>
  <c r="U63" i="77"/>
  <c r="U52" i="77"/>
  <c r="J183" i="148"/>
  <c r="I183" i="148"/>
  <c r="D28" i="75"/>
  <c r="D33" i="75"/>
  <c r="D29" i="75"/>
  <c r="D74" i="75"/>
  <c r="F161" i="163"/>
  <c r="G233" i="163"/>
  <c r="D150" i="163"/>
  <c r="B249" i="148"/>
  <c r="B258" i="148"/>
  <c r="C269" i="148" s="1"/>
  <c r="AZ247" i="148"/>
  <c r="AZ258" i="148" s="1"/>
  <c r="BA266" i="148"/>
  <c r="AZ139" i="148"/>
  <c r="AZ172" i="148"/>
  <c r="H249" i="148"/>
  <c r="H260" i="148" s="1"/>
  <c r="F166" i="163"/>
  <c r="G238" i="163"/>
  <c r="G254" i="163"/>
  <c r="F182" i="163"/>
  <c r="Z34" i="75"/>
  <c r="Z75" i="75"/>
  <c r="Z44" i="75"/>
  <c r="Z43" i="75" s="1"/>
  <c r="Z82" i="75"/>
  <c r="Z35" i="75"/>
  <c r="AA82" i="75"/>
  <c r="F168" i="163"/>
  <c r="G240" i="163"/>
  <c r="J269" i="148"/>
  <c r="I269" i="148"/>
  <c r="I249" i="148"/>
  <c r="I260" i="148" s="1"/>
  <c r="F224" i="163"/>
  <c r="E152" i="163"/>
  <c r="E134" i="163" s="1"/>
  <c r="E127" i="163"/>
  <c r="E141" i="163" s="1"/>
  <c r="G229" i="163"/>
  <c r="F157" i="163"/>
  <c r="G227" i="163"/>
  <c r="F155" i="163"/>
  <c r="C11" i="157"/>
  <c r="C39" i="163"/>
  <c r="C37" i="163" s="1"/>
  <c r="D38" i="163" s="1"/>
  <c r="T167" i="75"/>
  <c r="T66" i="75"/>
  <c r="T7" i="75"/>
  <c r="T112" i="75"/>
  <c r="B286" i="148"/>
  <c r="B293" i="148"/>
  <c r="AZ293" i="148" s="1"/>
  <c r="AZ276" i="148"/>
  <c r="AZ286" i="148" s="1"/>
  <c r="BA139" i="148"/>
  <c r="BA172" i="148"/>
  <c r="BB183" i="148" s="1"/>
  <c r="BA141" i="148"/>
  <c r="C80" i="164"/>
  <c r="BA253" i="148"/>
  <c r="X63" i="77"/>
  <c r="X53" i="77"/>
  <c r="X52" i="77"/>
  <c r="AP29" i="75"/>
  <c r="AT28" i="75"/>
  <c r="AP74" i="75"/>
  <c r="AP33" i="75"/>
  <c r="AP28" i="75"/>
  <c r="E267" i="148"/>
  <c r="D267" i="148"/>
  <c r="F177" i="163"/>
  <c r="G249" i="163"/>
  <c r="F183" i="163"/>
  <c r="G255" i="163"/>
  <c r="E173" i="163"/>
  <c r="E137" i="163" s="1"/>
  <c r="F245" i="163"/>
  <c r="E130" i="163"/>
  <c r="E144" i="163" s="1"/>
  <c r="D172" i="163"/>
  <c r="E132" i="163"/>
  <c r="E146" i="163" s="1"/>
  <c r="F247" i="163"/>
  <c r="E175" i="163"/>
  <c r="E139" i="163" s="1"/>
  <c r="I74" i="75"/>
  <c r="I28" i="75"/>
  <c r="I29" i="75"/>
  <c r="J28" i="75"/>
  <c r="I232" i="75"/>
  <c r="I33" i="75"/>
  <c r="I44" i="75" s="1"/>
  <c r="D249" i="148"/>
  <c r="D260" i="148" s="1"/>
  <c r="D271" i="148" s="1"/>
  <c r="D258" i="148"/>
  <c r="D269" i="148" s="1"/>
  <c r="G223" i="163"/>
  <c r="F151" i="163"/>
  <c r="G28" i="75"/>
  <c r="G29" i="75"/>
  <c r="G74" i="75"/>
  <c r="G33" i="75"/>
  <c r="D125" i="163"/>
  <c r="D180" i="163" s="1"/>
  <c r="D121" i="163"/>
  <c r="F158" i="163"/>
  <c r="G230" i="163"/>
  <c r="AZ225" i="148"/>
  <c r="AZ201" i="148"/>
  <c r="H269" i="148"/>
  <c r="BB179" i="148"/>
  <c r="BA189" i="148"/>
  <c r="BA179" i="148"/>
  <c r="F160" i="163"/>
  <c r="G232" i="163"/>
  <c r="H264" i="148"/>
  <c r="F75" i="75"/>
  <c r="F35" i="75"/>
  <c r="F44" i="75"/>
  <c r="F43" i="75" s="1"/>
  <c r="W29" i="77"/>
  <c r="V63" i="77"/>
  <c r="V52" i="77"/>
  <c r="V53" i="77"/>
  <c r="G249" i="148"/>
  <c r="G260" i="148" s="1"/>
  <c r="BB185" i="148"/>
  <c r="BA185" i="148"/>
  <c r="G253" i="163"/>
  <c r="F181" i="163"/>
  <c r="F225" i="163"/>
  <c r="E128" i="163"/>
  <c r="E142" i="163" s="1"/>
  <c r="E153" i="163"/>
  <c r="E135" i="163" s="1"/>
  <c r="J264" i="148"/>
  <c r="I264" i="148"/>
  <c r="AB240" i="148"/>
  <c r="AB251" i="148" s="1"/>
  <c r="BF161" i="150"/>
  <c r="BE192" i="150"/>
  <c r="AC229" i="148" s="1"/>
  <c r="BD193" i="150"/>
  <c r="BF160" i="150"/>
  <c r="BE128" i="150"/>
  <c r="BF128" i="150" s="1"/>
  <c r="BG128" i="150" s="1"/>
  <c r="BH128" i="150" s="1"/>
  <c r="BI128" i="150" s="1"/>
  <c r="BJ128" i="150" s="1"/>
  <c r="BK128" i="150" s="1"/>
  <c r="BL128" i="150" s="1"/>
  <c r="BM128" i="150" s="1"/>
  <c r="BN128" i="150" s="1"/>
  <c r="BO128" i="150" s="1"/>
  <c r="BP128" i="150" s="1"/>
  <c r="BQ128" i="150" s="1"/>
  <c r="BR128" i="150" s="1"/>
  <c r="BS128" i="150" s="1"/>
  <c r="BT128" i="150" s="1"/>
  <c r="BU128" i="150" s="1"/>
  <c r="BV128" i="150" s="1"/>
  <c r="BW128" i="150" s="1"/>
  <c r="BX128" i="150" s="1"/>
  <c r="BY128" i="150" s="1"/>
  <c r="BF171" i="150"/>
  <c r="BG171" i="150" s="1"/>
  <c r="BH171" i="150" s="1"/>
  <c r="BI171" i="150" s="1"/>
  <c r="BJ171" i="150" s="1"/>
  <c r="BK171" i="150" s="1"/>
  <c r="BL171" i="150" s="1"/>
  <c r="BM171" i="150" s="1"/>
  <c r="BN171" i="150" s="1"/>
  <c r="BO171" i="150" s="1"/>
  <c r="BP171" i="150" s="1"/>
  <c r="BQ171" i="150" s="1"/>
  <c r="BR171" i="150" s="1"/>
  <c r="BS171" i="150" s="1"/>
  <c r="BT171" i="150" s="1"/>
  <c r="BU171" i="150" s="1"/>
  <c r="BV171" i="150" s="1"/>
  <c r="BW171" i="150" s="1"/>
  <c r="BX171" i="150" s="1"/>
  <c r="BY171" i="150" s="1"/>
  <c r="R31" i="75"/>
  <c r="R171" i="75" s="1"/>
  <c r="CC31" i="75"/>
  <c r="BU99" i="150"/>
  <c r="AS27" i="148" s="1"/>
  <c r="AS238" i="148" s="1"/>
  <c r="AS79" i="148"/>
  <c r="BJ79" i="148" s="1"/>
  <c r="AT109" i="148"/>
  <c r="AS83" i="148"/>
  <c r="BJ83" i="148" s="1"/>
  <c r="AT113" i="148"/>
  <c r="BJ105" i="148"/>
  <c r="AT105" i="148"/>
  <c r="X255" i="148"/>
  <c r="X266" i="148" s="1"/>
  <c r="BV93" i="150"/>
  <c r="CI25" i="149"/>
  <c r="BJ109" i="148"/>
  <c r="BJ113" i="148"/>
  <c r="AP27" i="148"/>
  <c r="AP238" i="148" s="1"/>
  <c r="Q207" i="75"/>
  <c r="Q122" i="75"/>
  <c r="Q208" i="75" s="1"/>
  <c r="R16" i="150"/>
  <c r="Q93" i="150"/>
  <c r="Z169" i="148"/>
  <c r="Y158" i="148"/>
  <c r="Y136" i="148" s="1"/>
  <c r="Y190" i="148"/>
  <c r="G42" i="164"/>
  <c r="F58" i="164" s="1"/>
  <c r="F60" i="164" s="1"/>
  <c r="F61" i="164" s="1"/>
  <c r="G34" i="164"/>
  <c r="G125" i="164"/>
  <c r="G126" i="164" s="1"/>
  <c r="BE168" i="148"/>
  <c r="BE147" i="148"/>
  <c r="BE135" i="148" s="1"/>
  <c r="AA157" i="148"/>
  <c r="AA135" i="148" s="1"/>
  <c r="AB168" i="148"/>
  <c r="AA189" i="148"/>
  <c r="X136" i="148"/>
  <c r="AC126" i="148"/>
  <c r="AB98" i="148"/>
  <c r="AB96" i="148"/>
  <c r="BG125" i="148"/>
  <c r="AG97" i="148"/>
  <c r="BG97" i="148" s="1"/>
  <c r="AH125" i="148"/>
  <c r="BG173" i="148"/>
  <c r="BG152" i="148"/>
  <c r="AS104" i="148"/>
  <c r="AR74" i="148"/>
  <c r="AA138" i="148"/>
  <c r="AA99" i="148"/>
  <c r="AB127" i="148"/>
  <c r="AS75" i="148"/>
  <c r="BJ75" i="148" s="1"/>
  <c r="CP109" i="150"/>
  <c r="Z167" i="148"/>
  <c r="Y188" i="148"/>
  <c r="AG166" i="148"/>
  <c r="AF155" i="148"/>
  <c r="AF187" i="148"/>
  <c r="AG108" i="148"/>
  <c r="CM15" i="149"/>
  <c r="BE157" i="75"/>
  <c r="BF145" i="75"/>
  <c r="X100" i="148"/>
  <c r="X130" i="148"/>
  <c r="BF171" i="148"/>
  <c r="BF150" i="148"/>
  <c r="Z137" i="148"/>
  <c r="AB170" i="148"/>
  <c r="AA191" i="148"/>
  <c r="AA159" i="148"/>
  <c r="AF171" i="148"/>
  <c r="AE160" i="148"/>
  <c r="BE191" i="148"/>
  <c r="BE181" i="148"/>
  <c r="Z129" i="148"/>
  <c r="Y140" i="148"/>
  <c r="Y101" i="148"/>
  <c r="BE101" i="148" s="1"/>
  <c r="Y128" i="148"/>
  <c r="BE129" i="148"/>
  <c r="BE140" i="148" s="1"/>
  <c r="AN156" i="148"/>
  <c r="AN95" i="148"/>
  <c r="AO123" i="148"/>
  <c r="V263" i="148"/>
  <c r="X252" i="148"/>
  <c r="X263" i="148" s="1"/>
  <c r="BA150" i="150"/>
  <c r="Y230" i="148" s="1"/>
  <c r="CO149" i="150"/>
  <c r="U254" i="148"/>
  <c r="U265" i="148" s="1"/>
  <c r="BD243" i="148"/>
  <c r="BD254" i="148" s="1"/>
  <c r="BD265" i="148" s="1"/>
  <c r="BF106" i="150"/>
  <c r="BF107" i="150" s="1"/>
  <c r="BF109" i="150" s="1"/>
  <c r="BF11" i="150" s="1"/>
  <c r="BF12" i="150" s="1"/>
  <c r="AD133" i="148"/>
  <c r="AD94" i="148"/>
  <c r="CL13" i="149"/>
  <c r="BC112" i="150"/>
  <c r="BC149" i="150" s="1"/>
  <c r="BB150" i="150"/>
  <c r="Z230" i="148" s="1"/>
  <c r="U259" i="148"/>
  <c r="U270" i="148" s="1"/>
  <c r="BD248" i="148"/>
  <c r="F71" i="164"/>
  <c r="U255" i="148"/>
  <c r="U266" i="148" s="1"/>
  <c r="BD244" i="148"/>
  <c r="BD255" i="148" s="1"/>
  <c r="BD266" i="148" s="1"/>
  <c r="BD252" i="148"/>
  <c r="BD263" i="148" s="1"/>
  <c r="F79" i="164"/>
  <c r="F88" i="164" s="1"/>
  <c r="F70" i="164"/>
  <c r="U257" i="148"/>
  <c r="U268" i="148" s="1"/>
  <c r="BD246" i="148"/>
  <c r="AF110" i="148"/>
  <c r="AF80" i="148" s="1"/>
  <c r="CL17" i="149"/>
  <c r="AE82" i="148"/>
  <c r="AE122" i="148"/>
  <c r="H25" i="164"/>
  <c r="AF112" i="148"/>
  <c r="CL18" i="149"/>
  <c r="U256" i="148"/>
  <c r="U267" i="148" s="1"/>
  <c r="BD245" i="148"/>
  <c r="BD256" i="148" s="1"/>
  <c r="BD267" i="148" s="1"/>
  <c r="AE76" i="148"/>
  <c r="W267" i="148"/>
  <c r="AF106" i="148"/>
  <c r="CK14" i="149"/>
  <c r="AE107" i="148"/>
  <c r="AC20" i="148"/>
  <c r="AC86" i="148"/>
  <c r="BF116" i="148"/>
  <c r="AC87" i="148"/>
  <c r="BE114" i="150"/>
  <c r="AC91" i="148"/>
  <c r="BF88" i="148"/>
  <c r="W265" i="148"/>
  <c r="AD114" i="148"/>
  <c r="CJ20" i="149"/>
  <c r="CJ41" i="149" s="1"/>
  <c r="W270" i="148"/>
  <c r="W266" i="148"/>
  <c r="CI9" i="149"/>
  <c r="AD77" i="148"/>
  <c r="AD117" i="148"/>
  <c r="W268" i="148"/>
  <c r="CG63" i="75"/>
  <c r="BF126" i="148" l="1"/>
  <c r="AC124" i="148"/>
  <c r="H271" i="148"/>
  <c r="BA183" i="148"/>
  <c r="U68" i="77"/>
  <c r="U65" i="77"/>
  <c r="U69" i="77"/>
  <c r="D57" i="75" s="1"/>
  <c r="U64" i="77"/>
  <c r="BB296" i="148"/>
  <c r="BA296" i="148"/>
  <c r="BA286" i="148"/>
  <c r="BA281" i="148"/>
  <c r="BB281" i="148"/>
  <c r="E82" i="75"/>
  <c r="E35" i="75"/>
  <c r="E75" i="75"/>
  <c r="E44" i="75"/>
  <c r="E43" i="75" s="1"/>
  <c r="V29" i="77"/>
  <c r="E34" i="75"/>
  <c r="BB269" i="148"/>
  <c r="BA269" i="148"/>
  <c r="H236" i="163"/>
  <c r="Q236" i="163"/>
  <c r="G164" i="163"/>
  <c r="C13" i="157"/>
  <c r="I43" i="75"/>
  <c r="C42" i="163"/>
  <c r="Q228" i="163"/>
  <c r="G156" i="163"/>
  <c r="H228" i="163"/>
  <c r="D136" i="163"/>
  <c r="D244" i="163"/>
  <c r="D171" i="163"/>
  <c r="D243" i="163" s="1"/>
  <c r="D207" i="163" s="1"/>
  <c r="H232" i="163"/>
  <c r="G160" i="163"/>
  <c r="Q232" i="163"/>
  <c r="G34" i="75"/>
  <c r="X29" i="77"/>
  <c r="AY274" i="148"/>
  <c r="G44" i="75"/>
  <c r="G43" i="75" s="1"/>
  <c r="G35" i="75"/>
  <c r="G75" i="75"/>
  <c r="AY8" i="148" s="1"/>
  <c r="G82" i="75"/>
  <c r="C98" i="164"/>
  <c r="D89" i="164"/>
  <c r="C9" i="157"/>
  <c r="C43" i="157"/>
  <c r="C41" i="157" s="1"/>
  <c r="D149" i="163"/>
  <c r="D221" i="163" s="1"/>
  <c r="D185" i="163" s="1"/>
  <c r="D222" i="163"/>
  <c r="D186" i="163" s="1"/>
  <c r="D75" i="75"/>
  <c r="D82" i="75"/>
  <c r="D44" i="75"/>
  <c r="D43" i="75" s="1"/>
  <c r="U29" i="77"/>
  <c r="D34" i="75"/>
  <c r="D35" i="75"/>
  <c r="AL44" i="75"/>
  <c r="AL43" i="75" s="1"/>
  <c r="B274" i="148"/>
  <c r="AL35" i="75"/>
  <c r="AL34" i="75"/>
  <c r="AL82" i="75"/>
  <c r="AL75" i="75"/>
  <c r="AM82" i="75"/>
  <c r="G246" i="163"/>
  <c r="F174" i="163"/>
  <c r="F138" i="163" s="1"/>
  <c r="F131" i="163"/>
  <c r="F145" i="163" s="1"/>
  <c r="Q233" i="163"/>
  <c r="G161" i="163"/>
  <c r="H233" i="163"/>
  <c r="Q226" i="163"/>
  <c r="G154" i="163"/>
  <c r="H226" i="163"/>
  <c r="H82" i="75"/>
  <c r="H44" i="75"/>
  <c r="H43" i="75" s="1"/>
  <c r="H34" i="75"/>
  <c r="H75" i="75"/>
  <c r="AZ8" i="148" s="1"/>
  <c r="Y29" i="77"/>
  <c r="H35" i="75"/>
  <c r="H237" i="163"/>
  <c r="Q237" i="163"/>
  <c r="G165" i="163"/>
  <c r="E121" i="163"/>
  <c r="E125" i="163"/>
  <c r="E180" i="163" s="1"/>
  <c r="Q234" i="163"/>
  <c r="H234" i="163"/>
  <c r="G162" i="163"/>
  <c r="C17" i="157"/>
  <c r="C49" i="157" s="1"/>
  <c r="C46" i="163"/>
  <c r="Z64" i="77"/>
  <c r="I162" i="75"/>
  <c r="I61" i="75"/>
  <c r="I56" i="75" s="1"/>
  <c r="I78" i="75"/>
  <c r="I223" i="75" s="1"/>
  <c r="I53" i="75"/>
  <c r="I54" i="75"/>
  <c r="BA4" i="148"/>
  <c r="I59" i="75"/>
  <c r="I84" i="75"/>
  <c r="I169" i="75"/>
  <c r="I178" i="75" s="1"/>
  <c r="I62" i="75"/>
  <c r="I224" i="75"/>
  <c r="J53" i="75"/>
  <c r="J84" i="75"/>
  <c r="E271" i="148"/>
  <c r="F152" i="163"/>
  <c r="F134" i="163" s="1"/>
  <c r="G224" i="163"/>
  <c r="F127" i="163"/>
  <c r="F141" i="163" s="1"/>
  <c r="BE158" i="148"/>
  <c r="BE169" i="148" s="1"/>
  <c r="F153" i="163"/>
  <c r="F135" i="163" s="1"/>
  <c r="F128" i="163"/>
  <c r="F142" i="163" s="1"/>
  <c r="G225" i="163"/>
  <c r="H230" i="163"/>
  <c r="Q230" i="163"/>
  <c r="G158" i="163"/>
  <c r="C40" i="163"/>
  <c r="C41" i="163" s="1"/>
  <c r="I34" i="75"/>
  <c r="Z29" i="77"/>
  <c r="J34" i="75"/>
  <c r="I82" i="75"/>
  <c r="I35" i="75"/>
  <c r="J82" i="75"/>
  <c r="I75" i="75"/>
  <c r="BA8" i="148" s="1"/>
  <c r="C12" i="157"/>
  <c r="C44" i="157" s="1"/>
  <c r="C46" i="157" s="1"/>
  <c r="Q227" i="163"/>
  <c r="G155" i="163"/>
  <c r="H227" i="163"/>
  <c r="J271" i="148"/>
  <c r="I271" i="148"/>
  <c r="G182" i="163"/>
  <c r="Q254" i="163"/>
  <c r="H254" i="163"/>
  <c r="E150" i="163"/>
  <c r="Q231" i="163"/>
  <c r="G159" i="163"/>
  <c r="H231" i="163"/>
  <c r="F130" i="163"/>
  <c r="F144" i="163" s="1"/>
  <c r="F173" i="163"/>
  <c r="F137" i="163" s="1"/>
  <c r="G245" i="163"/>
  <c r="F82" i="75"/>
  <c r="F175" i="163"/>
  <c r="F139" i="163" s="1"/>
  <c r="G247" i="163"/>
  <c r="F132" i="163"/>
  <c r="F146" i="163" s="1"/>
  <c r="H238" i="163"/>
  <c r="Q238" i="163"/>
  <c r="G166" i="163"/>
  <c r="E269" i="148"/>
  <c r="E172" i="163"/>
  <c r="F260" i="148"/>
  <c r="BA249" i="148"/>
  <c r="BA260" i="148" s="1"/>
  <c r="F123" i="163"/>
  <c r="F117" i="163"/>
  <c r="G115" i="163"/>
  <c r="G176" i="163"/>
  <c r="Q248" i="163"/>
  <c r="H248" i="163"/>
  <c r="C81" i="164"/>
  <c r="D179" i="163"/>
  <c r="D251" i="163" s="1"/>
  <c r="D215" i="163" s="1"/>
  <c r="D252" i="163"/>
  <c r="D216" i="163" s="1"/>
  <c r="G151" i="163"/>
  <c r="H223" i="163"/>
  <c r="Q223" i="163"/>
  <c r="G177" i="163"/>
  <c r="Q249" i="163"/>
  <c r="H249" i="163"/>
  <c r="BB264" i="148"/>
  <c r="BA264" i="148"/>
  <c r="H240" i="163"/>
  <c r="Q240" i="163"/>
  <c r="G168" i="163"/>
  <c r="B260" i="148"/>
  <c r="C271" i="148" s="1"/>
  <c r="AZ249" i="148"/>
  <c r="AZ260" i="148" s="1"/>
  <c r="G183" i="163"/>
  <c r="H255" i="163"/>
  <c r="Q255" i="163"/>
  <c r="H253" i="163"/>
  <c r="G181" i="163"/>
  <c r="Q253" i="163"/>
  <c r="V69" i="77"/>
  <c r="E57" i="75" s="1"/>
  <c r="V65" i="77"/>
  <c r="V68" i="77"/>
  <c r="V64" i="77"/>
  <c r="AP75" i="75"/>
  <c r="F8" i="148" s="1"/>
  <c r="AP82" i="75"/>
  <c r="AP44" i="75"/>
  <c r="AP43" i="75" s="1"/>
  <c r="AT34" i="75"/>
  <c r="AP34" i="75"/>
  <c r="AP35" i="75"/>
  <c r="F274" i="148"/>
  <c r="AQ82" i="75"/>
  <c r="X69" i="77"/>
  <c r="G57" i="75" s="1"/>
  <c r="X65" i="77"/>
  <c r="X68" i="77"/>
  <c r="X64" i="77"/>
  <c r="Q229" i="163"/>
  <c r="H229" i="163"/>
  <c r="G157" i="163"/>
  <c r="Y68" i="77"/>
  <c r="Y65" i="77"/>
  <c r="Y69" i="77"/>
  <c r="H57" i="75" s="1"/>
  <c r="Y64" i="77"/>
  <c r="G116" i="163"/>
  <c r="F124" i="163"/>
  <c r="H250" i="163"/>
  <c r="G178" i="163"/>
  <c r="Q250" i="163"/>
  <c r="G269" i="148"/>
  <c r="F269" i="148"/>
  <c r="G167" i="163"/>
  <c r="H239" i="163"/>
  <c r="Q239" i="163"/>
  <c r="H235" i="163"/>
  <c r="G163" i="163"/>
  <c r="Q235" i="163"/>
  <c r="BB268" i="148"/>
  <c r="BA268" i="148"/>
  <c r="Z231" i="148"/>
  <c r="Z232" i="148"/>
  <c r="Z233" i="148"/>
  <c r="Z235" i="148"/>
  <c r="Z234" i="148"/>
  <c r="Z237" i="148"/>
  <c r="Y236" i="148"/>
  <c r="Y234" i="148"/>
  <c r="Y237" i="148"/>
  <c r="Y231" i="148"/>
  <c r="Y235" i="148"/>
  <c r="Y232" i="148"/>
  <c r="Y233" i="148"/>
  <c r="AC240" i="148"/>
  <c r="AC251" i="148" s="1"/>
  <c r="BG161" i="150"/>
  <c r="BH161" i="150" s="1"/>
  <c r="BI161" i="150" s="1"/>
  <c r="BJ161" i="150" s="1"/>
  <c r="BK161" i="150" s="1"/>
  <c r="BL161" i="150" s="1"/>
  <c r="BM161" i="150" s="1"/>
  <c r="BN161" i="150" s="1"/>
  <c r="BO161" i="150" s="1"/>
  <c r="BP161" i="150" s="1"/>
  <c r="BQ161" i="150" s="1"/>
  <c r="BR161" i="150" s="1"/>
  <c r="BS161" i="150" s="1"/>
  <c r="BT161" i="150" s="1"/>
  <c r="BU161" i="150" s="1"/>
  <c r="BV161" i="150" s="1"/>
  <c r="BF192" i="150"/>
  <c r="AD229" i="148" s="1"/>
  <c r="BE193" i="150"/>
  <c r="BF229" i="148"/>
  <c r="H68" i="164" s="1"/>
  <c r="BG160" i="150"/>
  <c r="BF129" i="150"/>
  <c r="BG129" i="150" s="1"/>
  <c r="BH129" i="150" s="1"/>
  <c r="BI129" i="150" s="1"/>
  <c r="BJ129" i="150" s="1"/>
  <c r="BK129" i="150" s="1"/>
  <c r="BL129" i="150" s="1"/>
  <c r="BM129" i="150" s="1"/>
  <c r="BN129" i="150" s="1"/>
  <c r="BO129" i="150" s="1"/>
  <c r="BP129" i="150" s="1"/>
  <c r="BQ129" i="150" s="1"/>
  <c r="BR129" i="150" s="1"/>
  <c r="BS129" i="150" s="1"/>
  <c r="BT129" i="150" s="1"/>
  <c r="BU129" i="150" s="1"/>
  <c r="BV129" i="150" s="1"/>
  <c r="BW129" i="150" s="1"/>
  <c r="BX129" i="150" s="1"/>
  <c r="BY129" i="150" s="1"/>
  <c r="BG172" i="150"/>
  <c r="AU109" i="148"/>
  <c r="AT79" i="148"/>
  <c r="BJ104" i="148"/>
  <c r="AT104" i="148"/>
  <c r="AU105" i="148"/>
  <c r="AT75" i="148"/>
  <c r="AU113" i="148"/>
  <c r="AV113" i="148" s="1"/>
  <c r="AW113" i="148" s="1"/>
  <c r="AT83" i="148"/>
  <c r="V265" i="148"/>
  <c r="BV96" i="150"/>
  <c r="BW93" i="150"/>
  <c r="CM13" i="149"/>
  <c r="CJ25" i="149"/>
  <c r="BJ27" i="148"/>
  <c r="R93" i="150"/>
  <c r="S16" i="150"/>
  <c r="AI125" i="148"/>
  <c r="AH97" i="148"/>
  <c r="AC98" i="148"/>
  <c r="BF98" i="148" s="1"/>
  <c r="AD126" i="148"/>
  <c r="BE189" i="148"/>
  <c r="BE179" i="148"/>
  <c r="Z158" i="148"/>
  <c r="Z190" i="148"/>
  <c r="AA169" i="148"/>
  <c r="AB157" i="148"/>
  <c r="AB189" i="148"/>
  <c r="AC168" i="148"/>
  <c r="AS74" i="148"/>
  <c r="BJ74" i="148" s="1"/>
  <c r="AB138" i="148"/>
  <c r="AB99" i="148"/>
  <c r="AC127" i="148"/>
  <c r="BF127" i="148" s="1"/>
  <c r="BF138" i="148" s="1"/>
  <c r="BI123" i="148"/>
  <c r="AP123" i="148"/>
  <c r="AA167" i="148"/>
  <c r="Z188" i="148"/>
  <c r="AG187" i="148"/>
  <c r="AH166" i="148"/>
  <c r="AG155" i="148"/>
  <c r="BG184" i="148"/>
  <c r="AH108" i="148"/>
  <c r="AH78" i="148" s="1"/>
  <c r="CN15" i="149"/>
  <c r="V268" i="148"/>
  <c r="BE128" i="148"/>
  <c r="AG78" i="148"/>
  <c r="BG78" i="148" s="1"/>
  <c r="BG108" i="148"/>
  <c r="BG145" i="75"/>
  <c r="BF157" i="75"/>
  <c r="Z101" i="148"/>
  <c r="AA129" i="148"/>
  <c r="Z140" i="148"/>
  <c r="Z128" i="148"/>
  <c r="Z236" i="148" s="1"/>
  <c r="AA137" i="148"/>
  <c r="BF182" i="148"/>
  <c r="V266" i="148"/>
  <c r="AO156" i="148"/>
  <c r="AO95" i="148"/>
  <c r="BI95" i="148" s="1"/>
  <c r="Y100" i="148"/>
  <c r="BE100" i="148" s="1"/>
  <c r="Y130" i="148"/>
  <c r="Y102" i="148" s="1"/>
  <c r="BE102" i="148" s="1"/>
  <c r="AG171" i="148"/>
  <c r="AF160" i="148"/>
  <c r="X102" i="148"/>
  <c r="AB159" i="148"/>
  <c r="AC170" i="148"/>
  <c r="AB191" i="148"/>
  <c r="CJ9" i="149"/>
  <c r="AG112" i="148"/>
  <c r="BG112" i="148" s="1"/>
  <c r="CM18" i="149"/>
  <c r="V267" i="148"/>
  <c r="AG110" i="148"/>
  <c r="BG110" i="148" s="1"/>
  <c r="CM17" i="149"/>
  <c r="AF82" i="148"/>
  <c r="AF122" i="148"/>
  <c r="H33" i="164"/>
  <c r="H122" i="164"/>
  <c r="H41" i="164"/>
  <c r="H57" i="164" s="1"/>
  <c r="CO150" i="150"/>
  <c r="AF107" i="148"/>
  <c r="AF117" i="148" s="1"/>
  <c r="CL14" i="149"/>
  <c r="CL20" i="149" s="1"/>
  <c r="AG114" i="148" s="1"/>
  <c r="BD112" i="150"/>
  <c r="BD149" i="150" s="1"/>
  <c r="BC150" i="150"/>
  <c r="AA230" i="148" s="1"/>
  <c r="V270" i="148"/>
  <c r="BD257" i="148"/>
  <c r="BD268" i="148" s="1"/>
  <c r="AE94" i="148"/>
  <c r="AE133" i="148"/>
  <c r="BG106" i="150"/>
  <c r="BG107" i="150" s="1"/>
  <c r="BG109" i="150" s="1"/>
  <c r="BG11" i="150" s="1"/>
  <c r="BG12" i="150" s="1"/>
  <c r="AG106" i="148"/>
  <c r="BG106" i="148" s="1"/>
  <c r="F97" i="164"/>
  <c r="BD259" i="148"/>
  <c r="BD270" i="148" s="1"/>
  <c r="AD87" i="148"/>
  <c r="AD90" i="148" s="1"/>
  <c r="BF91" i="148"/>
  <c r="AC89" i="148"/>
  <c r="BF86" i="148"/>
  <c r="CK20" i="149"/>
  <c r="AF114" i="148" s="1"/>
  <c r="AF118" i="148" s="1"/>
  <c r="AE114" i="148"/>
  <c r="BF114" i="150"/>
  <c r="AC22" i="148"/>
  <c r="BF20" i="148"/>
  <c r="AC90" i="148"/>
  <c r="BF87" i="148"/>
  <c r="AF76" i="148"/>
  <c r="F117" i="164"/>
  <c r="Z241" i="148"/>
  <c r="AD84" i="148"/>
  <c r="AD118" i="148"/>
  <c r="AD124" i="148" s="1"/>
  <c r="AD116" i="148"/>
  <c r="AE77" i="148"/>
  <c r="AE117" i="148"/>
  <c r="T49" i="75"/>
  <c r="BE180" i="148" l="1"/>
  <c r="BE148" i="148"/>
  <c r="BE136" i="148" s="1"/>
  <c r="BE190" i="148"/>
  <c r="BF240" i="148"/>
  <c r="H78" i="164" s="1"/>
  <c r="H87" i="164" s="1"/>
  <c r="I85" i="75"/>
  <c r="C18" i="157"/>
  <c r="C47" i="163"/>
  <c r="BA5" i="148"/>
  <c r="J85" i="75"/>
  <c r="H178" i="163"/>
  <c r="I250" i="163"/>
  <c r="H183" i="163"/>
  <c r="I255" i="163"/>
  <c r="F172" i="163"/>
  <c r="H151" i="163"/>
  <c r="I223" i="163"/>
  <c r="G271" i="148"/>
  <c r="F271" i="148"/>
  <c r="G130" i="163"/>
  <c r="G144" i="163" s="1"/>
  <c r="Q245" i="163"/>
  <c r="H245" i="163"/>
  <c r="G173" i="163"/>
  <c r="G137" i="163" s="1"/>
  <c r="E222" i="163"/>
  <c r="E186" i="163" s="1"/>
  <c r="E149" i="163"/>
  <c r="E221" i="163" s="1"/>
  <c r="E185" i="163" s="1"/>
  <c r="H155" i="163"/>
  <c r="I227" i="163"/>
  <c r="I60" i="75"/>
  <c r="J187" i="75"/>
  <c r="J193" i="75" s="1"/>
  <c r="H154" i="163"/>
  <c r="I226" i="163"/>
  <c r="G174" i="163"/>
  <c r="G138" i="163" s="1"/>
  <c r="G131" i="163"/>
  <c r="G145" i="163" s="1"/>
  <c r="Q246" i="163"/>
  <c r="H246" i="163"/>
  <c r="B275" i="148"/>
  <c r="AZ274" i="148"/>
  <c r="C43" i="163"/>
  <c r="G124" i="163"/>
  <c r="H116" i="163"/>
  <c r="H157" i="163"/>
  <c r="I229" i="163"/>
  <c r="E244" i="163"/>
  <c r="E171" i="163"/>
  <c r="E243" i="163" s="1"/>
  <c r="E207" i="163" s="1"/>
  <c r="E136" i="163"/>
  <c r="H166" i="163"/>
  <c r="I238" i="163"/>
  <c r="H182" i="163"/>
  <c r="I254" i="163"/>
  <c r="E252" i="163"/>
  <c r="E216" i="163" s="1"/>
  <c r="E179" i="163"/>
  <c r="E251" i="163" s="1"/>
  <c r="E215" i="163" s="1"/>
  <c r="C107" i="164"/>
  <c r="D129" i="163"/>
  <c r="D143" i="163" s="1"/>
  <c r="D208" i="163"/>
  <c r="I240" i="163"/>
  <c r="H168" i="163"/>
  <c r="H176" i="163"/>
  <c r="I248" i="163"/>
  <c r="H162" i="163"/>
  <c r="I234" i="163"/>
  <c r="I237" i="163"/>
  <c r="H165" i="163"/>
  <c r="I232" i="163"/>
  <c r="H160" i="163"/>
  <c r="I235" i="163"/>
  <c r="H163" i="163"/>
  <c r="F275" i="148"/>
  <c r="BA274" i="148"/>
  <c r="H177" i="163"/>
  <c r="I249" i="163"/>
  <c r="G123" i="163"/>
  <c r="G117" i="163"/>
  <c r="H115" i="163"/>
  <c r="H158" i="163"/>
  <c r="I230" i="163"/>
  <c r="H224" i="163"/>
  <c r="G152" i="163"/>
  <c r="G134" i="163" s="1"/>
  <c r="G127" i="163"/>
  <c r="G141" i="163" s="1"/>
  <c r="Q224" i="163"/>
  <c r="C80" i="163"/>
  <c r="BA9" i="148"/>
  <c r="C14" i="157"/>
  <c r="G132" i="163"/>
  <c r="G146" i="163" s="1"/>
  <c r="Q247" i="163"/>
  <c r="G175" i="163"/>
  <c r="G139" i="163" s="1"/>
  <c r="H247" i="163"/>
  <c r="I231" i="163"/>
  <c r="H159" i="163"/>
  <c r="H225" i="163"/>
  <c r="G153" i="163"/>
  <c r="G135" i="163" s="1"/>
  <c r="G128" i="163"/>
  <c r="G142" i="163" s="1"/>
  <c r="Q225" i="163"/>
  <c r="I233" i="163"/>
  <c r="H161" i="163"/>
  <c r="I228" i="163"/>
  <c r="H156" i="163"/>
  <c r="BB271" i="148"/>
  <c r="BA271" i="148"/>
  <c r="H164" i="163"/>
  <c r="I236" i="163"/>
  <c r="H181" i="163"/>
  <c r="I253" i="163"/>
  <c r="F125" i="163"/>
  <c r="F180" i="163" s="1"/>
  <c r="F121" i="163"/>
  <c r="I239" i="163"/>
  <c r="H167" i="163"/>
  <c r="C99" i="164"/>
  <c r="C108" i="164" s="1"/>
  <c r="D90" i="164"/>
  <c r="F150" i="163"/>
  <c r="AA237" i="148"/>
  <c r="AA231" i="148"/>
  <c r="AA232" i="148"/>
  <c r="AA243" i="148" s="1"/>
  <c r="AA254" i="148" s="1"/>
  <c r="AA233" i="148"/>
  <c r="AA244" i="148" s="1"/>
  <c r="AA234" i="148"/>
  <c r="AA245" i="148" s="1"/>
  <c r="AA256" i="148" s="1"/>
  <c r="AA235" i="148"/>
  <c r="AA246" i="148" s="1"/>
  <c r="AA257" i="148" s="1"/>
  <c r="AD240" i="148"/>
  <c r="AD251" i="148" s="1"/>
  <c r="BH172" i="150"/>
  <c r="BG192" i="150"/>
  <c r="AE229" i="148" s="1"/>
  <c r="BF193" i="150"/>
  <c r="BH160" i="150"/>
  <c r="BG130" i="150"/>
  <c r="BH130" i="150" s="1"/>
  <c r="BI130" i="150" s="1"/>
  <c r="BJ130" i="150" s="1"/>
  <c r="BK130" i="150" s="1"/>
  <c r="BL130" i="150" s="1"/>
  <c r="BM130" i="150" s="1"/>
  <c r="BN130" i="150" s="1"/>
  <c r="BO130" i="150" s="1"/>
  <c r="BP130" i="150" s="1"/>
  <c r="BQ130" i="150" s="1"/>
  <c r="BR130" i="150" s="1"/>
  <c r="BS130" i="150" s="1"/>
  <c r="BT130" i="150" s="1"/>
  <c r="BU130" i="150" s="1"/>
  <c r="BV130" i="150" s="1"/>
  <c r="BW130" i="150" s="1"/>
  <c r="BX130" i="150" s="1"/>
  <c r="BY130" i="150" s="1"/>
  <c r="BH173" i="150"/>
  <c r="BI173" i="150" s="1"/>
  <c r="BJ173" i="150" s="1"/>
  <c r="BK173" i="150" s="1"/>
  <c r="BL173" i="150" s="1"/>
  <c r="BM173" i="150" s="1"/>
  <c r="BN173" i="150" s="1"/>
  <c r="BO173" i="150" s="1"/>
  <c r="BP173" i="150" s="1"/>
  <c r="BQ173" i="150" s="1"/>
  <c r="BR173" i="150" s="1"/>
  <c r="BS173" i="150" s="1"/>
  <c r="BT173" i="150" s="1"/>
  <c r="BU173" i="150" s="1"/>
  <c r="BV173" i="150" s="1"/>
  <c r="BW173" i="150" s="1"/>
  <c r="BX173" i="150" s="1"/>
  <c r="BY173" i="150" s="1"/>
  <c r="AF77" i="148"/>
  <c r="AV105" i="148"/>
  <c r="AU75" i="148"/>
  <c r="AU104" i="148"/>
  <c r="AT74" i="148"/>
  <c r="AU83" i="148"/>
  <c r="AV109" i="148"/>
  <c r="AU79" i="148"/>
  <c r="BV95" i="150"/>
  <c r="BY93" i="150"/>
  <c r="BX93" i="150"/>
  <c r="BW96" i="150"/>
  <c r="BW95" i="150" s="1"/>
  <c r="CL25" i="149"/>
  <c r="CN13" i="149"/>
  <c r="CK25" i="149"/>
  <c r="BJ238" i="148"/>
  <c r="T16" i="150"/>
  <c r="S93" i="150"/>
  <c r="BF124" i="148"/>
  <c r="AC96" i="148"/>
  <c r="BF96" i="148" s="1"/>
  <c r="Z136" i="148"/>
  <c r="AE126" i="148"/>
  <c r="AD98" i="148"/>
  <c r="AA158" i="148"/>
  <c r="AB169" i="148"/>
  <c r="AA190" i="148"/>
  <c r="AD168" i="148"/>
  <c r="AC189" i="148"/>
  <c r="AC157" i="148"/>
  <c r="AJ125" i="148"/>
  <c r="AI97" i="148"/>
  <c r="AB135" i="148"/>
  <c r="AA188" i="148"/>
  <c r="AB167" i="148"/>
  <c r="AI166" i="148"/>
  <c r="AH187" i="148"/>
  <c r="AH155" i="148"/>
  <c r="AQ123" i="148"/>
  <c r="AP156" i="148"/>
  <c r="AP95" i="148"/>
  <c r="AD127" i="148"/>
  <c r="AC99" i="148"/>
  <c r="BF99" i="148" s="1"/>
  <c r="AC138" i="148"/>
  <c r="AI108" i="148"/>
  <c r="AI78" i="148" s="1"/>
  <c r="CO15" i="149"/>
  <c r="AH110" i="148"/>
  <c r="AH80" i="148" s="1"/>
  <c r="CN17" i="149"/>
  <c r="AG82" i="148"/>
  <c r="BG82" i="148" s="1"/>
  <c r="AH112" i="148"/>
  <c r="AH82" i="148" s="1"/>
  <c r="CN18" i="149"/>
  <c r="AG80" i="148"/>
  <c r="BG80" i="148" s="1"/>
  <c r="BG157" i="75"/>
  <c r="BH145" i="75"/>
  <c r="BE130" i="148"/>
  <c r="AA101" i="148"/>
  <c r="AB129" i="148"/>
  <c r="AA140" i="148"/>
  <c r="AA128" i="148"/>
  <c r="AA236" i="148" s="1"/>
  <c r="AB137" i="148"/>
  <c r="AH171" i="148"/>
  <c r="AI171" i="148" s="1"/>
  <c r="AG160" i="148"/>
  <c r="AC159" i="148"/>
  <c r="AD170" i="148"/>
  <c r="AC191" i="148"/>
  <c r="Z100" i="148"/>
  <c r="Z130" i="148"/>
  <c r="AG107" i="148"/>
  <c r="BG107" i="148" s="1"/>
  <c r="CM14" i="149"/>
  <c r="CN14" i="149" s="1"/>
  <c r="CO14" i="149" s="1"/>
  <c r="CL41" i="149"/>
  <c r="AF116" i="148"/>
  <c r="AF86" i="148" s="1"/>
  <c r="F106" i="164"/>
  <c r="AA241" i="148"/>
  <c r="AA248" i="148"/>
  <c r="AA259" i="148" s="1"/>
  <c r="BE112" i="150"/>
  <c r="BE149" i="150" s="1"/>
  <c r="AF94" i="148"/>
  <c r="AF133" i="148"/>
  <c r="AG122" i="148"/>
  <c r="BH106" i="150"/>
  <c r="BH107" i="150" s="1"/>
  <c r="BH109" i="150" s="1"/>
  <c r="BH11" i="150" s="1"/>
  <c r="BH12" i="150" s="1"/>
  <c r="CK41" i="149"/>
  <c r="BE230" i="148"/>
  <c r="Y241" i="148"/>
  <c r="AF88" i="148"/>
  <c r="AD86" i="148"/>
  <c r="AD89" i="148" s="1"/>
  <c r="AD20" i="148"/>
  <c r="Z243" i="148"/>
  <c r="Z246" i="148"/>
  <c r="Z245" i="148"/>
  <c r="BF16" i="148"/>
  <c r="BF22" i="148"/>
  <c r="AE84" i="148"/>
  <c r="AE118" i="148"/>
  <c r="AE116" i="148"/>
  <c r="AE87" i="148"/>
  <c r="AE90" i="148" s="1"/>
  <c r="BG114" i="148"/>
  <c r="BF90" i="148"/>
  <c r="H27" i="164"/>
  <c r="CK9" i="149"/>
  <c r="Z248" i="148"/>
  <c r="Z244" i="148"/>
  <c r="AG76" i="148"/>
  <c r="BG76" i="148" s="1"/>
  <c r="AH106" i="148"/>
  <c r="AI106" i="148" s="1"/>
  <c r="AG118" i="148"/>
  <c r="BG114" i="150"/>
  <c r="AD88" i="148"/>
  <c r="AD91" i="148" s="1"/>
  <c r="AF84" i="148"/>
  <c r="Z252" i="148"/>
  <c r="AF87" i="148"/>
  <c r="AH62" i="148"/>
  <c r="BF89" i="148"/>
  <c r="BF92" i="148"/>
  <c r="T170" i="75"/>
  <c r="BF251" i="148" l="1"/>
  <c r="AE124" i="148"/>
  <c r="G172" i="163"/>
  <c r="G171" i="163" s="1"/>
  <c r="G243" i="163" s="1"/>
  <c r="H123" i="163"/>
  <c r="I115" i="163"/>
  <c r="H117" i="163"/>
  <c r="BA275" i="148"/>
  <c r="J232" i="163"/>
  <c r="K232" i="163" s="1"/>
  <c r="L232" i="163" s="1"/>
  <c r="M232" i="163" s="1"/>
  <c r="N232" i="163" s="1"/>
  <c r="T232" i="163" s="1"/>
  <c r="I160" i="163"/>
  <c r="I176" i="163"/>
  <c r="J248" i="163"/>
  <c r="K248" i="163" s="1"/>
  <c r="L248" i="163" s="1"/>
  <c r="M248" i="163" s="1"/>
  <c r="N248" i="163" s="1"/>
  <c r="T248" i="163" s="1"/>
  <c r="C100" i="164"/>
  <c r="C109" i="164" s="1"/>
  <c r="J255" i="163"/>
  <c r="K255" i="163" s="1"/>
  <c r="L255" i="163" s="1"/>
  <c r="M255" i="163" s="1"/>
  <c r="N255" i="163" s="1"/>
  <c r="T255" i="163" s="1"/>
  <c r="I183" i="163"/>
  <c r="I163" i="163"/>
  <c r="J235" i="163"/>
  <c r="K235" i="163" s="1"/>
  <c r="L235" i="163" s="1"/>
  <c r="M235" i="163" s="1"/>
  <c r="N235" i="163" s="1"/>
  <c r="T235" i="163" s="1"/>
  <c r="F179" i="163"/>
  <c r="F251" i="163" s="1"/>
  <c r="F215" i="163" s="1"/>
  <c r="F252" i="163"/>
  <c r="F216" i="163" s="1"/>
  <c r="I182" i="163"/>
  <c r="J254" i="163"/>
  <c r="K254" i="163" s="1"/>
  <c r="L254" i="163" s="1"/>
  <c r="M254" i="163" s="1"/>
  <c r="N254" i="163" s="1"/>
  <c r="T254" i="163" s="1"/>
  <c r="E129" i="163"/>
  <c r="E143" i="163" s="1"/>
  <c r="E208" i="163"/>
  <c r="H131" i="163"/>
  <c r="H145" i="163" s="1"/>
  <c r="I246" i="163"/>
  <c r="H174" i="163"/>
  <c r="H138" i="163" s="1"/>
  <c r="I181" i="163"/>
  <c r="J253" i="163"/>
  <c r="K253" i="163" s="1"/>
  <c r="L253" i="163" s="1"/>
  <c r="M253" i="163" s="1"/>
  <c r="N253" i="163" s="1"/>
  <c r="T253" i="163" s="1"/>
  <c r="J233" i="163"/>
  <c r="K233" i="163" s="1"/>
  <c r="L233" i="163" s="1"/>
  <c r="M233" i="163" s="1"/>
  <c r="N233" i="163" s="1"/>
  <c r="T233" i="163" s="1"/>
  <c r="I161" i="163"/>
  <c r="J231" i="163"/>
  <c r="K231" i="163" s="1"/>
  <c r="L231" i="163" s="1"/>
  <c r="M231" i="163" s="1"/>
  <c r="N231" i="163" s="1"/>
  <c r="T231" i="163" s="1"/>
  <c r="I159" i="163"/>
  <c r="I224" i="163"/>
  <c r="H127" i="163"/>
  <c r="H141" i="163" s="1"/>
  <c r="H152" i="163"/>
  <c r="H134" i="163" s="1"/>
  <c r="G125" i="163"/>
  <c r="G180" i="163" s="1"/>
  <c r="G121" i="163"/>
  <c r="J238" i="163"/>
  <c r="K238" i="163" s="1"/>
  <c r="L238" i="163" s="1"/>
  <c r="M238" i="163" s="1"/>
  <c r="N238" i="163" s="1"/>
  <c r="T238" i="163" s="1"/>
  <c r="I166" i="163"/>
  <c r="J229" i="163"/>
  <c r="K229" i="163" s="1"/>
  <c r="L229" i="163" s="1"/>
  <c r="M229" i="163" s="1"/>
  <c r="N229" i="163" s="1"/>
  <c r="T229" i="163" s="1"/>
  <c r="I157" i="163"/>
  <c r="I245" i="163"/>
  <c r="H173" i="163"/>
  <c r="H137" i="163" s="1"/>
  <c r="H130" i="163"/>
  <c r="H144" i="163" s="1"/>
  <c r="J223" i="163"/>
  <c r="K223" i="163" s="1"/>
  <c r="L223" i="163" s="1"/>
  <c r="M223" i="163" s="1"/>
  <c r="N223" i="163" s="1"/>
  <c r="T223" i="163" s="1"/>
  <c r="I151" i="163"/>
  <c r="C89" i="163"/>
  <c r="D48" i="163"/>
  <c r="I156" i="163"/>
  <c r="J228" i="163"/>
  <c r="K228" i="163" s="1"/>
  <c r="L228" i="163" s="1"/>
  <c r="M228" i="163" s="1"/>
  <c r="N228" i="163" s="1"/>
  <c r="T228" i="163" s="1"/>
  <c r="H153" i="163"/>
  <c r="H135" i="163" s="1"/>
  <c r="H128" i="163"/>
  <c r="H142" i="163" s="1"/>
  <c r="I225" i="163"/>
  <c r="H132" i="163"/>
  <c r="H146" i="163" s="1"/>
  <c r="I247" i="163"/>
  <c r="H175" i="163"/>
  <c r="H139" i="163" s="1"/>
  <c r="J230" i="163"/>
  <c r="K230" i="163" s="1"/>
  <c r="L230" i="163" s="1"/>
  <c r="M230" i="163" s="1"/>
  <c r="N230" i="163" s="1"/>
  <c r="T230" i="163" s="1"/>
  <c r="I158" i="163"/>
  <c r="G150" i="163"/>
  <c r="J237" i="163"/>
  <c r="K237" i="163" s="1"/>
  <c r="L237" i="163" s="1"/>
  <c r="M237" i="163" s="1"/>
  <c r="N237" i="163" s="1"/>
  <c r="T237" i="163" s="1"/>
  <c r="I165" i="163"/>
  <c r="AZ275" i="148"/>
  <c r="J227" i="163"/>
  <c r="K227" i="163" s="1"/>
  <c r="L227" i="163" s="1"/>
  <c r="M227" i="163" s="1"/>
  <c r="N227" i="163" s="1"/>
  <c r="T227" i="163" s="1"/>
  <c r="I155" i="163"/>
  <c r="J250" i="163"/>
  <c r="K250" i="163" s="1"/>
  <c r="L250" i="163" s="1"/>
  <c r="M250" i="163" s="1"/>
  <c r="N250" i="163" s="1"/>
  <c r="T250" i="163" s="1"/>
  <c r="I178" i="163"/>
  <c r="C50" i="157"/>
  <c r="D51" i="157" s="1"/>
  <c r="D19" i="157"/>
  <c r="J236" i="163"/>
  <c r="K236" i="163" s="1"/>
  <c r="L236" i="163" s="1"/>
  <c r="M236" i="163" s="1"/>
  <c r="N236" i="163" s="1"/>
  <c r="T236" i="163" s="1"/>
  <c r="I164" i="163"/>
  <c r="BB6" i="148"/>
  <c r="H96" i="164"/>
  <c r="H105" i="164" s="1"/>
  <c r="H25" i="163" s="1"/>
  <c r="F222" i="163"/>
  <c r="F186" i="163" s="1"/>
  <c r="F149" i="163"/>
  <c r="F221" i="163" s="1"/>
  <c r="F185" i="163" s="1"/>
  <c r="J239" i="163"/>
  <c r="K239" i="163" s="1"/>
  <c r="L239" i="163" s="1"/>
  <c r="M239" i="163" s="1"/>
  <c r="N239" i="163" s="1"/>
  <c r="T239" i="163" s="1"/>
  <c r="I167" i="163"/>
  <c r="J249" i="163"/>
  <c r="K249" i="163" s="1"/>
  <c r="L249" i="163" s="1"/>
  <c r="M249" i="163" s="1"/>
  <c r="N249" i="163" s="1"/>
  <c r="T249" i="163" s="1"/>
  <c r="I177" i="163"/>
  <c r="J234" i="163"/>
  <c r="K234" i="163" s="1"/>
  <c r="L234" i="163" s="1"/>
  <c r="M234" i="163" s="1"/>
  <c r="N234" i="163" s="1"/>
  <c r="T234" i="163" s="1"/>
  <c r="I162" i="163"/>
  <c r="J240" i="163"/>
  <c r="K240" i="163" s="1"/>
  <c r="L240" i="163" s="1"/>
  <c r="M240" i="163" s="1"/>
  <c r="N240" i="163" s="1"/>
  <c r="T240" i="163" s="1"/>
  <c r="I168" i="163"/>
  <c r="I116" i="163"/>
  <c r="H124" i="163"/>
  <c r="I154" i="163"/>
  <c r="J226" i="163"/>
  <c r="K226" i="163" s="1"/>
  <c r="L226" i="163" s="1"/>
  <c r="M226" i="163" s="1"/>
  <c r="N226" i="163" s="1"/>
  <c r="T226" i="163" s="1"/>
  <c r="F136" i="163"/>
  <c r="F244" i="163"/>
  <c r="F171" i="163"/>
  <c r="F243" i="163" s="1"/>
  <c r="F207" i="163" s="1"/>
  <c r="BA6" i="148"/>
  <c r="AJ108" i="148"/>
  <c r="CP15" i="149"/>
  <c r="AK108" i="148" s="1"/>
  <c r="AJ107" i="148"/>
  <c r="CP14" i="149"/>
  <c r="AK107" i="148" s="1"/>
  <c r="AE240" i="148"/>
  <c r="BI172" i="150"/>
  <c r="BH192" i="150"/>
  <c r="AF229" i="148" s="1"/>
  <c r="BG193" i="150"/>
  <c r="BI160" i="150"/>
  <c r="BH131" i="150"/>
  <c r="BI131" i="150" s="1"/>
  <c r="BJ131" i="150" s="1"/>
  <c r="BK131" i="150" s="1"/>
  <c r="BL131" i="150" s="1"/>
  <c r="BM131" i="150" s="1"/>
  <c r="BN131" i="150" s="1"/>
  <c r="BO131" i="150" s="1"/>
  <c r="BP131" i="150" s="1"/>
  <c r="BQ131" i="150" s="1"/>
  <c r="BR131" i="150" s="1"/>
  <c r="BS131" i="150" s="1"/>
  <c r="BT131" i="150" s="1"/>
  <c r="BU131" i="150" s="1"/>
  <c r="BV131" i="150" s="1"/>
  <c r="BW131" i="150" s="1"/>
  <c r="BX131" i="150" s="1"/>
  <c r="BY131" i="150" s="1"/>
  <c r="BI174" i="150"/>
  <c r="BJ174" i="150" s="1"/>
  <c r="BK174" i="150" s="1"/>
  <c r="BL174" i="150" s="1"/>
  <c r="BM174" i="150" s="1"/>
  <c r="BN174" i="150" s="1"/>
  <c r="BO174" i="150" s="1"/>
  <c r="BP174" i="150" s="1"/>
  <c r="BQ174" i="150" s="1"/>
  <c r="BR174" i="150" s="1"/>
  <c r="BS174" i="150" s="1"/>
  <c r="BT174" i="150" s="1"/>
  <c r="BU174" i="150" s="1"/>
  <c r="BV174" i="150" s="1"/>
  <c r="BW174" i="150" s="1"/>
  <c r="BX174" i="150" s="1"/>
  <c r="BY174" i="150" s="1"/>
  <c r="CD31" i="75"/>
  <c r="CE31" i="75"/>
  <c r="BV99" i="150"/>
  <c r="AT27" i="148" s="1"/>
  <c r="AT238" i="148" s="1"/>
  <c r="AW109" i="148"/>
  <c r="AV79" i="148"/>
  <c r="AW83" i="148"/>
  <c r="BK83" i="148" s="1"/>
  <c r="AV83" i="148"/>
  <c r="AA255" i="148"/>
  <c r="AV75" i="148"/>
  <c r="AW105" i="148"/>
  <c r="BK105" i="148" s="1"/>
  <c r="AV104" i="148"/>
  <c r="AU74" i="148"/>
  <c r="BW99" i="150"/>
  <c r="BX96" i="150"/>
  <c r="BY96" i="150"/>
  <c r="BY95" i="150" s="1"/>
  <c r="CO13" i="149"/>
  <c r="CP13" i="149" s="1"/>
  <c r="G69" i="164"/>
  <c r="U16" i="150"/>
  <c r="T93" i="150"/>
  <c r="AE168" i="148"/>
  <c r="AD157" i="148"/>
  <c r="AD135" i="148" s="1"/>
  <c r="AD189" i="148"/>
  <c r="AK125" i="148"/>
  <c r="AJ97" i="148"/>
  <c r="AF126" i="148"/>
  <c r="AF124" i="148" s="1"/>
  <c r="AE98" i="148"/>
  <c r="AB190" i="148"/>
  <c r="AC169" i="148"/>
  <c r="AB158" i="148"/>
  <c r="AB136" i="148" s="1"/>
  <c r="AC135" i="148"/>
  <c r="BF157" i="148"/>
  <c r="BF168" i="148" s="1"/>
  <c r="AA136" i="148"/>
  <c r="H26" i="164"/>
  <c r="AH122" i="148"/>
  <c r="BJ106" i="150" s="1"/>
  <c r="AB188" i="148"/>
  <c r="AC167" i="148"/>
  <c r="AG117" i="148"/>
  <c r="AG87" i="148" s="1"/>
  <c r="AR123" i="148"/>
  <c r="AQ156" i="148"/>
  <c r="AQ95" i="148"/>
  <c r="AI155" i="148"/>
  <c r="AJ166" i="148"/>
  <c r="AI187" i="148"/>
  <c r="AG77" i="148"/>
  <c r="BG77" i="148" s="1"/>
  <c r="AI76" i="148"/>
  <c r="AJ106" i="148"/>
  <c r="AK106" i="148" s="1"/>
  <c r="AL106" i="148" s="1"/>
  <c r="AL76" i="148" s="1"/>
  <c r="AI160" i="148"/>
  <c r="AJ171" i="148"/>
  <c r="AD99" i="148"/>
  <c r="AE127" i="148"/>
  <c r="AD138" i="148"/>
  <c r="AI112" i="148"/>
  <c r="AI82" i="148" s="1"/>
  <c r="CO18" i="149"/>
  <c r="AI110" i="148"/>
  <c r="AI80" i="148" s="1"/>
  <c r="CO17" i="149"/>
  <c r="AF20" i="148"/>
  <c r="AF22" i="148" s="1"/>
  <c r="AI107" i="148"/>
  <c r="AI77" i="148" s="1"/>
  <c r="CN20" i="149"/>
  <c r="CN25" i="149" s="1"/>
  <c r="AJ78" i="148"/>
  <c r="BH108" i="148"/>
  <c r="BI145" i="75"/>
  <c r="BH157" i="75"/>
  <c r="AD191" i="148"/>
  <c r="AE170" i="148"/>
  <c r="AD159" i="148"/>
  <c r="AH160" i="148"/>
  <c r="AA100" i="148"/>
  <c r="AA130" i="148"/>
  <c r="AA102" i="148" s="1"/>
  <c r="BG160" i="148"/>
  <c r="AC137" i="148"/>
  <c r="BF159" i="148"/>
  <c r="Z102" i="148"/>
  <c r="AC129" i="148"/>
  <c r="AB101" i="148"/>
  <c r="AB140" i="148"/>
  <c r="AB128" i="148"/>
  <c r="AH107" i="148"/>
  <c r="AH77" i="148" s="1"/>
  <c r="CM20" i="149"/>
  <c r="CM25" i="149" s="1"/>
  <c r="BE236" i="148"/>
  <c r="BF112" i="150"/>
  <c r="BF149" i="150" s="1"/>
  <c r="BE150" i="150"/>
  <c r="AC230" i="148" s="1"/>
  <c r="AA252" i="148"/>
  <c r="AA263" i="148" s="1"/>
  <c r="Y245" i="148"/>
  <c r="BE234" i="148"/>
  <c r="BE231" i="148"/>
  <c r="Y246" i="148"/>
  <c r="BE235" i="148"/>
  <c r="BI106" i="150"/>
  <c r="BI107" i="150" s="1"/>
  <c r="BI109" i="150" s="1"/>
  <c r="AG94" i="148"/>
  <c r="BG94" i="148" s="1"/>
  <c r="BG122" i="148"/>
  <c r="BD150" i="150"/>
  <c r="AB230" i="148" s="1"/>
  <c r="Y252" i="148"/>
  <c r="Y263" i="148" s="1"/>
  <c r="BE241" i="148"/>
  <c r="BE232" i="148"/>
  <c r="Y243" i="148"/>
  <c r="Y244" i="148"/>
  <c r="BE233" i="148"/>
  <c r="Y248" i="148"/>
  <c r="BE237" i="148"/>
  <c r="AD96" i="148"/>
  <c r="AE88" i="148"/>
  <c r="AE91" i="148" s="1"/>
  <c r="Z259" i="148"/>
  <c r="Z256" i="148"/>
  <c r="Z254" i="148"/>
  <c r="AG88" i="148"/>
  <c r="AE20" i="148"/>
  <c r="AE22" i="148" s="1"/>
  <c r="AE86" i="148"/>
  <c r="AE89" i="148" s="1"/>
  <c r="AF90" i="148"/>
  <c r="BG118" i="148"/>
  <c r="Z255" i="148"/>
  <c r="AD22" i="148"/>
  <c r="AH76" i="148"/>
  <c r="Z257" i="148"/>
  <c r="BH114" i="150"/>
  <c r="H35" i="164"/>
  <c r="H43" i="164"/>
  <c r="AG84" i="148"/>
  <c r="BG84" i="148" s="1"/>
  <c r="AG116" i="148"/>
  <c r="T146" i="75"/>
  <c r="G244" i="163" l="1"/>
  <c r="G129" i="163" s="1"/>
  <c r="G136" i="163"/>
  <c r="J116" i="163"/>
  <c r="K116" i="163" s="1"/>
  <c r="L116" i="163" s="1"/>
  <c r="M116" i="163" s="1"/>
  <c r="N116" i="163" s="1"/>
  <c r="I124" i="163"/>
  <c r="F208" i="163"/>
  <c r="F129" i="163"/>
  <c r="F143" i="163" s="1"/>
  <c r="I175" i="163"/>
  <c r="I139" i="163" s="1"/>
  <c r="I132" i="163"/>
  <c r="I146" i="163" s="1"/>
  <c r="J247" i="163"/>
  <c r="H125" i="163"/>
  <c r="H180" i="163" s="1"/>
  <c r="H121" i="163"/>
  <c r="I174" i="163"/>
  <c r="I138" i="163" s="1"/>
  <c r="J246" i="163"/>
  <c r="I131" i="163"/>
  <c r="I145" i="163" s="1"/>
  <c r="I117" i="163"/>
  <c r="J115" i="163"/>
  <c r="K115" i="163" s="1"/>
  <c r="L115" i="163" s="1"/>
  <c r="M115" i="163" s="1"/>
  <c r="N115" i="163" s="1"/>
  <c r="I123" i="163"/>
  <c r="G149" i="163"/>
  <c r="G221" i="163" s="1"/>
  <c r="G185" i="163" s="1"/>
  <c r="G222" i="163"/>
  <c r="J245" i="163"/>
  <c r="I130" i="163"/>
  <c r="I144" i="163" s="1"/>
  <c r="I173" i="163"/>
  <c r="I137" i="163" s="1"/>
  <c r="G252" i="163"/>
  <c r="G179" i="163"/>
  <c r="G251" i="163" s="1"/>
  <c r="G215" i="163" s="1"/>
  <c r="H150" i="163"/>
  <c r="I152" i="163"/>
  <c r="I134" i="163" s="1"/>
  <c r="I127" i="163"/>
  <c r="I141" i="163" s="1"/>
  <c r="J224" i="163"/>
  <c r="H172" i="163"/>
  <c r="I128" i="163"/>
  <c r="I142" i="163" s="1"/>
  <c r="J225" i="163"/>
  <c r="I153" i="163"/>
  <c r="I135" i="163" s="1"/>
  <c r="G207" i="163"/>
  <c r="AC237" i="148"/>
  <c r="AC248" i="148" s="1"/>
  <c r="AC259" i="148" s="1"/>
  <c r="AC233" i="148"/>
  <c r="AC244" i="148" s="1"/>
  <c r="AC231" i="148"/>
  <c r="AC232" i="148"/>
  <c r="AC243" i="148" s="1"/>
  <c r="AC254" i="148" s="1"/>
  <c r="AC235" i="148"/>
  <c r="AC246" i="148" s="1"/>
  <c r="AC257" i="148" s="1"/>
  <c r="AC234" i="148"/>
  <c r="AC245" i="148" s="1"/>
  <c r="AC256" i="148" s="1"/>
  <c r="AJ110" i="148"/>
  <c r="AJ80" i="148" s="1"/>
  <c r="CP17" i="149"/>
  <c r="AK110" i="148" s="1"/>
  <c r="AB237" i="148"/>
  <c r="AB232" i="148"/>
  <c r="AB236" i="148"/>
  <c r="AB231" i="148"/>
  <c r="AB233" i="148"/>
  <c r="AB235" i="148"/>
  <c r="AB234" i="148"/>
  <c r="AI122" i="148"/>
  <c r="AJ112" i="148"/>
  <c r="AJ122" i="148" s="1"/>
  <c r="CP18" i="149"/>
  <c r="AK112" i="148" s="1"/>
  <c r="AF240" i="148"/>
  <c r="AF251" i="148" s="1"/>
  <c r="BJ172" i="150"/>
  <c r="BI192" i="150"/>
  <c r="AG229" i="148" s="1"/>
  <c r="AE251" i="148"/>
  <c r="BH193" i="150"/>
  <c r="BJ175" i="150"/>
  <c r="BK175" i="150" s="1"/>
  <c r="BL175" i="150" s="1"/>
  <c r="BM175" i="150" s="1"/>
  <c r="BN175" i="150" s="1"/>
  <c r="BO175" i="150" s="1"/>
  <c r="BP175" i="150" s="1"/>
  <c r="BQ175" i="150" s="1"/>
  <c r="BR175" i="150" s="1"/>
  <c r="BS175" i="150" s="1"/>
  <c r="BT175" i="150" s="1"/>
  <c r="BU175" i="150" s="1"/>
  <c r="BV175" i="150" s="1"/>
  <c r="BW175" i="150" s="1"/>
  <c r="BX175" i="150" s="1"/>
  <c r="BY175" i="150" s="1"/>
  <c r="BI11" i="150"/>
  <c r="BI12" i="150" s="1"/>
  <c r="BJ160" i="150"/>
  <c r="AU27" i="148"/>
  <c r="AU238" i="148" s="1"/>
  <c r="CG31" i="75"/>
  <c r="AW79" i="148"/>
  <c r="BK79" i="148" s="1"/>
  <c r="BK109" i="148"/>
  <c r="BK113" i="148"/>
  <c r="AW75" i="148"/>
  <c r="BK75" i="148" s="1"/>
  <c r="AW104" i="148"/>
  <c r="BK104" i="148" s="1"/>
  <c r="AV74" i="148"/>
  <c r="BF147" i="148"/>
  <c r="BF135" i="148" s="1"/>
  <c r="BX95" i="150"/>
  <c r="BX99" i="150" s="1"/>
  <c r="BY99" i="150"/>
  <c r="AH94" i="148"/>
  <c r="CQ109" i="150"/>
  <c r="BI132" i="150"/>
  <c r="BJ132" i="150" s="1"/>
  <c r="BK132" i="150" s="1"/>
  <c r="BL132" i="150" s="1"/>
  <c r="BM132" i="150" s="1"/>
  <c r="BN132" i="150" s="1"/>
  <c r="BO132" i="150" s="1"/>
  <c r="BP132" i="150" s="1"/>
  <c r="BQ132" i="150" s="1"/>
  <c r="BR132" i="150" s="1"/>
  <c r="BS132" i="150" s="1"/>
  <c r="BT132" i="150" s="1"/>
  <c r="BU132" i="150" s="1"/>
  <c r="BV132" i="150" s="1"/>
  <c r="BW132" i="150" s="1"/>
  <c r="BX132" i="150" s="1"/>
  <c r="BY132" i="150" s="1"/>
  <c r="U93" i="150"/>
  <c r="V16" i="150"/>
  <c r="H34" i="164"/>
  <c r="H42" i="164"/>
  <c r="G58" i="164" s="1"/>
  <c r="BH125" i="148"/>
  <c r="AK97" i="148"/>
  <c r="BH97" i="148" s="1"/>
  <c r="AL125" i="148"/>
  <c r="AL97" i="148" s="1"/>
  <c r="BG117" i="148"/>
  <c r="AC158" i="148"/>
  <c r="BF158" i="148" s="1"/>
  <c r="BF169" i="148" s="1"/>
  <c r="AC190" i="148"/>
  <c r="AD169" i="148"/>
  <c r="AE157" i="148"/>
  <c r="AE135" i="148" s="1"/>
  <c r="AE189" i="148"/>
  <c r="AF168" i="148"/>
  <c r="H125" i="164"/>
  <c r="H126" i="164" s="1"/>
  <c r="BF179" i="148"/>
  <c r="BF189" i="148"/>
  <c r="AG126" i="148"/>
  <c r="AF98" i="148"/>
  <c r="AF96" i="148"/>
  <c r="AE138" i="148"/>
  <c r="AE99" i="148"/>
  <c r="AF127" i="148"/>
  <c r="AJ187" i="148"/>
  <c r="AK166" i="148"/>
  <c r="AS123" i="148"/>
  <c r="AT123" i="148" s="1"/>
  <c r="AR95" i="148"/>
  <c r="AR156" i="148"/>
  <c r="AD167" i="148"/>
  <c r="AC188" i="148"/>
  <c r="AF91" i="148"/>
  <c r="AI114" i="148"/>
  <c r="AI84" i="148" s="1"/>
  <c r="AH117" i="148"/>
  <c r="AH87" i="148" s="1"/>
  <c r="AH90" i="148" s="1"/>
  <c r="AK78" i="148"/>
  <c r="BH78" i="148" s="1"/>
  <c r="BJ145" i="75"/>
  <c r="BI157" i="75"/>
  <c r="AF89" i="148"/>
  <c r="AB130" i="148"/>
  <c r="AB102" i="148" s="1"/>
  <c r="AB100" i="148"/>
  <c r="BF170" i="148"/>
  <c r="BF149" i="148"/>
  <c r="BF137" i="148" s="1"/>
  <c r="BG150" i="148"/>
  <c r="BG171" i="148"/>
  <c r="AF170" i="148"/>
  <c r="AE191" i="148"/>
  <c r="AE159" i="148"/>
  <c r="AD129" i="148"/>
  <c r="AC101" i="148"/>
  <c r="BF101" i="148" s="1"/>
  <c r="AC140" i="148"/>
  <c r="AC128" i="148"/>
  <c r="BF128" i="148" s="1"/>
  <c r="BF129" i="148"/>
  <c r="BF140" i="148" s="1"/>
  <c r="AK171" i="148"/>
  <c r="AL171" i="148" s="1"/>
  <c r="AL160" i="148" s="1"/>
  <c r="AD137" i="148"/>
  <c r="G70" i="164"/>
  <c r="AH114" i="148"/>
  <c r="AH116" i="148" s="1"/>
  <c r="AH20" i="148" s="1"/>
  <c r="AH22" i="148" s="1"/>
  <c r="G79" i="164"/>
  <c r="BE252" i="148"/>
  <c r="BE263" i="148" s="1"/>
  <c r="I25" i="164"/>
  <c r="AC241" i="148"/>
  <c r="BE244" i="148"/>
  <c r="BE255" i="148" s="1"/>
  <c r="BE266" i="148" s="1"/>
  <c r="Y255" i="148"/>
  <c r="Y266" i="148" s="1"/>
  <c r="AJ82" i="148"/>
  <c r="Z263" i="148"/>
  <c r="G71" i="164"/>
  <c r="BJ107" i="150"/>
  <c r="BJ109" i="150" s="1"/>
  <c r="BG112" i="150"/>
  <c r="BG149" i="150" s="1"/>
  <c r="BF150" i="150"/>
  <c r="AD230" i="148" s="1"/>
  <c r="AI94" i="148"/>
  <c r="BK106" i="150"/>
  <c r="BK107" i="150" s="1"/>
  <c r="BK109" i="150" s="1"/>
  <c r="BK11" i="150" s="1"/>
  <c r="BK12" i="150" s="1"/>
  <c r="BE248" i="148"/>
  <c r="BE259" i="148" s="1"/>
  <c r="BE270" i="148" s="1"/>
  <c r="Y259" i="148"/>
  <c r="Y270" i="148" s="1"/>
  <c r="CP149" i="150"/>
  <c r="Y257" i="148"/>
  <c r="Y268" i="148" s="1"/>
  <c r="BE246" i="148"/>
  <c r="Y254" i="148"/>
  <c r="Y265" i="148" s="1"/>
  <c r="BE243" i="148"/>
  <c r="BE254" i="148" s="1"/>
  <c r="BE265" i="148" s="1"/>
  <c r="CP150" i="150"/>
  <c r="Y256" i="148"/>
  <c r="Y267" i="148" s="1"/>
  <c r="BE245" i="148"/>
  <c r="BE256" i="148" s="1"/>
  <c r="BE267" i="148" s="1"/>
  <c r="AG90" i="148"/>
  <c r="BG87" i="148"/>
  <c r="AA267" i="148"/>
  <c r="AG86" i="148"/>
  <c r="AG20" i="148"/>
  <c r="BI114" i="150"/>
  <c r="AA266" i="148"/>
  <c r="AI117" i="148"/>
  <c r="AE96" i="148"/>
  <c r="G59" i="164"/>
  <c r="AA265" i="148"/>
  <c r="AA270" i="148"/>
  <c r="BG116" i="148"/>
  <c r="AA268" i="148"/>
  <c r="AG91" i="148"/>
  <c r="BG88" i="148"/>
  <c r="Q244" i="163" l="1"/>
  <c r="G208" i="163"/>
  <c r="G143" i="163"/>
  <c r="AK155" i="148"/>
  <c r="AL166" i="148"/>
  <c r="AL155" i="148" s="1"/>
  <c r="BH110" i="148"/>
  <c r="BG126" i="148"/>
  <c r="AG124" i="148"/>
  <c r="K224" i="163"/>
  <c r="J127" i="163"/>
  <c r="J141" i="163" s="1"/>
  <c r="K246" i="163"/>
  <c r="J131" i="163"/>
  <c r="J145" i="163" s="1"/>
  <c r="K245" i="163"/>
  <c r="J130" i="163"/>
  <c r="J144" i="163" s="1"/>
  <c r="I150" i="163"/>
  <c r="K225" i="163"/>
  <c r="J128" i="163"/>
  <c r="J142" i="163" s="1"/>
  <c r="H149" i="163"/>
  <c r="H221" i="163" s="1"/>
  <c r="H185" i="163" s="1"/>
  <c r="H222" i="163"/>
  <c r="H186" i="163" s="1"/>
  <c r="Q222" i="163"/>
  <c r="G186" i="163"/>
  <c r="H179" i="163"/>
  <c r="H251" i="163" s="1"/>
  <c r="H215" i="163" s="1"/>
  <c r="H252" i="163"/>
  <c r="H216" i="163" s="1"/>
  <c r="I172" i="163"/>
  <c r="H244" i="163"/>
  <c r="H136" i="163"/>
  <c r="H171" i="163"/>
  <c r="H243" i="163" s="1"/>
  <c r="H207" i="163" s="1"/>
  <c r="G216" i="163"/>
  <c r="Q252" i="163"/>
  <c r="I125" i="163"/>
  <c r="I180" i="163" s="1"/>
  <c r="I121" i="163"/>
  <c r="K247" i="163"/>
  <c r="J132" i="163"/>
  <c r="J146" i="163" s="1"/>
  <c r="AD234" i="148"/>
  <c r="AD231" i="148"/>
  <c r="AD237" i="148"/>
  <c r="AD233" i="148"/>
  <c r="AD232" i="148"/>
  <c r="AD235" i="148"/>
  <c r="AC236" i="148"/>
  <c r="G60" i="164"/>
  <c r="G61" i="164" s="1"/>
  <c r="AH86" i="148"/>
  <c r="AH89" i="148" s="1"/>
  <c r="CP20" i="149"/>
  <c r="AK114" i="148" s="1"/>
  <c r="AM114" i="148" s="1"/>
  <c r="AN114" i="148" s="1"/>
  <c r="AG240" i="148"/>
  <c r="BK172" i="150"/>
  <c r="BJ192" i="150"/>
  <c r="AH229" i="148" s="1"/>
  <c r="AM171" i="148"/>
  <c r="AN171" i="148" s="1"/>
  <c r="AO171" i="148" s="1"/>
  <c r="AP171" i="148" s="1"/>
  <c r="AQ171" i="148" s="1"/>
  <c r="AR171" i="148" s="1"/>
  <c r="AS171" i="148" s="1"/>
  <c r="AT171" i="148" s="1"/>
  <c r="AU171" i="148" s="1"/>
  <c r="AV171" i="148" s="1"/>
  <c r="AW171" i="148" s="1"/>
  <c r="AK160" i="148"/>
  <c r="BI193" i="150"/>
  <c r="BG229" i="148"/>
  <c r="I68" i="164" s="1"/>
  <c r="BK176" i="150"/>
  <c r="BL176" i="150" s="1"/>
  <c r="BM176" i="150" s="1"/>
  <c r="BN176" i="150" s="1"/>
  <c r="BO176" i="150" s="1"/>
  <c r="BP176" i="150" s="1"/>
  <c r="BQ176" i="150" s="1"/>
  <c r="BR176" i="150" s="1"/>
  <c r="BS176" i="150" s="1"/>
  <c r="BT176" i="150" s="1"/>
  <c r="BU176" i="150" s="1"/>
  <c r="BV176" i="150" s="1"/>
  <c r="BW176" i="150" s="1"/>
  <c r="BX176" i="150" s="1"/>
  <c r="BY176" i="150" s="1"/>
  <c r="BJ11" i="150"/>
  <c r="BJ12" i="150" s="1"/>
  <c r="BK160" i="150"/>
  <c r="BK134" i="150"/>
  <c r="BL134" i="150" s="1"/>
  <c r="BM134" i="150" s="1"/>
  <c r="BN134" i="150" s="1"/>
  <c r="BO134" i="150" s="1"/>
  <c r="BP134" i="150" s="1"/>
  <c r="BQ134" i="150" s="1"/>
  <c r="BR134" i="150" s="1"/>
  <c r="BS134" i="150" s="1"/>
  <c r="BT134" i="150" s="1"/>
  <c r="BU134" i="150" s="1"/>
  <c r="BV134" i="150" s="1"/>
  <c r="BW134" i="150" s="1"/>
  <c r="BX134" i="150" s="1"/>
  <c r="BY134" i="150" s="1"/>
  <c r="BL177" i="150"/>
  <c r="BM177" i="150" s="1"/>
  <c r="BN177" i="150" s="1"/>
  <c r="BO177" i="150" s="1"/>
  <c r="BP177" i="150" s="1"/>
  <c r="BQ177" i="150" s="1"/>
  <c r="BR177" i="150" s="1"/>
  <c r="BS177" i="150" s="1"/>
  <c r="BT177" i="150" s="1"/>
  <c r="BU177" i="150" s="1"/>
  <c r="BV177" i="150" s="1"/>
  <c r="BW177" i="150" s="1"/>
  <c r="BX177" i="150" s="1"/>
  <c r="BY177" i="150" s="1"/>
  <c r="AW27" i="148"/>
  <c r="AW238" i="148" s="1"/>
  <c r="AV27" i="148"/>
  <c r="AV238" i="148" s="1"/>
  <c r="CF31" i="75"/>
  <c r="AU123" i="148"/>
  <c r="AT95" i="148"/>
  <c r="AT156" i="148"/>
  <c r="BJ123" i="148"/>
  <c r="AW74" i="148"/>
  <c r="BK74" i="148" s="1"/>
  <c r="AC255" i="148"/>
  <c r="CR109" i="150"/>
  <c r="BJ133" i="150"/>
  <c r="BK133" i="150" s="1"/>
  <c r="BL133" i="150" s="1"/>
  <c r="BM133" i="150" s="1"/>
  <c r="BN133" i="150" s="1"/>
  <c r="BO133" i="150" s="1"/>
  <c r="BP133" i="150" s="1"/>
  <c r="BQ133" i="150" s="1"/>
  <c r="BR133" i="150" s="1"/>
  <c r="BS133" i="150" s="1"/>
  <c r="BT133" i="150" s="1"/>
  <c r="BU133" i="150" s="1"/>
  <c r="BV133" i="150" s="1"/>
  <c r="BW133" i="150" s="1"/>
  <c r="BX133" i="150" s="1"/>
  <c r="BY133" i="150" s="1"/>
  <c r="Z268" i="148"/>
  <c r="W16" i="150"/>
  <c r="V93" i="150"/>
  <c r="BF190" i="148"/>
  <c r="BF180" i="148"/>
  <c r="AE169" i="148"/>
  <c r="AD190" i="148"/>
  <c r="AD158" i="148"/>
  <c r="AD136" i="148" s="1"/>
  <c r="AH126" i="148"/>
  <c r="AG98" i="148"/>
  <c r="BG98" i="148" s="1"/>
  <c r="AC136" i="148"/>
  <c r="BF148" i="148"/>
  <c r="BF136" i="148" s="1"/>
  <c r="AM125" i="148"/>
  <c r="AF189" i="148"/>
  <c r="AF157" i="148"/>
  <c r="AF135" i="148" s="1"/>
  <c r="AG168" i="148"/>
  <c r="AF138" i="148"/>
  <c r="AG127" i="148"/>
  <c r="BG127" i="148" s="1"/>
  <c r="BG138" i="148" s="1"/>
  <c r="AF99" i="148"/>
  <c r="AI116" i="148"/>
  <c r="AI86" i="148" s="1"/>
  <c r="AE167" i="148"/>
  <c r="AD188" i="148"/>
  <c r="AS156" i="148"/>
  <c r="BJ156" i="148" s="1"/>
  <c r="AS95" i="148"/>
  <c r="BJ95" i="148" s="1"/>
  <c r="AK187" i="148"/>
  <c r="Z270" i="148"/>
  <c r="AH118" i="148"/>
  <c r="AH124" i="148" s="1"/>
  <c r="AH84" i="148"/>
  <c r="Z266" i="148"/>
  <c r="Z267" i="148"/>
  <c r="AM108" i="148"/>
  <c r="BJ157" i="75"/>
  <c r="BK145" i="75"/>
  <c r="AI87" i="148"/>
  <c r="AI90" i="148" s="1"/>
  <c r="BF191" i="148"/>
  <c r="BF181" i="148"/>
  <c r="AG170" i="148"/>
  <c r="AF159" i="148"/>
  <c r="AF191" i="148"/>
  <c r="Z265" i="148"/>
  <c r="AD101" i="148"/>
  <c r="AE129" i="148"/>
  <c r="AD140" i="148"/>
  <c r="AD128" i="148"/>
  <c r="AD236" i="148" s="1"/>
  <c r="AE137" i="148"/>
  <c r="AC130" i="148"/>
  <c r="AC102" i="148" s="1"/>
  <c r="BF102" i="148" s="1"/>
  <c r="AC100" i="148"/>
  <c r="BF100" i="148" s="1"/>
  <c r="BG182" i="148"/>
  <c r="BE257" i="148"/>
  <c r="BE268" i="148" s="1"/>
  <c r="BF230" i="148"/>
  <c r="AB241" i="148"/>
  <c r="G88" i="164"/>
  <c r="G97" i="164"/>
  <c r="BL106" i="150"/>
  <c r="BL107" i="150" s="1"/>
  <c r="BL109" i="150" s="1"/>
  <c r="BL11" i="150" s="1"/>
  <c r="BL12" i="150" s="1"/>
  <c r="AJ94" i="148"/>
  <c r="AK122" i="148"/>
  <c r="AK133" i="148" s="1"/>
  <c r="BH112" i="150"/>
  <c r="BH149" i="150" s="1"/>
  <c r="BG150" i="150"/>
  <c r="AE230" i="148" s="1"/>
  <c r="AK82" i="148"/>
  <c r="BH82" i="148" s="1"/>
  <c r="BH112" i="148"/>
  <c r="AC252" i="148"/>
  <c r="I33" i="164"/>
  <c r="I41" i="164"/>
  <c r="I57" i="164" s="1"/>
  <c r="I122" i="164"/>
  <c r="AJ77" i="148"/>
  <c r="AJ117" i="148"/>
  <c r="AK80" i="148"/>
  <c r="BH80" i="148" s="1"/>
  <c r="BJ114" i="150"/>
  <c r="AD241" i="148"/>
  <c r="AD246" i="148"/>
  <c r="AJ76" i="148"/>
  <c r="BH106" i="148"/>
  <c r="BG91" i="148"/>
  <c r="AG22" i="148"/>
  <c r="BG20" i="148"/>
  <c r="AI118" i="148"/>
  <c r="AG89" i="148"/>
  <c r="BG86" i="148"/>
  <c r="BG90" i="148"/>
  <c r="I27" i="164"/>
  <c r="L247" i="163" l="1"/>
  <c r="K132" i="163"/>
  <c r="K146" i="163" s="1"/>
  <c r="I179" i="163"/>
  <c r="I251" i="163" s="1"/>
  <c r="I215" i="163" s="1"/>
  <c r="I252" i="163"/>
  <c r="I216" i="163" s="1"/>
  <c r="I136" i="163"/>
  <c r="I171" i="163"/>
  <c r="I243" i="163" s="1"/>
  <c r="I207" i="163" s="1"/>
  <c r="I244" i="163"/>
  <c r="L246" i="163"/>
  <c r="K131" i="163"/>
  <c r="K145" i="163" s="1"/>
  <c r="Q256" i="163"/>
  <c r="R252" i="163" s="1"/>
  <c r="K130" i="163"/>
  <c r="K144" i="163" s="1"/>
  <c r="L245" i="163"/>
  <c r="L225" i="163"/>
  <c r="K128" i="163"/>
  <c r="K142" i="163" s="1"/>
  <c r="H208" i="163"/>
  <c r="H129" i="163"/>
  <c r="H143" i="163" s="1"/>
  <c r="I149" i="163"/>
  <c r="I221" i="163" s="1"/>
  <c r="I185" i="163" s="1"/>
  <c r="I222" i="163"/>
  <c r="I186" i="163" s="1"/>
  <c r="K127" i="163"/>
  <c r="K141" i="163" s="1"/>
  <c r="L224" i="163"/>
  <c r="AE233" i="148"/>
  <c r="AE244" i="148" s="1"/>
  <c r="AE231" i="148"/>
  <c r="AE237" i="148"/>
  <c r="AE248" i="148" s="1"/>
  <c r="AE259" i="148" s="1"/>
  <c r="AE235" i="148"/>
  <c r="AE246" i="148" s="1"/>
  <c r="AE257" i="148" s="1"/>
  <c r="AE234" i="148"/>
  <c r="AE245" i="148" s="1"/>
  <c r="AE256" i="148" s="1"/>
  <c r="AE232" i="148"/>
  <c r="AE243" i="148" s="1"/>
  <c r="AE254" i="148" s="1"/>
  <c r="AI89" i="148"/>
  <c r="CP25" i="149"/>
  <c r="AH240" i="148"/>
  <c r="AH251" i="148" s="1"/>
  <c r="BL172" i="150"/>
  <c r="BK192" i="150"/>
  <c r="AI229" i="148" s="1"/>
  <c r="AG251" i="148"/>
  <c r="BG240" i="148"/>
  <c r="BJ146" i="148"/>
  <c r="BJ134" i="148" s="1"/>
  <c r="BJ193" i="150"/>
  <c r="BL160" i="150"/>
  <c r="BL135" i="150"/>
  <c r="BM135" i="150" s="1"/>
  <c r="BN135" i="150" s="1"/>
  <c r="BO135" i="150" s="1"/>
  <c r="BP135" i="150" s="1"/>
  <c r="BQ135" i="150" s="1"/>
  <c r="BR135" i="150" s="1"/>
  <c r="BS135" i="150" s="1"/>
  <c r="BT135" i="150" s="1"/>
  <c r="BU135" i="150" s="1"/>
  <c r="BV135" i="150" s="1"/>
  <c r="BW135" i="150" s="1"/>
  <c r="BX135" i="150" s="1"/>
  <c r="BY135" i="150" s="1"/>
  <c r="BM178" i="150"/>
  <c r="BN178" i="150" s="1"/>
  <c r="BO178" i="150" s="1"/>
  <c r="BP178" i="150" s="1"/>
  <c r="BQ178" i="150" s="1"/>
  <c r="BR178" i="150" s="1"/>
  <c r="BS178" i="150" s="1"/>
  <c r="BT178" i="150" s="1"/>
  <c r="BU178" i="150" s="1"/>
  <c r="BV178" i="150" s="1"/>
  <c r="BW178" i="150" s="1"/>
  <c r="BX178" i="150" s="1"/>
  <c r="BY178" i="150" s="1"/>
  <c r="BK27" i="148"/>
  <c r="S31" i="75"/>
  <c r="S171" i="75" s="1"/>
  <c r="BK238" i="148"/>
  <c r="AV123" i="148"/>
  <c r="AU156" i="148"/>
  <c r="AU95" i="148"/>
  <c r="AI20" i="148"/>
  <c r="AI22" i="148" s="1"/>
  <c r="H69" i="164"/>
  <c r="X16" i="150"/>
  <c r="W93" i="150"/>
  <c r="AG157" i="148"/>
  <c r="AG189" i="148"/>
  <c r="AH168" i="148"/>
  <c r="AI126" i="148"/>
  <c r="AI124" i="148" s="1"/>
  <c r="AH98" i="148"/>
  <c r="AH96" i="148"/>
  <c r="AM97" i="148"/>
  <c r="AM158" i="148"/>
  <c r="AN125" i="148"/>
  <c r="BG124" i="148"/>
  <c r="AG96" i="148"/>
  <c r="BG96" i="148" s="1"/>
  <c r="AE190" i="148"/>
  <c r="AF169" i="148"/>
  <c r="AE158" i="148"/>
  <c r="AE188" i="148"/>
  <c r="AF167" i="148"/>
  <c r="AG99" i="148"/>
  <c r="BG99" i="148" s="1"/>
  <c r="AH127" i="148"/>
  <c r="AG138" i="148"/>
  <c r="AH88" i="148"/>
  <c r="AH91" i="148" s="1"/>
  <c r="AM166" i="148"/>
  <c r="AL187" i="148"/>
  <c r="AM78" i="148"/>
  <c r="AN108" i="148"/>
  <c r="BK157" i="75"/>
  <c r="BL145" i="75"/>
  <c r="AF129" i="148"/>
  <c r="AE101" i="148"/>
  <c r="AE140" i="148"/>
  <c r="AE128" i="148"/>
  <c r="AE236" i="148" s="1"/>
  <c r="AF137" i="148"/>
  <c r="AI88" i="148"/>
  <c r="AD100" i="148"/>
  <c r="AD130" i="148"/>
  <c r="AG191" i="148"/>
  <c r="AH170" i="148"/>
  <c r="AI170" i="148" s="1"/>
  <c r="AG159" i="148"/>
  <c r="BG159" i="148" s="1"/>
  <c r="BF130" i="148"/>
  <c r="BM106" i="150"/>
  <c r="BM107" i="150" s="1"/>
  <c r="BM109" i="150" s="1"/>
  <c r="BM11" i="150" s="1"/>
  <c r="BM12" i="150" s="1"/>
  <c r="AK94" i="148"/>
  <c r="BH94" i="148" s="1"/>
  <c r="J25" i="164" s="1"/>
  <c r="AB246" i="148"/>
  <c r="BF235" i="148"/>
  <c r="AB244" i="148"/>
  <c r="BF233" i="148"/>
  <c r="AM112" i="148"/>
  <c r="AL122" i="148"/>
  <c r="AL94" i="148" s="1"/>
  <c r="AB245" i="148"/>
  <c r="BF234" i="148"/>
  <c r="AB243" i="148"/>
  <c r="BF232" i="148"/>
  <c r="BI112" i="150"/>
  <c r="BI149" i="150" s="1"/>
  <c r="BH150" i="150"/>
  <c r="AF230" i="148" s="1"/>
  <c r="BF236" i="148"/>
  <c r="BH122" i="148"/>
  <c r="AB252" i="148"/>
  <c r="AB263" i="148" s="1"/>
  <c r="BF241" i="148"/>
  <c r="AB248" i="148"/>
  <c r="BF237" i="148"/>
  <c r="G106" i="164"/>
  <c r="BF231" i="148"/>
  <c r="BG89" i="148"/>
  <c r="BG92" i="148"/>
  <c r="AM110" i="148"/>
  <c r="BK114" i="150"/>
  <c r="I35" i="164"/>
  <c r="I43" i="164"/>
  <c r="AK76" i="148"/>
  <c r="BH76" i="148" s="1"/>
  <c r="AD248" i="148"/>
  <c r="AD252" i="148"/>
  <c r="AD263" i="148" s="1"/>
  <c r="AK77" i="148"/>
  <c r="BH77" i="148" s="1"/>
  <c r="AK117" i="148"/>
  <c r="BH107" i="148"/>
  <c r="AD257" i="148"/>
  <c r="AD268" i="148" s="1"/>
  <c r="AE241" i="148"/>
  <c r="G117" i="164"/>
  <c r="AD243" i="148"/>
  <c r="AD244" i="148"/>
  <c r="AJ87" i="148"/>
  <c r="AJ90" i="148" s="1"/>
  <c r="BG16" i="148"/>
  <c r="BG22" i="148"/>
  <c r="AD245" i="148"/>
  <c r="R222" i="163" l="1"/>
  <c r="M224" i="163"/>
  <c r="L127" i="163"/>
  <c r="L141" i="163" s="1"/>
  <c r="M225" i="163"/>
  <c r="L128" i="163"/>
  <c r="L142" i="163" s="1"/>
  <c r="M246" i="163"/>
  <c r="L131" i="163"/>
  <c r="L145" i="163" s="1"/>
  <c r="L130" i="163"/>
  <c r="L144" i="163" s="1"/>
  <c r="M245" i="163"/>
  <c r="R244" i="163"/>
  <c r="R242" i="163"/>
  <c r="R241" i="163"/>
  <c r="R250" i="163"/>
  <c r="R248" i="163"/>
  <c r="R235" i="163"/>
  <c r="R229" i="163"/>
  <c r="R237" i="163"/>
  <c r="R233" i="163"/>
  <c r="R228" i="163"/>
  <c r="R226" i="163"/>
  <c r="R255" i="163"/>
  <c r="R236" i="163"/>
  <c r="R254" i="163"/>
  <c r="R238" i="163"/>
  <c r="R230" i="163"/>
  <c r="R227" i="163"/>
  <c r="R239" i="163"/>
  <c r="R223" i="163"/>
  <c r="R253" i="163"/>
  <c r="R249" i="163"/>
  <c r="R240" i="163"/>
  <c r="R234" i="163"/>
  <c r="R231" i="163"/>
  <c r="R232" i="163"/>
  <c r="R247" i="163"/>
  <c r="R246" i="163"/>
  <c r="R225" i="163"/>
  <c r="R224" i="163"/>
  <c r="R245" i="163"/>
  <c r="I129" i="163"/>
  <c r="I143" i="163" s="1"/>
  <c r="I208" i="163"/>
  <c r="L132" i="163"/>
  <c r="L146" i="163" s="1"/>
  <c r="M247" i="163"/>
  <c r="BH117" i="148"/>
  <c r="AF234" i="148"/>
  <c r="AF245" i="148" s="1"/>
  <c r="AF256" i="148" s="1"/>
  <c r="AF267" i="148" s="1"/>
  <c r="AF237" i="148"/>
  <c r="AF248" i="148" s="1"/>
  <c r="AF259" i="148" s="1"/>
  <c r="AF270" i="148" s="1"/>
  <c r="AF233" i="148"/>
  <c r="AF244" i="148" s="1"/>
  <c r="AF231" i="148"/>
  <c r="AF235" i="148"/>
  <c r="AF232" i="148"/>
  <c r="J33" i="164"/>
  <c r="J41" i="164"/>
  <c r="J57" i="164" s="1"/>
  <c r="AI240" i="148"/>
  <c r="AI251" i="148" s="1"/>
  <c r="BM172" i="150"/>
  <c r="BL192" i="150"/>
  <c r="AJ229" i="148" s="1"/>
  <c r="BG251" i="148"/>
  <c r="I78" i="164"/>
  <c r="BK193" i="150"/>
  <c r="BM160" i="150"/>
  <c r="BM136" i="150"/>
  <c r="BN136" i="150" s="1"/>
  <c r="BO136" i="150" s="1"/>
  <c r="BP136" i="150" s="1"/>
  <c r="BQ136" i="150" s="1"/>
  <c r="BR136" i="150" s="1"/>
  <c r="BS136" i="150" s="1"/>
  <c r="BT136" i="150" s="1"/>
  <c r="BU136" i="150" s="1"/>
  <c r="BV136" i="150" s="1"/>
  <c r="BW136" i="150" s="1"/>
  <c r="BX136" i="150" s="1"/>
  <c r="BY136" i="150" s="1"/>
  <c r="BN179" i="150"/>
  <c r="BO179" i="150" s="1"/>
  <c r="BP179" i="150" s="1"/>
  <c r="BQ179" i="150" s="1"/>
  <c r="BR179" i="150" s="1"/>
  <c r="BS179" i="150" s="1"/>
  <c r="BT179" i="150" s="1"/>
  <c r="BU179" i="150" s="1"/>
  <c r="BV179" i="150" s="1"/>
  <c r="BW179" i="150" s="1"/>
  <c r="BX179" i="150" s="1"/>
  <c r="BY179" i="150" s="1"/>
  <c r="AW123" i="148"/>
  <c r="BK123" i="148" s="1"/>
  <c r="AV156" i="148"/>
  <c r="AV95" i="148"/>
  <c r="X93" i="150"/>
  <c r="Y16" i="150"/>
  <c r="I26" i="164"/>
  <c r="AG135" i="148"/>
  <c r="BG157" i="148"/>
  <c r="AJ126" i="148"/>
  <c r="AI98" i="148"/>
  <c r="AG169" i="148"/>
  <c r="AF190" i="148"/>
  <c r="AF158" i="148"/>
  <c r="AF136" i="148" s="1"/>
  <c r="AI91" i="148"/>
  <c r="AN97" i="148"/>
  <c r="AO125" i="148"/>
  <c r="AN158" i="148"/>
  <c r="AE136" i="148"/>
  <c r="AH157" i="148"/>
  <c r="AI168" i="148"/>
  <c r="AH189" i="148"/>
  <c r="AE255" i="148"/>
  <c r="AI127" i="148"/>
  <c r="AH99" i="148"/>
  <c r="AG167" i="148"/>
  <c r="AF188" i="148"/>
  <c r="AN166" i="148"/>
  <c r="AM187" i="148"/>
  <c r="AI159" i="148"/>
  <c r="AJ170" i="148"/>
  <c r="AO108" i="148"/>
  <c r="AP108" i="148" s="1"/>
  <c r="AN78" i="148"/>
  <c r="BL157" i="75"/>
  <c r="BM145" i="75"/>
  <c r="BG149" i="148"/>
  <c r="BG137" i="148" s="1"/>
  <c r="BG170" i="148"/>
  <c r="AD102" i="148"/>
  <c r="AH191" i="148"/>
  <c r="AH159" i="148"/>
  <c r="AG129" i="148"/>
  <c r="BG129" i="148" s="1"/>
  <c r="BG140" i="148" s="1"/>
  <c r="AF101" i="148"/>
  <c r="AF140" i="148"/>
  <c r="AF128" i="148"/>
  <c r="AF236" i="148" s="1"/>
  <c r="AG137" i="148"/>
  <c r="AE100" i="148"/>
  <c r="AE130" i="148"/>
  <c r="AE102" i="148" s="1"/>
  <c r="BJ112" i="150"/>
  <c r="BJ149" i="150" s="1"/>
  <c r="BI150" i="150"/>
  <c r="AB256" i="148"/>
  <c r="BF245" i="148"/>
  <c r="BF256" i="148" s="1"/>
  <c r="BF267" i="148" s="1"/>
  <c r="H71" i="164"/>
  <c r="AC263" i="148"/>
  <c r="BN106" i="150"/>
  <c r="BN107" i="150" s="1"/>
  <c r="BN109" i="150" s="1"/>
  <c r="BN11" i="150" s="1"/>
  <c r="BN12" i="150" s="1"/>
  <c r="AB257" i="148"/>
  <c r="BF246" i="148"/>
  <c r="AF246" i="148"/>
  <c r="AF257" i="148" s="1"/>
  <c r="AF268" i="148" s="1"/>
  <c r="AF241" i="148"/>
  <c r="AF243" i="148"/>
  <c r="AF254" i="148" s="1"/>
  <c r="AF265" i="148" s="1"/>
  <c r="H70" i="164"/>
  <c r="AN112" i="148"/>
  <c r="AM82" i="148"/>
  <c r="AM122" i="148"/>
  <c r="AB255" i="148"/>
  <c r="BF244" i="148"/>
  <c r="BF255" i="148" s="1"/>
  <c r="BF266" i="148" s="1"/>
  <c r="AB259" i="148"/>
  <c r="BF248" i="148"/>
  <c r="BF259" i="148" s="1"/>
  <c r="BF270" i="148" s="1"/>
  <c r="AB254" i="148"/>
  <c r="BF243" i="148"/>
  <c r="BF254" i="148" s="1"/>
  <c r="BF265" i="148" s="1"/>
  <c r="H79" i="164"/>
  <c r="BF252" i="148"/>
  <c r="BF263" i="148" s="1"/>
  <c r="AE268" i="148"/>
  <c r="AD255" i="148"/>
  <c r="AD266" i="148" s="1"/>
  <c r="AM107" i="148"/>
  <c r="AL117" i="148"/>
  <c r="AE252" i="148"/>
  <c r="AE263" i="148" s="1"/>
  <c r="AM80" i="148"/>
  <c r="AN110" i="148"/>
  <c r="AD256" i="148"/>
  <c r="AD267" i="148" s="1"/>
  <c r="AI96" i="148"/>
  <c r="BL114" i="150"/>
  <c r="AH71" i="148"/>
  <c r="AH68" i="148"/>
  <c r="AK87" i="148"/>
  <c r="AD259" i="148"/>
  <c r="AD270" i="148" s="1"/>
  <c r="AM106" i="148"/>
  <c r="AD254" i="148"/>
  <c r="AD265" i="148" s="1"/>
  <c r="H59" i="164"/>
  <c r="AL87" i="148" l="1"/>
  <c r="AL90" i="148" s="1"/>
  <c r="N225" i="163"/>
  <c r="M128" i="163"/>
  <c r="M142" i="163" s="1"/>
  <c r="M132" i="163"/>
  <c r="M146" i="163" s="1"/>
  <c r="N247" i="163"/>
  <c r="N246" i="163"/>
  <c r="M131" i="163"/>
  <c r="M145" i="163" s="1"/>
  <c r="M130" i="163"/>
  <c r="M144" i="163" s="1"/>
  <c r="N245" i="163"/>
  <c r="N224" i="163"/>
  <c r="M127" i="163"/>
  <c r="M141" i="163" s="1"/>
  <c r="I87" i="164"/>
  <c r="I96" i="164"/>
  <c r="I105" i="164" s="1"/>
  <c r="I25" i="163" s="1"/>
  <c r="I33" i="163" s="1"/>
  <c r="AG230" i="148"/>
  <c r="AJ240" i="148"/>
  <c r="AJ251" i="148" s="1"/>
  <c r="BN172" i="150"/>
  <c r="BM192" i="150"/>
  <c r="AK229" i="148" s="1"/>
  <c r="BL193" i="150"/>
  <c r="BN160" i="150"/>
  <c r="BN137" i="150"/>
  <c r="BO137" i="150" s="1"/>
  <c r="BO180" i="150"/>
  <c r="BP180" i="150" s="1"/>
  <c r="BQ180" i="150" s="1"/>
  <c r="BR180" i="150" s="1"/>
  <c r="BS180" i="150" s="1"/>
  <c r="BT180" i="150" s="1"/>
  <c r="BU180" i="150" s="1"/>
  <c r="BV180" i="150" s="1"/>
  <c r="BW180" i="150" s="1"/>
  <c r="BX180" i="150" s="1"/>
  <c r="BY180" i="150" s="1"/>
  <c r="AF255" i="148"/>
  <c r="AF266" i="148" s="1"/>
  <c r="AW156" i="148"/>
  <c r="BK156" i="148" s="1"/>
  <c r="AW95" i="148"/>
  <c r="BK95" i="148" s="1"/>
  <c r="Z16" i="150"/>
  <c r="Y93" i="150"/>
  <c r="I34" i="164"/>
  <c r="I42" i="164"/>
  <c r="I125" i="164"/>
  <c r="I126" i="164" s="1"/>
  <c r="AJ98" i="148"/>
  <c r="AK126" i="148"/>
  <c r="BG168" i="148"/>
  <c r="BG147" i="148"/>
  <c r="BG135" i="148" s="1"/>
  <c r="AO97" i="148"/>
  <c r="BI97" i="148" s="1"/>
  <c r="AP125" i="148"/>
  <c r="AO158" i="148"/>
  <c r="BI125" i="148"/>
  <c r="AI189" i="148"/>
  <c r="AI157" i="148"/>
  <c r="AI135" i="148" s="1"/>
  <c r="AJ168" i="148"/>
  <c r="AH169" i="148"/>
  <c r="AG158" i="148"/>
  <c r="AG190" i="148"/>
  <c r="AJ127" i="148"/>
  <c r="AI138" i="148"/>
  <c r="AI99" i="148"/>
  <c r="AO166" i="148"/>
  <c r="AN187" i="148"/>
  <c r="AQ108" i="148"/>
  <c r="AP78" i="148"/>
  <c r="AG188" i="148"/>
  <c r="AH167" i="148"/>
  <c r="AO78" i="148"/>
  <c r="BI78" i="148" s="1"/>
  <c r="BI108" i="148"/>
  <c r="BM157" i="75"/>
  <c r="CQ149" i="150"/>
  <c r="AI137" i="148"/>
  <c r="AI191" i="148"/>
  <c r="CQ150" i="150"/>
  <c r="AH129" i="148"/>
  <c r="AG101" i="148"/>
  <c r="BG101" i="148" s="1"/>
  <c r="AG140" i="148"/>
  <c r="AG128" i="148"/>
  <c r="BG128" i="148" s="1"/>
  <c r="BG181" i="148"/>
  <c r="BG191" i="148"/>
  <c r="AF130" i="148"/>
  <c r="AF100" i="148"/>
  <c r="AE267" i="148"/>
  <c r="H88" i="164"/>
  <c r="H97" i="164"/>
  <c r="H106" i="164" s="1"/>
  <c r="H26" i="163" s="1"/>
  <c r="H34" i="163" s="1"/>
  <c r="AC265" i="148"/>
  <c r="AB265" i="148"/>
  <c r="H72" i="164"/>
  <c r="BO106" i="150"/>
  <c r="BO107" i="150" s="1"/>
  <c r="BO109" i="150" s="1"/>
  <c r="BO11" i="150" s="1"/>
  <c r="BO12" i="150" s="1"/>
  <c r="AM94" i="148"/>
  <c r="AE266" i="148"/>
  <c r="AC270" i="148"/>
  <c r="AB270" i="148"/>
  <c r="BF257" i="148"/>
  <c r="BF268" i="148" s="1"/>
  <c r="AC267" i="148"/>
  <c r="AB267" i="148"/>
  <c r="AB266" i="148"/>
  <c r="AC266" i="148"/>
  <c r="AN82" i="148"/>
  <c r="AO112" i="148"/>
  <c r="AN122" i="148"/>
  <c r="AF252" i="148"/>
  <c r="AB268" i="148"/>
  <c r="AC268" i="148"/>
  <c r="J122" i="164"/>
  <c r="BK112" i="150"/>
  <c r="BK149" i="150" s="1"/>
  <c r="AK90" i="148"/>
  <c r="BH87" i="148"/>
  <c r="J27" i="164" s="1"/>
  <c r="AN106" i="148"/>
  <c r="AM76" i="148"/>
  <c r="AH64" i="148"/>
  <c r="AE265" i="148"/>
  <c r="AE270" i="148"/>
  <c r="AO110" i="148"/>
  <c r="AN80" i="148"/>
  <c r="BG230" i="148"/>
  <c r="I69" i="164" s="1"/>
  <c r="BM114" i="150"/>
  <c r="AN107" i="148"/>
  <c r="AM77" i="148"/>
  <c r="AM117" i="148"/>
  <c r="N131" i="163" l="1"/>
  <c r="N145" i="163" s="1"/>
  <c r="T246" i="163"/>
  <c r="N132" i="163"/>
  <c r="N146" i="163" s="1"/>
  <c r="T247" i="163"/>
  <c r="T224" i="163"/>
  <c r="N127" i="163"/>
  <c r="N141" i="163" s="1"/>
  <c r="N130" i="163"/>
  <c r="N144" i="163" s="1"/>
  <c r="T245" i="163"/>
  <c r="T225" i="163"/>
  <c r="N128" i="163"/>
  <c r="N142" i="163" s="1"/>
  <c r="BK146" i="148"/>
  <c r="BK134" i="148" s="1"/>
  <c r="J43" i="164"/>
  <c r="J35" i="164"/>
  <c r="AG234" i="148"/>
  <c r="AG245" i="148" s="1"/>
  <c r="AG256" i="148" s="1"/>
  <c r="AG233" i="148"/>
  <c r="AG244" i="148" s="1"/>
  <c r="AG255" i="148" s="1"/>
  <c r="AG235" i="148"/>
  <c r="AG246" i="148" s="1"/>
  <c r="AG257" i="148" s="1"/>
  <c r="AG231" i="148"/>
  <c r="BG231" i="148" s="1"/>
  <c r="AG232" i="148"/>
  <c r="AG243" i="148" s="1"/>
  <c r="AG254" i="148" s="1"/>
  <c r="AG237" i="148"/>
  <c r="AG248" i="148" s="1"/>
  <c r="AG259" i="148" s="1"/>
  <c r="AG236" i="148"/>
  <c r="AG241" i="148"/>
  <c r="AG252" i="148" s="1"/>
  <c r="AG263" i="148" s="1"/>
  <c r="AK240" i="148"/>
  <c r="BO172" i="150"/>
  <c r="BN192" i="150"/>
  <c r="AL229" i="148" s="1"/>
  <c r="AL240" i="148" s="1"/>
  <c r="AL251" i="148" s="1"/>
  <c r="BM193" i="150"/>
  <c r="BH229" i="148"/>
  <c r="J68" i="164" s="1"/>
  <c r="BO160" i="150"/>
  <c r="BO138" i="150"/>
  <c r="BP138" i="150" s="1"/>
  <c r="BQ138" i="150" s="1"/>
  <c r="BR138" i="150" s="1"/>
  <c r="BS138" i="150" s="1"/>
  <c r="BT138" i="150" s="1"/>
  <c r="BU138" i="150" s="1"/>
  <c r="BV138" i="150" s="1"/>
  <c r="BW138" i="150" s="1"/>
  <c r="BX138" i="150" s="1"/>
  <c r="BY138" i="150" s="1"/>
  <c r="BP181" i="150"/>
  <c r="BQ181" i="150" s="1"/>
  <c r="BR181" i="150" s="1"/>
  <c r="BS181" i="150" s="1"/>
  <c r="BT181" i="150" s="1"/>
  <c r="BU181" i="150" s="1"/>
  <c r="BV181" i="150" s="1"/>
  <c r="BW181" i="150" s="1"/>
  <c r="BX181" i="150" s="1"/>
  <c r="BY181" i="150" s="1"/>
  <c r="BP137" i="150"/>
  <c r="Z93" i="150"/>
  <c r="AA16" i="150"/>
  <c r="AH158" i="148"/>
  <c r="AH190" i="148"/>
  <c r="AI169" i="148"/>
  <c r="H58" i="164"/>
  <c r="H60" i="164" s="1"/>
  <c r="H61" i="164" s="1"/>
  <c r="AG136" i="148"/>
  <c r="BG158" i="148"/>
  <c r="AK98" i="148"/>
  <c r="BH98" i="148" s="1"/>
  <c r="AL126" i="148"/>
  <c r="AL98" i="148" s="1"/>
  <c r="BH126" i="148"/>
  <c r="BG179" i="148"/>
  <c r="BG189" i="148"/>
  <c r="AP158" i="148"/>
  <c r="AP97" i="148"/>
  <c r="AQ125" i="148"/>
  <c r="AJ189" i="148"/>
  <c r="AK168" i="148"/>
  <c r="AO82" i="148"/>
  <c r="BI82" i="148" s="1"/>
  <c r="AP112" i="148"/>
  <c r="AQ78" i="148"/>
  <c r="AR108" i="148"/>
  <c r="AI167" i="148"/>
  <c r="AH188" i="148"/>
  <c r="AK127" i="148"/>
  <c r="AJ99" i="148"/>
  <c r="AO80" i="148"/>
  <c r="BI80" i="148" s="1"/>
  <c r="AP110" i="148"/>
  <c r="AO187" i="148"/>
  <c r="AP166" i="148"/>
  <c r="AF263" i="148"/>
  <c r="AI129" i="148"/>
  <c r="AH101" i="148"/>
  <c r="AH128" i="148"/>
  <c r="AK170" i="148"/>
  <c r="AJ191" i="148"/>
  <c r="AF102" i="148"/>
  <c r="AG130" i="148"/>
  <c r="AG102" i="148" s="1"/>
  <c r="BG102" i="148" s="1"/>
  <c r="AG100" i="148"/>
  <c r="BG100" i="148" s="1"/>
  <c r="AN94" i="148"/>
  <c r="AO122" i="148"/>
  <c r="BI122" i="148" s="1"/>
  <c r="BP106" i="150"/>
  <c r="BP107" i="150" s="1"/>
  <c r="BP109" i="150" s="1"/>
  <c r="BP11" i="150" s="1"/>
  <c r="BP12" i="150" s="1"/>
  <c r="AN155" i="148"/>
  <c r="BJ150" i="150"/>
  <c r="AH230" i="148" s="1"/>
  <c r="CR149" i="150"/>
  <c r="H73" i="164"/>
  <c r="H113" i="164"/>
  <c r="W6" i="164" s="1"/>
  <c r="BL112" i="150"/>
  <c r="BL149" i="150" s="1"/>
  <c r="BK150" i="150"/>
  <c r="AI230" i="148" s="1"/>
  <c r="BI112" i="148"/>
  <c r="BI110" i="148"/>
  <c r="BG245" i="148"/>
  <c r="BG256" i="148" s="1"/>
  <c r="BG267" i="148" s="1"/>
  <c r="BG248" i="148"/>
  <c r="BG259" i="148" s="1"/>
  <c r="BG270" i="148" s="1"/>
  <c r="AO106" i="148"/>
  <c r="AN76" i="148"/>
  <c r="AM87" i="148"/>
  <c r="AM90" i="148" s="1"/>
  <c r="BN114" i="150"/>
  <c r="BG233" i="148"/>
  <c r="BG234" i="148"/>
  <c r="BH90" i="148"/>
  <c r="AN77" i="148"/>
  <c r="AO107" i="148"/>
  <c r="AN117" i="148"/>
  <c r="AK157" i="148" l="1"/>
  <c r="AL168" i="148"/>
  <c r="AL157" i="148" s="1"/>
  <c r="AK159" i="148"/>
  <c r="AK137" i="148" s="1"/>
  <c r="AL170" i="148"/>
  <c r="AL159" i="148" s="1"/>
  <c r="AK138" i="148"/>
  <c r="BG235" i="148"/>
  <c r="BG244" i="148"/>
  <c r="BG232" i="148"/>
  <c r="I70" i="164" s="1"/>
  <c r="I59" i="164"/>
  <c r="BG237" i="148"/>
  <c r="AH237" i="148"/>
  <c r="AH231" i="148"/>
  <c r="AH233" i="148"/>
  <c r="AH235" i="148"/>
  <c r="AH236" i="148"/>
  <c r="AH234" i="148"/>
  <c r="AH232" i="148"/>
  <c r="BG246" i="148"/>
  <c r="BG257" i="148" s="1"/>
  <c r="BG268" i="148" s="1"/>
  <c r="BG243" i="148"/>
  <c r="BG254" i="148" s="1"/>
  <c r="BG265" i="148" s="1"/>
  <c r="AI231" i="148"/>
  <c r="AI232" i="148"/>
  <c r="AI243" i="148" s="1"/>
  <c r="AI254" i="148" s="1"/>
  <c r="AI237" i="148"/>
  <c r="AI248" i="148" s="1"/>
  <c r="AI234" i="148"/>
  <c r="AI245" i="148" s="1"/>
  <c r="AI256" i="148" s="1"/>
  <c r="AI233" i="148"/>
  <c r="AI244" i="148" s="1"/>
  <c r="AI235" i="148"/>
  <c r="AI246" i="148" s="1"/>
  <c r="AI257" i="148" s="1"/>
  <c r="BP172" i="150"/>
  <c r="BO192" i="150"/>
  <c r="AM229" i="148" s="1"/>
  <c r="BN193" i="150"/>
  <c r="BP160" i="150"/>
  <c r="BP139" i="150"/>
  <c r="BQ139" i="150" s="1"/>
  <c r="BR139" i="150" s="1"/>
  <c r="BS139" i="150" s="1"/>
  <c r="BT139" i="150" s="1"/>
  <c r="BU139" i="150" s="1"/>
  <c r="BV139" i="150" s="1"/>
  <c r="BW139" i="150" s="1"/>
  <c r="BX139" i="150" s="1"/>
  <c r="BY139" i="150" s="1"/>
  <c r="BQ182" i="150"/>
  <c r="BR182" i="150" s="1"/>
  <c r="BS182" i="150" s="1"/>
  <c r="BT182" i="150" s="1"/>
  <c r="BU182" i="150" s="1"/>
  <c r="BV182" i="150" s="1"/>
  <c r="BW182" i="150" s="1"/>
  <c r="BX182" i="150" s="1"/>
  <c r="BY182" i="150" s="1"/>
  <c r="BQ137" i="150"/>
  <c r="BG255" i="148"/>
  <c r="BG266" i="148" s="1"/>
  <c r="AA93" i="150"/>
  <c r="AB16" i="150"/>
  <c r="H117" i="164"/>
  <c r="AI190" i="148"/>
  <c r="AI158" i="148"/>
  <c r="AI136" i="148" s="1"/>
  <c r="AJ169" i="148"/>
  <c r="AK189" i="148"/>
  <c r="AM126" i="148"/>
  <c r="AR125" i="148"/>
  <c r="AQ158" i="148"/>
  <c r="AQ97" i="148"/>
  <c r="BG169" i="148"/>
  <c r="BG148" i="148"/>
  <c r="BG136" i="148" s="1"/>
  <c r="BG236" i="148"/>
  <c r="BI106" i="148"/>
  <c r="AP106" i="148"/>
  <c r="AQ166" i="148"/>
  <c r="AP187" i="148"/>
  <c r="AP122" i="148"/>
  <c r="AP82" i="148"/>
  <c r="AQ112" i="148"/>
  <c r="AL127" i="148"/>
  <c r="AK99" i="148"/>
  <c r="BH99" i="148" s="1"/>
  <c r="AJ167" i="148"/>
  <c r="AI188" i="148"/>
  <c r="AQ110" i="148"/>
  <c r="AP80" i="148"/>
  <c r="AS108" i="148"/>
  <c r="AR78" i="148"/>
  <c r="BI107" i="148"/>
  <c r="AP107" i="148"/>
  <c r="BH127" i="148"/>
  <c r="AI241" i="148"/>
  <c r="AI252" i="148" s="1"/>
  <c r="AK191" i="148"/>
  <c r="BG130" i="148"/>
  <c r="AJ129" i="148"/>
  <c r="AJ128" i="148" s="1"/>
  <c r="AI101" i="148"/>
  <c r="AI128" i="148"/>
  <c r="AI236" i="148" s="1"/>
  <c r="AH100" i="148"/>
  <c r="AH130" i="148"/>
  <c r="BM112" i="150"/>
  <c r="BM149" i="150" s="1"/>
  <c r="BL150" i="150"/>
  <c r="AJ230" i="148" s="1"/>
  <c r="CR150" i="150"/>
  <c r="AN49" i="148"/>
  <c r="AO155" i="148"/>
  <c r="AO49" i="148" s="1"/>
  <c r="AO94" i="148"/>
  <c r="BI94" i="148" s="1"/>
  <c r="K25" i="164" s="1"/>
  <c r="BQ106" i="150"/>
  <c r="BQ107" i="150" s="1"/>
  <c r="BQ109" i="150" s="1"/>
  <c r="BQ11" i="150" s="1"/>
  <c r="BQ12" i="150" s="1"/>
  <c r="AG266" i="148"/>
  <c r="AG268" i="148"/>
  <c r="AG265" i="148"/>
  <c r="AG270" i="148"/>
  <c r="AG267" i="148"/>
  <c r="BG213" i="148"/>
  <c r="BO114" i="150"/>
  <c r="BG211" i="148"/>
  <c r="BG215" i="148"/>
  <c r="AH174" i="148"/>
  <c r="AH185" i="148" s="1"/>
  <c r="BG212" i="148"/>
  <c r="AN87" i="148"/>
  <c r="AN90" i="148" s="1"/>
  <c r="BG210" i="148"/>
  <c r="AO77" i="148"/>
  <c r="BI77" i="148" s="1"/>
  <c r="AO117" i="148"/>
  <c r="AO76" i="148"/>
  <c r="BI76" i="148" s="1"/>
  <c r="AL99" i="148" l="1"/>
  <c r="I71" i="164"/>
  <c r="I72" i="164"/>
  <c r="I73" i="164" s="1"/>
  <c r="K33" i="164"/>
  <c r="K41" i="164"/>
  <c r="K57" i="164" s="1"/>
  <c r="AJ235" i="148"/>
  <c r="AJ246" i="148" s="1"/>
  <c r="AJ236" i="148"/>
  <c r="AJ237" i="148"/>
  <c r="AJ248" i="148" s="1"/>
  <c r="BQ172" i="150"/>
  <c r="BP192" i="150"/>
  <c r="AN229" i="148" s="1"/>
  <c r="BO193" i="150"/>
  <c r="BQ160" i="150"/>
  <c r="BQ140" i="150"/>
  <c r="BR140" i="150" s="1"/>
  <c r="BS140" i="150" s="1"/>
  <c r="BT140" i="150" s="1"/>
  <c r="BU140" i="150" s="1"/>
  <c r="BV140" i="150" s="1"/>
  <c r="BW140" i="150" s="1"/>
  <c r="BX140" i="150" s="1"/>
  <c r="BY140" i="150" s="1"/>
  <c r="BR183" i="150"/>
  <c r="BS183" i="150" s="1"/>
  <c r="BT183" i="150" s="1"/>
  <c r="BU183" i="150" s="1"/>
  <c r="BV183" i="150" s="1"/>
  <c r="BW183" i="150" s="1"/>
  <c r="BX183" i="150" s="1"/>
  <c r="BY183" i="150" s="1"/>
  <c r="BR137" i="150"/>
  <c r="AS78" i="148"/>
  <c r="BJ78" i="148" s="1"/>
  <c r="AT108" i="148"/>
  <c r="BR106" i="150"/>
  <c r="BR107" i="150" s="1"/>
  <c r="BR109" i="150" s="1"/>
  <c r="BR11" i="150" s="1"/>
  <c r="BR12" i="150" s="1"/>
  <c r="BJ108" i="148"/>
  <c r="AB93" i="150"/>
  <c r="AC16" i="150"/>
  <c r="AC93" i="150" s="1"/>
  <c r="BG190" i="148"/>
  <c r="BG180" i="148"/>
  <c r="AI255" i="148"/>
  <c r="AM98" i="148"/>
  <c r="AM159" i="148"/>
  <c r="AN126" i="148"/>
  <c r="AS125" i="148"/>
  <c r="AR158" i="148"/>
  <c r="AR97" i="148"/>
  <c r="AM168" i="148"/>
  <c r="AL189" i="148"/>
  <c r="AJ190" i="148"/>
  <c r="AK169" i="148"/>
  <c r="AJ241" i="148"/>
  <c r="AR110" i="148"/>
  <c r="AQ80" i="148"/>
  <c r="AQ122" i="148"/>
  <c r="BS106" i="150" s="1"/>
  <c r="AR112" i="148"/>
  <c r="AQ82" i="148"/>
  <c r="AM127" i="148"/>
  <c r="AK167" i="148"/>
  <c r="AJ188" i="148"/>
  <c r="AP94" i="148"/>
  <c r="AP155" i="148"/>
  <c r="AR166" i="148"/>
  <c r="AQ187" i="148"/>
  <c r="AQ107" i="148"/>
  <c r="AP77" i="148"/>
  <c r="AP117" i="148"/>
  <c r="AQ106" i="148"/>
  <c r="AP76" i="148"/>
  <c r="AM170" i="148"/>
  <c r="AL191" i="148"/>
  <c r="AH102" i="148"/>
  <c r="AJ101" i="148"/>
  <c r="AK129" i="148"/>
  <c r="AI100" i="148"/>
  <c r="AI130" i="148"/>
  <c r="AI102" i="148" s="1"/>
  <c r="BN112" i="150"/>
  <c r="BN149" i="150" s="1"/>
  <c r="BM150" i="150"/>
  <c r="AK230" i="148" s="1"/>
  <c r="AO62" i="148"/>
  <c r="AH287" i="148"/>
  <c r="AH289" i="148"/>
  <c r="AH294" i="148"/>
  <c r="AH290" i="148"/>
  <c r="AH288" i="148"/>
  <c r="AH286" i="148"/>
  <c r="BG202" i="148"/>
  <c r="BP114" i="150"/>
  <c r="AO87" i="148"/>
  <c r="BI117" i="148"/>
  <c r="BG199" i="148"/>
  <c r="BG198" i="148"/>
  <c r="BG200" i="148"/>
  <c r="BG197" i="148"/>
  <c r="BH129" i="148" l="1"/>
  <c r="AK128" i="148"/>
  <c r="AK156" i="148"/>
  <c r="AK134" i="148" s="1"/>
  <c r="AL167" i="148"/>
  <c r="AL156" i="148" s="1"/>
  <c r="AK158" i="148"/>
  <c r="AK136" i="148" s="1"/>
  <c r="AL169" i="148"/>
  <c r="AL158" i="148" s="1"/>
  <c r="AK241" i="148"/>
  <c r="AK235" i="148"/>
  <c r="AK246" i="148" s="1"/>
  <c r="AK236" i="148"/>
  <c r="AK247" i="148" s="1"/>
  <c r="AK237" i="148"/>
  <c r="AK248" i="148" s="1"/>
  <c r="BR172" i="150"/>
  <c r="BQ192" i="150"/>
  <c r="AO229" i="148" s="1"/>
  <c r="BP193" i="150"/>
  <c r="BR160" i="150"/>
  <c r="BR141" i="150"/>
  <c r="BS141" i="150" s="1"/>
  <c r="BT141" i="150" s="1"/>
  <c r="BU141" i="150" s="1"/>
  <c r="BV141" i="150" s="1"/>
  <c r="BW141" i="150" s="1"/>
  <c r="BX141" i="150" s="1"/>
  <c r="BY141" i="150" s="1"/>
  <c r="BS184" i="150"/>
  <c r="BT184" i="150" s="1"/>
  <c r="BU184" i="150" s="1"/>
  <c r="BV184" i="150" s="1"/>
  <c r="BW184" i="150" s="1"/>
  <c r="BX184" i="150" s="1"/>
  <c r="BY184" i="150" s="1"/>
  <c r="BS137" i="150"/>
  <c r="AT125" i="148"/>
  <c r="BJ125" i="148"/>
  <c r="BS107" i="150"/>
  <c r="BS109" i="150" s="1"/>
  <c r="BS11" i="150" s="1"/>
  <c r="BS12" i="150" s="1"/>
  <c r="AT78" i="148"/>
  <c r="AU108" i="148"/>
  <c r="AN168" i="148"/>
  <c r="AM189" i="148"/>
  <c r="AK190" i="148"/>
  <c r="AS158" i="148"/>
  <c r="BJ158" i="148" s="1"/>
  <c r="AS97" i="148"/>
  <c r="BJ97" i="148" s="1"/>
  <c r="AO126" i="148"/>
  <c r="AN98" i="148"/>
  <c r="AN159" i="148"/>
  <c r="AP87" i="148"/>
  <c r="AP90" i="148" s="1"/>
  <c r="AP49" i="148"/>
  <c r="AS112" i="148"/>
  <c r="AR122" i="148"/>
  <c r="AR82" i="148"/>
  <c r="AR107" i="148"/>
  <c r="AQ77" i="148"/>
  <c r="AQ117" i="148"/>
  <c r="AQ155" i="148"/>
  <c r="AQ94" i="148"/>
  <c r="AR106" i="148"/>
  <c r="AQ76" i="148"/>
  <c r="AK188" i="148"/>
  <c r="AS166" i="148"/>
  <c r="AR187" i="148"/>
  <c r="AN127" i="148"/>
  <c r="AM99" i="148"/>
  <c r="AS110" i="148"/>
  <c r="AR80" i="148"/>
  <c r="AN170" i="148"/>
  <c r="AM191" i="148"/>
  <c r="AM53" i="148"/>
  <c r="AM66" i="148" s="1"/>
  <c r="AJ100" i="148"/>
  <c r="AL129" i="148"/>
  <c r="AK101" i="148"/>
  <c r="BH101" i="148" s="1"/>
  <c r="BH230" i="148"/>
  <c r="J69" i="164" s="1"/>
  <c r="BO112" i="150"/>
  <c r="BO149" i="150" s="1"/>
  <c r="BN150" i="150"/>
  <c r="AL230" i="148" s="1"/>
  <c r="K122" i="164"/>
  <c r="BR71" i="75"/>
  <c r="BR69" i="75"/>
  <c r="BR72" i="75"/>
  <c r="BR81" i="75"/>
  <c r="BR70" i="75"/>
  <c r="BR10" i="75"/>
  <c r="I113" i="164"/>
  <c r="X6" i="164" s="1"/>
  <c r="BQ114" i="150"/>
  <c r="BR114" i="150" s="1"/>
  <c r="AO90" i="148"/>
  <c r="BI87" i="148"/>
  <c r="K27" i="164" s="1"/>
  <c r="BH236" i="148" l="1"/>
  <c r="BH235" i="148"/>
  <c r="AL101" i="148"/>
  <c r="AL128" i="148"/>
  <c r="AL100" i="148" s="1"/>
  <c r="AL241" i="148"/>
  <c r="AL235" i="148"/>
  <c r="AL246" i="148" s="1"/>
  <c r="AL257" i="148" s="1"/>
  <c r="AL236" i="148"/>
  <c r="AL237" i="148"/>
  <c r="AL248" i="148" s="1"/>
  <c r="BH237" i="148"/>
  <c r="K43" i="164"/>
  <c r="K35" i="164"/>
  <c r="BS172" i="150"/>
  <c r="BR192" i="150"/>
  <c r="AP229" i="148" s="1"/>
  <c r="BJ148" i="148"/>
  <c r="BJ136" i="148" s="1"/>
  <c r="BQ193" i="150"/>
  <c r="BS160" i="150"/>
  <c r="BS142" i="150"/>
  <c r="BT142" i="150" s="1"/>
  <c r="BU142" i="150" s="1"/>
  <c r="BV142" i="150" s="1"/>
  <c r="BW142" i="150" s="1"/>
  <c r="BX142" i="150" s="1"/>
  <c r="BY142" i="150" s="1"/>
  <c r="BT185" i="150"/>
  <c r="BU185" i="150" s="1"/>
  <c r="BV185" i="150" s="1"/>
  <c r="BW185" i="150" s="1"/>
  <c r="BX185" i="150" s="1"/>
  <c r="BY185" i="150" s="1"/>
  <c r="BT137" i="150"/>
  <c r="AS187" i="148"/>
  <c r="AT166" i="148"/>
  <c r="AS82" i="148"/>
  <c r="BJ82" i="148" s="1"/>
  <c r="AT112" i="148"/>
  <c r="BJ112" i="148"/>
  <c r="AU125" i="148"/>
  <c r="AT97" i="148"/>
  <c r="AT158" i="148"/>
  <c r="AV108" i="148"/>
  <c r="AU78" i="148"/>
  <c r="AS80" i="148"/>
  <c r="BJ80" i="148" s="1"/>
  <c r="AT110" i="148"/>
  <c r="BT106" i="150"/>
  <c r="BT107" i="150" s="1"/>
  <c r="BT109" i="150" s="1"/>
  <c r="BT11" i="150" s="1"/>
  <c r="BT12" i="150" s="1"/>
  <c r="BJ110" i="148"/>
  <c r="AP126" i="148"/>
  <c r="AO98" i="148"/>
  <c r="BI98" i="148" s="1"/>
  <c r="AO159" i="148"/>
  <c r="AM169" i="148"/>
  <c r="AL190" i="148"/>
  <c r="AO168" i="148"/>
  <c r="AN189" i="148"/>
  <c r="BI126" i="148"/>
  <c r="AN99" i="148"/>
  <c r="AO127" i="148"/>
  <c r="AN160" i="148"/>
  <c r="AN54" i="148" s="1"/>
  <c r="AQ49" i="148"/>
  <c r="AR155" i="148"/>
  <c r="AS122" i="148"/>
  <c r="BU106" i="150" s="1"/>
  <c r="AR94" i="148"/>
  <c r="AQ87" i="148"/>
  <c r="AQ90" i="148" s="1"/>
  <c r="AS106" i="148"/>
  <c r="AT106" i="148" s="1"/>
  <c r="AR76" i="148"/>
  <c r="AP62" i="148"/>
  <c r="AL188" i="148"/>
  <c r="AM167" i="148"/>
  <c r="AS107" i="148"/>
  <c r="AR77" i="148"/>
  <c r="AR117" i="148"/>
  <c r="AM129" i="148"/>
  <c r="AK100" i="148"/>
  <c r="BH100" i="148" s="1"/>
  <c r="BH128" i="148"/>
  <c r="AO170" i="148"/>
  <c r="AP170" i="148" s="1"/>
  <c r="AN191" i="148"/>
  <c r="AN53" i="148"/>
  <c r="AN66" i="148" s="1"/>
  <c r="BP112" i="150"/>
  <c r="BP149" i="150" s="1"/>
  <c r="BO150" i="150"/>
  <c r="AM230" i="148" s="1"/>
  <c r="BI90" i="148"/>
  <c r="J71" i="164" l="1"/>
  <c r="AL252" i="148"/>
  <c r="J59" i="164"/>
  <c r="AM237" i="148"/>
  <c r="AM235" i="148"/>
  <c r="BT172" i="150"/>
  <c r="BS192" i="150"/>
  <c r="AQ229" i="148" s="1"/>
  <c r="BR193" i="150"/>
  <c r="BI229" i="148"/>
  <c r="K68" i="164" s="1"/>
  <c r="BT160" i="150"/>
  <c r="BT143" i="150"/>
  <c r="BU143" i="150" s="1"/>
  <c r="BV143" i="150" s="1"/>
  <c r="BW143" i="150" s="1"/>
  <c r="BX143" i="150" s="1"/>
  <c r="BY143" i="150" s="1"/>
  <c r="BU186" i="150"/>
  <c r="BV186" i="150" s="1"/>
  <c r="BW186" i="150" s="1"/>
  <c r="BX186" i="150" s="1"/>
  <c r="BY186" i="150" s="1"/>
  <c r="BJ106" i="148"/>
  <c r="BU137" i="150"/>
  <c r="BJ122" i="148"/>
  <c r="AT122" i="148"/>
  <c r="AU112" i="148"/>
  <c r="AT82" i="148"/>
  <c r="AW108" i="148"/>
  <c r="AW78" i="148" s="1"/>
  <c r="BK78" i="148" s="1"/>
  <c r="AV78" i="148"/>
  <c r="AU166" i="148"/>
  <c r="AT187" i="148"/>
  <c r="BJ107" i="148"/>
  <c r="AT107" i="148"/>
  <c r="AU106" i="148"/>
  <c r="AT76" i="148"/>
  <c r="AT80" i="148"/>
  <c r="AU110" i="148"/>
  <c r="AU158" i="148"/>
  <c r="AU97" i="148"/>
  <c r="AV125" i="148"/>
  <c r="BU107" i="150"/>
  <c r="BU109" i="150" s="1"/>
  <c r="BU11" i="150" s="1"/>
  <c r="BU12" i="150" s="1"/>
  <c r="AP168" i="148"/>
  <c r="AO189" i="148"/>
  <c r="AN169" i="148"/>
  <c r="AM190" i="148"/>
  <c r="AM52" i="148"/>
  <c r="AQ126" i="148"/>
  <c r="AP98" i="148"/>
  <c r="AP159" i="148"/>
  <c r="AS155" i="148"/>
  <c r="BJ155" i="148" s="1"/>
  <c r="AS94" i="148"/>
  <c r="BJ94" i="148" s="1"/>
  <c r="L25" i="164" s="1"/>
  <c r="L41" i="164" s="1"/>
  <c r="L57" i="164" s="1"/>
  <c r="AR87" i="148"/>
  <c r="AR90" i="148" s="1"/>
  <c r="AR49" i="148"/>
  <c r="AP191" i="148"/>
  <c r="AQ170" i="148"/>
  <c r="AS77" i="148"/>
  <c r="BJ77" i="148" s="1"/>
  <c r="AS117" i="148"/>
  <c r="BJ117" i="148" s="1"/>
  <c r="AS76" i="148"/>
  <c r="BJ76" i="148" s="1"/>
  <c r="AQ62" i="148"/>
  <c r="AN167" i="148"/>
  <c r="AM188" i="148"/>
  <c r="AP127" i="148"/>
  <c r="AO160" i="148"/>
  <c r="AO99" i="148"/>
  <c r="BI99" i="148" s="1"/>
  <c r="BI127" i="148"/>
  <c r="AM101" i="148"/>
  <c r="AN129" i="148"/>
  <c r="AM128" i="148"/>
  <c r="AM236" i="148" s="1"/>
  <c r="AO191" i="148"/>
  <c r="AO53" i="148"/>
  <c r="BQ149" i="150"/>
  <c r="BP150" i="150"/>
  <c r="AN230" i="148" s="1"/>
  <c r="AN237" i="148" l="1"/>
  <c r="AN235" i="148"/>
  <c r="BU172" i="150"/>
  <c r="BV172" i="150" s="1"/>
  <c r="BW172" i="150" s="1"/>
  <c r="BX172" i="150" s="1"/>
  <c r="BY172" i="150" s="1"/>
  <c r="BT192" i="150"/>
  <c r="AR229" i="148" s="1"/>
  <c r="BS193" i="150"/>
  <c r="BU160" i="150"/>
  <c r="BU144" i="150"/>
  <c r="BV144" i="150" s="1"/>
  <c r="BW144" i="150" s="1"/>
  <c r="BX144" i="150" s="1"/>
  <c r="BY144" i="150" s="1"/>
  <c r="BV187" i="150"/>
  <c r="BV137" i="150"/>
  <c r="BV106" i="150"/>
  <c r="BV107" i="150" s="1"/>
  <c r="BV109" i="150" s="1"/>
  <c r="BV11" i="150" s="1"/>
  <c r="BV12" i="150" s="1"/>
  <c r="BJ145" i="148"/>
  <c r="BJ133" i="148" s="1"/>
  <c r="BK108" i="148"/>
  <c r="AP53" i="148"/>
  <c r="AV158" i="148"/>
  <c r="AW125" i="148"/>
  <c r="BK125" i="148" s="1"/>
  <c r="AV97" i="148"/>
  <c r="AV166" i="148"/>
  <c r="AU187" i="148"/>
  <c r="AU122" i="148"/>
  <c r="BW106" i="150" s="1"/>
  <c r="AU82" i="148"/>
  <c r="AV112" i="148"/>
  <c r="AV106" i="148"/>
  <c r="AU76" i="148"/>
  <c r="AT94" i="148"/>
  <c r="AT155" i="148"/>
  <c r="AV110" i="148"/>
  <c r="AU80" i="148"/>
  <c r="AT77" i="148"/>
  <c r="AU107" i="148"/>
  <c r="AT117" i="148"/>
  <c r="BQ150" i="150"/>
  <c r="AO230" i="148" s="1"/>
  <c r="BR149" i="150"/>
  <c r="AO169" i="148"/>
  <c r="AN52" i="148"/>
  <c r="AN65" i="148" s="1"/>
  <c r="AN190" i="148"/>
  <c r="AQ98" i="148"/>
  <c r="AR126" i="148"/>
  <c r="AQ159" i="148"/>
  <c r="AQ53" i="148" s="1"/>
  <c r="AP189" i="148"/>
  <c r="AQ168" i="148"/>
  <c r="AM65" i="148"/>
  <c r="AS87" i="148"/>
  <c r="AO54" i="148"/>
  <c r="AP160" i="148"/>
  <c r="AQ127" i="148"/>
  <c r="AP99" i="148"/>
  <c r="AN50" i="148"/>
  <c r="AN188" i="148"/>
  <c r="AO167" i="148"/>
  <c r="AR170" i="148"/>
  <c r="AQ191" i="148"/>
  <c r="AR62" i="148"/>
  <c r="AS49" i="148"/>
  <c r="BJ49" i="148" s="1"/>
  <c r="L9" i="164" s="1"/>
  <c r="AM100" i="148"/>
  <c r="AN162" i="148"/>
  <c r="AN101" i="148"/>
  <c r="AO129" i="148"/>
  <c r="AP129" i="148" s="1"/>
  <c r="AN128" i="148"/>
  <c r="AN236" i="148" s="1"/>
  <c r="AO66" i="148"/>
  <c r="BI53" i="148"/>
  <c r="BU192" i="150" l="1"/>
  <c r="AS229" i="148" s="1"/>
  <c r="AO235" i="148"/>
  <c r="AO237" i="148"/>
  <c r="U22" i="164"/>
  <c r="U32" i="164" s="1"/>
  <c r="BW187" i="150"/>
  <c r="BX187" i="150" s="1"/>
  <c r="BY187" i="150" s="1"/>
  <c r="BV192" i="150"/>
  <c r="AT229" i="148" s="1"/>
  <c r="BT193" i="150"/>
  <c r="BV145" i="150"/>
  <c r="BW145" i="150" s="1"/>
  <c r="BX145" i="150" s="1"/>
  <c r="BY145" i="150" s="1"/>
  <c r="BW188" i="150"/>
  <c r="BW107" i="150"/>
  <c r="BW109" i="150" s="1"/>
  <c r="BW11" i="150" s="1"/>
  <c r="BW12" i="150" s="1"/>
  <c r="BW137" i="150"/>
  <c r="AW112" i="148"/>
  <c r="AW82" i="148" s="1"/>
  <c r="BK82" i="148" s="1"/>
  <c r="AV122" i="148"/>
  <c r="BX106" i="150" s="1"/>
  <c r="BX107" i="150" s="1"/>
  <c r="BX109" i="150" s="1"/>
  <c r="BX11" i="150" s="1"/>
  <c r="BX12" i="150" s="1"/>
  <c r="AV82" i="148"/>
  <c r="AT87" i="148"/>
  <c r="AT90" i="148" s="1"/>
  <c r="AT49" i="148"/>
  <c r="AW166" i="148"/>
  <c r="AW187" i="148" s="1"/>
  <c r="AV187" i="148"/>
  <c r="AW158" i="148"/>
  <c r="BK158" i="148" s="1"/>
  <c r="BK148" i="148" s="1"/>
  <c r="BK136" i="148" s="1"/>
  <c r="AW97" i="148"/>
  <c r="BK97" i="148" s="1"/>
  <c r="AW110" i="148"/>
  <c r="AW80" i="148" s="1"/>
  <c r="BK80" i="148" s="1"/>
  <c r="AV80" i="148"/>
  <c r="AU94" i="148"/>
  <c r="AU155" i="148"/>
  <c r="AW106" i="148"/>
  <c r="BK106" i="148" s="1"/>
  <c r="AV76" i="148"/>
  <c r="AV107" i="148"/>
  <c r="AU77" i="148"/>
  <c r="AU117" i="148"/>
  <c r="AP128" i="148"/>
  <c r="AP161" i="148" s="1"/>
  <c r="AP66" i="148"/>
  <c r="BJ166" i="148"/>
  <c r="BS149" i="150"/>
  <c r="BR150" i="150"/>
  <c r="AP230" i="148" s="1"/>
  <c r="BI230" i="148"/>
  <c r="K69" i="164" s="1"/>
  <c r="AS90" i="148"/>
  <c r="BJ87" i="148"/>
  <c r="L27" i="164" s="1"/>
  <c r="L43" i="164" s="1"/>
  <c r="AR98" i="148"/>
  <c r="AR159" i="148"/>
  <c r="AR53" i="148" s="1"/>
  <c r="AS126" i="148"/>
  <c r="AT126" i="148" s="1"/>
  <c r="AQ189" i="148"/>
  <c r="AR168" i="148"/>
  <c r="AO190" i="148"/>
  <c r="AP169" i="148"/>
  <c r="AO52" i="148"/>
  <c r="BI237" i="148"/>
  <c r="AQ160" i="148"/>
  <c r="AQ99" i="148"/>
  <c r="AR127" i="148"/>
  <c r="AO67" i="148"/>
  <c r="AQ129" i="148"/>
  <c r="AP162" i="148"/>
  <c r="AP101" i="148"/>
  <c r="AS62" i="148"/>
  <c r="AQ66" i="148"/>
  <c r="AP167" i="148"/>
  <c r="AO50" i="148"/>
  <c r="AO188" i="148"/>
  <c r="AS170" i="148"/>
  <c r="AT170" i="148" s="1"/>
  <c r="AR191" i="148"/>
  <c r="AP54" i="148"/>
  <c r="AN100" i="148"/>
  <c r="AN161" i="148"/>
  <c r="AO162" i="148"/>
  <c r="AO101" i="148"/>
  <c r="BI101" i="148" s="1"/>
  <c r="AO128" i="148"/>
  <c r="AO236" i="148" s="1"/>
  <c r="BI129" i="148"/>
  <c r="BI235" i="148"/>
  <c r="AP100" i="148" l="1"/>
  <c r="AP235" i="148"/>
  <c r="AP237" i="148"/>
  <c r="AP236" i="148"/>
  <c r="K59" i="164"/>
  <c r="BX188" i="150"/>
  <c r="BY188" i="150" s="1"/>
  <c r="BW192" i="150"/>
  <c r="AU229" i="148" s="1"/>
  <c r="BU193" i="150"/>
  <c r="BX147" i="150"/>
  <c r="BY147" i="150" s="1"/>
  <c r="BY190" i="150"/>
  <c r="BW146" i="150"/>
  <c r="BX146" i="150" s="1"/>
  <c r="BY146" i="150" s="1"/>
  <c r="BX189" i="150"/>
  <c r="AP141" i="148"/>
  <c r="BX137" i="150"/>
  <c r="BK110" i="148"/>
  <c r="BK107" i="148"/>
  <c r="BK112" i="148"/>
  <c r="AW76" i="148"/>
  <c r="BK76" i="148" s="1"/>
  <c r="AT159" i="148"/>
  <c r="AU126" i="148"/>
  <c r="AT98" i="148"/>
  <c r="AT191" i="148"/>
  <c r="AU170" i="148"/>
  <c r="AU87" i="148"/>
  <c r="AU90" i="148" s="1"/>
  <c r="AT62" i="148"/>
  <c r="AW107" i="148"/>
  <c r="AV77" i="148"/>
  <c r="AV117" i="148"/>
  <c r="AU49" i="148"/>
  <c r="AV155" i="148"/>
  <c r="AW122" i="148"/>
  <c r="BY106" i="150" s="1"/>
  <c r="BY107" i="150" s="1"/>
  <c r="BY109" i="150" s="1"/>
  <c r="BY11" i="150" s="1"/>
  <c r="BY12" i="150" s="1"/>
  <c r="AV94" i="148"/>
  <c r="BJ126" i="148"/>
  <c r="BT149" i="150"/>
  <c r="BS150" i="150"/>
  <c r="AQ230" i="148" s="1"/>
  <c r="BJ187" i="148"/>
  <c r="AO65" i="148"/>
  <c r="BI52" i="148"/>
  <c r="AP190" i="148"/>
  <c r="AQ169" i="148"/>
  <c r="AP52" i="148"/>
  <c r="AS98" i="148"/>
  <c r="BJ98" i="148" s="1"/>
  <c r="AS159" i="148"/>
  <c r="AR189" i="148"/>
  <c r="AS168" i="148"/>
  <c r="AP188" i="148"/>
  <c r="AQ167" i="148"/>
  <c r="AP50" i="148"/>
  <c r="AP67" i="148"/>
  <c r="AS191" i="148"/>
  <c r="AR129" i="148"/>
  <c r="AQ162" i="148"/>
  <c r="AQ101" i="148"/>
  <c r="AS127" i="148"/>
  <c r="AT127" i="148" s="1"/>
  <c r="AR160" i="148"/>
  <c r="AR99" i="148"/>
  <c r="AQ54" i="148"/>
  <c r="AR66" i="148"/>
  <c r="AO63" i="148"/>
  <c r="AQ128" i="148"/>
  <c r="AN141" i="148"/>
  <c r="BI128" i="148"/>
  <c r="AO161" i="148"/>
  <c r="AO100" i="148"/>
  <c r="BI100" i="148" s="1"/>
  <c r="BI236" i="148"/>
  <c r="K71" i="164" s="1"/>
  <c r="AQ237" i="148" l="1"/>
  <c r="AQ236" i="148"/>
  <c r="AQ235" i="148"/>
  <c r="BY189" i="150"/>
  <c r="BY192" i="150" s="1"/>
  <c r="AW229" i="148" s="1"/>
  <c r="BX192" i="150"/>
  <c r="AV229" i="148" s="1"/>
  <c r="BV193" i="150"/>
  <c r="BJ229" i="148"/>
  <c r="L68" i="164" s="1"/>
  <c r="BY148" i="150"/>
  <c r="BY137" i="150"/>
  <c r="BK122" i="148"/>
  <c r="AT160" i="148"/>
  <c r="AU127" i="148"/>
  <c r="AT99" i="148"/>
  <c r="AV49" i="148"/>
  <c r="AW77" i="148"/>
  <c r="BK77" i="148" s="1"/>
  <c r="AW117" i="148"/>
  <c r="BK117" i="148" s="1"/>
  <c r="AP65" i="148"/>
  <c r="AU62" i="148"/>
  <c r="BJ127" i="148"/>
  <c r="AV126" i="148"/>
  <c r="AU98" i="148"/>
  <c r="AU159" i="148"/>
  <c r="AS189" i="148"/>
  <c r="AT168" i="148"/>
  <c r="AV170" i="148"/>
  <c r="AU191" i="148"/>
  <c r="AT53" i="148"/>
  <c r="AW155" i="148"/>
  <c r="BK155" i="148" s="1"/>
  <c r="BK145" i="148" s="1"/>
  <c r="AW94" i="148"/>
  <c r="BK94" i="148" s="1"/>
  <c r="M25" i="164" s="1"/>
  <c r="M41" i="164" s="1"/>
  <c r="M57" i="164" s="1"/>
  <c r="AV87" i="148"/>
  <c r="AV90" i="148" s="1"/>
  <c r="AS53" i="148"/>
  <c r="BJ53" i="148" s="1"/>
  <c r="BJ159" i="148"/>
  <c r="BU149" i="150"/>
  <c r="BT150" i="150"/>
  <c r="AR230" i="148" s="1"/>
  <c r="AQ52" i="148"/>
  <c r="AQ65" i="148" s="1"/>
  <c r="AR169" i="148"/>
  <c r="AQ190" i="148"/>
  <c r="AS129" i="148"/>
  <c r="AT129" i="148" s="1"/>
  <c r="AR162" i="148"/>
  <c r="AR101" i="148"/>
  <c r="AR54" i="148"/>
  <c r="AS66" i="148"/>
  <c r="AQ161" i="148"/>
  <c r="AQ100" i="148"/>
  <c r="AS160" i="148"/>
  <c r="BJ160" i="148" s="1"/>
  <c r="AS99" i="148"/>
  <c r="BJ99" i="148" s="1"/>
  <c r="AP63" i="148"/>
  <c r="AQ67" i="148"/>
  <c r="AR128" i="148"/>
  <c r="AR167" i="148"/>
  <c r="AQ188" i="148"/>
  <c r="AQ50" i="148"/>
  <c r="AO141" i="148"/>
  <c r="AR236" i="148" l="1"/>
  <c r="AR237" i="148"/>
  <c r="AR235" i="148"/>
  <c r="BJ150" i="148"/>
  <c r="BJ138" i="148" s="1"/>
  <c r="BJ149" i="148"/>
  <c r="BJ137" i="148" s="1"/>
  <c r="BW193" i="150"/>
  <c r="BK133" i="148"/>
  <c r="AV62" i="148"/>
  <c r="AV191" i="148"/>
  <c r="AW170" i="148"/>
  <c r="AW191" i="148" s="1"/>
  <c r="AU168" i="148"/>
  <c r="AT189" i="148"/>
  <c r="AT66" i="148"/>
  <c r="AU53" i="148"/>
  <c r="AU160" i="148"/>
  <c r="AU99" i="148"/>
  <c r="AV127" i="148"/>
  <c r="AT162" i="148"/>
  <c r="AU129" i="148"/>
  <c r="AT101" i="148"/>
  <c r="AW126" i="148"/>
  <c r="BK126" i="148" s="1"/>
  <c r="AV98" i="148"/>
  <c r="AV159" i="148"/>
  <c r="AT54" i="148"/>
  <c r="BJ129" i="148"/>
  <c r="AS128" i="148"/>
  <c r="BJ128" i="148" s="1"/>
  <c r="BJ66" i="148"/>
  <c r="BJ170" i="148"/>
  <c r="AW49" i="148"/>
  <c r="BK49" i="148" s="1"/>
  <c r="M9" i="164" s="1"/>
  <c r="AW87" i="148"/>
  <c r="AT128" i="148"/>
  <c r="BU150" i="150"/>
  <c r="AS230" i="148" s="1"/>
  <c r="BV149" i="150"/>
  <c r="AS169" i="148"/>
  <c r="AT169" i="148" s="1"/>
  <c r="AR190" i="148"/>
  <c r="AR52" i="148"/>
  <c r="AQ63" i="148"/>
  <c r="AS167" i="148"/>
  <c r="AT167" i="148" s="1"/>
  <c r="AR188" i="148"/>
  <c r="AR50" i="148"/>
  <c r="AQ141" i="148"/>
  <c r="AR67" i="148"/>
  <c r="AR161" i="148"/>
  <c r="AR100" i="148"/>
  <c r="AS54" i="148"/>
  <c r="BJ54" i="148" s="1"/>
  <c r="AS162" i="148"/>
  <c r="BJ162" i="148" s="1"/>
  <c r="BJ152" i="148" s="1"/>
  <c r="AS101" i="148"/>
  <c r="BJ101" i="148" s="1"/>
  <c r="AS236" i="148" l="1"/>
  <c r="BJ236" i="148" s="1"/>
  <c r="AS237" i="148"/>
  <c r="BJ237" i="148" s="1"/>
  <c r="AS235" i="148"/>
  <c r="BJ235" i="148" s="1"/>
  <c r="V22" i="164"/>
  <c r="V32" i="164" s="1"/>
  <c r="N9" i="164"/>
  <c r="M17" i="164"/>
  <c r="BX193" i="150"/>
  <c r="BY193" i="150"/>
  <c r="BK62" i="148"/>
  <c r="BK166" i="148"/>
  <c r="AW90" i="148"/>
  <c r="BK87" i="148"/>
  <c r="M27" i="164" s="1"/>
  <c r="M43" i="164" s="1"/>
  <c r="AS100" i="148"/>
  <c r="BJ100" i="148" s="1"/>
  <c r="BJ171" i="148"/>
  <c r="BJ140" i="148"/>
  <c r="AT161" i="148"/>
  <c r="AT100" i="148"/>
  <c r="AU54" i="148"/>
  <c r="BJ191" i="148"/>
  <c r="AT67" i="148"/>
  <c r="AV129" i="148"/>
  <c r="AV128" i="148" s="1"/>
  <c r="AU101" i="148"/>
  <c r="AU162" i="148"/>
  <c r="AU189" i="148"/>
  <c r="AV168" i="148"/>
  <c r="AT188" i="148"/>
  <c r="AU167" i="148"/>
  <c r="AT50" i="148"/>
  <c r="AR65" i="148"/>
  <c r="AU66" i="148"/>
  <c r="AV53" i="148"/>
  <c r="AU128" i="148"/>
  <c r="AS161" i="148"/>
  <c r="BJ161" i="148" s="1"/>
  <c r="BJ141" i="148" s="1"/>
  <c r="AT190" i="148"/>
  <c r="AU169" i="148"/>
  <c r="AT52" i="148"/>
  <c r="AW62" i="148"/>
  <c r="AV160" i="148"/>
  <c r="AV99" i="148"/>
  <c r="AW127" i="148"/>
  <c r="BK127" i="148" s="1"/>
  <c r="AW98" i="148"/>
  <c r="BK98" i="148" s="1"/>
  <c r="AW159" i="148"/>
  <c r="BK159" i="148" s="1"/>
  <c r="BJ230" i="148"/>
  <c r="L69" i="164" s="1"/>
  <c r="BW149" i="150"/>
  <c r="BV150" i="150"/>
  <c r="AT230" i="148" s="1"/>
  <c r="AS190" i="148"/>
  <c r="AS52" i="148"/>
  <c r="AS65" i="148" s="1"/>
  <c r="AR141" i="148"/>
  <c r="AS188" i="148"/>
  <c r="AS50" i="148"/>
  <c r="BJ50" i="148" s="1"/>
  <c r="AR63" i="148"/>
  <c r="AS67" i="148"/>
  <c r="L71" i="164" l="1"/>
  <c r="AT236" i="148"/>
  <c r="AT237" i="148"/>
  <c r="AT235" i="148"/>
  <c r="L59" i="164"/>
  <c r="W22" i="164"/>
  <c r="W32" i="164" s="1"/>
  <c r="O10" i="163"/>
  <c r="BK149" i="148"/>
  <c r="BK137" i="148" s="1"/>
  <c r="BJ151" i="148"/>
  <c r="BJ139" i="148" s="1"/>
  <c r="BK229" i="148"/>
  <c r="M68" i="164" s="1"/>
  <c r="BK187" i="148"/>
  <c r="BK177" i="148"/>
  <c r="BJ167" i="148"/>
  <c r="AT63" i="148"/>
  <c r="AT141" i="148"/>
  <c r="AV161" i="148"/>
  <c r="AV100" i="148"/>
  <c r="AU188" i="148"/>
  <c r="AV167" i="148"/>
  <c r="AU50" i="148"/>
  <c r="AW129" i="148"/>
  <c r="BK129" i="148" s="1"/>
  <c r="AV101" i="148"/>
  <c r="AV162" i="148"/>
  <c r="AW160" i="148"/>
  <c r="BK160" i="148" s="1"/>
  <c r="AW99" i="148"/>
  <c r="BK99" i="148" s="1"/>
  <c r="AU161" i="148"/>
  <c r="AU100" i="148"/>
  <c r="AS141" i="148"/>
  <c r="AV66" i="148"/>
  <c r="AV189" i="148"/>
  <c r="AW168" i="148"/>
  <c r="AW189" i="148" s="1"/>
  <c r="AU67" i="148"/>
  <c r="AV54" i="148"/>
  <c r="AT65" i="148"/>
  <c r="BJ52" i="148"/>
  <c r="AW53" i="148"/>
  <c r="BK53" i="148" s="1"/>
  <c r="AV169" i="148"/>
  <c r="AU190" i="148"/>
  <c r="AU52" i="148"/>
  <c r="BW150" i="150"/>
  <c r="AU230" i="148" s="1"/>
  <c r="BX149" i="150"/>
  <c r="AS63" i="148"/>
  <c r="AU236" i="148" l="1"/>
  <c r="AU235" i="148"/>
  <c r="AU237" i="148"/>
  <c r="AV141" i="148"/>
  <c r="BK150" i="148"/>
  <c r="BK138" i="148" s="1"/>
  <c r="BK66" i="148"/>
  <c r="BK170" i="148"/>
  <c r="AU65" i="148"/>
  <c r="AU141" i="148"/>
  <c r="AW162" i="148"/>
  <c r="BK162" i="148" s="1"/>
  <c r="BK152" i="148" s="1"/>
  <c r="BK140" i="148" s="1"/>
  <c r="AW101" i="148"/>
  <c r="BK101" i="148" s="1"/>
  <c r="AW128" i="148"/>
  <c r="BK128" i="148" s="1"/>
  <c r="AU63" i="148"/>
  <c r="AW169" i="148"/>
  <c r="AV190" i="148"/>
  <c r="AV52" i="148"/>
  <c r="AV188" i="148"/>
  <c r="AW167" i="148"/>
  <c r="AV50" i="148"/>
  <c r="AW66" i="148"/>
  <c r="AW54" i="148"/>
  <c r="BK54" i="148" s="1"/>
  <c r="AV67" i="148"/>
  <c r="BJ169" i="148"/>
  <c r="BJ65" i="148"/>
  <c r="BJ188" i="148"/>
  <c r="BX150" i="150"/>
  <c r="AV230" i="148" s="1"/>
  <c r="AV235" i="148" l="1"/>
  <c r="AV237" i="148"/>
  <c r="AV236" i="148"/>
  <c r="BK171" i="148"/>
  <c r="BK182" i="148" s="1"/>
  <c r="BK67" i="148"/>
  <c r="BK181" i="148"/>
  <c r="BK191" i="148"/>
  <c r="BY149" i="150"/>
  <c r="BY150" i="150" s="1"/>
  <c r="AW230" i="148" s="1"/>
  <c r="BJ190" i="148"/>
  <c r="AW190" i="148"/>
  <c r="AW52" i="148"/>
  <c r="BK52" i="148" s="1"/>
  <c r="AV63" i="148"/>
  <c r="AW67" i="148"/>
  <c r="AW188" i="148"/>
  <c r="AW50" i="148"/>
  <c r="BK50" i="148" s="1"/>
  <c r="AW161" i="148"/>
  <c r="AW100" i="148"/>
  <c r="BK100" i="148" s="1"/>
  <c r="AV65" i="148"/>
  <c r="AW237" i="148" l="1"/>
  <c r="BK237" i="148" s="1"/>
  <c r="AW236" i="148"/>
  <c r="BK236" i="148" s="1"/>
  <c r="AW235" i="148"/>
  <c r="BK235" i="148" s="1"/>
  <c r="BK65" i="148"/>
  <c r="BK169" i="148"/>
  <c r="BK63" i="148"/>
  <c r="BK167" i="148"/>
  <c r="BK230" i="148"/>
  <c r="M69" i="164" s="1"/>
  <c r="BK161" i="148"/>
  <c r="AW63" i="148"/>
  <c r="AW65" i="148"/>
  <c r="AW141" i="148"/>
  <c r="M71" i="164" l="1"/>
  <c r="BK188" i="148"/>
  <c r="BK178" i="148"/>
  <c r="BK180" i="148"/>
  <c r="BK190" i="148"/>
  <c r="BK141" i="148"/>
  <c r="BK151" i="148"/>
  <c r="BK139" i="148" s="1"/>
  <c r="O12" i="75" l="1"/>
  <c r="BQ14" i="75"/>
  <c r="BQ16" i="75" s="1"/>
  <c r="BQ73" i="75" s="1"/>
  <c r="AG7" i="148" s="1"/>
  <c r="AG25" i="148" l="1"/>
  <c r="BQ18" i="75"/>
  <c r="BQ17" i="75"/>
  <c r="BQ27" i="75"/>
  <c r="BQ74" i="75" s="1"/>
  <c r="O14" i="75"/>
  <c r="O16" i="75" s="1"/>
  <c r="BQ33" i="75" l="1"/>
  <c r="BQ28" i="75"/>
  <c r="BQ29" i="75"/>
  <c r="AG30" i="148"/>
  <c r="AG26" i="148"/>
  <c r="BG25" i="148"/>
  <c r="BG26" i="148" s="1"/>
  <c r="O17" i="75"/>
  <c r="O18" i="75"/>
  <c r="O154" i="75"/>
  <c r="O155" i="75"/>
  <c r="AG274" i="148"/>
  <c r="BQ45" i="75"/>
  <c r="BQ35" i="75"/>
  <c r="BQ34" i="75"/>
  <c r="BQ82" i="75"/>
  <c r="BQ75" i="75"/>
  <c r="AG8" i="148" s="1"/>
  <c r="AG28" i="148" l="1"/>
  <c r="AG31" i="148" s="1"/>
  <c r="BG30" i="148"/>
  <c r="I82" i="164" s="1"/>
  <c r="I91" i="164" s="1"/>
  <c r="O156" i="75"/>
  <c r="BQ46" i="75"/>
  <c r="BQ48" i="75"/>
  <c r="AG275" i="148"/>
  <c r="BG274" i="148"/>
  <c r="O73" i="75"/>
  <c r="I7" i="157"/>
  <c r="O27" i="75"/>
  <c r="BQ83" i="75"/>
  <c r="BQ76" i="75"/>
  <c r="AG32" i="148" l="1"/>
  <c r="AG216" i="148"/>
  <c r="BG275" i="148"/>
  <c r="BQ78" i="75"/>
  <c r="BQ57" i="75"/>
  <c r="BQ53" i="75"/>
  <c r="BQ84" i="75"/>
  <c r="BQ56" i="75"/>
  <c r="AG4" i="148"/>
  <c r="BQ54" i="75"/>
  <c r="O28" i="75"/>
  <c r="O74" i="75"/>
  <c r="O33" i="75"/>
  <c r="O29" i="75"/>
  <c r="BG7" i="148"/>
  <c r="I39" i="157"/>
  <c r="I8" i="157"/>
  <c r="AG221" i="148" l="1"/>
  <c r="AG219" i="148"/>
  <c r="AG222" i="148"/>
  <c r="AG226" i="148"/>
  <c r="AG223" i="148"/>
  <c r="AG224" i="148"/>
  <c r="R156" i="75"/>
  <c r="I44" i="157"/>
  <c r="I40" i="157"/>
  <c r="O34" i="75"/>
  <c r="O82" i="75"/>
  <c r="I12" i="157"/>
  <c r="O35" i="75"/>
  <c r="O75" i="75"/>
  <c r="BQ86" i="75"/>
  <c r="AG6" i="148" s="1"/>
  <c r="BQ85" i="75"/>
  <c r="AG5" i="148"/>
  <c r="I110" i="164"/>
  <c r="S156" i="75" l="1"/>
  <c r="T156" i="75"/>
  <c r="BG8" i="148"/>
  <c r="I46" i="157"/>
  <c r="I47" i="157" l="1"/>
  <c r="I49" i="157" l="1"/>
  <c r="I50" i="157" l="1"/>
  <c r="I51" i="157" l="1"/>
  <c r="O48" i="75"/>
  <c r="BQ77" i="75"/>
  <c r="I15" i="157" l="1"/>
  <c r="O228" i="75" l="1"/>
  <c r="X8" i="164" s="1"/>
  <c r="X7" i="164"/>
  <c r="O147" i="75" l="1"/>
  <c r="P95" i="75" l="1"/>
  <c r="P96" i="75" s="1"/>
  <c r="P97" i="75"/>
  <c r="O148" i="75"/>
  <c r="O230" i="75" l="1"/>
  <c r="O150" i="75"/>
  <c r="P39" i="75"/>
  <c r="P44" i="75" s="1"/>
  <c r="P98" i="75"/>
  <c r="O222" i="75" l="1"/>
  <c r="O221" i="75"/>
  <c r="BS39" i="75"/>
  <c r="BS44" i="75" s="1"/>
  <c r="J42" i="163"/>
  <c r="J13" i="157"/>
  <c r="BR39" i="75"/>
  <c r="BR44" i="75" s="1"/>
  <c r="BU39" i="75" l="1"/>
  <c r="BU44" i="75" s="1"/>
  <c r="BG155" i="148" l="1"/>
  <c r="BG166" i="148" s="1"/>
  <c r="AG133" i="148"/>
  <c r="BG241" i="148"/>
  <c r="BG208" i="148" l="1"/>
  <c r="BG187" i="148"/>
  <c r="BG177" i="148"/>
  <c r="BG252" i="148"/>
  <c r="I79" i="164"/>
  <c r="I97" i="164" s="1"/>
  <c r="BG145" i="148"/>
  <c r="BG133" i="148" s="1"/>
  <c r="I106" i="164" l="1"/>
  <c r="BG195" i="148"/>
  <c r="I88" i="164"/>
  <c r="BG263" i="148"/>
  <c r="I26" i="163" l="1"/>
  <c r="I34" i="163" s="1"/>
  <c r="R41" i="164"/>
  <c r="BR14" i="75" l="1"/>
  <c r="BR16" i="75" s="1"/>
  <c r="AH25" i="148" s="1"/>
  <c r="AH30" i="148" l="1"/>
  <c r="AH28" i="148" s="1"/>
  <c r="AH31" i="148" s="1"/>
  <c r="AH26" i="148"/>
  <c r="O184" i="75"/>
  <c r="O198" i="75"/>
  <c r="AH216" i="148" l="1"/>
  <c r="AH32" i="148"/>
  <c r="O103" i="75"/>
  <c r="O104" i="75" s="1"/>
  <c r="O44" i="75"/>
  <c r="O98" i="75"/>
  <c r="O96" i="75"/>
  <c r="I13" i="157" l="1"/>
  <c r="I42" i="163"/>
  <c r="O45" i="75"/>
  <c r="O52" i="75" l="1"/>
  <c r="O235" i="75"/>
  <c r="O46" i="75"/>
  <c r="O83" i="75"/>
  <c r="O77" i="75"/>
  <c r="O76" i="75"/>
  <c r="I14" i="157"/>
  <c r="O224" i="75" l="1"/>
  <c r="BG9" i="148" s="1"/>
  <c r="O62" i="75"/>
  <c r="I17" i="157"/>
  <c r="O61" i="75"/>
  <c r="O54" i="75"/>
  <c r="O78" i="75"/>
  <c r="O53" i="75"/>
  <c r="BG4" i="148"/>
  <c r="O169" i="75"/>
  <c r="O162" i="75"/>
  <c r="O59" i="75"/>
  <c r="O84" i="75"/>
  <c r="O56" i="75" l="1"/>
  <c r="P187" i="75"/>
  <c r="O60" i="75"/>
  <c r="O178" i="75"/>
  <c r="O57" i="75"/>
  <c r="BK2" i="75"/>
  <c r="I81" i="157"/>
  <c r="I80" i="157" s="1"/>
  <c r="I77" i="157" s="1"/>
  <c r="O223" i="75"/>
  <c r="I18" i="157" l="1"/>
  <c r="I19" i="157" s="1"/>
  <c r="O85" i="75"/>
  <c r="BG5" i="148"/>
  <c r="I78" i="157"/>
  <c r="I75" i="157" s="1"/>
  <c r="I73" i="157" s="1"/>
  <c r="I79" i="157"/>
  <c r="I83" i="157" l="1"/>
  <c r="I90" i="157" s="1"/>
  <c r="BG6" i="148"/>
  <c r="I76" i="157"/>
  <c r="I74" i="157"/>
  <c r="I84" i="157" l="1"/>
  <c r="BR27" i="75" l="1"/>
  <c r="BR17" i="75"/>
  <c r="BR18" i="75"/>
  <c r="BR73" i="75"/>
  <c r="BR74" i="75" l="1"/>
  <c r="BR29" i="75"/>
  <c r="BR28" i="75"/>
  <c r="BR33" i="75"/>
  <c r="AH274" i="148" l="1"/>
  <c r="AH275" i="148" s="1"/>
  <c r="BR45" i="75"/>
  <c r="BR34" i="75"/>
  <c r="BR82" i="75"/>
  <c r="BR75" i="75"/>
  <c r="BR35" i="75"/>
  <c r="BR46" i="75" l="1"/>
  <c r="BR76" i="75"/>
  <c r="BR83" i="75"/>
  <c r="BR57" i="75" l="1"/>
  <c r="BR56" i="75"/>
  <c r="BR84" i="75"/>
  <c r="BR53" i="75"/>
  <c r="BR54" i="75"/>
  <c r="BR78" i="75"/>
  <c r="BR48" i="75"/>
  <c r="BR77" i="75" s="1"/>
  <c r="BR85" i="75" l="1"/>
  <c r="BR86" i="75"/>
  <c r="AH136" i="148" l="1"/>
  <c r="AY136" i="148" s="1"/>
  <c r="AH140" i="148"/>
  <c r="AH137" i="148"/>
  <c r="AY137" i="148" s="1"/>
  <c r="AH135" i="148"/>
  <c r="AY135" i="148" s="1"/>
  <c r="AH138" i="148"/>
  <c r="AY138" i="148" s="1"/>
  <c r="AH133" i="148"/>
  <c r="AY133" i="148" s="1"/>
  <c r="AY140" i="148" l="1"/>
  <c r="AI24" i="148" l="1"/>
  <c r="AI174" i="148" l="1"/>
  <c r="AI12" i="148" l="1"/>
  <c r="AI13" i="148"/>
  <c r="AI286" i="148"/>
  <c r="AI288" i="148"/>
  <c r="AI290" i="148"/>
  <c r="AI287" i="148"/>
  <c r="AI289" i="148"/>
  <c r="AI294" i="148"/>
  <c r="AI185" i="148"/>
  <c r="BS71" i="75" l="1"/>
  <c r="BS72" i="75"/>
  <c r="BS70" i="75"/>
  <c r="BS69" i="75"/>
  <c r="BS10" i="75"/>
  <c r="BS81" i="75"/>
  <c r="AH211" i="148" l="1"/>
  <c r="AH210" i="148"/>
  <c r="AH213" i="148"/>
  <c r="AH212" i="148"/>
  <c r="AH245" i="148" s="1"/>
  <c r="AH223" i="148" l="1"/>
  <c r="AH224" i="148"/>
  <c r="AH246" i="148"/>
  <c r="AH256" i="148"/>
  <c r="AI267" i="148" s="1"/>
  <c r="AH243" i="148"/>
  <c r="AH244" i="148"/>
  <c r="AH222" i="148"/>
  <c r="AH221" i="148"/>
  <c r="AH255" i="148" l="1"/>
  <c r="AI266" i="148" s="1"/>
  <c r="AH257" i="148"/>
  <c r="AI268" i="148" s="1"/>
  <c r="AH267" i="148"/>
  <c r="AH254" i="148"/>
  <c r="AI265" i="148" s="1"/>
  <c r="AH215" i="148"/>
  <c r="AH265" i="148" l="1"/>
  <c r="AH268" i="148"/>
  <c r="AH248" i="148"/>
  <c r="AH266" i="148"/>
  <c r="AH226" i="148"/>
  <c r="AH208" i="148"/>
  <c r="AH259" i="148" l="1"/>
  <c r="AH219" i="148"/>
  <c r="AH241" i="148"/>
  <c r="AH252" i="148" l="1"/>
  <c r="AI263" i="148" s="1"/>
  <c r="AH270" i="148"/>
  <c r="BS33" i="75"/>
  <c r="BS17" i="75"/>
  <c r="BS18" i="75"/>
  <c r="BS73" i="75"/>
  <c r="AI274" i="148" l="1"/>
  <c r="AI275" i="148" s="1"/>
  <c r="AH263" i="148"/>
  <c r="BS34" i="75"/>
  <c r="BS75" i="75"/>
  <c r="BS82" i="75"/>
  <c r="BS35" i="75"/>
  <c r="BS45" i="75"/>
  <c r="BS29" i="75"/>
  <c r="BS28" i="75"/>
  <c r="BS74" i="75"/>
  <c r="BS48" i="75" l="1"/>
  <c r="BS77" i="75" s="1"/>
  <c r="BS76" i="75"/>
  <c r="BS83" i="75"/>
  <c r="BS46" i="75"/>
  <c r="BS57" i="75" l="1"/>
  <c r="BS56" i="75"/>
  <c r="BS78" i="75"/>
  <c r="BS54" i="75"/>
  <c r="BS84" i="75"/>
  <c r="BS53" i="75"/>
  <c r="BS85" i="75" l="1"/>
  <c r="BS86" i="75"/>
  <c r="AI18" i="148" l="1"/>
  <c r="AM18" i="148" l="1"/>
  <c r="AQ18" i="148" s="1"/>
  <c r="AI33" i="148"/>
  <c r="BH18" i="148"/>
  <c r="AU18" i="148" l="1"/>
  <c r="BK18" i="148" s="1"/>
  <c r="BJ18" i="148"/>
  <c r="BI18" i="148"/>
  <c r="AM33" i="148"/>
  <c r="BI33" i="148" s="1"/>
  <c r="BI34" i="148" s="1"/>
  <c r="AQ33" i="148"/>
  <c r="AI29" i="148"/>
  <c r="AI28" i="148" s="1"/>
  <c r="BH33" i="148"/>
  <c r="BH34" i="148" s="1"/>
  <c r="AM29" i="148" l="1"/>
  <c r="AQ29" i="148"/>
  <c r="BJ29" i="148" s="1"/>
  <c r="BJ33" i="148"/>
  <c r="BJ34" i="148" s="1"/>
  <c r="AU33" i="148"/>
  <c r="BH29" i="148"/>
  <c r="BI29" i="148"/>
  <c r="AI31" i="148"/>
  <c r="AU29" i="148" l="1"/>
  <c r="BK29" i="148" s="1"/>
  <c r="BK33" i="148"/>
  <c r="BK34" i="148" s="1"/>
  <c r="AI32" i="148"/>
  <c r="AI216" i="148"/>
  <c r="BG33" i="148" l="1"/>
  <c r="BG34" i="148" s="1"/>
  <c r="AD29" i="148"/>
  <c r="BG29" i="148" s="1"/>
  <c r="AD28" i="148" l="1"/>
  <c r="BG28" i="148" s="1"/>
  <c r="AD31" i="148" l="1"/>
  <c r="BG31" i="148"/>
  <c r="BG32" i="148" s="1"/>
  <c r="AD216" i="148"/>
  <c r="AD32" i="148"/>
  <c r="BG216" i="148" l="1"/>
  <c r="AD224" i="148"/>
  <c r="AD223" i="148"/>
  <c r="AD221" i="148"/>
  <c r="AD222" i="148"/>
  <c r="AD219" i="148"/>
  <c r="AD226" i="148"/>
  <c r="BG224" i="148" l="1"/>
  <c r="BG222" i="148"/>
  <c r="BG221" i="148"/>
  <c r="BG219" i="148"/>
  <c r="BG223" i="148"/>
  <c r="BG218" i="148"/>
  <c r="BG226" i="148"/>
  <c r="AI133" i="148" l="1"/>
  <c r="AI173" i="148" l="1"/>
  <c r="AJ173" i="148" s="1"/>
  <c r="AI162" i="148" l="1"/>
  <c r="AI259" i="148" s="1"/>
  <c r="AI270" i="148" s="1"/>
  <c r="AI140" i="148"/>
  <c r="AJ185" i="148" l="1"/>
  <c r="AJ290" i="148" l="1"/>
  <c r="AJ286" i="148"/>
  <c r="AJ294" i="148"/>
  <c r="AJ288" i="148"/>
  <c r="AJ289" i="148"/>
  <c r="AJ287" i="148"/>
  <c r="BT81" i="75" l="1"/>
  <c r="BT72" i="75"/>
  <c r="BT70" i="75"/>
  <c r="BT10" i="75"/>
  <c r="BT71" i="75"/>
  <c r="BT69" i="75"/>
  <c r="AI221" i="148" l="1"/>
  <c r="AI219" i="148"/>
  <c r="AI222" i="148"/>
  <c r="AI224" i="148"/>
  <c r="AI223" i="148"/>
  <c r="AI226" i="148"/>
  <c r="BT27" i="75" l="1"/>
  <c r="BT73" i="75"/>
  <c r="BT17" i="75"/>
  <c r="BT29" i="75" l="1"/>
  <c r="BT28" i="75"/>
  <c r="BT33" i="75"/>
  <c r="BT74" i="75"/>
  <c r="AJ274" i="148" l="1"/>
  <c r="AJ275" i="148" s="1"/>
  <c r="BT45" i="75"/>
  <c r="BT35" i="75"/>
  <c r="BT82" i="75"/>
  <c r="BT75" i="75"/>
  <c r="BT34" i="75"/>
  <c r="BT83" i="75" l="1"/>
  <c r="BT46" i="75"/>
  <c r="BT76" i="75"/>
  <c r="BT57" i="75" l="1"/>
  <c r="BT56" i="75"/>
  <c r="BT54" i="75"/>
  <c r="BT78" i="75"/>
  <c r="BT53" i="75"/>
  <c r="BT48" i="75"/>
  <c r="BT77" i="75" s="1"/>
  <c r="BT84" i="75"/>
  <c r="BT86" i="75" l="1"/>
  <c r="BT85" i="75"/>
  <c r="AJ28" i="148" l="1"/>
  <c r="AJ31" i="148" l="1"/>
  <c r="CO20" i="149"/>
  <c r="AJ62" i="148"/>
  <c r="AJ155" i="148"/>
  <c r="CO25" i="149" l="1"/>
  <c r="AJ114" i="148"/>
  <c r="AJ32" i="148"/>
  <c r="AJ216" i="148"/>
  <c r="AJ133" i="148"/>
  <c r="AJ252" i="148"/>
  <c r="AJ116" i="148" l="1"/>
  <c r="AJ84" i="148"/>
  <c r="AJ118" i="148"/>
  <c r="BH114" i="148"/>
  <c r="BH155" i="148"/>
  <c r="BH145" i="148" s="1"/>
  <c r="BH133" i="148" s="1"/>
  <c r="AJ263" i="148"/>
  <c r="AK62" i="148"/>
  <c r="BH49" i="148"/>
  <c r="AJ124" i="148" l="1"/>
  <c r="AJ232" i="148" s="1"/>
  <c r="AJ231" i="148"/>
  <c r="AJ234" i="148"/>
  <c r="AJ245" i="148" s="1"/>
  <c r="AJ233" i="148"/>
  <c r="AJ244" i="148" s="1"/>
  <c r="BH118" i="148"/>
  <c r="AJ88" i="148"/>
  <c r="AJ91" i="148" s="1"/>
  <c r="AK118" i="148"/>
  <c r="AK84" i="148"/>
  <c r="BH84" i="148" s="1"/>
  <c r="AK116" i="148"/>
  <c r="AJ86" i="148"/>
  <c r="AJ89" i="148" s="1"/>
  <c r="AJ20" i="148"/>
  <c r="AJ22" i="148" s="1"/>
  <c r="J9" i="164"/>
  <c r="BH62" i="148"/>
  <c r="BH166" i="148"/>
  <c r="AK124" i="148" l="1"/>
  <c r="AK233" i="148"/>
  <c r="AK244" i="148" s="1"/>
  <c r="AK231" i="148"/>
  <c r="AK242" i="148" s="1"/>
  <c r="AK234" i="148"/>
  <c r="AK245" i="148" s="1"/>
  <c r="AL118" i="148"/>
  <c r="AL116" i="148"/>
  <c r="AL86" i="148" s="1"/>
  <c r="AL89" i="148" s="1"/>
  <c r="AK20" i="148"/>
  <c r="AK86" i="148"/>
  <c r="BH116" i="148"/>
  <c r="AK88" i="148"/>
  <c r="BH231" i="148"/>
  <c r="AJ96" i="148"/>
  <c r="AJ243" i="148"/>
  <c r="AJ130" i="148"/>
  <c r="BH187" i="148"/>
  <c r="BH177" i="148"/>
  <c r="S22" i="164"/>
  <c r="J17" i="164"/>
  <c r="AL124" i="148" l="1"/>
  <c r="AL88" i="148"/>
  <c r="AL91" i="148" s="1"/>
  <c r="AL234" i="148"/>
  <c r="AL245" i="148" s="1"/>
  <c r="AL256" i="148" s="1"/>
  <c r="AL231" i="148"/>
  <c r="AL242" i="148" s="1"/>
  <c r="AL253" i="148" s="1"/>
  <c r="AL233" i="148"/>
  <c r="AL244" i="148" s="1"/>
  <c r="AL255" i="148" s="1"/>
  <c r="BH234" i="148"/>
  <c r="BH233" i="148"/>
  <c r="AK135" i="148"/>
  <c r="AK232" i="148"/>
  <c r="AK243" i="148" s="1"/>
  <c r="AK249" i="148" s="1"/>
  <c r="AJ102" i="148"/>
  <c r="AK96" i="148"/>
  <c r="BH96" i="148" s="1"/>
  <c r="J26" i="164" s="1"/>
  <c r="AK130" i="148"/>
  <c r="AK102" i="148" s="1"/>
  <c r="BH102" i="148" s="1"/>
  <c r="AK89" i="148"/>
  <c r="BH86" i="148"/>
  <c r="AL20" i="148"/>
  <c r="BH124" i="148"/>
  <c r="AK91" i="148"/>
  <c r="BH88" i="148"/>
  <c r="AM116" i="148"/>
  <c r="AM84" i="148"/>
  <c r="AM118" i="148"/>
  <c r="BH20" i="148"/>
  <c r="BH16" i="148" s="1"/>
  <c r="AK22" i="148"/>
  <c r="BH208" i="148"/>
  <c r="BH195" i="148" s="1"/>
  <c r="AL96" i="148" l="1"/>
  <c r="AL232" i="148"/>
  <c r="AL243" i="148" s="1"/>
  <c r="AL254" i="148" s="1"/>
  <c r="J34" i="164"/>
  <c r="J42" i="164"/>
  <c r="I58" i="164" s="1"/>
  <c r="I60" i="164" s="1"/>
  <c r="AM124" i="148"/>
  <c r="AM232" i="148" s="1"/>
  <c r="AM231" i="148"/>
  <c r="AM233" i="148"/>
  <c r="AM234" i="148"/>
  <c r="BH232" i="148"/>
  <c r="AL130" i="148"/>
  <c r="AL102" i="148" s="1"/>
  <c r="AM86" i="148"/>
  <c r="AM89" i="148" s="1"/>
  <c r="AM20" i="148"/>
  <c r="BH92" i="148"/>
  <c r="BH89" i="148"/>
  <c r="BH130" i="148"/>
  <c r="AN118" i="148"/>
  <c r="AN84" i="148"/>
  <c r="AN116" i="148"/>
  <c r="AO114" i="148"/>
  <c r="BI114" i="148" s="1"/>
  <c r="BH91" i="148"/>
  <c r="AM88" i="148"/>
  <c r="AM91" i="148" s="1"/>
  <c r="AJ66" i="148"/>
  <c r="AJ65" i="148"/>
  <c r="AJ64" i="148"/>
  <c r="AK64" i="148"/>
  <c r="BH51" i="148"/>
  <c r="AJ68" i="148"/>
  <c r="AJ69" i="148"/>
  <c r="AJ162" i="148"/>
  <c r="AJ259" i="148" s="1"/>
  <c r="AJ67" i="148"/>
  <c r="AJ71" i="148"/>
  <c r="AJ157" i="148"/>
  <c r="AJ254" i="148" s="1"/>
  <c r="AJ160" i="148"/>
  <c r="AJ257" i="148" s="1"/>
  <c r="AJ159" i="148"/>
  <c r="AJ256" i="148" s="1"/>
  <c r="AJ158" i="148"/>
  <c r="AJ255" i="148" s="1"/>
  <c r="AN124" i="148" l="1"/>
  <c r="AN232" i="148" s="1"/>
  <c r="AN234" i="148"/>
  <c r="AN233" i="148"/>
  <c r="AN231" i="148"/>
  <c r="J70" i="164"/>
  <c r="I61" i="164"/>
  <c r="I117" i="164"/>
  <c r="AN20" i="148"/>
  <c r="AN86" i="148"/>
  <c r="AN89" i="148" s="1"/>
  <c r="AM96" i="148"/>
  <c r="AM130" i="148"/>
  <c r="AM102" i="148" s="1"/>
  <c r="J125" i="164"/>
  <c r="AN88" i="148"/>
  <c r="AN91" i="148" s="1"/>
  <c r="AO116" i="148"/>
  <c r="AO84" i="148"/>
  <c r="BI84" i="148" s="1"/>
  <c r="AP114" i="148"/>
  <c r="AO118" i="148"/>
  <c r="AJ137" i="148"/>
  <c r="AJ140" i="148"/>
  <c r="AJ270" i="148"/>
  <c r="AJ267" i="148"/>
  <c r="AJ268" i="148"/>
  <c r="AJ266" i="148"/>
  <c r="AJ135" i="148"/>
  <c r="AJ265" i="148"/>
  <c r="AJ136" i="148"/>
  <c r="BH158" i="148" s="1"/>
  <c r="AJ138" i="148"/>
  <c r="BH160" i="148" s="1"/>
  <c r="BH157" i="148"/>
  <c r="BH147" i="148" s="1"/>
  <c r="BH159" i="148"/>
  <c r="BH149" i="148" s="1"/>
  <c r="BH64" i="148"/>
  <c r="J72" i="164" l="1"/>
  <c r="AO124" i="148"/>
  <c r="AO232" i="148" s="1"/>
  <c r="AO234" i="148"/>
  <c r="BI234" i="148" s="1"/>
  <c r="AO233" i="148"/>
  <c r="BI233" i="148" s="1"/>
  <c r="AO231" i="148"/>
  <c r="BI231" i="148" s="1"/>
  <c r="BI118" i="148"/>
  <c r="AO88" i="148"/>
  <c r="J127" i="164"/>
  <c r="J126" i="164"/>
  <c r="AN157" i="148"/>
  <c r="AN96" i="148"/>
  <c r="AN130" i="148"/>
  <c r="AN102" i="148" s="1"/>
  <c r="BI116" i="148"/>
  <c r="AO20" i="148"/>
  <c r="BI20" i="148" s="1"/>
  <c r="BI16" i="148" s="1"/>
  <c r="AO86" i="148"/>
  <c r="AP118" i="148"/>
  <c r="AP116" i="148"/>
  <c r="AQ114" i="148"/>
  <c r="AP84" i="148"/>
  <c r="BH150" i="148"/>
  <c r="BH138" i="148" s="1"/>
  <c r="BH137" i="148"/>
  <c r="AK69" i="148"/>
  <c r="BH56" i="148"/>
  <c r="BH148" i="148"/>
  <c r="BH136" i="148" s="1"/>
  <c r="BH53" i="148"/>
  <c r="AK66" i="148"/>
  <c r="BH168" i="148"/>
  <c r="BH135" i="148"/>
  <c r="AP124" i="148" l="1"/>
  <c r="AP232" i="148" s="1"/>
  <c r="AP234" i="148"/>
  <c r="AP233" i="148"/>
  <c r="AP231" i="148"/>
  <c r="J73" i="164"/>
  <c r="J113" i="164"/>
  <c r="Y6" i="164" s="1"/>
  <c r="AQ116" i="148"/>
  <c r="AQ118" i="148"/>
  <c r="AQ84" i="148"/>
  <c r="AR114" i="148"/>
  <c r="AL22" i="148"/>
  <c r="AP86" i="148"/>
  <c r="AP89" i="148" s="1"/>
  <c r="AP20" i="148"/>
  <c r="BI86" i="148"/>
  <c r="AO89" i="148"/>
  <c r="AO157" i="148"/>
  <c r="AO96" i="148"/>
  <c r="BI96" i="148" s="1"/>
  <c r="K26" i="164" s="1"/>
  <c r="BI232" i="148"/>
  <c r="K70" i="164" s="1"/>
  <c r="AO130" i="148"/>
  <c r="BI124" i="148"/>
  <c r="AN51" i="148"/>
  <c r="AN163" i="148"/>
  <c r="AN142" i="148"/>
  <c r="AP88" i="148"/>
  <c r="AP91" i="148" s="1"/>
  <c r="BI88" i="148"/>
  <c r="AO91" i="148"/>
  <c r="BH189" i="148"/>
  <c r="BH179" i="148"/>
  <c r="BH52" i="148"/>
  <c r="AK65" i="148"/>
  <c r="BH69" i="148"/>
  <c r="BH66" i="148"/>
  <c r="BH170" i="148"/>
  <c r="BI66" i="148"/>
  <c r="AK67" i="148"/>
  <c r="BH54" i="148"/>
  <c r="BH210" i="148"/>
  <c r="AQ124" i="148" l="1"/>
  <c r="AQ232" i="148" s="1"/>
  <c r="AQ231" i="148"/>
  <c r="AQ233" i="148"/>
  <c r="AQ234" i="148"/>
  <c r="K42" i="164"/>
  <c r="K34" i="164"/>
  <c r="K72" i="164"/>
  <c r="K73" i="164" s="1"/>
  <c r="AN59" i="148"/>
  <c r="AO102" i="148"/>
  <c r="BI102" i="148" s="1"/>
  <c r="BI130" i="148"/>
  <c r="BI92" i="148"/>
  <c r="BI89" i="148"/>
  <c r="AR118" i="148"/>
  <c r="AR116" i="148"/>
  <c r="AS114" i="148"/>
  <c r="AT114" i="148" s="1"/>
  <c r="AU114" i="148" s="1"/>
  <c r="AV114" i="148" s="1"/>
  <c r="AW114" i="148" s="1"/>
  <c r="AR84" i="148"/>
  <c r="AP157" i="148"/>
  <c r="AP96" i="148"/>
  <c r="AP130" i="148"/>
  <c r="AQ88" i="148"/>
  <c r="AQ91" i="148" s="1"/>
  <c r="BI91" i="148"/>
  <c r="AN21" i="148"/>
  <c r="AO51" i="148"/>
  <c r="AO163" i="148"/>
  <c r="AO21" i="148" s="1"/>
  <c r="AO22" i="148" s="1"/>
  <c r="AO142" i="148"/>
  <c r="AQ86" i="148"/>
  <c r="AQ89" i="148" s="1"/>
  <c r="AQ20" i="148"/>
  <c r="BH212" i="148"/>
  <c r="BH199" i="148" s="1"/>
  <c r="BH191" i="148"/>
  <c r="BH181" i="148"/>
  <c r="BI65" i="148"/>
  <c r="BH65" i="148"/>
  <c r="BH169" i="148"/>
  <c r="BH211" i="148"/>
  <c r="BH171" i="148"/>
  <c r="BH67" i="148"/>
  <c r="BH197" i="148"/>
  <c r="BH213" i="148"/>
  <c r="AR124" i="148" l="1"/>
  <c r="AR232" i="148" s="1"/>
  <c r="AR234" i="148"/>
  <c r="AR233" i="148"/>
  <c r="AR231" i="148"/>
  <c r="J58" i="164"/>
  <c r="J60" i="164" s="1"/>
  <c r="AT84" i="148"/>
  <c r="AT116" i="148"/>
  <c r="AT118" i="148"/>
  <c r="AN22" i="148"/>
  <c r="AP102" i="148"/>
  <c r="AQ157" i="148"/>
  <c r="AQ96" i="148"/>
  <c r="AQ130" i="148"/>
  <c r="AQ102" i="148" s="1"/>
  <c r="AS84" i="148"/>
  <c r="BJ84" i="148" s="1"/>
  <c r="AS116" i="148"/>
  <c r="AS118" i="148"/>
  <c r="K113" i="164"/>
  <c r="Z6" i="164" s="1"/>
  <c r="AP51" i="148"/>
  <c r="AP163" i="148"/>
  <c r="AP142" i="148"/>
  <c r="AO64" i="148"/>
  <c r="AO59" i="148"/>
  <c r="AO72" i="148" s="1"/>
  <c r="AR20" i="148"/>
  <c r="AR86" i="148"/>
  <c r="AR89" i="148" s="1"/>
  <c r="AR88" i="148"/>
  <c r="AR91" i="148" s="1"/>
  <c r="BJ114" i="148"/>
  <c r="BH198" i="148"/>
  <c r="BH21" i="148"/>
  <c r="BH22" i="148" s="1"/>
  <c r="BH190" i="148"/>
  <c r="BH180" i="148"/>
  <c r="BH28" i="148"/>
  <c r="BH30" i="148"/>
  <c r="J82" i="164" s="1"/>
  <c r="BH200" i="148"/>
  <c r="BH182" i="148"/>
  <c r="AT124" i="148" l="1"/>
  <c r="AT232" i="148" s="1"/>
  <c r="AT234" i="148"/>
  <c r="AT233" i="148"/>
  <c r="AT231" i="148"/>
  <c r="BJ118" i="148"/>
  <c r="AS124" i="148"/>
  <c r="AS232" i="148" s="1"/>
  <c r="AS233" i="148"/>
  <c r="BJ233" i="148" s="1"/>
  <c r="AS231" i="148"/>
  <c r="BJ231" i="148" s="1"/>
  <c r="AS234" i="148"/>
  <c r="BJ234" i="148" s="1"/>
  <c r="J61" i="164"/>
  <c r="J117" i="164"/>
  <c r="AU84" i="148"/>
  <c r="AU116" i="148"/>
  <c r="AU118" i="148"/>
  <c r="AT86" i="148"/>
  <c r="AT20" i="148"/>
  <c r="AT88" i="148"/>
  <c r="AS88" i="148"/>
  <c r="AQ51" i="148"/>
  <c r="AQ163" i="148"/>
  <c r="AQ21" i="148" s="1"/>
  <c r="AQ22" i="148" s="1"/>
  <c r="AQ142" i="148"/>
  <c r="AS20" i="148"/>
  <c r="BJ20" i="148" s="1"/>
  <c r="BJ16" i="148" s="1"/>
  <c r="AS86" i="148"/>
  <c r="AP21" i="148"/>
  <c r="BJ116" i="148"/>
  <c r="AP64" i="148"/>
  <c r="AP59" i="148"/>
  <c r="AP72" i="148" s="1"/>
  <c r="AR96" i="148"/>
  <c r="AR157" i="148"/>
  <c r="AR130" i="148"/>
  <c r="AR102" i="148" s="1"/>
  <c r="J91" i="164"/>
  <c r="AU124" i="148" l="1"/>
  <c r="AU232" i="148" s="1"/>
  <c r="AU233" i="148"/>
  <c r="AU234" i="148"/>
  <c r="AU231" i="148"/>
  <c r="AT91" i="148"/>
  <c r="AT89" i="148"/>
  <c r="AU86" i="148"/>
  <c r="AU89" i="148" s="1"/>
  <c r="AU20" i="148"/>
  <c r="AT157" i="148"/>
  <c r="AT96" i="148"/>
  <c r="AT130" i="148"/>
  <c r="AU88" i="148"/>
  <c r="AU91" i="148" s="1"/>
  <c r="BK114" i="148"/>
  <c r="AV84" i="148"/>
  <c r="AV118" i="148"/>
  <c r="AV116" i="148"/>
  <c r="AS91" i="148"/>
  <c r="BJ88" i="148"/>
  <c r="BJ91" i="148" s="1"/>
  <c r="AS89" i="148"/>
  <c r="BJ86" i="148"/>
  <c r="AQ64" i="148"/>
  <c r="AQ59" i="148"/>
  <c r="AQ72" i="148" s="1"/>
  <c r="AS157" i="148"/>
  <c r="AS96" i="148"/>
  <c r="BJ96" i="148" s="1"/>
  <c r="L26" i="164" s="1"/>
  <c r="L42" i="164" s="1"/>
  <c r="AS130" i="148"/>
  <c r="AS102" i="148" s="1"/>
  <c r="BJ102" i="148" s="1"/>
  <c r="BJ232" i="148"/>
  <c r="BJ124" i="148"/>
  <c r="AP22" i="148"/>
  <c r="AR51" i="148"/>
  <c r="AR163" i="148"/>
  <c r="AR142" i="148"/>
  <c r="BH17" i="148"/>
  <c r="BH24" i="148" s="1"/>
  <c r="AK174" i="148"/>
  <c r="AK185" i="148" s="1"/>
  <c r="AV124" i="148" l="1"/>
  <c r="AV232" i="148" s="1"/>
  <c r="AV234" i="148"/>
  <c r="AV233" i="148"/>
  <c r="AV231" i="148"/>
  <c r="K58" i="164"/>
  <c r="K60" i="164" s="1"/>
  <c r="L70" i="164"/>
  <c r="AT102" i="148"/>
  <c r="AU157" i="148"/>
  <c r="AU96" i="148"/>
  <c r="AU130" i="148"/>
  <c r="AU102" i="148" s="1"/>
  <c r="AV20" i="148"/>
  <c r="AV86" i="148"/>
  <c r="AV89" i="148" s="1"/>
  <c r="AV88" i="148"/>
  <c r="AV91" i="148" s="1"/>
  <c r="AT51" i="148"/>
  <c r="AT163" i="148"/>
  <c r="AT142" i="148"/>
  <c r="AW84" i="148"/>
  <c r="BK84" i="148" s="1"/>
  <c r="AW118" i="148"/>
  <c r="AW116" i="148"/>
  <c r="BK116" i="148" s="1"/>
  <c r="BJ89" i="148"/>
  <c r="BJ92" i="148"/>
  <c r="BJ130" i="148"/>
  <c r="AS51" i="148"/>
  <c r="AS163" i="148"/>
  <c r="AS21" i="148" s="1"/>
  <c r="AS22" i="148" s="1"/>
  <c r="AS142" i="148"/>
  <c r="BJ157" i="148"/>
  <c r="BJ147" i="148" s="1"/>
  <c r="AR64" i="148"/>
  <c r="AR59" i="148"/>
  <c r="AR72" i="148" s="1"/>
  <c r="AR21" i="148"/>
  <c r="BH31" i="148"/>
  <c r="BH32" i="148" s="1"/>
  <c r="AK290" i="148"/>
  <c r="AK287" i="148"/>
  <c r="AK288" i="148"/>
  <c r="AK289" i="148"/>
  <c r="AK286" i="148"/>
  <c r="BH11" i="148"/>
  <c r="AK294" i="148"/>
  <c r="BK118" i="148" l="1"/>
  <c r="AW124" i="148"/>
  <c r="AW232" i="148" s="1"/>
  <c r="AW231" i="148"/>
  <c r="BK231" i="148" s="1"/>
  <c r="AW233" i="148"/>
  <c r="BK233" i="148" s="1"/>
  <c r="AW234" i="148"/>
  <c r="BK234" i="148" s="1"/>
  <c r="K61" i="164"/>
  <c r="K117" i="164"/>
  <c r="L72" i="164"/>
  <c r="L73" i="164" s="1"/>
  <c r="AT21" i="148"/>
  <c r="AU51" i="148"/>
  <c r="AU163" i="148"/>
  <c r="AU21" i="148" s="1"/>
  <c r="AU22" i="148" s="1"/>
  <c r="AU142" i="148"/>
  <c r="AV157" i="148"/>
  <c r="AV96" i="148"/>
  <c r="AV130" i="148"/>
  <c r="BJ163" i="148"/>
  <c r="AW86" i="148"/>
  <c r="AW20" i="148"/>
  <c r="BK20" i="148" s="1"/>
  <c r="BK16" i="148" s="1"/>
  <c r="AW88" i="148"/>
  <c r="BK124" i="148"/>
  <c r="AT64" i="148"/>
  <c r="AT59" i="148"/>
  <c r="BJ135" i="148"/>
  <c r="BJ142" i="148"/>
  <c r="AR22" i="148"/>
  <c r="BJ21" i="148"/>
  <c r="BJ22" i="148" s="1"/>
  <c r="AS64" i="148"/>
  <c r="AS59" i="148"/>
  <c r="AS72" i="148" s="1"/>
  <c r="BJ51" i="148"/>
  <c r="L10" i="164" s="1"/>
  <c r="BU70" i="75"/>
  <c r="BU81" i="75"/>
  <c r="BU69" i="75"/>
  <c r="BU71" i="75"/>
  <c r="BU10" i="75"/>
  <c r="BU72" i="75"/>
  <c r="BH290" i="148"/>
  <c r="BH287" i="148"/>
  <c r="BH12" i="148"/>
  <c r="BH294" i="148"/>
  <c r="J4" i="164"/>
  <c r="BH286" i="148"/>
  <c r="BH288" i="148"/>
  <c r="BH289" i="148"/>
  <c r="BH25" i="148"/>
  <c r="BH26" i="148" s="1"/>
  <c r="U23" i="164" l="1"/>
  <c r="U33" i="164" s="1"/>
  <c r="AW89" i="148"/>
  <c r="BK86" i="148"/>
  <c r="AV102" i="148"/>
  <c r="AW91" i="148"/>
  <c r="BK88" i="148"/>
  <c r="BK91" i="148" s="1"/>
  <c r="AT22" i="148"/>
  <c r="AV51" i="148"/>
  <c r="AV163" i="148"/>
  <c r="AV21" i="148" s="1"/>
  <c r="AV22" i="148" s="1"/>
  <c r="AV142" i="148"/>
  <c r="AW96" i="148"/>
  <c r="BK96" i="148" s="1"/>
  <c r="M26" i="164" s="1"/>
  <c r="M42" i="164" s="1"/>
  <c r="L58" i="164" s="1"/>
  <c r="L60" i="164" s="1"/>
  <c r="L61" i="164" s="1"/>
  <c r="AW157" i="148"/>
  <c r="BK157" i="148" s="1"/>
  <c r="BK142" i="148" s="1"/>
  <c r="AW130" i="148"/>
  <c r="AW102" i="148" s="1"/>
  <c r="BK102" i="148" s="1"/>
  <c r="BK232" i="148"/>
  <c r="AU64" i="148"/>
  <c r="AU59" i="148"/>
  <c r="AU72" i="148" s="1"/>
  <c r="AT72" i="148"/>
  <c r="BJ168" i="148"/>
  <c r="BJ59" i="148"/>
  <c r="J99" i="163"/>
  <c r="J100" i="163" s="1"/>
  <c r="J102" i="163"/>
  <c r="J103" i="163"/>
  <c r="S21" i="164"/>
  <c r="S31" i="164" s="1"/>
  <c r="J104" i="163"/>
  <c r="S10" i="163"/>
  <c r="J12" i="164"/>
  <c r="J38" i="163" s="1"/>
  <c r="J37" i="163" s="1"/>
  <c r="J85" i="163"/>
  <c r="J105" i="163"/>
  <c r="J106" i="163"/>
  <c r="J112" i="163"/>
  <c r="BU17" i="75"/>
  <c r="BU73" i="75"/>
  <c r="BU27" i="75"/>
  <c r="BU33" i="75" s="1"/>
  <c r="P81" i="75"/>
  <c r="P69" i="75"/>
  <c r="J11" i="157" s="1"/>
  <c r="J43" i="157" s="1"/>
  <c r="BH10" i="148"/>
  <c r="J5" i="157"/>
  <c r="P71" i="75"/>
  <c r="P70" i="75"/>
  <c r="P72" i="75"/>
  <c r="AK274" i="148" l="1"/>
  <c r="M70" i="164"/>
  <c r="BK130" i="148"/>
  <c r="BK92" i="148"/>
  <c r="BK89" i="148"/>
  <c r="BK147" i="148"/>
  <c r="BK135" i="148" s="1"/>
  <c r="AV64" i="148"/>
  <c r="AV59" i="148"/>
  <c r="AV72" i="148" s="1"/>
  <c r="AW51" i="148"/>
  <c r="BK51" i="148" s="1"/>
  <c r="M10" i="164" s="1"/>
  <c r="AW163" i="148"/>
  <c r="AW21" i="148" s="1"/>
  <c r="AW142" i="148"/>
  <c r="CT4" i="150"/>
  <c r="CT11" i="150"/>
  <c r="BJ189" i="148"/>
  <c r="J39" i="163"/>
  <c r="J96" i="163"/>
  <c r="BU74" i="75"/>
  <c r="BU28" i="75"/>
  <c r="BU29" i="75"/>
  <c r="J175" i="163"/>
  <c r="J139" i="163" s="1"/>
  <c r="J123" i="163"/>
  <c r="J173" i="163"/>
  <c r="J137" i="163" s="1"/>
  <c r="J117" i="163"/>
  <c r="J124" i="163"/>
  <c r="J174" i="163"/>
  <c r="J138" i="163" s="1"/>
  <c r="J169" i="163"/>
  <c r="J155" i="163"/>
  <c r="J156" i="163"/>
  <c r="J167" i="163"/>
  <c r="J153" i="163"/>
  <c r="J135" i="163" s="1"/>
  <c r="J177" i="163"/>
  <c r="J178" i="163"/>
  <c r="J151" i="163"/>
  <c r="J183" i="163"/>
  <c r="J162" i="163"/>
  <c r="J158" i="163"/>
  <c r="J161" i="163"/>
  <c r="J154" i="163"/>
  <c r="J168" i="163"/>
  <c r="J164" i="163"/>
  <c r="J182" i="163"/>
  <c r="J160" i="163"/>
  <c r="J163" i="163"/>
  <c r="J170" i="163"/>
  <c r="J159" i="163"/>
  <c r="J181" i="163"/>
  <c r="J157" i="163"/>
  <c r="J113" i="163"/>
  <c r="J176" i="163"/>
  <c r="J166" i="163"/>
  <c r="J152" i="163"/>
  <c r="J134" i="163" s="1"/>
  <c r="J165" i="163"/>
  <c r="J37" i="157"/>
  <c r="J9" i="157"/>
  <c r="J4" i="163"/>
  <c r="J6" i="157"/>
  <c r="J38" i="157" s="1"/>
  <c r="P12" i="75"/>
  <c r="AK275" i="148" l="1"/>
  <c r="BH274" i="148"/>
  <c r="M18" i="164"/>
  <c r="V23" i="164"/>
  <c r="V33" i="164" s="1"/>
  <c r="N10" i="164"/>
  <c r="M72" i="164"/>
  <c r="M73" i="164" s="1"/>
  <c r="BK64" i="148"/>
  <c r="BK168" i="148"/>
  <c r="BK59" i="148"/>
  <c r="AW22" i="148"/>
  <c r="BK21" i="148"/>
  <c r="BK22" i="148" s="1"/>
  <c r="BK163" i="148"/>
  <c r="AW64" i="148"/>
  <c r="AW59" i="148"/>
  <c r="AW72" i="148" s="1"/>
  <c r="CU11" i="150"/>
  <c r="CU4" i="150"/>
  <c r="J172" i="163"/>
  <c r="J244" i="163" s="1"/>
  <c r="J129" i="163" s="1"/>
  <c r="J143" i="163" s="1"/>
  <c r="J150" i="163"/>
  <c r="J10" i="157"/>
  <c r="P14" i="75"/>
  <c r="J121" i="163"/>
  <c r="J125" i="163"/>
  <c r="J180" i="163" s="1"/>
  <c r="BU75" i="75"/>
  <c r="BU35" i="75"/>
  <c r="BU82" i="75"/>
  <c r="BU45" i="75"/>
  <c r="BU34" i="75"/>
  <c r="P16" i="75" l="1"/>
  <c r="P17" i="75" s="1"/>
  <c r="P154" i="75"/>
  <c r="P155" i="75"/>
  <c r="Q156" i="75" s="1"/>
  <c r="BH275" i="148"/>
  <c r="W23" i="164"/>
  <c r="W33" i="164" s="1"/>
  <c r="O11" i="163"/>
  <c r="BK72" i="148"/>
  <c r="BK179" i="148"/>
  <c r="BK189" i="148"/>
  <c r="R205" i="75"/>
  <c r="R121" i="75" s="1"/>
  <c r="J171" i="163"/>
  <c r="J243" i="163" s="1"/>
  <c r="J207" i="163" s="1"/>
  <c r="J136" i="163"/>
  <c r="J208" i="163"/>
  <c r="J179" i="163"/>
  <c r="J251" i="163" s="1"/>
  <c r="J215" i="163" s="1"/>
  <c r="J252" i="163"/>
  <c r="J216" i="163" s="1"/>
  <c r="J149" i="163"/>
  <c r="J221" i="163" s="1"/>
  <c r="J185" i="163" s="1"/>
  <c r="J222" i="163"/>
  <c r="J186" i="163" s="1"/>
  <c r="BU76" i="75"/>
  <c r="BU83" i="75"/>
  <c r="BU46" i="75"/>
  <c r="P18" i="75" l="1"/>
  <c r="J7" i="157" s="1"/>
  <c r="P156" i="75"/>
  <c r="S205" i="75"/>
  <c r="S121" i="75" s="1"/>
  <c r="P73" i="75"/>
  <c r="BH7" i="148" s="1"/>
  <c r="P27" i="75"/>
  <c r="P74" i="75" l="1"/>
  <c r="P28" i="75"/>
  <c r="P29" i="75"/>
  <c r="P33" i="75"/>
  <c r="J39" i="157"/>
  <c r="J8" i="157"/>
  <c r="P75" i="75" l="1"/>
  <c r="BH8" i="148" s="1"/>
  <c r="P35" i="75"/>
  <c r="J12" i="157"/>
  <c r="P82" i="75"/>
  <c r="P34" i="75"/>
  <c r="P45" i="75"/>
  <c r="J110" i="164"/>
  <c r="J44" i="157"/>
  <c r="J46" i="157" s="1"/>
  <c r="J40" i="157"/>
  <c r="J14" i="157" l="1"/>
  <c r="J47" i="157"/>
  <c r="J49" i="157" s="1"/>
  <c r="J50" i="157" s="1"/>
  <c r="P83" i="75"/>
  <c r="P46" i="75"/>
  <c r="P235" i="75"/>
  <c r="P76" i="75"/>
  <c r="J53" i="157" l="1"/>
  <c r="G54" i="157" s="1"/>
  <c r="J51" i="157"/>
  <c r="G55" i="157" l="1"/>
  <c r="G56" i="157"/>
  <c r="AJ219" i="148" l="1"/>
  <c r="AJ222" i="148"/>
  <c r="AJ224" i="148"/>
  <c r="AJ221" i="148"/>
  <c r="AJ223" i="148"/>
  <c r="AJ226" i="148"/>
  <c r="BU57" i="75" l="1"/>
  <c r="BU56" i="75"/>
  <c r="BU85" i="75" s="1"/>
  <c r="BU78" i="75"/>
  <c r="BU53" i="75"/>
  <c r="BU84" i="75"/>
  <c r="BU48" i="75"/>
  <c r="BU54" i="75"/>
  <c r="P48" i="75" l="1"/>
  <c r="BU77" i="75"/>
  <c r="BU86" i="75"/>
  <c r="P52" i="75" l="1"/>
  <c r="P77" i="75"/>
  <c r="J15" i="157"/>
  <c r="P169" i="75" l="1"/>
  <c r="P178" i="75" s="1"/>
  <c r="P224" i="75"/>
  <c r="P162" i="75"/>
  <c r="BH4" i="148"/>
  <c r="P78" i="75"/>
  <c r="P223" i="75" s="1"/>
  <c r="P53" i="75"/>
  <c r="P59" i="75"/>
  <c r="Q187" i="75" s="1"/>
  <c r="P54" i="75"/>
  <c r="P62" i="75"/>
  <c r="R62" i="75" s="1"/>
  <c r="S62" i="75" s="1"/>
  <c r="P61" i="75"/>
  <c r="R61" i="75" s="1"/>
  <c r="S61" i="75" s="1"/>
  <c r="P84" i="75"/>
  <c r="J17" i="157"/>
  <c r="J81" i="157" s="1"/>
  <c r="J80" i="157" s="1"/>
  <c r="J77" i="157" s="1"/>
  <c r="P56" i="75" l="1"/>
  <c r="BH5" i="148" s="1"/>
  <c r="P57" i="75"/>
  <c r="BL2" i="75"/>
  <c r="P60" i="75"/>
  <c r="J79" i="157"/>
  <c r="J78" i="157"/>
  <c r="J75" i="157" s="1"/>
  <c r="J73" i="157" s="1"/>
  <c r="Y7" i="164"/>
  <c r="Y8" i="164"/>
  <c r="Q194" i="75"/>
  <c r="P85" i="75" l="1"/>
  <c r="BH6" i="148" s="1"/>
  <c r="J18" i="157"/>
  <c r="C113" i="157" s="1"/>
  <c r="C118" i="157" s="1"/>
  <c r="P147" i="75"/>
  <c r="BH9" i="148"/>
  <c r="J74" i="157"/>
  <c r="J76" i="157"/>
  <c r="J19" i="157" l="1"/>
  <c r="J83" i="157"/>
  <c r="J90" i="157" s="1"/>
  <c r="J91" i="157" s="1"/>
  <c r="J92" i="157" s="1"/>
  <c r="Q97" i="75"/>
  <c r="Q95" i="75"/>
  <c r="Q37" i="75" s="1"/>
  <c r="Q39" i="75" s="1"/>
  <c r="Q44" i="75" s="1"/>
  <c r="P148" i="75" l="1"/>
  <c r="J85" i="157"/>
  <c r="J86" i="157" s="1"/>
  <c r="J87" i="157" s="1"/>
  <c r="J84" i="157"/>
  <c r="J93" i="157"/>
  <c r="G93" i="157"/>
  <c r="P150" i="75"/>
  <c r="P230" i="75"/>
  <c r="G87" i="157" l="1"/>
  <c r="P104" i="75" l="1"/>
  <c r="K42" i="163" l="1"/>
  <c r="K13" i="157"/>
  <c r="BZ38" i="75"/>
  <c r="CD38" i="75"/>
  <c r="Q98" i="75"/>
  <c r="CA38" i="75" l="1"/>
  <c r="CE38" i="75"/>
  <c r="BW38" i="75"/>
  <c r="BW37" i="75"/>
  <c r="BX37" i="75" l="1"/>
  <c r="CB38" i="75"/>
  <c r="CC38" i="75" s="1"/>
  <c r="CF38" i="75"/>
  <c r="CG38" i="75" s="1"/>
  <c r="BW39" i="75"/>
  <c r="BW44" i="75" s="1"/>
  <c r="BX38" i="75"/>
  <c r="BY38" i="75" s="1"/>
  <c r="BY37" i="75" l="1"/>
  <c r="BX39" i="75"/>
  <c r="BX44" i="75" s="1"/>
  <c r="BY39" i="75" l="1"/>
  <c r="BY44" i="75" s="1"/>
  <c r="T62" i="75" l="1"/>
  <c r="T61" i="75"/>
  <c r="R50" i="148" l="1"/>
  <c r="R209" i="148" l="1"/>
  <c r="R156" i="148"/>
  <c r="R63" i="148"/>
  <c r="R59" i="148"/>
  <c r="R220" i="148" l="1"/>
  <c r="R214" i="148"/>
  <c r="R225" i="148" s="1"/>
  <c r="R205" i="148"/>
  <c r="R242" i="148"/>
  <c r="R253" i="148" s="1"/>
  <c r="R142" i="148"/>
  <c r="R134" i="148"/>
  <c r="R72" i="148"/>
  <c r="R201" i="148" l="1"/>
  <c r="R204" i="148"/>
  <c r="R247" i="148"/>
  <c r="R249" i="148" s="1"/>
  <c r="R260" i="148"/>
  <c r="R264" i="148"/>
  <c r="R271" i="148" l="1"/>
  <c r="S39" i="148"/>
  <c r="S46" i="148" s="1"/>
  <c r="S50" i="148" l="1"/>
  <c r="S57" i="148" s="1"/>
  <c r="S59" i="148"/>
  <c r="S72" i="148" s="1"/>
  <c r="S156" i="148"/>
  <c r="S161" i="148" s="1"/>
  <c r="S63" i="148"/>
  <c r="S209" i="148"/>
  <c r="S214" i="148" s="1"/>
  <c r="S203" i="148"/>
  <c r="S205" i="148" l="1"/>
  <c r="S220" i="148"/>
  <c r="S142" i="148"/>
  <c r="S134" i="148"/>
  <c r="S242" i="148"/>
  <c r="S139" i="148" l="1"/>
  <c r="S141" i="148"/>
  <c r="S172" i="148"/>
  <c r="S247" i="148"/>
  <c r="S249" i="148" s="1"/>
  <c r="S201" i="148"/>
  <c r="S225" i="148"/>
  <c r="S204" i="148"/>
  <c r="S253" i="148"/>
  <c r="S264" i="148" s="1"/>
  <c r="S258" i="148" l="1"/>
  <c r="S260" i="148"/>
  <c r="S271" i="148" s="1"/>
  <c r="X39" i="148"/>
  <c r="X46" i="148" s="1"/>
  <c r="Y39" i="148"/>
  <c r="Y46" i="148" s="1"/>
  <c r="AF39" i="148"/>
  <c r="AF46" i="148" s="1"/>
  <c r="W39" i="148"/>
  <c r="W46" i="148" s="1"/>
  <c r="U39" i="148"/>
  <c r="U46" i="148" s="1"/>
  <c r="U50" i="148"/>
  <c r="AC39" i="148"/>
  <c r="AC46" i="148" s="1"/>
  <c r="AA39" i="148"/>
  <c r="AA46" i="148" s="1"/>
  <c r="AB39" i="148"/>
  <c r="AB46" i="148" s="1"/>
  <c r="AE39" i="148"/>
  <c r="AE46" i="148" s="1"/>
  <c r="T39" i="148"/>
  <c r="T46" i="148" s="1"/>
  <c r="T50" i="148"/>
  <c r="T156" i="148" s="1"/>
  <c r="T161" i="148" s="1"/>
  <c r="AH39" i="148"/>
  <c r="AH46" i="148" s="1"/>
  <c r="AD39" i="148"/>
  <c r="AD46" i="148" s="1"/>
  <c r="Z39" i="148"/>
  <c r="Z46" i="148" s="1"/>
  <c r="V39" i="148"/>
  <c r="V46" i="148" s="1"/>
  <c r="AG39" i="148"/>
  <c r="AG46" i="148" s="1"/>
  <c r="AI39" i="148"/>
  <c r="AI46" i="148" s="1"/>
  <c r="AJ39" i="148"/>
  <c r="AJ46" i="148" s="1"/>
  <c r="AB50" i="148" l="1"/>
  <c r="AB156" i="148" s="1"/>
  <c r="AB161" i="148" s="1"/>
  <c r="Z50" i="148"/>
  <c r="Z156" i="148" s="1"/>
  <c r="Z161" i="148" s="1"/>
  <c r="AD50" i="148"/>
  <c r="AD57" i="148" s="1"/>
  <c r="AD203" i="148" s="1"/>
  <c r="AI50" i="148"/>
  <c r="AI209" i="148" s="1"/>
  <c r="Z209" i="148"/>
  <c r="T57" i="148"/>
  <c r="T203" i="148" s="1"/>
  <c r="W50" i="148"/>
  <c r="W57" i="148" s="1"/>
  <c r="V50" i="148"/>
  <c r="V63" i="148" s="1"/>
  <c r="AC50" i="148"/>
  <c r="AC209" i="148" s="1"/>
  <c r="AC214" i="148" s="1"/>
  <c r="AF50" i="148"/>
  <c r="AF57" i="148" s="1"/>
  <c r="AF203" i="148" s="1"/>
  <c r="T142" i="148"/>
  <c r="T134" i="148"/>
  <c r="U209" i="148"/>
  <c r="U59" i="148"/>
  <c r="U63" i="148"/>
  <c r="U156" i="148"/>
  <c r="U57" i="148"/>
  <c r="Z142" i="148"/>
  <c r="AA50" i="148"/>
  <c r="V209" i="148"/>
  <c r="V214" i="148" s="1"/>
  <c r="AG50" i="148"/>
  <c r="AE50" i="148"/>
  <c r="AJ50" i="148"/>
  <c r="T59" i="148"/>
  <c r="T72" i="148" s="1"/>
  <c r="X50" i="148"/>
  <c r="AH50" i="148"/>
  <c r="W209" i="148"/>
  <c r="BD50" i="148"/>
  <c r="T209" i="148"/>
  <c r="T63" i="148"/>
  <c r="Y50" i="148"/>
  <c r="Z59" i="148" l="1"/>
  <c r="T70" i="148"/>
  <c r="T242" i="148"/>
  <c r="T253" i="148" s="1"/>
  <c r="T264" i="148" s="1"/>
  <c r="T214" i="148"/>
  <c r="AI205" i="148"/>
  <c r="AI214" i="148"/>
  <c r="AI201" i="148" s="1"/>
  <c r="U242" i="148"/>
  <c r="U253" i="148" s="1"/>
  <c r="U214" i="148"/>
  <c r="Z220" i="148"/>
  <c r="Z214" i="148"/>
  <c r="Z225" i="148" s="1"/>
  <c r="W242" i="148"/>
  <c r="W253" i="148" s="1"/>
  <c r="W214" i="148"/>
  <c r="Z57" i="148"/>
  <c r="Z203" i="148" s="1"/>
  <c r="V156" i="148"/>
  <c r="V161" i="148" s="1"/>
  <c r="V59" i="148"/>
  <c r="BD156" i="148"/>
  <c r="BD167" i="148" s="1"/>
  <c r="U161" i="148"/>
  <c r="AB63" i="148"/>
  <c r="AB57" i="148"/>
  <c r="AB203" i="148" s="1"/>
  <c r="AB142" i="148"/>
  <c r="AB209" i="148"/>
  <c r="AB134" i="148"/>
  <c r="AB59" i="148"/>
  <c r="Z134" i="148"/>
  <c r="Z205" i="148"/>
  <c r="Z242" i="148"/>
  <c r="Z253" i="148" s="1"/>
  <c r="AD59" i="148"/>
  <c r="AD156" i="148"/>
  <c r="AD209" i="148"/>
  <c r="AC59" i="148"/>
  <c r="AI242" i="148"/>
  <c r="AI57" i="148"/>
  <c r="AI203" i="148" s="1"/>
  <c r="AI63" i="148"/>
  <c r="AF156" i="148"/>
  <c r="AF209" i="148"/>
  <c r="AI220" i="148"/>
  <c r="AF59" i="148"/>
  <c r="AF63" i="148"/>
  <c r="W156" i="148"/>
  <c r="W161" i="148" s="1"/>
  <c r="W63" i="148"/>
  <c r="W59" i="148"/>
  <c r="W72" i="148" s="1"/>
  <c r="AI59" i="148"/>
  <c r="AI156" i="148"/>
  <c r="AI161" i="148" s="1"/>
  <c r="AC205" i="148"/>
  <c r="AC57" i="148"/>
  <c r="AD70" i="148" s="1"/>
  <c r="BG50" i="148"/>
  <c r="AC220" i="148"/>
  <c r="AC156" i="148"/>
  <c r="AD63" i="148"/>
  <c r="BF50" i="148"/>
  <c r="AC242" i="148"/>
  <c r="V57" i="148"/>
  <c r="W70" i="148" s="1"/>
  <c r="AC63" i="148"/>
  <c r="U72" i="148"/>
  <c r="X63" i="148"/>
  <c r="X156" i="148"/>
  <c r="X161" i="148" s="1"/>
  <c r="X57" i="148"/>
  <c r="X209" i="148"/>
  <c r="X59" i="148"/>
  <c r="V205" i="148"/>
  <c r="V220" i="148"/>
  <c r="BD209" i="148"/>
  <c r="T220" i="148"/>
  <c r="T205" i="148"/>
  <c r="AC247" i="148"/>
  <c r="AC225" i="148"/>
  <c r="AC204" i="148"/>
  <c r="AC201" i="148"/>
  <c r="Y63" i="148"/>
  <c r="Y156" i="148"/>
  <c r="Y161" i="148" s="1"/>
  <c r="Y209" i="148"/>
  <c r="Y214" i="148" s="1"/>
  <c r="Y59" i="148"/>
  <c r="Y57" i="148"/>
  <c r="F10" i="164"/>
  <c r="BD59" i="148"/>
  <c r="BD63" i="148"/>
  <c r="AH63" i="148"/>
  <c r="AH209" i="148"/>
  <c r="AH57" i="148"/>
  <c r="AH156" i="148"/>
  <c r="AH161" i="148" s="1"/>
  <c r="AH59" i="148"/>
  <c r="AG59" i="148"/>
  <c r="AG209" i="148"/>
  <c r="AG156" i="148"/>
  <c r="AG161" i="148" s="1"/>
  <c r="AG63" i="148"/>
  <c r="AG57" i="148"/>
  <c r="AA209" i="148"/>
  <c r="AA156" i="148"/>
  <c r="AA161" i="148" s="1"/>
  <c r="AA59" i="148"/>
  <c r="AA72" i="148" s="1"/>
  <c r="AA63" i="148"/>
  <c r="AA57" i="148"/>
  <c r="U203" i="148"/>
  <c r="U70" i="148"/>
  <c r="T139" i="148"/>
  <c r="T141" i="148"/>
  <c r="T172" i="148"/>
  <c r="T183" i="148" s="1"/>
  <c r="W142" i="148"/>
  <c r="W134" i="148"/>
  <c r="AB172" i="148"/>
  <c r="AB139" i="148"/>
  <c r="AB141" i="148"/>
  <c r="V242" i="148"/>
  <c r="U220" i="148"/>
  <c r="U205" i="148"/>
  <c r="W220" i="148"/>
  <c r="W205" i="148"/>
  <c r="AJ59" i="148"/>
  <c r="AJ209" i="148"/>
  <c r="AJ57" i="148"/>
  <c r="AJ63" i="148"/>
  <c r="AJ156" i="148"/>
  <c r="AJ161" i="148" s="1"/>
  <c r="W203" i="148"/>
  <c r="Z63" i="148"/>
  <c r="AE59" i="148"/>
  <c r="AE156" i="148"/>
  <c r="AE161" i="148" s="1"/>
  <c r="AE209" i="148"/>
  <c r="AE57" i="148"/>
  <c r="AE63" i="148"/>
  <c r="V72" i="148"/>
  <c r="Z172" i="148"/>
  <c r="Z139" i="148"/>
  <c r="Z141" i="148"/>
  <c r="U134" i="148"/>
  <c r="U142" i="148"/>
  <c r="BE50" i="148"/>
  <c r="BD134" i="148" l="1"/>
  <c r="V203" i="148"/>
  <c r="BD142" i="148"/>
  <c r="AH242" i="148"/>
  <c r="AH253" i="148" s="1"/>
  <c r="AH214" i="148"/>
  <c r="X242" i="148"/>
  <c r="X253" i="148" s="1"/>
  <c r="X264" i="148" s="1"/>
  <c r="X214" i="148"/>
  <c r="AE242" i="148"/>
  <c r="AE253" i="148" s="1"/>
  <c r="AE214" i="148"/>
  <c r="AA242" i="148"/>
  <c r="AA253" i="148" s="1"/>
  <c r="AA264" i="148" s="1"/>
  <c r="AA214" i="148"/>
  <c r="Z70" i="148"/>
  <c r="BD242" i="148"/>
  <c r="BD253" i="148" s="1"/>
  <c r="BD264" i="148" s="1"/>
  <c r="AF242" i="148"/>
  <c r="AF253" i="148" s="1"/>
  <c r="AF214" i="148"/>
  <c r="AF204" i="148" s="1"/>
  <c r="AD242" i="148"/>
  <c r="AD253" i="148" s="1"/>
  <c r="AD214" i="148"/>
  <c r="AC72" i="148"/>
  <c r="V70" i="148"/>
  <c r="AE72" i="148"/>
  <c r="AJ242" i="148"/>
  <c r="AJ253" i="148" s="1"/>
  <c r="AJ214" i="148"/>
  <c r="V134" i="148"/>
  <c r="AG242" i="148"/>
  <c r="AG253" i="148" s="1"/>
  <c r="AG214" i="148"/>
  <c r="V142" i="148"/>
  <c r="AD72" i="148"/>
  <c r="AB242" i="148"/>
  <c r="AB253" i="148" s="1"/>
  <c r="AB214" i="148"/>
  <c r="AB204" i="148" s="1"/>
  <c r="AF134" i="148"/>
  <c r="AF161" i="148"/>
  <c r="AF172" i="148" s="1"/>
  <c r="AD142" i="148"/>
  <c r="AD161" i="148"/>
  <c r="AD172" i="148" s="1"/>
  <c r="AD205" i="148"/>
  <c r="AC142" i="148"/>
  <c r="AC161" i="148"/>
  <c r="AC139" i="148" s="1"/>
  <c r="AD220" i="148"/>
  <c r="AD134" i="148"/>
  <c r="AB220" i="148"/>
  <c r="AB205" i="148"/>
  <c r="X72" i="148"/>
  <c r="AI225" i="148"/>
  <c r="AG72" i="148"/>
  <c r="AI70" i="148"/>
  <c r="AC134" i="148"/>
  <c r="AC253" i="148"/>
  <c r="AD264" i="148" s="1"/>
  <c r="AI204" i="148"/>
  <c r="AF220" i="148"/>
  <c r="AI247" i="148"/>
  <c r="AI249" i="148" s="1"/>
  <c r="AI260" i="148" s="1"/>
  <c r="AI134" i="148"/>
  <c r="AF205" i="148"/>
  <c r="AF142" i="148"/>
  <c r="AC203" i="148"/>
  <c r="BG59" i="148"/>
  <c r="I10" i="164"/>
  <c r="R23" i="164" s="1"/>
  <c r="AC70" i="148"/>
  <c r="AC249" i="148"/>
  <c r="AC260" i="148" s="1"/>
  <c r="BG156" i="148"/>
  <c r="BG167" i="148" s="1"/>
  <c r="AI142" i="148"/>
  <c r="Z204" i="148"/>
  <c r="AI72" i="148"/>
  <c r="AI253" i="148"/>
  <c r="AJ72" i="148"/>
  <c r="BF59" i="148"/>
  <c r="H10" i="164"/>
  <c r="H107" i="163" s="1"/>
  <c r="BG63" i="148"/>
  <c r="Z247" i="148"/>
  <c r="Z258" i="148" s="1"/>
  <c r="BE57" i="148"/>
  <c r="BE203" i="148" s="1"/>
  <c r="Y72" i="148"/>
  <c r="Z72" i="148"/>
  <c r="Z201" i="148"/>
  <c r="G10" i="164"/>
  <c r="BE63" i="148"/>
  <c r="BE59" i="148"/>
  <c r="AG203" i="148"/>
  <c r="AG70" i="148"/>
  <c r="Y220" i="148"/>
  <c r="Y205" i="148"/>
  <c r="X134" i="148"/>
  <c r="X142" i="148"/>
  <c r="AE205" i="148"/>
  <c r="AE220" i="148"/>
  <c r="W247" i="148"/>
  <c r="W201" i="148"/>
  <c r="W225" i="148"/>
  <c r="W204" i="148"/>
  <c r="AA70" i="148"/>
  <c r="AA203" i="148"/>
  <c r="BD72" i="148"/>
  <c r="AE134" i="148"/>
  <c r="AE142" i="148"/>
  <c r="AH70" i="148"/>
  <c r="AH203" i="148"/>
  <c r="BD188" i="148"/>
  <c r="BD178" i="148"/>
  <c r="Y242" i="148"/>
  <c r="AB72" i="148"/>
  <c r="BD214" i="148"/>
  <c r="T247" i="148"/>
  <c r="T225" i="148"/>
  <c r="T204" i="148"/>
  <c r="T201" i="148"/>
  <c r="BF63" i="148"/>
  <c r="F107" i="163"/>
  <c r="F18" i="164"/>
  <c r="V139" i="148"/>
  <c r="V172" i="148"/>
  <c r="V141" i="148"/>
  <c r="AI141" i="148"/>
  <c r="AI139" i="148"/>
  <c r="AI172" i="148"/>
  <c r="V253" i="148"/>
  <c r="V264" i="148" s="1"/>
  <c r="AH134" i="148"/>
  <c r="AY134" i="148" s="1"/>
  <c r="AH142" i="148"/>
  <c r="Y134" i="148"/>
  <c r="Y142" i="148"/>
  <c r="U141" i="148"/>
  <c r="U139" i="148"/>
  <c r="U172" i="148"/>
  <c r="U183" i="148" s="1"/>
  <c r="AJ203" i="148"/>
  <c r="AJ70" i="148"/>
  <c r="AB70" i="148"/>
  <c r="AB201" i="148"/>
  <c r="AJ220" i="148"/>
  <c r="AJ205" i="148"/>
  <c r="AA134" i="148"/>
  <c r="AA142" i="148"/>
  <c r="BF156" i="148"/>
  <c r="BF146" i="148" s="1"/>
  <c r="AG220" i="148"/>
  <c r="AG205" i="148"/>
  <c r="AH205" i="148"/>
  <c r="AH220" i="148"/>
  <c r="Y203" i="148"/>
  <c r="Y70" i="148"/>
  <c r="BF242" i="148"/>
  <c r="BE156" i="148"/>
  <c r="BE146" i="148" s="1"/>
  <c r="X220" i="148"/>
  <c r="X205" i="148"/>
  <c r="V204" i="148"/>
  <c r="V201" i="148"/>
  <c r="V225" i="148"/>
  <c r="V247" i="148"/>
  <c r="V249" i="148" s="1"/>
  <c r="AJ134" i="148"/>
  <c r="BH156" i="148" s="1"/>
  <c r="AJ142" i="148"/>
  <c r="BG209" i="148"/>
  <c r="AF72" i="148"/>
  <c r="W141" i="148"/>
  <c r="W139" i="148"/>
  <c r="W172" i="148"/>
  <c r="BF57" i="148"/>
  <c r="AG142" i="148"/>
  <c r="AG134" i="148"/>
  <c r="AE70" i="148"/>
  <c r="AE203" i="148"/>
  <c r="AF70" i="148"/>
  <c r="BG57" i="148"/>
  <c r="AD201" i="148"/>
  <c r="AD204" i="148"/>
  <c r="AD225" i="148"/>
  <c r="AD247" i="148"/>
  <c r="U247" i="148"/>
  <c r="U204" i="148"/>
  <c r="U201" i="148"/>
  <c r="U225" i="148"/>
  <c r="AA205" i="148"/>
  <c r="AA220" i="148"/>
  <c r="BF209" i="148"/>
  <c r="AH72" i="148"/>
  <c r="BD196" i="148"/>
  <c r="BD220" i="148"/>
  <c r="BD205" i="148"/>
  <c r="F35" i="163"/>
  <c r="F27" i="163" s="1"/>
  <c r="BE209" i="148"/>
  <c r="X70" i="148"/>
  <c r="X203" i="148"/>
  <c r="U264" i="148"/>
  <c r="AE264" i="148" l="1"/>
  <c r="AB225" i="148"/>
  <c r="BE242" i="148"/>
  <c r="BE253" i="148" s="1"/>
  <c r="BE264" i="148" s="1"/>
  <c r="F80" i="164"/>
  <c r="F98" i="164" s="1"/>
  <c r="BG242" i="148"/>
  <c r="I80" i="164" s="1"/>
  <c r="I98" i="164" s="1"/>
  <c r="AB264" i="148"/>
  <c r="AF141" i="148"/>
  <c r="AD139" i="148"/>
  <c r="AD141" i="148"/>
  <c r="BG146" i="148"/>
  <c r="BG134" i="148" s="1"/>
  <c r="I107" i="163"/>
  <c r="AF139" i="148"/>
  <c r="AF247" i="148"/>
  <c r="AF258" i="148" s="1"/>
  <c r="BE214" i="148"/>
  <c r="BE204" i="148" s="1"/>
  <c r="AB247" i="148"/>
  <c r="AB258" i="148" s="1"/>
  <c r="BE174" i="148"/>
  <c r="BE45" i="148"/>
  <c r="BE37" i="148"/>
  <c r="BE41" i="148"/>
  <c r="BE42" i="148"/>
  <c r="BE40" i="148"/>
  <c r="BE43" i="148"/>
  <c r="BE38" i="148"/>
  <c r="BE44" i="148"/>
  <c r="BE39" i="148"/>
  <c r="AF225" i="148"/>
  <c r="AC258" i="148"/>
  <c r="AI258" i="148"/>
  <c r="BG142" i="148"/>
  <c r="AF201" i="148"/>
  <c r="BG188" i="148"/>
  <c r="AC172" i="148"/>
  <c r="AC183" i="148" s="1"/>
  <c r="AC141" i="148"/>
  <c r="BG72" i="148"/>
  <c r="BF72" i="148"/>
  <c r="Z249" i="148"/>
  <c r="Z260" i="148" s="1"/>
  <c r="AF264" i="148"/>
  <c r="I18" i="164"/>
  <c r="H18" i="164"/>
  <c r="AH264" i="148"/>
  <c r="V183" i="148"/>
  <c r="BH142" i="148"/>
  <c r="X139" i="148"/>
  <c r="X141" i="148"/>
  <c r="X172" i="148"/>
  <c r="X183" i="148" s="1"/>
  <c r="G107" i="163"/>
  <c r="G18" i="164"/>
  <c r="Q11" i="163"/>
  <c r="BF38" i="148"/>
  <c r="BF43" i="148"/>
  <c r="BF40" i="148"/>
  <c r="BF45" i="148"/>
  <c r="BF203" i="148"/>
  <c r="BF174" i="148"/>
  <c r="BF44" i="148"/>
  <c r="BF42" i="148"/>
  <c r="BF70" i="148"/>
  <c r="BF41" i="148"/>
  <c r="BF37" i="148"/>
  <c r="BF39" i="148"/>
  <c r="Y141" i="148"/>
  <c r="Y172" i="148"/>
  <c r="Y139" i="148"/>
  <c r="AE204" i="148"/>
  <c r="AE225" i="148"/>
  <c r="AE201" i="148"/>
  <c r="AE247" i="148"/>
  <c r="BE134" i="148"/>
  <c r="BE142" i="148"/>
  <c r="W264" i="148"/>
  <c r="AA247" i="148"/>
  <c r="AA204" i="148"/>
  <c r="AA201" i="148"/>
  <c r="AA225" i="148"/>
  <c r="BF214" i="148"/>
  <c r="AH225" i="148"/>
  <c r="AH204" i="148"/>
  <c r="AH201" i="148"/>
  <c r="AH247" i="148"/>
  <c r="AG264" i="148"/>
  <c r="AI264" i="148"/>
  <c r="AG172" i="148"/>
  <c r="AG183" i="148" s="1"/>
  <c r="AG141" i="148"/>
  <c r="AG139" i="148"/>
  <c r="AJ141" i="148"/>
  <c r="AJ172" i="148"/>
  <c r="AJ139" i="148"/>
  <c r="X204" i="148"/>
  <c r="X225" i="148"/>
  <c r="X201" i="148"/>
  <c r="X247" i="148"/>
  <c r="AG225" i="148"/>
  <c r="AG201" i="148"/>
  <c r="AG247" i="148"/>
  <c r="AG204" i="148"/>
  <c r="Y253" i="148"/>
  <c r="AC264" i="148"/>
  <c r="BE167" i="148"/>
  <c r="BE196" i="148"/>
  <c r="BE205" i="148"/>
  <c r="BE220" i="148"/>
  <c r="G35" i="163"/>
  <c r="G27" i="163" s="1"/>
  <c r="AK142" i="148"/>
  <c r="AJ225" i="148"/>
  <c r="AJ204" i="148"/>
  <c r="AJ201" i="148"/>
  <c r="AJ247" i="148"/>
  <c r="V260" i="148"/>
  <c r="BD204" i="148"/>
  <c r="BD225" i="148"/>
  <c r="BD201" i="148"/>
  <c r="F36" i="163"/>
  <c r="F28" i="163" s="1"/>
  <c r="W183" i="148"/>
  <c r="BF134" i="148"/>
  <c r="BF142" i="148"/>
  <c r="BF167" i="148"/>
  <c r="BF220" i="148"/>
  <c r="BF205" i="148"/>
  <c r="BF196" i="148"/>
  <c r="BH146" i="148"/>
  <c r="BH134" i="148" s="1"/>
  <c r="AE172" i="148"/>
  <c r="AE183" i="148" s="1"/>
  <c r="AE141" i="148"/>
  <c r="AE139" i="148"/>
  <c r="U258" i="148"/>
  <c r="U249" i="148"/>
  <c r="U260" i="148" s="1"/>
  <c r="AJ264" i="148"/>
  <c r="BF253" i="148"/>
  <c r="H80" i="164"/>
  <c r="AA172" i="148"/>
  <c r="AA141" i="148"/>
  <c r="AA139" i="148"/>
  <c r="BF161" i="148"/>
  <c r="BF151" i="148" s="1"/>
  <c r="AD258" i="148"/>
  <c r="AD249" i="148"/>
  <c r="BG214" i="148"/>
  <c r="BG37" i="148"/>
  <c r="BG203" i="148"/>
  <c r="BG174" i="148"/>
  <c r="BG40" i="148"/>
  <c r="BG43" i="148"/>
  <c r="BG45" i="148"/>
  <c r="BG70" i="148"/>
  <c r="BG38" i="148"/>
  <c r="BG41" i="148"/>
  <c r="BG42" i="148"/>
  <c r="BG44" i="148"/>
  <c r="BG39" i="148"/>
  <c r="BG196" i="148"/>
  <c r="BG220" i="148"/>
  <c r="BG205" i="148"/>
  <c r="V258" i="148"/>
  <c r="BG161" i="148"/>
  <c r="AH139" i="148"/>
  <c r="AY139" i="148" s="1"/>
  <c r="AH172" i="148"/>
  <c r="AH141" i="148"/>
  <c r="BE161" i="148"/>
  <c r="BE151" i="148" s="1"/>
  <c r="BD247" i="148"/>
  <c r="T258" i="148"/>
  <c r="T269" i="148" s="1"/>
  <c r="T249" i="148"/>
  <c r="W258" i="148"/>
  <c r="W249" i="148"/>
  <c r="W260" i="148" s="1"/>
  <c r="Y247" i="148"/>
  <c r="Y258" i="148" s="1"/>
  <c r="Z269" i="148" s="1"/>
  <c r="Y204" i="148"/>
  <c r="Y225" i="148"/>
  <c r="Y201" i="148"/>
  <c r="BE72" i="148"/>
  <c r="G80" i="164" l="1"/>
  <c r="F89" i="164"/>
  <c r="BG253" i="148"/>
  <c r="BG264" i="148" s="1"/>
  <c r="G36" i="163"/>
  <c r="G28" i="163" s="1"/>
  <c r="I107" i="164"/>
  <c r="BE201" i="148"/>
  <c r="BE225" i="148"/>
  <c r="AB249" i="148"/>
  <c r="AB260" i="148" s="1"/>
  <c r="AC271" i="148" s="1"/>
  <c r="AC269" i="148"/>
  <c r="AF249" i="148"/>
  <c r="AF260" i="148" s="1"/>
  <c r="AD269" i="148"/>
  <c r="BE46" i="148"/>
  <c r="BF264" i="148"/>
  <c r="AD183" i="148"/>
  <c r="BG247" i="148"/>
  <c r="I81" i="164" s="1"/>
  <c r="I99" i="164" s="1"/>
  <c r="I108" i="164" s="1"/>
  <c r="AH183" i="148"/>
  <c r="U269" i="148"/>
  <c r="W271" i="148"/>
  <c r="V269" i="148"/>
  <c r="Y249" i="148"/>
  <c r="Y260" i="148" s="1"/>
  <c r="AK63" i="148"/>
  <c r="BH50" i="148"/>
  <c r="BE178" i="148"/>
  <c r="BE188" i="148"/>
  <c r="X258" i="148"/>
  <c r="X269" i="148" s="1"/>
  <c r="X249" i="148"/>
  <c r="X260" i="148" s="1"/>
  <c r="X271" i="148" s="1"/>
  <c r="BF46" i="148"/>
  <c r="AI183" i="148"/>
  <c r="BG225" i="148"/>
  <c r="BG201" i="148"/>
  <c r="BG204" i="148"/>
  <c r="BF188" i="148"/>
  <c r="BF178" i="148"/>
  <c r="BG178" i="148"/>
  <c r="F107" i="164"/>
  <c r="BF201" i="148"/>
  <c r="BF225" i="148"/>
  <c r="BF204" i="148"/>
  <c r="BF185" i="148"/>
  <c r="F81" i="164"/>
  <c r="BG46" i="148"/>
  <c r="Y183" i="148"/>
  <c r="Z183" i="148"/>
  <c r="I89" i="164"/>
  <c r="BF139" i="148"/>
  <c r="BF141" i="148"/>
  <c r="BF172" i="148"/>
  <c r="AJ258" i="148"/>
  <c r="AJ249" i="148"/>
  <c r="AJ260" i="148" s="1"/>
  <c r="AJ271" i="148" s="1"/>
  <c r="G98" i="164"/>
  <c r="G89" i="164"/>
  <c r="BE139" i="148"/>
  <c r="BE172" i="148"/>
  <c r="BE141" i="148"/>
  <c r="AE258" i="148"/>
  <c r="AE249" i="148"/>
  <c r="AE260" i="148" s="1"/>
  <c r="AA258" i="148"/>
  <c r="AA249" i="148"/>
  <c r="BF247" i="148"/>
  <c r="W269" i="148"/>
  <c r="AH258" i="148"/>
  <c r="AH249" i="148"/>
  <c r="BD249" i="148"/>
  <c r="BD260" i="148" s="1"/>
  <c r="BD271" i="148" s="1"/>
  <c r="T260" i="148"/>
  <c r="T271" i="148" s="1"/>
  <c r="BG172" i="148"/>
  <c r="BG141" i="148"/>
  <c r="BG151" i="148"/>
  <c r="BG139" i="148" s="1"/>
  <c r="AA183" i="148"/>
  <c r="AB183" i="148"/>
  <c r="V271" i="148"/>
  <c r="AG258" i="148"/>
  <c r="AG269" i="148" s="1"/>
  <c r="AG249" i="148"/>
  <c r="AG260" i="148" s="1"/>
  <c r="BE247" i="148"/>
  <c r="BG185" i="148"/>
  <c r="AD260" i="148"/>
  <c r="AD271" i="148" s="1"/>
  <c r="H98" i="164"/>
  <c r="H89" i="164"/>
  <c r="Y264" i="148"/>
  <c r="Z264" i="148"/>
  <c r="AJ183" i="148"/>
  <c r="AF183" i="148"/>
  <c r="I100" i="164" l="1"/>
  <c r="I109" i="164" s="1"/>
  <c r="AG271" i="148"/>
  <c r="BE249" i="148"/>
  <c r="BE260" i="148" s="1"/>
  <c r="BE271" i="148" s="1"/>
  <c r="BG258" i="148"/>
  <c r="Y271" i="148"/>
  <c r="Z271" i="148"/>
  <c r="BG183" i="148"/>
  <c r="AJ269" i="148"/>
  <c r="F90" i="164"/>
  <c r="F99" i="164"/>
  <c r="BG249" i="148"/>
  <c r="BG260" i="148" s="1"/>
  <c r="Y269" i="148"/>
  <c r="BF258" i="148"/>
  <c r="H81" i="164"/>
  <c r="I90" i="164" s="1"/>
  <c r="BF183" i="148"/>
  <c r="AK72" i="148"/>
  <c r="BE258" i="148"/>
  <c r="G81" i="164"/>
  <c r="H107" i="164"/>
  <c r="H27" i="163" s="1"/>
  <c r="H35" i="163" s="1"/>
  <c r="J10" i="164"/>
  <c r="BH63" i="148"/>
  <c r="BH59" i="148"/>
  <c r="BH167" i="148"/>
  <c r="AH269" i="148"/>
  <c r="AI269" i="148"/>
  <c r="G107" i="164"/>
  <c r="AH260" i="148"/>
  <c r="AA260" i="148"/>
  <c r="BF249" i="148"/>
  <c r="BF260" i="148" s="1"/>
  <c r="AE271" i="148"/>
  <c r="AF271" i="148"/>
  <c r="AA269" i="148"/>
  <c r="AB269" i="148"/>
  <c r="AE269" i="148"/>
  <c r="AF269" i="148"/>
  <c r="U271" i="148"/>
  <c r="BF271" i="148" l="1"/>
  <c r="BF269" i="148"/>
  <c r="R40" i="164"/>
  <c r="R50" i="164" s="1"/>
  <c r="BH188" i="148"/>
  <c r="BH178" i="148"/>
  <c r="S23" i="164"/>
  <c r="S33" i="164" s="1"/>
  <c r="J107" i="163"/>
  <c r="J18" i="164"/>
  <c r="BG271" i="148"/>
  <c r="AA271" i="148"/>
  <c r="AB271" i="148"/>
  <c r="BG269" i="148"/>
  <c r="F108" i="164"/>
  <c r="F100" i="164"/>
  <c r="F109" i="164" s="1"/>
  <c r="R43" i="164"/>
  <c r="R53" i="164" s="1"/>
  <c r="I28" i="163"/>
  <c r="I36" i="163" s="1"/>
  <c r="G90" i="164"/>
  <c r="G99" i="164"/>
  <c r="BH72" i="148"/>
  <c r="AH271" i="148"/>
  <c r="AI271" i="148"/>
  <c r="BH209" i="148"/>
  <c r="H99" i="164"/>
  <c r="H90" i="164"/>
  <c r="R42" i="164"/>
  <c r="I27" i="163"/>
  <c r="I35" i="163" s="1"/>
  <c r="I29" i="163" l="1"/>
  <c r="I21" i="163" s="1"/>
  <c r="I87" i="163" s="1"/>
  <c r="H108" i="164"/>
  <c r="H28" i="163" s="1"/>
  <c r="H36" i="163" s="1"/>
  <c r="H29" i="163" s="1"/>
  <c r="H21" i="163" s="1"/>
  <c r="H100" i="164"/>
  <c r="H109" i="164" s="1"/>
  <c r="G108" i="164"/>
  <c r="G100" i="164"/>
  <c r="G109" i="164" s="1"/>
  <c r="BH205" i="148"/>
  <c r="BH196" i="148"/>
  <c r="I40" i="163" l="1"/>
  <c r="I43" i="163" s="1"/>
  <c r="H40" i="163"/>
  <c r="H87" i="163"/>
  <c r="I41" i="163" l="1"/>
  <c r="I44" i="163"/>
  <c r="I46" i="163" s="1"/>
  <c r="H41" i="163"/>
  <c r="H43" i="163"/>
  <c r="I47" i="163" l="1"/>
  <c r="H44" i="163"/>
  <c r="H46" i="163" s="1"/>
  <c r="I89" i="163" l="1"/>
  <c r="H78" i="163"/>
  <c r="H80" i="163" s="1"/>
  <c r="H47" i="163"/>
  <c r="I48" i="163" s="1"/>
  <c r="I78" i="163" l="1"/>
  <c r="H79" i="163"/>
  <c r="H89" i="163"/>
  <c r="H48" i="163"/>
  <c r="I79" i="163" l="1"/>
  <c r="I80" i="163"/>
  <c r="R154" i="148" l="1"/>
  <c r="R57" i="148"/>
  <c r="R70" i="148" s="1"/>
  <c r="BD57" i="148"/>
  <c r="S70" i="148" l="1"/>
  <c r="BD43" i="148"/>
  <c r="BD37" i="148"/>
  <c r="R161" i="148"/>
  <c r="R251" i="148"/>
  <c r="BD38" i="148"/>
  <c r="BD40" i="148"/>
  <c r="R132" i="148"/>
  <c r="BD154" i="148"/>
  <c r="BD153" i="148" s="1"/>
  <c r="BD174" i="148"/>
  <c r="BD39" i="148"/>
  <c r="R203" i="148"/>
  <c r="BD44" i="148"/>
  <c r="BC144" i="148"/>
  <c r="BC132" i="148" s="1"/>
  <c r="BD42" i="148"/>
  <c r="BD70" i="148"/>
  <c r="BD45" i="148"/>
  <c r="BD41" i="148"/>
  <c r="BD203" i="148"/>
  <c r="BE70" i="148"/>
  <c r="BD144" i="148" l="1"/>
  <c r="BD132" i="148" s="1"/>
  <c r="BD165" i="148"/>
  <c r="R172" i="148"/>
  <c r="R139" i="148"/>
  <c r="R141" i="148"/>
  <c r="R258" i="148"/>
  <c r="BD161" i="148"/>
  <c r="BD46" i="148"/>
  <c r="BE185" i="148"/>
  <c r="BD185" i="148"/>
  <c r="BH163" i="148"/>
  <c r="R269" i="148" l="1"/>
  <c r="S269" i="148"/>
  <c r="R183" i="148"/>
  <c r="S183" i="148"/>
  <c r="BD141" i="148"/>
  <c r="BD172" i="148"/>
  <c r="BD139" i="148"/>
  <c r="BD258" i="148"/>
  <c r="AK46" i="148"/>
  <c r="AK71" i="148"/>
  <c r="AK70" i="148"/>
  <c r="AK68" i="148"/>
  <c r="BH55" i="148"/>
  <c r="BH58" i="148" s="1"/>
  <c r="BH71" i="148" s="1"/>
  <c r="BH57" i="148"/>
  <c r="BH43" i="148" s="1"/>
  <c r="BD183" i="148" l="1"/>
  <c r="BE183" i="148"/>
  <c r="BD269" i="148"/>
  <c r="BE269" i="148"/>
  <c r="BH38" i="148"/>
  <c r="BH39" i="148"/>
  <c r="J11" i="164"/>
  <c r="BH44" i="148"/>
  <c r="BH68" i="148"/>
  <c r="BH37" i="148"/>
  <c r="BH174" i="148"/>
  <c r="BH42" i="148"/>
  <c r="BH70" i="148"/>
  <c r="BH41" i="148"/>
  <c r="BH45" i="148"/>
  <c r="BH40" i="148"/>
  <c r="BH46" i="148" l="1"/>
  <c r="BH185" i="148"/>
  <c r="S24" i="164"/>
  <c r="S34" i="164" s="1"/>
  <c r="J108" i="163"/>
  <c r="J19" i="164"/>
  <c r="BH216" i="148" l="1"/>
  <c r="BH223" i="148" s="1"/>
  <c r="BH221" i="148"/>
  <c r="AK223" i="148"/>
  <c r="AK220" i="148"/>
  <c r="AK219" i="148"/>
  <c r="AK221" i="148"/>
  <c r="AK222" i="148"/>
  <c r="AK224" i="148"/>
  <c r="AK218" i="148"/>
  <c r="BH218" i="148" l="1"/>
  <c r="BH224" i="148"/>
  <c r="BH222" i="148"/>
  <c r="BH203" i="148"/>
  <c r="BH220" i="148"/>
  <c r="BH219" i="148"/>
  <c r="BH215" i="148"/>
  <c r="BH214" i="148"/>
  <c r="BH204" i="148" s="1"/>
  <c r="BH201" i="148" l="1"/>
  <c r="BH226" i="148"/>
  <c r="BH202" i="148"/>
  <c r="BH225" i="148"/>
  <c r="AK225" i="148"/>
  <c r="AK226" i="148"/>
  <c r="BH248" i="148"/>
  <c r="BH249" i="148"/>
  <c r="BH260" i="148" s="1"/>
  <c r="BH271" i="148" s="1"/>
  <c r="BH243" i="148"/>
  <c r="BH254" i="148" s="1"/>
  <c r="BH265" i="148" s="1"/>
  <c r="BH245" i="148"/>
  <c r="BH256" i="148" s="1"/>
  <c r="BH267" i="148" s="1"/>
  <c r="BH247" i="148"/>
  <c r="AK260" i="148"/>
  <c r="BH246" i="148"/>
  <c r="BH244" i="148"/>
  <c r="BH255" i="148" s="1"/>
  <c r="BH266" i="148" s="1"/>
  <c r="BH242" i="148"/>
  <c r="BH241" i="148"/>
  <c r="AK254" i="148"/>
  <c r="AK252" i="148"/>
  <c r="AK253" i="148"/>
  <c r="AK257" i="148"/>
  <c r="AK256" i="148"/>
  <c r="AK255" i="148"/>
  <c r="BH240" i="148"/>
  <c r="J78" i="164" s="1"/>
  <c r="AK251" i="148"/>
  <c r="AL262" i="148" s="1"/>
  <c r="J81" i="164" l="1"/>
  <c r="J99" i="164" s="1"/>
  <c r="J108" i="164" s="1"/>
  <c r="AK266" i="148"/>
  <c r="AL266" i="148"/>
  <c r="AK268" i="148"/>
  <c r="AL268" i="148"/>
  <c r="AK271" i="148"/>
  <c r="AK267" i="148"/>
  <c r="AL267" i="148"/>
  <c r="AK264" i="148"/>
  <c r="AL264" i="148"/>
  <c r="AK263" i="148"/>
  <c r="AL263" i="148"/>
  <c r="AK265" i="148"/>
  <c r="AL265" i="148"/>
  <c r="J87" i="164"/>
  <c r="J96" i="164"/>
  <c r="J105" i="164" s="1"/>
  <c r="J25" i="163" s="1"/>
  <c r="J33" i="163" s="1"/>
  <c r="BH252" i="148"/>
  <c r="BH263" i="148" s="1"/>
  <c r="J79" i="164"/>
  <c r="BH253" i="148"/>
  <c r="BH264" i="148" s="1"/>
  <c r="J80" i="164"/>
  <c r="J98" i="164" s="1"/>
  <c r="J107" i="164" s="1"/>
  <c r="AM257" i="148"/>
  <c r="AN257" i="148" s="1"/>
  <c r="AN246" i="148" s="1"/>
  <c r="AN213" i="148" s="1"/>
  <c r="AM251" i="148"/>
  <c r="BH251" i="148"/>
  <c r="BH257" i="148"/>
  <c r="BH268" i="148" s="1"/>
  <c r="J97" i="164" l="1"/>
  <c r="J88" i="164"/>
  <c r="J89" i="164"/>
  <c r="J27" i="163"/>
  <c r="J35" i="163" s="1"/>
  <c r="AO257" i="148"/>
  <c r="AO246" i="148" s="1"/>
  <c r="AO213" i="148" s="1"/>
  <c r="AM255" i="148"/>
  <c r="AN255" i="148" s="1"/>
  <c r="AM252" i="148"/>
  <c r="AM256" i="148"/>
  <c r="AN251" i="148"/>
  <c r="AM253" i="148"/>
  <c r="AN200" i="148"/>
  <c r="J90" i="164"/>
  <c r="S42" i="164"/>
  <c r="S52" i="164" s="1"/>
  <c r="AM254" i="148"/>
  <c r="J106" i="164" l="1"/>
  <c r="J100" i="164"/>
  <c r="AP257" i="148"/>
  <c r="AP246" i="148" s="1"/>
  <c r="AM244" i="148"/>
  <c r="AM211" i="148" s="1"/>
  <c r="AM245" i="148"/>
  <c r="AM212" i="148" s="1"/>
  <c r="AM199" i="148" s="1"/>
  <c r="AN256" i="148"/>
  <c r="AN252" i="148"/>
  <c r="AN254" i="148"/>
  <c r="AO200" i="148"/>
  <c r="AO255" i="148"/>
  <c r="AN244" i="148"/>
  <c r="AN211" i="148" s="1"/>
  <c r="AN253" i="148"/>
  <c r="AO251" i="148"/>
  <c r="AN240" i="148"/>
  <c r="AQ257" i="148" l="1"/>
  <c r="AQ246" i="148" s="1"/>
  <c r="AQ213" i="148" s="1"/>
  <c r="J109" i="164"/>
  <c r="S40" i="164" s="1"/>
  <c r="S50" i="164" s="1"/>
  <c r="Q100" i="164"/>
  <c r="S41" i="164"/>
  <c r="J26" i="163"/>
  <c r="J34" i="163" s="1"/>
  <c r="R34" i="163" s="1"/>
  <c r="AO252" i="148"/>
  <c r="AN241" i="148"/>
  <c r="AN245" i="148"/>
  <c r="AO256" i="148"/>
  <c r="AN198" i="148"/>
  <c r="AN207" i="148"/>
  <c r="AO240" i="148"/>
  <c r="AP251" i="148"/>
  <c r="S43" i="164"/>
  <c r="S53" i="164" s="1"/>
  <c r="J28" i="163"/>
  <c r="J36" i="163" s="1"/>
  <c r="AN243" i="148"/>
  <c r="AO254" i="148"/>
  <c r="AO244" i="148"/>
  <c r="AO211" i="148" s="1"/>
  <c r="AP255" i="148"/>
  <c r="AN242" i="148"/>
  <c r="AO253" i="148"/>
  <c r="AP213" i="148"/>
  <c r="AM198" i="148"/>
  <c r="AR257" i="148" l="1"/>
  <c r="AN212" i="148"/>
  <c r="AN208" i="148"/>
  <c r="AO245" i="148"/>
  <c r="AO212" i="148" s="1"/>
  <c r="AO199" i="148" s="1"/>
  <c r="AP256" i="148"/>
  <c r="AP252" i="148"/>
  <c r="AO241" i="148"/>
  <c r="AO208" i="148" s="1"/>
  <c r="AO195" i="148" s="1"/>
  <c r="AO198" i="148"/>
  <c r="AQ251" i="148"/>
  <c r="AP240" i="148"/>
  <c r="AO207" i="148"/>
  <c r="AP200" i="148"/>
  <c r="AP254" i="148"/>
  <c r="AO243" i="148"/>
  <c r="AO210" i="148" s="1"/>
  <c r="AO242" i="148"/>
  <c r="AO209" i="148" s="1"/>
  <c r="AP253" i="148"/>
  <c r="AN210" i="148"/>
  <c r="AQ200" i="148"/>
  <c r="R35" i="163"/>
  <c r="J29" i="163"/>
  <c r="J21" i="163" s="1"/>
  <c r="AN194" i="148"/>
  <c r="AR246" i="148"/>
  <c r="AS257" i="148"/>
  <c r="AN209" i="148"/>
  <c r="AP244" i="148"/>
  <c r="AQ255" i="148"/>
  <c r="AN195" i="148" l="1"/>
  <c r="AQ256" i="148"/>
  <c r="AP245" i="148"/>
  <c r="AP241" i="148"/>
  <c r="AP208" i="148" s="1"/>
  <c r="AP195" i="148" s="1"/>
  <c r="AQ252" i="148"/>
  <c r="AN199" i="148"/>
  <c r="AP207" i="148"/>
  <c r="AQ254" i="148"/>
  <c r="AP243" i="148"/>
  <c r="AQ240" i="148"/>
  <c r="AR251" i="148"/>
  <c r="J87" i="163"/>
  <c r="J40" i="163"/>
  <c r="AO194" i="148"/>
  <c r="AN196" i="148"/>
  <c r="AN205" i="148"/>
  <c r="AO197" i="148"/>
  <c r="AQ253" i="148"/>
  <c r="AP242" i="148"/>
  <c r="AS246" i="148"/>
  <c r="AS213" i="148" s="1"/>
  <c r="AT257" i="148"/>
  <c r="AN197" i="148"/>
  <c r="AQ244" i="148"/>
  <c r="AQ211" i="148" s="1"/>
  <c r="AR255" i="148"/>
  <c r="AR213" i="148"/>
  <c r="AP211" i="148"/>
  <c r="AO196" i="148"/>
  <c r="AO205" i="148"/>
  <c r="BJ246" i="148" l="1"/>
  <c r="AP212" i="148"/>
  <c r="AR256" i="148"/>
  <c r="AQ245" i="148"/>
  <c r="AQ212" i="148" s="1"/>
  <c r="AQ199" i="148" s="1"/>
  <c r="AR252" i="148"/>
  <c r="AQ241" i="148"/>
  <c r="AQ208" i="148" s="1"/>
  <c r="AQ195" i="148" s="1"/>
  <c r="AR200" i="148"/>
  <c r="BJ213" i="148"/>
  <c r="AP194" i="148"/>
  <c r="AP198" i="148"/>
  <c r="AP209" i="148"/>
  <c r="AR240" i="148"/>
  <c r="AS251" i="148"/>
  <c r="AR244" i="148"/>
  <c r="AS255" i="148"/>
  <c r="AR253" i="148"/>
  <c r="AQ242" i="148"/>
  <c r="AQ209" i="148" s="1"/>
  <c r="AQ207" i="148"/>
  <c r="AP210" i="148"/>
  <c r="J41" i="163"/>
  <c r="J43" i="163"/>
  <c r="AQ198" i="148"/>
  <c r="AT246" i="148"/>
  <c r="AU257" i="148"/>
  <c r="AS200" i="148"/>
  <c r="AQ243" i="148"/>
  <c r="AQ210" i="148" s="1"/>
  <c r="AR254" i="148"/>
  <c r="BJ257" i="148" l="1"/>
  <c r="AP199" i="148"/>
  <c r="AS256" i="148"/>
  <c r="AR245" i="148"/>
  <c r="AR241" i="148"/>
  <c r="AR208" i="148" s="1"/>
  <c r="AR195" i="148" s="1"/>
  <c r="AS252" i="148"/>
  <c r="AR211" i="148"/>
  <c r="J44" i="163"/>
  <c r="J46" i="163" s="1"/>
  <c r="AS240" i="148"/>
  <c r="BJ240" i="148" s="1"/>
  <c r="AT251" i="148"/>
  <c r="AR207" i="148"/>
  <c r="BJ200" i="148"/>
  <c r="AQ197" i="148"/>
  <c r="AQ196" i="148"/>
  <c r="AQ205" i="148"/>
  <c r="AU246" i="148"/>
  <c r="AU213" i="148" s="1"/>
  <c r="AV257" i="148"/>
  <c r="AS253" i="148"/>
  <c r="AR242" i="148"/>
  <c r="AR209" i="148" s="1"/>
  <c r="AP196" i="148"/>
  <c r="AP205" i="148"/>
  <c r="AQ194" i="148"/>
  <c r="AP197" i="148"/>
  <c r="AT213" i="148"/>
  <c r="AR243" i="148"/>
  <c r="AR210" i="148" s="1"/>
  <c r="AS254" i="148"/>
  <c r="AT255" i="148"/>
  <c r="AS244" i="148"/>
  <c r="AS211" i="148" s="1"/>
  <c r="BJ251" i="148" l="1"/>
  <c r="L78" i="164"/>
  <c r="AR212" i="148"/>
  <c r="AS241" i="148"/>
  <c r="AT252" i="148"/>
  <c r="AS245" i="148"/>
  <c r="AS212" i="148" s="1"/>
  <c r="AS199" i="148" s="1"/>
  <c r="AT256" i="148"/>
  <c r="BJ244" i="148"/>
  <c r="BJ255" i="148" s="1"/>
  <c r="AT200" i="148"/>
  <c r="AS198" i="148"/>
  <c r="AT254" i="148"/>
  <c r="AS243" i="148"/>
  <c r="AS210" i="148" s="1"/>
  <c r="AR194" i="148"/>
  <c r="AR198" i="148"/>
  <c r="BJ211" i="148"/>
  <c r="AW257" i="148"/>
  <c r="AW246" i="148" s="1"/>
  <c r="AW213" i="148" s="1"/>
  <c r="AV246" i="148"/>
  <c r="AV213" i="148" s="1"/>
  <c r="J47" i="163"/>
  <c r="J78" i="163"/>
  <c r="AS242" i="148"/>
  <c r="AS209" i="148" s="1"/>
  <c r="BJ209" i="148" s="1"/>
  <c r="AT253" i="148"/>
  <c r="AU251" i="148"/>
  <c r="AT240" i="148"/>
  <c r="AT244" i="148"/>
  <c r="AU255" i="148"/>
  <c r="AR197" i="148"/>
  <c r="AR196" i="148"/>
  <c r="AU200" i="148"/>
  <c r="AS207" i="148"/>
  <c r="BJ245" i="148" l="1"/>
  <c r="BJ256" i="148" s="1"/>
  <c r="L96" i="164"/>
  <c r="L105" i="164" s="1"/>
  <c r="L25" i="163" s="1"/>
  <c r="L33" i="163" s="1"/>
  <c r="BJ243" i="148"/>
  <c r="BJ242" i="148"/>
  <c r="BJ253" i="148" s="1"/>
  <c r="AR199" i="148"/>
  <c r="BJ212" i="148"/>
  <c r="BJ199" i="148" s="1"/>
  <c r="AU256" i="148"/>
  <c r="AT245" i="148"/>
  <c r="AU252" i="148"/>
  <c r="AT241" i="148"/>
  <c r="AT208" i="148" s="1"/>
  <c r="AT195" i="148" s="1"/>
  <c r="AR205" i="148"/>
  <c r="AS208" i="148"/>
  <c r="AS205" i="148" s="1"/>
  <c r="BJ241" i="148"/>
  <c r="BJ196" i="148"/>
  <c r="AT211" i="148"/>
  <c r="BK246" i="148"/>
  <c r="J79" i="163"/>
  <c r="BJ198" i="148"/>
  <c r="AS197" i="148"/>
  <c r="BJ210" i="148"/>
  <c r="J68" i="163"/>
  <c r="J69" i="163" s="1"/>
  <c r="J48" i="163"/>
  <c r="J89" i="163"/>
  <c r="AU254" i="148"/>
  <c r="AT243" i="148"/>
  <c r="AV255" i="148"/>
  <c r="AU244" i="148"/>
  <c r="AU211" i="148" s="1"/>
  <c r="AU240" i="148"/>
  <c r="AV251" i="148"/>
  <c r="AU253" i="148"/>
  <c r="AT242" i="148"/>
  <c r="J80" i="163"/>
  <c r="AV200" i="148"/>
  <c r="AT207" i="148"/>
  <c r="AS194" i="148"/>
  <c r="BJ207" i="148"/>
  <c r="AS196" i="148"/>
  <c r="AW200" i="148"/>
  <c r="BK213" i="148"/>
  <c r="BK257" i="148" l="1"/>
  <c r="BK268" i="148" s="1"/>
  <c r="BJ252" i="148"/>
  <c r="L79" i="164"/>
  <c r="BJ254" i="148"/>
  <c r="L80" i="164"/>
  <c r="AT212" i="148"/>
  <c r="AT199" i="148" s="1"/>
  <c r="AV252" i="148"/>
  <c r="AU241" i="148"/>
  <c r="AU208" i="148" s="1"/>
  <c r="AU195" i="148" s="1"/>
  <c r="AU245" i="148"/>
  <c r="AU212" i="148" s="1"/>
  <c r="AU199" i="148" s="1"/>
  <c r="AV256" i="148"/>
  <c r="AS195" i="148"/>
  <c r="BJ208" i="148"/>
  <c r="BJ195" i="148" s="1"/>
  <c r="AU243" i="148"/>
  <c r="AU210" i="148" s="1"/>
  <c r="AV254" i="148"/>
  <c r="AW255" i="148"/>
  <c r="AW244" i="148" s="1"/>
  <c r="AW211" i="148" s="1"/>
  <c r="AV244" i="148"/>
  <c r="AV211" i="148" s="1"/>
  <c r="AT209" i="148"/>
  <c r="AT210" i="148"/>
  <c r="AT194" i="148"/>
  <c r="AW251" i="148"/>
  <c r="AW240" i="148" s="1"/>
  <c r="AV240" i="148"/>
  <c r="J71" i="163"/>
  <c r="J70" i="163"/>
  <c r="BJ197" i="148"/>
  <c r="AU242" i="148"/>
  <c r="AU209" i="148" s="1"/>
  <c r="AV253" i="148"/>
  <c r="BK200" i="148"/>
  <c r="AU207" i="148"/>
  <c r="AU198" i="148"/>
  <c r="AT198" i="148"/>
  <c r="L97" i="164" l="1"/>
  <c r="L106" i="164" s="1"/>
  <c r="L98" i="164"/>
  <c r="BK244" i="148"/>
  <c r="BK255" i="148" s="1"/>
  <c r="BK266" i="148" s="1"/>
  <c r="BK211" i="148"/>
  <c r="BK198" i="148" s="1"/>
  <c r="AV245" i="148"/>
  <c r="AW256" i="148"/>
  <c r="AW245" i="148" s="1"/>
  <c r="AW212" i="148" s="1"/>
  <c r="AW199" i="148" s="1"/>
  <c r="AW252" i="148"/>
  <c r="AW241" i="148" s="1"/>
  <c r="AW208" i="148" s="1"/>
  <c r="AW195" i="148" s="1"/>
  <c r="AV241" i="148"/>
  <c r="AV208" i="148" s="1"/>
  <c r="BJ205" i="148"/>
  <c r="AW253" i="148"/>
  <c r="AW242" i="148" s="1"/>
  <c r="AW209" i="148" s="1"/>
  <c r="AV242" i="148"/>
  <c r="AV209" i="148" s="1"/>
  <c r="AU196" i="148"/>
  <c r="AU205" i="148"/>
  <c r="AV207" i="148"/>
  <c r="BK240" i="148"/>
  <c r="AT197" i="148"/>
  <c r="AV243" i="148"/>
  <c r="AW254" i="148"/>
  <c r="AW243" i="148" s="1"/>
  <c r="AW210" i="148" s="1"/>
  <c r="AW207" i="148"/>
  <c r="AU197" i="148"/>
  <c r="AU194" i="148"/>
  <c r="AT196" i="148"/>
  <c r="AT205" i="148"/>
  <c r="AV198" i="148"/>
  <c r="AW198" i="148"/>
  <c r="BK251" i="148" l="1"/>
  <c r="M78" i="164"/>
  <c r="L107" i="164"/>
  <c r="BK209" i="148"/>
  <c r="BK196" i="148" s="1"/>
  <c r="BK242" i="148"/>
  <c r="BK253" i="148" s="1"/>
  <c r="BK264" i="148" s="1"/>
  <c r="BK241" i="148"/>
  <c r="BK208" i="148"/>
  <c r="BK195" i="148" s="1"/>
  <c r="AV195" i="148"/>
  <c r="AV212" i="148"/>
  <c r="BK245" i="148"/>
  <c r="BK256" i="148" s="1"/>
  <c r="BK267" i="148" s="1"/>
  <c r="AW197" i="148"/>
  <c r="AV210" i="148"/>
  <c r="BK243" i="148"/>
  <c r="AV194" i="148"/>
  <c r="BK207" i="148"/>
  <c r="AV196" i="148"/>
  <c r="AW194" i="148"/>
  <c r="AW196" i="148"/>
  <c r="AW205" i="148"/>
  <c r="BK252" i="148" l="1"/>
  <c r="BK263" i="148" s="1"/>
  <c r="M79" i="164"/>
  <c r="M96" i="164"/>
  <c r="M105" i="164" s="1"/>
  <c r="M25" i="163" s="1"/>
  <c r="M33" i="163" s="1"/>
  <c r="N78" i="164"/>
  <c r="N96" i="164" s="1"/>
  <c r="N105" i="164" s="1"/>
  <c r="N25" i="163" s="1"/>
  <c r="M87" i="164"/>
  <c r="BK254" i="148"/>
  <c r="BK265" i="148" s="1"/>
  <c r="M80" i="164"/>
  <c r="AV205" i="148"/>
  <c r="BK212" i="148"/>
  <c r="BK199" i="148" s="1"/>
  <c r="AV199" i="148"/>
  <c r="AV197" i="148"/>
  <c r="BK210" i="148"/>
  <c r="M97" i="164" l="1"/>
  <c r="M106" i="164" s="1"/>
  <c r="N79" i="164"/>
  <c r="M88" i="164"/>
  <c r="M89" i="164"/>
  <c r="M98" i="164"/>
  <c r="N80" i="164"/>
  <c r="BK197" i="148"/>
  <c r="BK205" i="148"/>
  <c r="AK173" i="148"/>
  <c r="M107" i="164" l="1"/>
  <c r="AK162" i="148"/>
  <c r="AK140" i="148" l="1"/>
  <c r="BH162" i="148"/>
  <c r="AK259" i="148"/>
  <c r="AK161" i="148"/>
  <c r="AK270" i="148" l="1"/>
  <c r="BH161" i="148"/>
  <c r="BH151" i="148" s="1"/>
  <c r="AK141" i="148"/>
  <c r="AK139" i="148"/>
  <c r="AK258" i="148"/>
  <c r="AK172" i="148"/>
  <c r="BH259" i="148"/>
  <c r="BH270" i="148" s="1"/>
  <c r="BH173" i="148"/>
  <c r="BH152" i="148"/>
  <c r="BH140" i="148" s="1"/>
  <c r="BH141" i="148" l="1"/>
  <c r="BH172" i="148"/>
  <c r="BH139" i="148"/>
  <c r="BH258" i="148"/>
  <c r="BH269" i="148" s="1"/>
  <c r="BH184" i="148"/>
  <c r="AK183" i="148"/>
  <c r="AK269" i="148"/>
  <c r="BH183" i="148" l="1"/>
  <c r="AL24" i="148" l="1"/>
  <c r="AL46" i="148"/>
  <c r="AL174" i="148" l="1"/>
  <c r="AL185" i="148" s="1"/>
  <c r="AL290" i="148"/>
  <c r="AL12" i="148"/>
  <c r="AL13" i="148"/>
  <c r="AL294" i="148"/>
  <c r="AL288" i="148"/>
  <c r="AL289" i="148"/>
  <c r="BV71" i="75" l="1"/>
  <c r="BV72" i="75"/>
  <c r="BV70" i="75"/>
  <c r="BV69" i="75"/>
  <c r="BV10" i="75"/>
  <c r="BV81" i="75"/>
  <c r="BV14" i="75" l="1"/>
  <c r="BV16" i="75" s="1"/>
  <c r="BV18" i="75" l="1"/>
  <c r="AL25" i="148"/>
  <c r="BV17" i="75"/>
  <c r="BV73" i="75"/>
  <c r="BV27" i="75"/>
  <c r="BV33" i="75" l="1"/>
  <c r="BV29" i="75"/>
  <c r="BV74" i="75"/>
  <c r="BV28" i="75"/>
  <c r="AL30" i="148"/>
  <c r="AL28" i="148" s="1"/>
  <c r="AL31" i="148" s="1"/>
  <c r="AL26" i="148"/>
  <c r="AL32" i="148" l="1"/>
  <c r="AL216" i="148"/>
  <c r="BV45" i="75"/>
  <c r="AL274" i="148"/>
  <c r="BV34" i="75"/>
  <c r="BV82" i="75"/>
  <c r="BV75" i="75"/>
  <c r="BV35" i="75"/>
  <c r="AL275" i="148" l="1"/>
  <c r="BV48" i="75"/>
  <c r="BV77" i="75" s="1"/>
  <c r="BV76" i="75"/>
  <c r="BV46" i="75"/>
  <c r="BV83" i="75"/>
  <c r="BV53" i="75"/>
  <c r="BV84" i="75"/>
  <c r="BV54" i="75"/>
  <c r="BV78" i="75"/>
  <c r="BV56" i="75"/>
  <c r="BV57" i="75"/>
  <c r="BV85" i="75" l="1"/>
  <c r="BV86" i="75"/>
  <c r="M33" i="164" l="1"/>
  <c r="N33" i="164" s="1"/>
  <c r="N25" i="164" s="1"/>
  <c r="N41" i="164" s="1"/>
  <c r="N57" i="164" s="1"/>
  <c r="L122" i="164"/>
  <c r="N27" i="164"/>
  <c r="N43" i="164" s="1"/>
  <c r="L35" i="164"/>
  <c r="M35" i="164"/>
  <c r="L33" i="164"/>
  <c r="M122" i="164"/>
  <c r="N26" i="164"/>
  <c r="N42" i="164" s="1"/>
  <c r="M58" i="164" s="1"/>
  <c r="L34" i="164"/>
  <c r="M34" i="164"/>
  <c r="N59" i="164" l="1"/>
  <c r="M59" i="164"/>
  <c r="M60" i="164"/>
  <c r="M61" i="164" s="1"/>
  <c r="N58" i="164"/>
  <c r="N60" i="164" s="1"/>
  <c r="N122" i="164"/>
  <c r="N69" i="164"/>
  <c r="N97" i="164" l="1"/>
  <c r="U41" i="164"/>
  <c r="U51" i="164" s="1"/>
  <c r="L26" i="163"/>
  <c r="L34" i="163" s="1"/>
  <c r="N106" i="164" l="1"/>
  <c r="V41" i="164" l="1"/>
  <c r="V51" i="164" s="1"/>
  <c r="M26" i="163"/>
  <c r="M34" i="163" s="1"/>
  <c r="N26" i="163"/>
  <c r="W41" i="164"/>
  <c r="W51" i="164" s="1"/>
  <c r="O26" i="163" l="1"/>
  <c r="O34" i="163" s="1"/>
  <c r="N34" i="163"/>
  <c r="R120" i="75"/>
  <c r="S120" i="75" s="1"/>
  <c r="S202" i="75"/>
  <c r="R206" i="75"/>
  <c r="R207" i="75" s="1"/>
  <c r="R202" i="75"/>
  <c r="L118" i="164"/>
  <c r="R122" i="75" l="1"/>
  <c r="S122" i="75"/>
  <c r="M63" i="164"/>
  <c r="N61" i="164"/>
  <c r="AB4" i="164"/>
  <c r="M117" i="164"/>
  <c r="M118" i="164"/>
  <c r="R208" i="75"/>
  <c r="L63" i="164"/>
  <c r="L117" i="164"/>
  <c r="AA4" i="164"/>
  <c r="S206" i="75" l="1"/>
  <c r="S207" i="75" s="1"/>
  <c r="N62" i="164"/>
  <c r="N63" i="164" s="1"/>
  <c r="N70" i="164"/>
  <c r="N71" i="164"/>
  <c r="AA5" i="164"/>
  <c r="AA13" i="164"/>
  <c r="AB13" i="164"/>
  <c r="AB5" i="164"/>
  <c r="S208" i="75"/>
  <c r="T181" i="75" l="1"/>
  <c r="T206" i="75" s="1"/>
  <c r="AC4" i="164"/>
  <c r="AC13" i="164" s="1"/>
  <c r="N118" i="164"/>
  <c r="CV3" i="150"/>
  <c r="CV4" i="150" s="1"/>
  <c r="N117" i="164"/>
  <c r="AC5" i="164"/>
  <c r="N72" i="164"/>
  <c r="N98" i="164"/>
  <c r="T202" i="75"/>
  <c r="T120" i="75"/>
  <c r="CV11" i="150" l="1"/>
  <c r="N73" i="164"/>
  <c r="N113" i="164"/>
  <c r="M113" i="164"/>
  <c r="AB6" i="164" s="1"/>
  <c r="N107" i="164"/>
  <c r="L113" i="164"/>
  <c r="AA6" i="164" s="1"/>
  <c r="N27" i="163" l="1"/>
  <c r="W42" i="164"/>
  <c r="W52" i="164" s="1"/>
  <c r="L27" i="163"/>
  <c r="L35" i="163" s="1"/>
  <c r="U42" i="164"/>
  <c r="U52" i="164" s="1"/>
  <c r="AC6" i="164"/>
  <c r="T31" i="75"/>
  <c r="M27" i="163"/>
  <c r="M35" i="163" s="1"/>
  <c r="V42" i="164"/>
  <c r="V52" i="164" s="1"/>
  <c r="O27" i="163" l="1"/>
  <c r="O35" i="163" s="1"/>
  <c r="N35" i="163"/>
  <c r="T205" i="75"/>
  <c r="T171" i="75"/>
  <c r="T121" i="75" l="1"/>
  <c r="T207" i="75"/>
  <c r="T122" i="75" l="1"/>
  <c r="BI158" i="148" l="1"/>
  <c r="BI148" i="148" s="1"/>
  <c r="AL142" i="148"/>
  <c r="AL136" i="148"/>
  <c r="BI244" i="148"/>
  <c r="BI255" i="148" s="1"/>
  <c r="BI266" i="148" s="1"/>
  <c r="BI245" i="148"/>
  <c r="BI256" i="148" s="1"/>
  <c r="BJ267" i="148" s="1"/>
  <c r="AL135" i="148"/>
  <c r="AM157" i="148" s="1"/>
  <c r="AL133" i="148"/>
  <c r="AM155" i="148" s="1"/>
  <c r="BI159" i="148"/>
  <c r="BI170" i="148" s="1"/>
  <c r="AL138" i="148"/>
  <c r="AM160" i="148" s="1"/>
  <c r="AL134" i="148"/>
  <c r="AM156" i="148" s="1"/>
  <c r="AL137" i="148"/>
  <c r="BI212" i="148"/>
  <c r="BI199" i="148" s="1"/>
  <c r="AL132" i="148"/>
  <c r="AM132" i="148"/>
  <c r="AM154" i="148" s="1"/>
  <c r="BI191" i="148" l="1"/>
  <c r="BI181" i="148"/>
  <c r="BI169" i="148"/>
  <c r="BJ180" i="148" s="1"/>
  <c r="BI190" i="148"/>
  <c r="AM142" i="148"/>
  <c r="AM241" i="148"/>
  <c r="BI241" i="148" s="1"/>
  <c r="BI155" i="148"/>
  <c r="BI145" i="148" s="1"/>
  <c r="AM49" i="148"/>
  <c r="AM242" i="148"/>
  <c r="BI242" i="148" s="1"/>
  <c r="AM50" i="148"/>
  <c r="BI156" i="148"/>
  <c r="BI146" i="148" s="1"/>
  <c r="AM246" i="148"/>
  <c r="BI246" i="148" s="1"/>
  <c r="AM54" i="148"/>
  <c r="BI160" i="148"/>
  <c r="AM243" i="148"/>
  <c r="BI243" i="148" s="1"/>
  <c r="BI157" i="148"/>
  <c r="AM51" i="148"/>
  <c r="AM48" i="148"/>
  <c r="BJ181" i="148"/>
  <c r="BI267" i="148"/>
  <c r="BJ266" i="148"/>
  <c r="AM240" i="148"/>
  <c r="BI154" i="148"/>
  <c r="BI144" i="148" s="1"/>
  <c r="BI149" i="148"/>
  <c r="BI137" i="148" s="1"/>
  <c r="AL205" i="148"/>
  <c r="BI136" i="148"/>
  <c r="BI180" i="148" l="1"/>
  <c r="BI254" i="148"/>
  <c r="BI265" i="148" s="1"/>
  <c r="BI253" i="148"/>
  <c r="K80" i="164"/>
  <c r="K79" i="164"/>
  <c r="BI252" i="148"/>
  <c r="AM63" i="148"/>
  <c r="AN63" i="148"/>
  <c r="AM209" i="148"/>
  <c r="BI50" i="148"/>
  <c r="AM62" i="148"/>
  <c r="AN62" i="148"/>
  <c r="BI49" i="148"/>
  <c r="AM59" i="148"/>
  <c r="AM208" i="148"/>
  <c r="AM213" i="148"/>
  <c r="BI54" i="148"/>
  <c r="AM67" i="148"/>
  <c r="AN67" i="148"/>
  <c r="BI133" i="148"/>
  <c r="BI142" i="148"/>
  <c r="BI240" i="148"/>
  <c r="BI150" i="148"/>
  <c r="BI138" i="148" s="1"/>
  <c r="BI257" i="148"/>
  <c r="AN64" i="148"/>
  <c r="AM210" i="148"/>
  <c r="AM64" i="148"/>
  <c r="BI51" i="148"/>
  <c r="BI211" i="148"/>
  <c r="BI132" i="148"/>
  <c r="BI153" i="148"/>
  <c r="BI48" i="148"/>
  <c r="AM207" i="148"/>
  <c r="BI147" i="148"/>
  <c r="BI135" i="148" s="1"/>
  <c r="BI134" i="148"/>
  <c r="BJ265" i="148" l="1"/>
  <c r="AM205" i="148"/>
  <c r="AM195" i="148"/>
  <c r="BI208" i="148"/>
  <c r="BI251" i="148"/>
  <c r="K78" i="164"/>
  <c r="BI171" i="148"/>
  <c r="BI67" i="148"/>
  <c r="BJ67" i="148"/>
  <c r="AM72" i="148"/>
  <c r="AN72" i="148"/>
  <c r="BI63" i="148"/>
  <c r="BI167" i="148"/>
  <c r="K10" i="164"/>
  <c r="BJ63" i="148"/>
  <c r="BI263" i="148"/>
  <c r="BJ263" i="148"/>
  <c r="AM196" i="148"/>
  <c r="BI209" i="148"/>
  <c r="L88" i="164"/>
  <c r="K88" i="164"/>
  <c r="K97" i="164"/>
  <c r="BJ64" i="148"/>
  <c r="BI168" i="148"/>
  <c r="BI64" i="148"/>
  <c r="BI210" i="148"/>
  <c r="AM197" i="148"/>
  <c r="AM200" i="148"/>
  <c r="BI213" i="148"/>
  <c r="K89" i="164"/>
  <c r="K98" i="164"/>
  <c r="L89" i="164"/>
  <c r="AM194" i="148"/>
  <c r="BI207" i="148"/>
  <c r="BI198" i="148"/>
  <c r="BJ268" i="148"/>
  <c r="BI268" i="148"/>
  <c r="BI166" i="148"/>
  <c r="BJ62" i="148"/>
  <c r="K9" i="164"/>
  <c r="BI62" i="148"/>
  <c r="K8" i="164"/>
  <c r="BJ61" i="148"/>
  <c r="BI61" i="148"/>
  <c r="BI165" i="148"/>
  <c r="BI59" i="148"/>
  <c r="BI264" i="148"/>
  <c r="BJ264" i="148"/>
  <c r="K106" i="164" l="1"/>
  <c r="K26" i="163" s="1"/>
  <c r="K34" i="163" s="1"/>
  <c r="L18" i="164"/>
  <c r="T23" i="164"/>
  <c r="T33" i="164" s="1"/>
  <c r="K18" i="164"/>
  <c r="BI182" i="148"/>
  <c r="BJ182" i="148"/>
  <c r="BJ72" i="148"/>
  <c r="BI72" i="148"/>
  <c r="BI200" i="148"/>
  <c r="BI197" i="148"/>
  <c r="BJ179" i="148"/>
  <c r="BI189" i="148"/>
  <c r="BI179" i="148"/>
  <c r="BI196" i="148"/>
  <c r="L16" i="164"/>
  <c r="K16" i="164"/>
  <c r="L17" i="164"/>
  <c r="O17" i="163" s="1"/>
  <c r="O9" i="163" s="1"/>
  <c r="K17" i="164"/>
  <c r="T22" i="164"/>
  <c r="BI177" i="148"/>
  <c r="BI187" i="148"/>
  <c r="BJ177" i="148"/>
  <c r="K107" i="164"/>
  <c r="BJ178" i="148"/>
  <c r="BI178" i="148"/>
  <c r="BI188" i="148"/>
  <c r="K96" i="164"/>
  <c r="K87" i="164"/>
  <c r="L87" i="164"/>
  <c r="BI195" i="148"/>
  <c r="BI205" i="148"/>
  <c r="T41" i="164" l="1"/>
  <c r="O33" i="163"/>
  <c r="K105" i="164"/>
  <c r="K25" i="163" s="1"/>
  <c r="K33" i="163" s="1"/>
  <c r="T42" i="164"/>
  <c r="T52" i="164" s="1"/>
  <c r="K27" i="163"/>
  <c r="K35" i="163" s="1"/>
  <c r="AL173" i="148"/>
  <c r="AM173" i="148" s="1"/>
  <c r="AN173" i="148" s="1"/>
  <c r="AN56" i="148" s="1"/>
  <c r="AL162" i="148" l="1"/>
  <c r="AL259" i="148" s="1"/>
  <c r="AL161" i="148"/>
  <c r="AL139" i="148" s="1"/>
  <c r="AM161" i="148" s="1"/>
  <c r="AL270" i="148"/>
  <c r="AM259" i="148"/>
  <c r="AN259" i="148" s="1"/>
  <c r="AL140" i="148"/>
  <c r="AM162" i="148" s="1"/>
  <c r="AO173" i="148"/>
  <c r="BI161" i="148" l="1"/>
  <c r="AL141" i="148"/>
  <c r="AL172" i="148"/>
  <c r="AM163" i="148"/>
  <c r="BI163" i="148" s="1"/>
  <c r="AN248" i="148"/>
  <c r="AN215" i="148" s="1"/>
  <c r="AN202" i="148" s="1"/>
  <c r="AO259" i="148"/>
  <c r="BI151" i="148"/>
  <c r="BI139" i="148" s="1"/>
  <c r="AO56" i="148"/>
  <c r="AP173" i="148"/>
  <c r="AM172" i="148"/>
  <c r="AL183" i="148"/>
  <c r="AM21" i="148"/>
  <c r="AM248" i="148"/>
  <c r="AM56" i="148"/>
  <c r="AM141" i="148"/>
  <c r="BI162" i="148"/>
  <c r="AO248" i="148" l="1"/>
  <c r="BI248" i="148" s="1"/>
  <c r="BI259" i="148" s="1"/>
  <c r="AP259" i="148"/>
  <c r="BI56" i="148"/>
  <c r="AM69" i="148"/>
  <c r="AM215" i="148"/>
  <c r="AN69" i="148"/>
  <c r="AN172" i="148"/>
  <c r="AM55" i="148"/>
  <c r="AO215" i="148"/>
  <c r="AO69" i="148"/>
  <c r="AM22" i="148"/>
  <c r="BI21" i="148"/>
  <c r="BI22" i="148" s="1"/>
  <c r="AP56" i="148"/>
  <c r="AQ173" i="148"/>
  <c r="BI152" i="148"/>
  <c r="BI140" i="148" s="1"/>
  <c r="BI141" i="148"/>
  <c r="AP248" i="148" l="1"/>
  <c r="AQ259" i="148"/>
  <c r="BI215" i="148"/>
  <c r="BI202" i="148" s="1"/>
  <c r="BI270" i="148"/>
  <c r="AM202" i="148"/>
  <c r="AQ56" i="148"/>
  <c r="AR173" i="148"/>
  <c r="AN55" i="148"/>
  <c r="AO172" i="148"/>
  <c r="BI69" i="148"/>
  <c r="BI173" i="148"/>
  <c r="AO202" i="148"/>
  <c r="AM68" i="148"/>
  <c r="AM58" i="148"/>
  <c r="AM71" i="148" s="1"/>
  <c r="AM57" i="148"/>
  <c r="AP69" i="148"/>
  <c r="AP215" i="148"/>
  <c r="AQ248" i="148" l="1"/>
  <c r="AR259" i="148"/>
  <c r="AR56" i="148"/>
  <c r="AS173" i="148"/>
  <c r="AM37" i="148"/>
  <c r="AM41" i="148"/>
  <c r="AM40" i="148"/>
  <c r="AM39" i="148"/>
  <c r="AM38" i="148"/>
  <c r="AM42" i="148"/>
  <c r="AM70" i="148"/>
  <c r="AM43" i="148"/>
  <c r="AM17" i="148"/>
  <c r="AM11" i="148" s="1"/>
  <c r="AM45" i="148"/>
  <c r="AQ69" i="148"/>
  <c r="AQ215" i="148"/>
  <c r="AN58" i="148"/>
  <c r="AN71" i="148" s="1"/>
  <c r="AN68" i="148"/>
  <c r="AN57" i="148"/>
  <c r="AP202" i="148"/>
  <c r="AO55" i="148"/>
  <c r="AP172" i="148"/>
  <c r="AM44" i="148"/>
  <c r="BI184" i="148"/>
  <c r="AR248" i="148" l="1"/>
  <c r="AS259" i="148"/>
  <c r="AR69" i="148"/>
  <c r="AR215" i="148"/>
  <c r="AN39" i="148"/>
  <c r="AN43" i="148"/>
  <c r="AN70" i="148"/>
  <c r="AN40" i="148"/>
  <c r="AN42" i="148"/>
  <c r="AN37" i="148"/>
  <c r="AN38" i="148"/>
  <c r="AN41" i="148"/>
  <c r="AN17" i="148"/>
  <c r="AN45" i="148"/>
  <c r="AO68" i="148"/>
  <c r="AO58" i="148"/>
  <c r="AO71" i="148" s="1"/>
  <c r="AO57" i="148"/>
  <c r="BI55" i="148"/>
  <c r="AQ202" i="148"/>
  <c r="AN44" i="148"/>
  <c r="AQ172" i="148"/>
  <c r="AP55" i="148"/>
  <c r="AM46" i="148"/>
  <c r="AM24" i="148"/>
  <c r="AM174" i="148" s="1"/>
  <c r="AM185" i="148" s="1"/>
  <c r="AS56" i="148"/>
  <c r="BJ56" i="148" s="1"/>
  <c r="AT173" i="148"/>
  <c r="AT259" i="148" l="1"/>
  <c r="AS248" i="148"/>
  <c r="AS215" i="148" s="1"/>
  <c r="BJ248" i="148"/>
  <c r="BJ259" i="148" s="1"/>
  <c r="BJ270" i="148" s="1"/>
  <c r="AN46" i="148"/>
  <c r="BI58" i="148"/>
  <c r="BI68" i="148"/>
  <c r="BI172" i="148"/>
  <c r="BJ69" i="148"/>
  <c r="BJ173" i="148"/>
  <c r="BJ184" i="148" s="1"/>
  <c r="AO37" i="148"/>
  <c r="AO39" i="148"/>
  <c r="AO70" i="148"/>
  <c r="AO43" i="148"/>
  <c r="AO42" i="148"/>
  <c r="AO38" i="148"/>
  <c r="AO17" i="148"/>
  <c r="AO41" i="148"/>
  <c r="AO40" i="148"/>
  <c r="AO45" i="148"/>
  <c r="AT56" i="148"/>
  <c r="AU173" i="148"/>
  <c r="AR202" i="148"/>
  <c r="AS69" i="148"/>
  <c r="AP58" i="148"/>
  <c r="AP71" i="148" s="1"/>
  <c r="AP68" i="148"/>
  <c r="AP57" i="148"/>
  <c r="AP44" i="148" s="1"/>
  <c r="AR172" i="148"/>
  <c r="AQ55" i="148"/>
  <c r="AO44" i="148"/>
  <c r="AN24" i="148"/>
  <c r="AN174" i="148" s="1"/>
  <c r="AN185" i="148" s="1"/>
  <c r="AN11" i="148"/>
  <c r="BI57" i="148"/>
  <c r="AU259" i="148" l="1"/>
  <c r="AT248" i="148"/>
  <c r="AT215" i="148" s="1"/>
  <c r="AO46" i="148"/>
  <c r="BI174" i="148"/>
  <c r="BI41" i="148"/>
  <c r="BI70" i="148"/>
  <c r="BI42" i="148"/>
  <c r="BI37" i="148"/>
  <c r="BI43" i="148"/>
  <c r="BI39" i="148"/>
  <c r="BI40" i="148"/>
  <c r="BI38" i="148"/>
  <c r="BI45" i="148"/>
  <c r="AQ68" i="148"/>
  <c r="AQ58" i="148"/>
  <c r="AQ71" i="148" s="1"/>
  <c r="AQ57" i="148"/>
  <c r="AQ44" i="148" s="1"/>
  <c r="BI71" i="148"/>
  <c r="K11" i="164"/>
  <c r="AN13" i="148"/>
  <c r="AN290" i="148"/>
  <c r="AN288" i="148"/>
  <c r="AN16" i="148"/>
  <c r="AN286" i="148"/>
  <c r="AN287" i="148"/>
  <c r="AN289" i="148"/>
  <c r="AN294" i="148"/>
  <c r="BX9" i="75"/>
  <c r="AO24" i="148"/>
  <c r="AO174" i="148" s="1"/>
  <c r="AO185" i="148" s="1"/>
  <c r="AO11" i="148"/>
  <c r="BI17" i="148"/>
  <c r="BI24" i="148" s="1"/>
  <c r="AR55" i="148"/>
  <c r="AS172" i="148"/>
  <c r="AU56" i="148"/>
  <c r="AV173" i="148"/>
  <c r="BI44" i="148"/>
  <c r="AN15" i="148"/>
  <c r="AT69" i="148"/>
  <c r="AP38" i="148"/>
  <c r="AP41" i="148"/>
  <c r="AP40" i="148"/>
  <c r="AP37" i="148"/>
  <c r="AP43" i="148"/>
  <c r="AP17" i="148"/>
  <c r="AP42" i="148"/>
  <c r="AP70" i="148"/>
  <c r="AP39" i="148"/>
  <c r="AP45" i="148"/>
  <c r="AS202" i="148"/>
  <c r="BI183" i="148"/>
  <c r="BJ215" i="148"/>
  <c r="AV259" i="148" l="1"/>
  <c r="AU248" i="148"/>
  <c r="AU215" i="148" s="1"/>
  <c r="AP46" i="148"/>
  <c r="AO288" i="148"/>
  <c r="AO286" i="148"/>
  <c r="AO12" i="148"/>
  <c r="AO289" i="148"/>
  <c r="AO287" i="148"/>
  <c r="AO16" i="148"/>
  <c r="AO294" i="148"/>
  <c r="AO290" i="148"/>
  <c r="AO13" i="148"/>
  <c r="BY9" i="75"/>
  <c r="K19" i="164"/>
  <c r="T24" i="164"/>
  <c r="T34" i="164" s="1"/>
  <c r="AT202" i="148"/>
  <c r="AR58" i="148"/>
  <c r="AR71" i="148" s="1"/>
  <c r="AR57" i="148"/>
  <c r="AR44" i="148" s="1"/>
  <c r="AR68" i="148"/>
  <c r="AP24" i="148"/>
  <c r="AP174" i="148" s="1"/>
  <c r="AP185" i="148" s="1"/>
  <c r="AP11" i="148"/>
  <c r="BJ202" i="148"/>
  <c r="AW173" i="148"/>
  <c r="AW56" i="148" s="1"/>
  <c r="AV56" i="148"/>
  <c r="AO15" i="148"/>
  <c r="BX71" i="75"/>
  <c r="BX72" i="75"/>
  <c r="BX69" i="75"/>
  <c r="BX70" i="75"/>
  <c r="AQ43" i="148"/>
  <c r="AQ39" i="148"/>
  <c r="AQ40" i="148"/>
  <c r="AQ41" i="148"/>
  <c r="AQ70" i="148"/>
  <c r="AQ42" i="148"/>
  <c r="AQ37" i="148"/>
  <c r="AQ17" i="148"/>
  <c r="AQ38" i="148"/>
  <c r="AQ45" i="148"/>
  <c r="AT172" i="148"/>
  <c r="AS55" i="148"/>
  <c r="AU69" i="148"/>
  <c r="BI46" i="148"/>
  <c r="BI185" i="148"/>
  <c r="AV248" i="148" l="1"/>
  <c r="AV215" i="148" s="1"/>
  <c r="AW259" i="148"/>
  <c r="AW248" i="148" s="1"/>
  <c r="AW215" i="148" s="1"/>
  <c r="AQ46" i="148"/>
  <c r="AV69" i="148"/>
  <c r="BK56" i="148"/>
  <c r="AU202" i="148"/>
  <c r="AQ24" i="148"/>
  <c r="AQ174" i="148" s="1"/>
  <c r="AQ185" i="148" s="1"/>
  <c r="AQ11" i="148"/>
  <c r="AQ15" i="148" s="1"/>
  <c r="AW69" i="148"/>
  <c r="AP13" i="148"/>
  <c r="AP288" i="148"/>
  <c r="AP290" i="148"/>
  <c r="AP294" i="148"/>
  <c r="AP16" i="148"/>
  <c r="AP289" i="148"/>
  <c r="AP286" i="148"/>
  <c r="AP287" i="148"/>
  <c r="AP12" i="148"/>
  <c r="BZ9" i="75"/>
  <c r="AP15" i="148"/>
  <c r="AS58" i="148"/>
  <c r="AS71" i="148" s="1"/>
  <c r="AS57" i="148"/>
  <c r="AS44" i="148" s="1"/>
  <c r="AS68" i="148"/>
  <c r="AU172" i="148"/>
  <c r="AT55" i="148"/>
  <c r="BJ55" i="148"/>
  <c r="AR38" i="148"/>
  <c r="AR43" i="148"/>
  <c r="AR17" i="148"/>
  <c r="AR70" i="148"/>
  <c r="AR39" i="148"/>
  <c r="AR41" i="148"/>
  <c r="AR37" i="148"/>
  <c r="AR42" i="148"/>
  <c r="AR40" i="148"/>
  <c r="AR45" i="148"/>
  <c r="BY71" i="75"/>
  <c r="BY69" i="75"/>
  <c r="BY72" i="75"/>
  <c r="BY10" i="75"/>
  <c r="BY70" i="75"/>
  <c r="BY81" i="75"/>
  <c r="BK248" i="148" l="1"/>
  <c r="BK259" i="148" s="1"/>
  <c r="BK270" i="148" s="1"/>
  <c r="BK215" i="148"/>
  <c r="BK202" i="148" s="1"/>
  <c r="BJ57" i="148"/>
  <c r="BJ44" i="148" s="1"/>
  <c r="BJ172" i="148"/>
  <c r="BJ183" i="148" s="1"/>
  <c r="BJ68" i="148"/>
  <c r="BJ58" i="148"/>
  <c r="AR24" i="148"/>
  <c r="AR174" i="148" s="1"/>
  <c r="AR185" i="148" s="1"/>
  <c r="AR11" i="148"/>
  <c r="AR15" i="148" s="1"/>
  <c r="AT58" i="148"/>
  <c r="AT71" i="148" s="1"/>
  <c r="AT68" i="148"/>
  <c r="AT57" i="148"/>
  <c r="AT44" i="148" s="1"/>
  <c r="AW202" i="148"/>
  <c r="AV202" i="148"/>
  <c r="AS37" i="148"/>
  <c r="AS39" i="148"/>
  <c r="AS43" i="148"/>
  <c r="AS40" i="148"/>
  <c r="AS38" i="148"/>
  <c r="AS42" i="148"/>
  <c r="AS70" i="148"/>
  <c r="AS41" i="148"/>
  <c r="AS17" i="148"/>
  <c r="AS45" i="148"/>
  <c r="BK69" i="148"/>
  <c r="BK173" i="148"/>
  <c r="BK184" i="148" s="1"/>
  <c r="AU55" i="148"/>
  <c r="AV172" i="148"/>
  <c r="AR46" i="148"/>
  <c r="BZ71" i="75"/>
  <c r="BZ70" i="75"/>
  <c r="BZ69" i="75"/>
  <c r="BZ10" i="75"/>
  <c r="BZ72" i="75"/>
  <c r="BZ81" i="75"/>
  <c r="AQ16" i="148"/>
  <c r="AQ286" i="148"/>
  <c r="AQ290" i="148"/>
  <c r="AQ288" i="148"/>
  <c r="AQ12" i="148"/>
  <c r="AQ289" i="148"/>
  <c r="AQ294" i="148"/>
  <c r="AQ287" i="148"/>
  <c r="CA9" i="75"/>
  <c r="BJ40" i="148" l="1"/>
  <c r="BJ37" i="148"/>
  <c r="BJ38" i="148"/>
  <c r="BJ45" i="148"/>
  <c r="BJ70" i="148"/>
  <c r="BJ39" i="148"/>
  <c r="BJ174" i="148"/>
  <c r="BJ185" i="148" s="1"/>
  <c r="BJ42" i="148"/>
  <c r="BJ43" i="148"/>
  <c r="BJ41" i="148"/>
  <c r="AV55" i="148"/>
  <c r="AW172" i="148"/>
  <c r="AW55" i="148" s="1"/>
  <c r="AU58" i="148"/>
  <c r="AU71" i="148" s="1"/>
  <c r="AU68" i="148"/>
  <c r="AU57" i="148"/>
  <c r="AS24" i="148"/>
  <c r="AS174" i="148" s="1"/>
  <c r="AS185" i="148" s="1"/>
  <c r="AS11" i="148"/>
  <c r="BJ11" i="148" s="1"/>
  <c r="BJ17" i="148"/>
  <c r="BJ24" i="148" s="1"/>
  <c r="L11" i="164"/>
  <c r="BJ71" i="148"/>
  <c r="AS46" i="148"/>
  <c r="CA72" i="75"/>
  <c r="CA10" i="75"/>
  <c r="CA81" i="75"/>
  <c r="CA71" i="75"/>
  <c r="CA70" i="75"/>
  <c r="CA69" i="75"/>
  <c r="AT39" i="148"/>
  <c r="AT17" i="148"/>
  <c r="AT43" i="148"/>
  <c r="AT41" i="148"/>
  <c r="AT70" i="148"/>
  <c r="AT42" i="148"/>
  <c r="AT37" i="148"/>
  <c r="AT40" i="148"/>
  <c r="AT38" i="148"/>
  <c r="AT45" i="148"/>
  <c r="AR286" i="148"/>
  <c r="AR294" i="148"/>
  <c r="AR16" i="148"/>
  <c r="AR12" i="148"/>
  <c r="AR289" i="148"/>
  <c r="AR13" i="148"/>
  <c r="AR287" i="148"/>
  <c r="AR288" i="148"/>
  <c r="AR290" i="148"/>
  <c r="CB9" i="75"/>
  <c r="BJ46" i="148" l="1"/>
  <c r="AS15" i="148"/>
  <c r="AU43" i="148"/>
  <c r="AU41" i="148"/>
  <c r="AU42" i="148"/>
  <c r="AU38" i="148"/>
  <c r="AU39" i="148"/>
  <c r="AU37" i="148"/>
  <c r="AU17" i="148"/>
  <c r="AU40" i="148"/>
  <c r="AU70" i="148"/>
  <c r="AU45" i="148"/>
  <c r="AV57" i="148"/>
  <c r="AV44" i="148" s="1"/>
  <c r="AV58" i="148"/>
  <c r="AV71" i="148" s="1"/>
  <c r="AV68" i="148"/>
  <c r="L19" i="164"/>
  <c r="U24" i="164"/>
  <c r="U34" i="164" s="1"/>
  <c r="AU44" i="148"/>
  <c r="AS13" i="148"/>
  <c r="AS294" i="148"/>
  <c r="AS288" i="148"/>
  <c r="AS16" i="148"/>
  <c r="AS12" i="148"/>
  <c r="AS286" i="148"/>
  <c r="AS289" i="148"/>
  <c r="AS290" i="148"/>
  <c r="AS287" i="148"/>
  <c r="CC9" i="75"/>
  <c r="BJ290" i="148"/>
  <c r="BJ294" i="148"/>
  <c r="BJ288" i="148"/>
  <c r="BJ289" i="148"/>
  <c r="BJ287" i="148"/>
  <c r="BJ286" i="148"/>
  <c r="L4" i="164"/>
  <c r="AT24" i="148"/>
  <c r="AT174" i="148" s="1"/>
  <c r="AT185" i="148" s="1"/>
  <c r="AT11" i="148"/>
  <c r="CB70" i="75"/>
  <c r="CB72" i="75"/>
  <c r="CB69" i="75"/>
  <c r="CB81" i="75"/>
  <c r="CB10" i="75"/>
  <c r="CB71" i="75"/>
  <c r="AT46" i="148"/>
  <c r="BK55" i="148"/>
  <c r="AW58" i="148"/>
  <c r="AW68" i="148"/>
  <c r="AW57" i="148"/>
  <c r="AW44" i="148" s="1"/>
  <c r="AW71" i="148" l="1"/>
  <c r="AU24" i="148"/>
  <c r="AU174" i="148" s="1"/>
  <c r="AU185" i="148" s="1"/>
  <c r="AU11" i="148"/>
  <c r="AU15" i="148" s="1"/>
  <c r="L99" i="163"/>
  <c r="U21" i="164"/>
  <c r="U31" i="164" s="1"/>
  <c r="L21" i="163"/>
  <c r="L87" i="163" s="1"/>
  <c r="L106" i="163"/>
  <c r="L102" i="163"/>
  <c r="L105" i="163"/>
  <c r="L85" i="163"/>
  <c r="L103" i="163"/>
  <c r="L107" i="163"/>
  <c r="L104" i="163"/>
  <c r="L112" i="163"/>
  <c r="CC72" i="75"/>
  <c r="CC70" i="75"/>
  <c r="CC81" i="75"/>
  <c r="CC10" i="75"/>
  <c r="CC71" i="75"/>
  <c r="CC69" i="75"/>
  <c r="AU46" i="148"/>
  <c r="AT294" i="148"/>
  <c r="AT13" i="148"/>
  <c r="AT16" i="148"/>
  <c r="AT288" i="148"/>
  <c r="AT290" i="148"/>
  <c r="AT286" i="148"/>
  <c r="AT287" i="148"/>
  <c r="AT12" i="148"/>
  <c r="AT289" i="148"/>
  <c r="CD9" i="75"/>
  <c r="AW40" i="148"/>
  <c r="AW37" i="148"/>
  <c r="AW41" i="148"/>
  <c r="AW70" i="148"/>
  <c r="AW39" i="148"/>
  <c r="AW38" i="148"/>
  <c r="AW43" i="148"/>
  <c r="AW42" i="148"/>
  <c r="AW17" i="148"/>
  <c r="AW45" i="148"/>
  <c r="BK68" i="148"/>
  <c r="BK172" i="148"/>
  <c r="BK183" i="148" s="1"/>
  <c r="BK58" i="148"/>
  <c r="AT15" i="148"/>
  <c r="L108" i="163"/>
  <c r="AV41" i="148"/>
  <c r="AV37" i="148"/>
  <c r="AV38" i="148"/>
  <c r="AV17" i="148"/>
  <c r="AV42" i="148"/>
  <c r="AV43" i="148"/>
  <c r="AV70" i="148"/>
  <c r="AV39" i="148"/>
  <c r="AV40" i="148"/>
  <c r="AV45" i="148"/>
  <c r="BK57" i="148"/>
  <c r="R9" i="75"/>
  <c r="L96" i="163" l="1"/>
  <c r="AW46" i="148"/>
  <c r="BK44" i="148"/>
  <c r="AV46" i="148"/>
  <c r="BK71" i="148"/>
  <c r="M11" i="164"/>
  <c r="AU294" i="148"/>
  <c r="AU290" i="148"/>
  <c r="AU287" i="148"/>
  <c r="AU16" i="148"/>
  <c r="AU12" i="148"/>
  <c r="AU13" i="148"/>
  <c r="AU288" i="148"/>
  <c r="AU289" i="148"/>
  <c r="AU286" i="148"/>
  <c r="CE9" i="75"/>
  <c r="AV24" i="148"/>
  <c r="AV174" i="148" s="1"/>
  <c r="AV185" i="148" s="1"/>
  <c r="AV11" i="148"/>
  <c r="AV15" i="148" s="1"/>
  <c r="BK17" i="148"/>
  <c r="BK24" i="148" s="1"/>
  <c r="L173" i="163"/>
  <c r="L137" i="163" s="1"/>
  <c r="L117" i="163"/>
  <c r="L124" i="163"/>
  <c r="L123" i="163"/>
  <c r="L152" i="163"/>
  <c r="L134" i="163" s="1"/>
  <c r="L160" i="163"/>
  <c r="L176" i="163"/>
  <c r="L183" i="163"/>
  <c r="L170" i="163"/>
  <c r="L151" i="163"/>
  <c r="L158" i="163"/>
  <c r="L181" i="163"/>
  <c r="L182" i="163"/>
  <c r="L166" i="163"/>
  <c r="L178" i="163"/>
  <c r="L164" i="163"/>
  <c r="L162" i="163"/>
  <c r="L165" i="163"/>
  <c r="L157" i="163"/>
  <c r="L155" i="163"/>
  <c r="L159" i="163"/>
  <c r="L174" i="163"/>
  <c r="L138" i="163" s="1"/>
  <c r="L161" i="163"/>
  <c r="L169" i="163"/>
  <c r="L177" i="163"/>
  <c r="L153" i="163"/>
  <c r="L135" i="163" s="1"/>
  <c r="L156" i="163"/>
  <c r="L168" i="163"/>
  <c r="L154" i="163"/>
  <c r="L175" i="163"/>
  <c r="L139" i="163" s="1"/>
  <c r="L167" i="163"/>
  <c r="L163" i="163"/>
  <c r="CD71" i="75"/>
  <c r="CD81" i="75"/>
  <c r="CD10" i="75"/>
  <c r="CD70" i="75"/>
  <c r="CD69" i="75"/>
  <c r="CD72" i="75"/>
  <c r="R71" i="75"/>
  <c r="R216" i="75"/>
  <c r="L5" i="157"/>
  <c r="R72" i="75"/>
  <c r="R70" i="75"/>
  <c r="R69" i="75"/>
  <c r="L11" i="157" s="1"/>
  <c r="L43" i="157" s="1"/>
  <c r="BK38" i="148"/>
  <c r="BK70" i="148"/>
  <c r="BK174" i="148"/>
  <c r="BK185" i="148" s="1"/>
  <c r="BK42" i="148"/>
  <c r="BK41" i="148"/>
  <c r="BK39" i="148"/>
  <c r="BK43" i="148"/>
  <c r="BK40" i="148"/>
  <c r="BK37" i="148"/>
  <c r="BK45" i="148"/>
  <c r="AW24" i="148"/>
  <c r="AW174" i="148" s="1"/>
  <c r="AW11" i="148"/>
  <c r="AW15" i="148" s="1"/>
  <c r="AW185" i="148" l="1"/>
  <c r="L172" i="163"/>
  <c r="CE72" i="75"/>
  <c r="CE70" i="75"/>
  <c r="CE69" i="75"/>
  <c r="CE10" i="75"/>
  <c r="CE71" i="75"/>
  <c r="CE81" i="75"/>
  <c r="L125" i="163"/>
  <c r="L180" i="163" s="1"/>
  <c r="V24" i="164"/>
  <c r="V34" i="164" s="1"/>
  <c r="M19" i="164"/>
  <c r="N19" i="164" s="1"/>
  <c r="N11" i="164" s="1"/>
  <c r="L9" i="157"/>
  <c r="L4" i="163"/>
  <c r="L37" i="157"/>
  <c r="BK46" i="148"/>
  <c r="AW290" i="148"/>
  <c r="AW288" i="148"/>
  <c r="AW287" i="148"/>
  <c r="AW286" i="148"/>
  <c r="AW12" i="148"/>
  <c r="AW13" i="148"/>
  <c r="AW289" i="148"/>
  <c r="AW16" i="148"/>
  <c r="AW294" i="148"/>
  <c r="CG9" i="75"/>
  <c r="AV16" i="148"/>
  <c r="AV13" i="148"/>
  <c r="AV287" i="148"/>
  <c r="AV286" i="148"/>
  <c r="CF9" i="75"/>
  <c r="AV290" i="148"/>
  <c r="AV294" i="148"/>
  <c r="AV288" i="148"/>
  <c r="AV12" i="148"/>
  <c r="AV289" i="148"/>
  <c r="BK11" i="148"/>
  <c r="L150" i="163"/>
  <c r="S9" i="75" l="1"/>
  <c r="L149" i="163"/>
  <c r="L221" i="163" s="1"/>
  <c r="L222" i="163"/>
  <c r="L171" i="163"/>
  <c r="L243" i="163" s="1"/>
  <c r="L136" i="163"/>
  <c r="L244" i="163"/>
  <c r="L179" i="163"/>
  <c r="L251" i="163" s="1"/>
  <c r="L252" i="163"/>
  <c r="BK12" i="148"/>
  <c r="BK290" i="148"/>
  <c r="BK294" i="148"/>
  <c r="BK289" i="148"/>
  <c r="BK287" i="148"/>
  <c r="BK288" i="148"/>
  <c r="BK286" i="148"/>
  <c r="M4" i="164"/>
  <c r="CF70" i="75"/>
  <c r="CF72" i="75"/>
  <c r="CF69" i="75"/>
  <c r="CF81" i="75"/>
  <c r="CF71" i="75"/>
  <c r="CF10" i="75"/>
  <c r="O12" i="163"/>
  <c r="W24" i="164"/>
  <c r="W34" i="164" s="1"/>
  <c r="N4" i="164"/>
  <c r="N108" i="163" s="1"/>
  <c r="Q12" i="163"/>
  <c r="CG10" i="75"/>
  <c r="CG70" i="75"/>
  <c r="CG71" i="75"/>
  <c r="CG72" i="75"/>
  <c r="CG69" i="75"/>
  <c r="CG81" i="75"/>
  <c r="M5" i="157" l="1"/>
  <c r="M6" i="157" s="1"/>
  <c r="M38" i="157" s="1"/>
  <c r="S71" i="75"/>
  <c r="S69" i="75"/>
  <c r="M11" i="157" s="1"/>
  <c r="M43" i="157" s="1"/>
  <c r="S72" i="75"/>
  <c r="S81" i="75"/>
  <c r="S10" i="75"/>
  <c r="S216" i="75"/>
  <c r="S70" i="75"/>
  <c r="O5" i="163"/>
  <c r="O105" i="163" s="1"/>
  <c r="L129" i="163"/>
  <c r="N99" i="163"/>
  <c r="N12" i="164"/>
  <c r="N107" i="163"/>
  <c r="N103" i="163"/>
  <c r="Q5" i="163"/>
  <c r="N102" i="163"/>
  <c r="N105" i="163"/>
  <c r="N112" i="163"/>
  <c r="W21" i="164"/>
  <c r="W31" i="164" s="1"/>
  <c r="N106" i="163"/>
  <c r="N104" i="163"/>
  <c r="T9" i="75"/>
  <c r="M21" i="163"/>
  <c r="M87" i="163" s="1"/>
  <c r="M12" i="164"/>
  <c r="M38" i="163" s="1"/>
  <c r="M99" i="163"/>
  <c r="M100" i="163" s="1"/>
  <c r="M104" i="163"/>
  <c r="M106" i="163"/>
  <c r="M107" i="163"/>
  <c r="M105" i="163"/>
  <c r="M102" i="163"/>
  <c r="M85" i="163"/>
  <c r="M103" i="163"/>
  <c r="V21" i="164"/>
  <c r="V31" i="164" s="1"/>
  <c r="M112" i="163"/>
  <c r="M108" i="163"/>
  <c r="M4" i="163" l="1"/>
  <c r="M37" i="157"/>
  <c r="M9" i="157"/>
  <c r="N100" i="163"/>
  <c r="T81" i="75"/>
  <c r="T10" i="75"/>
  <c r="T216" i="75"/>
  <c r="T71" i="75"/>
  <c r="T70" i="75"/>
  <c r="T72" i="75"/>
  <c r="N96" i="163"/>
  <c r="O101" i="163"/>
  <c r="O100" i="163"/>
  <c r="O13" i="163"/>
  <c r="O99" i="163"/>
  <c r="O103" i="163"/>
  <c r="O104" i="163"/>
  <c r="O102" i="163"/>
  <c r="M124" i="163"/>
  <c r="M173" i="163"/>
  <c r="M137" i="163" s="1"/>
  <c r="M174" i="163"/>
  <c r="M138" i="163" s="1"/>
  <c r="M152" i="163"/>
  <c r="M134" i="163" s="1"/>
  <c r="M153" i="163"/>
  <c r="M135" i="163" s="1"/>
  <c r="M123" i="163"/>
  <c r="M177" i="163"/>
  <c r="M155" i="163"/>
  <c r="M113" i="163"/>
  <c r="M159" i="163"/>
  <c r="M176" i="163"/>
  <c r="M181" i="163"/>
  <c r="M178" i="163"/>
  <c r="M182" i="163"/>
  <c r="M166" i="163"/>
  <c r="M158" i="163"/>
  <c r="M156" i="163"/>
  <c r="M170" i="163"/>
  <c r="M183" i="163"/>
  <c r="M168" i="163"/>
  <c r="M117" i="163"/>
  <c r="M164" i="163"/>
  <c r="M161" i="163"/>
  <c r="M157" i="163"/>
  <c r="M169" i="163"/>
  <c r="M162" i="163"/>
  <c r="M154" i="163"/>
  <c r="M165" i="163"/>
  <c r="M163" i="163"/>
  <c r="M175" i="163"/>
  <c r="M139" i="163" s="1"/>
  <c r="M151" i="163"/>
  <c r="M167" i="163"/>
  <c r="M160" i="163"/>
  <c r="M96" i="163"/>
  <c r="N124" i="163"/>
  <c r="N174" i="163"/>
  <c r="N138" i="163" s="1"/>
  <c r="N152" i="163"/>
  <c r="N134" i="163" s="1"/>
  <c r="N123" i="163"/>
  <c r="N175" i="163"/>
  <c r="N139" i="163" s="1"/>
  <c r="N167" i="163"/>
  <c r="N161" i="163"/>
  <c r="N154" i="163"/>
  <c r="N113" i="163"/>
  <c r="N173" i="163"/>
  <c r="N137" i="163" s="1"/>
  <c r="N160" i="163"/>
  <c r="N151" i="163"/>
  <c r="N177" i="163"/>
  <c r="N157" i="163"/>
  <c r="N166" i="163"/>
  <c r="N183" i="163"/>
  <c r="N165" i="163"/>
  <c r="N169" i="163"/>
  <c r="N178" i="163"/>
  <c r="N153" i="163"/>
  <c r="N135" i="163" s="1"/>
  <c r="N117" i="163"/>
  <c r="N158" i="163"/>
  <c r="N181" i="163"/>
  <c r="N163" i="163"/>
  <c r="N159" i="163"/>
  <c r="N155" i="163"/>
  <c r="N156" i="163"/>
  <c r="N176" i="163"/>
  <c r="N162" i="163"/>
  <c r="N170" i="163"/>
  <c r="N182" i="163"/>
  <c r="N168" i="163"/>
  <c r="N164" i="163"/>
  <c r="N6" i="157"/>
  <c r="N5" i="157" s="1"/>
  <c r="N38" i="163"/>
  <c r="M10" i="157" l="1"/>
  <c r="N9" i="157"/>
  <c r="N172" i="163"/>
  <c r="N150" i="163"/>
  <c r="M150" i="163"/>
  <c r="N121" i="163"/>
  <c r="N125" i="163"/>
  <c r="N180" i="163" s="1"/>
  <c r="M125" i="163"/>
  <c r="M180" i="163" s="1"/>
  <c r="M121" i="163"/>
  <c r="M172" i="163"/>
  <c r="T26" i="75" l="1"/>
  <c r="N11" i="157"/>
  <c r="N179" i="163"/>
  <c r="N251" i="163" s="1"/>
  <c r="N252" i="163"/>
  <c r="N136" i="163"/>
  <c r="N171" i="163"/>
  <c r="N243" i="163" s="1"/>
  <c r="N244" i="163"/>
  <c r="M149" i="163"/>
  <c r="M221" i="163" s="1"/>
  <c r="M185" i="163" s="1"/>
  <c r="M222" i="163"/>
  <c r="M186" i="163" s="1"/>
  <c r="N149" i="163"/>
  <c r="N221" i="163" s="1"/>
  <c r="N222" i="163"/>
  <c r="M171" i="163"/>
  <c r="M243" i="163" s="1"/>
  <c r="M207" i="163" s="1"/>
  <c r="M136" i="163"/>
  <c r="M244" i="163"/>
  <c r="M179" i="163"/>
  <c r="M251" i="163" s="1"/>
  <c r="M215" i="163" s="1"/>
  <c r="M252" i="163"/>
  <c r="M216" i="163" s="1"/>
  <c r="T69" i="75" l="1"/>
  <c r="N185" i="163"/>
  <c r="T244" i="163"/>
  <c r="N129" i="163"/>
  <c r="N208" i="163"/>
  <c r="N207" i="163"/>
  <c r="T252" i="163"/>
  <c r="N216" i="163"/>
  <c r="M129" i="163"/>
  <c r="M143" i="163" s="1"/>
  <c r="M208" i="163"/>
  <c r="N215" i="163"/>
  <c r="N186" i="163"/>
  <c r="T222" i="163"/>
  <c r="T256" i="163" l="1"/>
  <c r="U244" i="163" s="1"/>
  <c r="N143" i="163"/>
  <c r="U222" i="163" l="1"/>
  <c r="U239" i="163"/>
  <c r="U250" i="163"/>
  <c r="U233" i="163"/>
  <c r="U241" i="163"/>
  <c r="U248" i="163"/>
  <c r="U225" i="163"/>
  <c r="U237" i="163"/>
  <c r="U232" i="163"/>
  <c r="U242" i="163"/>
  <c r="U224" i="163"/>
  <c r="U245" i="163"/>
  <c r="U230" i="163"/>
  <c r="U228" i="163"/>
  <c r="U247" i="163"/>
  <c r="U235" i="163"/>
  <c r="U254" i="163"/>
  <c r="U238" i="163"/>
  <c r="U246" i="163"/>
  <c r="U226" i="163"/>
  <c r="U227" i="163"/>
  <c r="U249" i="163"/>
  <c r="U229" i="163"/>
  <c r="U255" i="163"/>
  <c r="U253" i="163"/>
  <c r="U231" i="163"/>
  <c r="U240" i="163"/>
  <c r="U234" i="163"/>
  <c r="U223" i="163"/>
  <c r="U236" i="163"/>
  <c r="U252" i="163"/>
  <c r="AL224" i="148" l="1"/>
  <c r="AL219" i="148"/>
  <c r="AL203" i="148"/>
  <c r="AL220" i="148"/>
  <c r="AL221" i="148"/>
  <c r="AL226" i="148"/>
  <c r="AL222" i="148"/>
  <c r="AL223" i="148"/>
  <c r="AL214" i="148"/>
  <c r="AL201" i="148" l="1"/>
  <c r="AL247" i="148"/>
  <c r="AL225" i="148"/>
  <c r="AL204" i="148"/>
  <c r="AL258" i="148" l="1"/>
  <c r="AL249" i="148"/>
  <c r="AL260" i="148" s="1"/>
  <c r="AL271" i="148" s="1"/>
  <c r="AL269" i="148" l="1"/>
  <c r="AM258" i="148"/>
  <c r="AM15" i="148"/>
  <c r="AM12" i="148"/>
  <c r="AM286" i="148"/>
  <c r="AM294" i="148"/>
  <c r="AM13" i="148"/>
  <c r="AM287" i="148"/>
  <c r="AM289" i="148"/>
  <c r="AM288" i="148"/>
  <c r="AN12" i="148"/>
  <c r="AQ13" i="148"/>
  <c r="AM290" i="148"/>
  <c r="AM16" i="148"/>
  <c r="BI11" i="148"/>
  <c r="K4" i="164" s="1"/>
  <c r="K12" i="164" s="1"/>
  <c r="K38" i="163" s="1"/>
  <c r="K37" i="163" s="1"/>
  <c r="BW9" i="75"/>
  <c r="AN258" i="148" l="1"/>
  <c r="AM247" i="148"/>
  <c r="K39" i="163"/>
  <c r="BX81" i="75"/>
  <c r="BX10" i="75"/>
  <c r="BW69" i="75"/>
  <c r="BW72" i="75"/>
  <c r="BW10" i="75"/>
  <c r="BW71" i="75"/>
  <c r="BW70" i="75"/>
  <c r="BW81" i="75"/>
  <c r="Q9" i="75"/>
  <c r="K85" i="163"/>
  <c r="K99" i="163"/>
  <c r="K106" i="163"/>
  <c r="K21" i="163"/>
  <c r="K87" i="163" s="1"/>
  <c r="L12" i="164"/>
  <c r="L38" i="163" s="1"/>
  <c r="L37" i="163" s="1"/>
  <c r="K107" i="163"/>
  <c r="K102" i="163"/>
  <c r="K108" i="163"/>
  <c r="K104" i="163"/>
  <c r="T21" i="164"/>
  <c r="T31" i="164" s="1"/>
  <c r="K103" i="163"/>
  <c r="K105" i="163"/>
  <c r="K112" i="163"/>
  <c r="BI289" i="148"/>
  <c r="BI294" i="148"/>
  <c r="BI12" i="148"/>
  <c r="BJ12" i="148"/>
  <c r="BI290" i="148"/>
  <c r="BI288" i="148"/>
  <c r="BI286" i="148"/>
  <c r="BI287" i="148"/>
  <c r="AM249" i="148" l="1"/>
  <c r="AM214" i="148"/>
  <c r="AN247" i="148"/>
  <c r="AO258" i="148"/>
  <c r="L39" i="163"/>
  <c r="L40" i="163" s="1"/>
  <c r="M37" i="163"/>
  <c r="R10" i="75"/>
  <c r="Q81" i="75"/>
  <c r="Q71" i="75"/>
  <c r="Q10" i="75"/>
  <c r="R81" i="75"/>
  <c r="Q216" i="75"/>
  <c r="Q69" i="75"/>
  <c r="K11" i="157" s="1"/>
  <c r="K43" i="157" s="1"/>
  <c r="Q70" i="75"/>
  <c r="Q72" i="75"/>
  <c r="K5" i="157"/>
  <c r="Q115" i="75"/>
  <c r="K40" i="163"/>
  <c r="K173" i="163"/>
  <c r="K137" i="163" s="1"/>
  <c r="K152" i="163"/>
  <c r="K134" i="163" s="1"/>
  <c r="K153" i="163"/>
  <c r="K135" i="163" s="1"/>
  <c r="K124" i="163"/>
  <c r="K123" i="163"/>
  <c r="K177" i="163"/>
  <c r="K151" i="163"/>
  <c r="K162" i="163"/>
  <c r="K164" i="163"/>
  <c r="K170" i="163"/>
  <c r="K175" i="163"/>
  <c r="K139" i="163" s="1"/>
  <c r="K159" i="163"/>
  <c r="K176" i="163"/>
  <c r="K155" i="163"/>
  <c r="K178" i="163"/>
  <c r="K157" i="163"/>
  <c r="K156" i="163"/>
  <c r="K165" i="163"/>
  <c r="K161" i="163"/>
  <c r="K163" i="163"/>
  <c r="K160" i="163"/>
  <c r="K169" i="163"/>
  <c r="K117" i="163"/>
  <c r="K154" i="163"/>
  <c r="L113" i="163"/>
  <c r="K174" i="163"/>
  <c r="K138" i="163" s="1"/>
  <c r="K182" i="163"/>
  <c r="K166" i="163"/>
  <c r="K181" i="163"/>
  <c r="K168" i="163"/>
  <c r="K167" i="163"/>
  <c r="K113" i="163"/>
  <c r="K183" i="163"/>
  <c r="K158" i="163"/>
  <c r="K96" i="163"/>
  <c r="K100" i="163"/>
  <c r="L100" i="163"/>
  <c r="AN249" i="148" l="1"/>
  <c r="AN214" i="148"/>
  <c r="AM201" i="148"/>
  <c r="AM216" i="148"/>
  <c r="AM204" i="148"/>
  <c r="AO247" i="148"/>
  <c r="AP258" i="148"/>
  <c r="AM260" i="148"/>
  <c r="AM271" i="148" s="1"/>
  <c r="AM28" i="148"/>
  <c r="K172" i="163"/>
  <c r="L6" i="157"/>
  <c r="L38" i="157" s="1"/>
  <c r="K6" i="157"/>
  <c r="K38" i="157" s="1"/>
  <c r="K9" i="157"/>
  <c r="K37" i="157"/>
  <c r="K4" i="163"/>
  <c r="Q175" i="75"/>
  <c r="R115" i="75"/>
  <c r="K125" i="163"/>
  <c r="K180" i="163" s="1"/>
  <c r="L121" i="163"/>
  <c r="K121" i="163"/>
  <c r="M39" i="163"/>
  <c r="M40" i="163" s="1"/>
  <c r="N37" i="163"/>
  <c r="K150" i="163"/>
  <c r="K41" i="163"/>
  <c r="K43" i="163"/>
  <c r="L41" i="163"/>
  <c r="AM225" i="148" l="1"/>
  <c r="AM220" i="148"/>
  <c r="AM224" i="148"/>
  <c r="AM223" i="148"/>
  <c r="AM222" i="148"/>
  <c r="AM221" i="148"/>
  <c r="AM219" i="148"/>
  <c r="AM226" i="148"/>
  <c r="AM203" i="148"/>
  <c r="AP247" i="148"/>
  <c r="AQ258" i="148"/>
  <c r="AN201" i="148"/>
  <c r="AN204" i="148"/>
  <c r="AN216" i="148"/>
  <c r="AN225" i="148" s="1"/>
  <c r="AM30" i="148"/>
  <c r="AM31" i="148"/>
  <c r="AO249" i="148"/>
  <c r="AO214" i="148"/>
  <c r="BI247" i="148"/>
  <c r="AN260" i="148"/>
  <c r="AN271" i="148" s="1"/>
  <c r="AN28" i="148"/>
  <c r="N39" i="163"/>
  <c r="O37" i="163"/>
  <c r="O39" i="163" s="1"/>
  <c r="M41" i="163"/>
  <c r="K10" i="157"/>
  <c r="L10" i="157"/>
  <c r="S115" i="75"/>
  <c r="S175" i="75" s="1"/>
  <c r="K44" i="163"/>
  <c r="K46" i="163" s="1"/>
  <c r="R175" i="75"/>
  <c r="K179" i="163"/>
  <c r="K251" i="163" s="1"/>
  <c r="K252" i="163"/>
  <c r="K149" i="163"/>
  <c r="K221" i="163" s="1"/>
  <c r="K222" i="163"/>
  <c r="K136" i="163"/>
  <c r="K171" i="163"/>
  <c r="K243" i="163" s="1"/>
  <c r="K244" i="163"/>
  <c r="AN30" i="148" l="1"/>
  <c r="AN25" i="148" s="1"/>
  <c r="AN31" i="148"/>
  <c r="AN32" i="148" s="1"/>
  <c r="AM25" i="148"/>
  <c r="BI258" i="148"/>
  <c r="BI269" i="148" s="1"/>
  <c r="K81" i="164"/>
  <c r="AN223" i="148"/>
  <c r="AN220" i="148"/>
  <c r="AN203" i="148"/>
  <c r="AN226" i="148"/>
  <c r="AN222" i="148"/>
  <c r="AN224" i="148"/>
  <c r="AN221" i="148"/>
  <c r="AN219" i="148"/>
  <c r="AO28" i="148"/>
  <c r="BI28" i="148" s="1"/>
  <c r="AO260" i="148"/>
  <c r="AO271" i="148" s="1"/>
  <c r="BI249" i="148"/>
  <c r="BI260" i="148" s="1"/>
  <c r="BI271" i="148" s="1"/>
  <c r="AQ247" i="148"/>
  <c r="AR258" i="148"/>
  <c r="AP249" i="148"/>
  <c r="AP214" i="148"/>
  <c r="AO216" i="148"/>
  <c r="AO225" i="148" s="1"/>
  <c r="AO201" i="148"/>
  <c r="AO204" i="148"/>
  <c r="BI214" i="148"/>
  <c r="AM32" i="148"/>
  <c r="L185" i="163"/>
  <c r="K185" i="163"/>
  <c r="K47" i="163"/>
  <c r="K78" i="163"/>
  <c r="L186" i="163"/>
  <c r="K186" i="163"/>
  <c r="L208" i="163"/>
  <c r="K129" i="163"/>
  <c r="K208" i="163"/>
  <c r="K216" i="163"/>
  <c r="L216" i="163"/>
  <c r="K207" i="163"/>
  <c r="L207" i="163"/>
  <c r="K215" i="163"/>
  <c r="L215" i="163"/>
  <c r="T115" i="75"/>
  <c r="BI204" i="148" l="1"/>
  <c r="BI201" i="148"/>
  <c r="AO30" i="148"/>
  <c r="AO31" i="148"/>
  <c r="AM274" i="148"/>
  <c r="AM26" i="148"/>
  <c r="BW18" i="75" s="1"/>
  <c r="BW16" i="75" s="1"/>
  <c r="AP260" i="148"/>
  <c r="AP271" i="148" s="1"/>
  <c r="AP28" i="148"/>
  <c r="AS258" i="148"/>
  <c r="AR247" i="148"/>
  <c r="K90" i="164"/>
  <c r="K99" i="164"/>
  <c r="AN274" i="148"/>
  <c r="AN26" i="148"/>
  <c r="BX18" i="75" s="1"/>
  <c r="BX16" i="75" s="1"/>
  <c r="AP216" i="148"/>
  <c r="AP225" i="148" s="1"/>
  <c r="AP204" i="148"/>
  <c r="AP201" i="148"/>
  <c r="AQ249" i="148"/>
  <c r="AQ214" i="148"/>
  <c r="AO224" i="148"/>
  <c r="AO222" i="148"/>
  <c r="AO218" i="148"/>
  <c r="AO220" i="148"/>
  <c r="AO203" i="148"/>
  <c r="AO223" i="148"/>
  <c r="AO226" i="148"/>
  <c r="AO221" i="148"/>
  <c r="AO219" i="148"/>
  <c r="BI216" i="148"/>
  <c r="BI225" i="148" s="1"/>
  <c r="K143" i="163"/>
  <c r="L143" i="163"/>
  <c r="K79" i="163"/>
  <c r="K68" i="163"/>
  <c r="K69" i="163" s="1"/>
  <c r="K89" i="163"/>
  <c r="K48" i="163"/>
  <c r="K80" i="163"/>
  <c r="T175" i="75"/>
  <c r="AQ216" i="148" l="1"/>
  <c r="AQ225" i="148" s="1"/>
  <c r="AQ201" i="148"/>
  <c r="AQ204" i="148"/>
  <c r="AM275" i="148"/>
  <c r="BX12" i="75"/>
  <c r="BX14" i="75" s="1"/>
  <c r="BX27" i="75"/>
  <c r="BX73" i="75"/>
  <c r="BX17" i="75"/>
  <c r="AN275" i="148"/>
  <c r="AP30" i="148"/>
  <c r="AP25" i="148" s="1"/>
  <c r="AP31" i="148"/>
  <c r="AO25" i="148"/>
  <c r="BI30" i="148"/>
  <c r="K82" i="164" s="1"/>
  <c r="K91" i="164" s="1"/>
  <c r="K100" i="164"/>
  <c r="K108" i="164"/>
  <c r="AS247" i="148"/>
  <c r="AT258" i="148"/>
  <c r="AQ260" i="148"/>
  <c r="AQ271" i="148" s="1"/>
  <c r="AQ28" i="148"/>
  <c r="AO32" i="148"/>
  <c r="BI31" i="148"/>
  <c r="BI32" i="148" s="1"/>
  <c r="BI203" i="148"/>
  <c r="BI220" i="148"/>
  <c r="BI221" i="148"/>
  <c r="BI223" i="148"/>
  <c r="BI218" i="148"/>
  <c r="BI219" i="148"/>
  <c r="BI224" i="148"/>
  <c r="BI222" i="148"/>
  <c r="BI226" i="148"/>
  <c r="BW27" i="75"/>
  <c r="BW73" i="75"/>
  <c r="BW12" i="75"/>
  <c r="BW17" i="75"/>
  <c r="AP220" i="148"/>
  <c r="AP222" i="148"/>
  <c r="AP203" i="148"/>
  <c r="AP221" i="148"/>
  <c r="AP226" i="148"/>
  <c r="AP223" i="148"/>
  <c r="AP219" i="148"/>
  <c r="AP224" i="148"/>
  <c r="AR249" i="148"/>
  <c r="AR214" i="148"/>
  <c r="K71" i="163"/>
  <c r="K70" i="163"/>
  <c r="AS249" i="148" l="1"/>
  <c r="AS214" i="148"/>
  <c r="BJ214" i="148" s="1"/>
  <c r="T43" i="164"/>
  <c r="T53" i="164" s="1"/>
  <c r="K28" i="163"/>
  <c r="K36" i="163" s="1"/>
  <c r="AP274" i="148"/>
  <c r="AP26" i="148"/>
  <c r="BZ18" i="75" s="1"/>
  <c r="BZ16" i="75" s="1"/>
  <c r="BJ247" i="148"/>
  <c r="BW29" i="75"/>
  <c r="BW74" i="75"/>
  <c r="BW33" i="75"/>
  <c r="BW28" i="75"/>
  <c r="K109" i="164"/>
  <c r="T40" i="164" s="1"/>
  <c r="T50" i="164" s="1"/>
  <c r="R100" i="164"/>
  <c r="BX29" i="75"/>
  <c r="BX33" i="75"/>
  <c r="BX74" i="75"/>
  <c r="BX28" i="75"/>
  <c r="AR201" i="148"/>
  <c r="AR204" i="148"/>
  <c r="AR216" i="148"/>
  <c r="AQ30" i="148"/>
  <c r="AQ25" i="148" s="1"/>
  <c r="AQ31" i="148"/>
  <c r="AQ32" i="148" s="1"/>
  <c r="AR260" i="148"/>
  <c r="AR271" i="148" s="1"/>
  <c r="AR28" i="148"/>
  <c r="AO26" i="148"/>
  <c r="BY18" i="75" s="1"/>
  <c r="BY16" i="75" s="1"/>
  <c r="AO274" i="148"/>
  <c r="BI25" i="148"/>
  <c r="BI26" i="148" s="1"/>
  <c r="BW14" i="75"/>
  <c r="AT247" i="148"/>
  <c r="AU258" i="148"/>
  <c r="AP32" i="148"/>
  <c r="AQ203" i="148"/>
  <c r="AQ219" i="148"/>
  <c r="AQ222" i="148"/>
  <c r="AQ226" i="148"/>
  <c r="AQ221" i="148"/>
  <c r="AQ220" i="148"/>
  <c r="AQ224" i="148"/>
  <c r="AQ223" i="148"/>
  <c r="BJ201" i="148" l="1"/>
  <c r="BJ204" i="148"/>
  <c r="AR225" i="148"/>
  <c r="AR223" i="148"/>
  <c r="AR226" i="148"/>
  <c r="AR220" i="148"/>
  <c r="AR222" i="148"/>
  <c r="AR224" i="148"/>
  <c r="AR221" i="148"/>
  <c r="AR203" i="148"/>
  <c r="AR219" i="148"/>
  <c r="AQ274" i="148"/>
  <c r="AQ26" i="148"/>
  <c r="CA18" i="75" s="1"/>
  <c r="CA16" i="75" s="1"/>
  <c r="BZ17" i="75"/>
  <c r="BZ27" i="75"/>
  <c r="BZ73" i="75"/>
  <c r="BZ12" i="75"/>
  <c r="BJ258" i="148"/>
  <c r="BJ269" i="148" s="1"/>
  <c r="L81" i="164"/>
  <c r="AP275" i="148"/>
  <c r="AT249" i="148"/>
  <c r="AT214" i="148"/>
  <c r="BW82" i="75"/>
  <c r="BW75" i="75"/>
  <c r="BW34" i="75"/>
  <c r="BW35" i="75"/>
  <c r="BW45" i="75"/>
  <c r="AS28" i="148"/>
  <c r="BJ28" i="148" s="1"/>
  <c r="AS260" i="148"/>
  <c r="AS271" i="148" s="1"/>
  <c r="BJ249" i="148"/>
  <c r="BJ260" i="148" s="1"/>
  <c r="BJ271" i="148" s="1"/>
  <c r="AO275" i="148"/>
  <c r="BI274" i="148"/>
  <c r="AS216" i="148"/>
  <c r="AS225" i="148" s="1"/>
  <c r="AS204" i="148"/>
  <c r="AS201" i="148"/>
  <c r="BY17" i="75"/>
  <c r="BY12" i="75"/>
  <c r="BY73" i="75"/>
  <c r="BY27" i="75"/>
  <c r="AR30" i="148"/>
  <c r="AR31" i="148"/>
  <c r="AR32" i="148" s="1"/>
  <c r="AU247" i="148"/>
  <c r="AV258" i="148"/>
  <c r="BX45" i="75"/>
  <c r="BX34" i="75"/>
  <c r="BX75" i="75"/>
  <c r="BX35" i="75"/>
  <c r="BX82" i="75"/>
  <c r="BX76" i="75" l="1"/>
  <c r="BX46" i="75"/>
  <c r="BX48" i="75"/>
  <c r="BX83" i="75"/>
  <c r="AR25" i="148"/>
  <c r="BW46" i="75"/>
  <c r="BW48" i="75"/>
  <c r="BW83" i="75"/>
  <c r="BW76" i="75"/>
  <c r="L99" i="164"/>
  <c r="L90" i="164"/>
  <c r="AT201" i="148"/>
  <c r="AT216" i="148"/>
  <c r="AT204" i="148"/>
  <c r="AU249" i="148"/>
  <c r="AU214" i="148"/>
  <c r="BY29" i="75"/>
  <c r="BY74" i="75"/>
  <c r="BY28" i="75"/>
  <c r="BY33" i="75"/>
  <c r="CA12" i="75"/>
  <c r="CA14" i="75" s="1"/>
  <c r="CA27" i="75"/>
  <c r="CA73" i="75"/>
  <c r="CA17" i="75"/>
  <c r="BZ29" i="75"/>
  <c r="BZ28" i="75"/>
  <c r="BZ33" i="75"/>
  <c r="BZ74" i="75"/>
  <c r="AW258" i="148"/>
  <c r="AW247" i="148" s="1"/>
  <c r="AV247" i="148"/>
  <c r="AS222" i="148"/>
  <c r="AS224" i="148"/>
  <c r="AS223" i="148"/>
  <c r="AS218" i="148"/>
  <c r="AS219" i="148"/>
  <c r="AS226" i="148"/>
  <c r="AS220" i="148"/>
  <c r="AS203" i="148"/>
  <c r="AS221" i="148"/>
  <c r="AT28" i="148"/>
  <c r="AT260" i="148"/>
  <c r="AT271" i="148" s="1"/>
  <c r="AQ275" i="148"/>
  <c r="BY14" i="75"/>
  <c r="Q12" i="75"/>
  <c r="BI275" i="148"/>
  <c r="AS30" i="148"/>
  <c r="AS25" i="148" s="1"/>
  <c r="AS31" i="148"/>
  <c r="AS32" i="148" s="1"/>
  <c r="BZ14" i="75"/>
  <c r="BJ216" i="148"/>
  <c r="BY82" i="75" l="1"/>
  <c r="BY35" i="75"/>
  <c r="BY34" i="75"/>
  <c r="BY45" i="75"/>
  <c r="BY75" i="75"/>
  <c r="BW52" i="75"/>
  <c r="CA33" i="75"/>
  <c r="CA74" i="75"/>
  <c r="CA29" i="75"/>
  <c r="CA28" i="75"/>
  <c r="AU28" i="148"/>
  <c r="AU260" i="148"/>
  <c r="AU271" i="148" s="1"/>
  <c r="BZ75" i="75"/>
  <c r="BZ35" i="75"/>
  <c r="BZ34" i="75"/>
  <c r="BZ82" i="75"/>
  <c r="Q116" i="75"/>
  <c r="Q14" i="75"/>
  <c r="AT30" i="148"/>
  <c r="AT25" i="148" s="1"/>
  <c r="AT31" i="148"/>
  <c r="AR274" i="148"/>
  <c r="AR26" i="148"/>
  <c r="CB18" i="75" s="1"/>
  <c r="CB16" i="75" s="1"/>
  <c r="BJ25" i="148"/>
  <c r="BJ26" i="148" s="1"/>
  <c r="BJ224" i="148"/>
  <c r="BJ220" i="148"/>
  <c r="BJ203" i="148"/>
  <c r="BJ222" i="148"/>
  <c r="BJ221" i="148"/>
  <c r="BJ226" i="148"/>
  <c r="BJ219" i="148"/>
  <c r="BJ218" i="148"/>
  <c r="BJ223" i="148"/>
  <c r="BJ225" i="148"/>
  <c r="AV249" i="148"/>
  <c r="AV214" i="148"/>
  <c r="BJ31" i="148"/>
  <c r="BJ32" i="148" s="1"/>
  <c r="AT225" i="148"/>
  <c r="AT203" i="148"/>
  <c r="AT226" i="148"/>
  <c r="AT223" i="148"/>
  <c r="AT220" i="148"/>
  <c r="AT224" i="148"/>
  <c r="AT221" i="148"/>
  <c r="AT219" i="148"/>
  <c r="AT222" i="148"/>
  <c r="BK216" i="148"/>
  <c r="L100" i="164"/>
  <c r="L109" i="164" s="1"/>
  <c r="U40" i="164" s="1"/>
  <c r="U50" i="164" s="1"/>
  <c r="L108" i="164"/>
  <c r="BJ30" i="148"/>
  <c r="L82" i="164" s="1"/>
  <c r="L91" i="164" s="1"/>
  <c r="AW249" i="148"/>
  <c r="AW214" i="148"/>
  <c r="BK247" i="148"/>
  <c r="AS274" i="148"/>
  <c r="AS26" i="148"/>
  <c r="CC18" i="75" s="1"/>
  <c r="CC16" i="75" s="1"/>
  <c r="AU201" i="148"/>
  <c r="AU204" i="148"/>
  <c r="AU216" i="148"/>
  <c r="AU225" i="148" s="1"/>
  <c r="BX52" i="75"/>
  <c r="AR275" i="148" l="1"/>
  <c r="BY76" i="75"/>
  <c r="BY48" i="75"/>
  <c r="BY52" i="75" s="1"/>
  <c r="BY46" i="75"/>
  <c r="BY83" i="75"/>
  <c r="Q176" i="75"/>
  <c r="AU30" i="148"/>
  <c r="AU25" i="148" s="1"/>
  <c r="AU31" i="148"/>
  <c r="AU32" i="148" s="1"/>
  <c r="CC27" i="75"/>
  <c r="CC73" i="75"/>
  <c r="CC12" i="75"/>
  <c r="CC14" i="75" s="1"/>
  <c r="CC17" i="75"/>
  <c r="BJ274" i="148"/>
  <c r="BJ275" i="148" s="1"/>
  <c r="AS275" i="148"/>
  <c r="CB27" i="75"/>
  <c r="CB17" i="75"/>
  <c r="CB73" i="75"/>
  <c r="CB12" i="75"/>
  <c r="BX56" i="75"/>
  <c r="BX57" i="75"/>
  <c r="BX78" i="75"/>
  <c r="BX54" i="75"/>
  <c r="BX53" i="75"/>
  <c r="BX84" i="75"/>
  <c r="AT32" i="148"/>
  <c r="AU203" i="148"/>
  <c r="AU220" i="148"/>
  <c r="AU222" i="148"/>
  <c r="AU226" i="148"/>
  <c r="AU221" i="148"/>
  <c r="AU219" i="148"/>
  <c r="AU224" i="148"/>
  <c r="AU223" i="148"/>
  <c r="BK258" i="148"/>
  <c r="BK269" i="148" s="1"/>
  <c r="M81" i="164"/>
  <c r="L28" i="163"/>
  <c r="L36" i="163" s="1"/>
  <c r="U43" i="164"/>
  <c r="U53" i="164" s="1"/>
  <c r="BW57" i="75"/>
  <c r="BW56" i="75"/>
  <c r="BW53" i="75"/>
  <c r="BW84" i="75"/>
  <c r="BW54" i="75"/>
  <c r="BW78" i="75"/>
  <c r="AW204" i="148"/>
  <c r="AW201" i="148"/>
  <c r="AW216" i="148"/>
  <c r="AV204" i="148"/>
  <c r="AV201" i="148"/>
  <c r="AV216" i="148"/>
  <c r="BK214" i="148"/>
  <c r="AT274" i="148"/>
  <c r="AT26" i="148"/>
  <c r="CD18" i="75" s="1"/>
  <c r="CD16" i="75" s="1"/>
  <c r="AW260" i="148"/>
  <c r="AW28" i="148"/>
  <c r="BK224" i="148"/>
  <c r="BK220" i="148"/>
  <c r="BK218" i="148"/>
  <c r="BK226" i="148"/>
  <c r="BK219" i="148"/>
  <c r="BK222" i="148"/>
  <c r="BK221" i="148"/>
  <c r="BK223" i="148"/>
  <c r="BK203" i="148"/>
  <c r="AV260" i="148"/>
  <c r="AV271" i="148" s="1"/>
  <c r="AV28" i="148"/>
  <c r="BK249" i="148"/>
  <c r="BK260" i="148" s="1"/>
  <c r="BK271" i="148" s="1"/>
  <c r="Q130" i="75"/>
  <c r="Q16" i="75"/>
  <c r="CA82" i="75"/>
  <c r="CA35" i="75"/>
  <c r="CA75" i="75"/>
  <c r="CA34" i="75"/>
  <c r="AW271" i="148" l="1"/>
  <c r="AV30" i="148"/>
  <c r="AV31" i="148"/>
  <c r="AV32" i="148" s="1"/>
  <c r="AV222" i="148"/>
  <c r="AV203" i="148"/>
  <c r="AV221" i="148"/>
  <c r="AV224" i="148"/>
  <c r="AV226" i="148"/>
  <c r="AV220" i="148"/>
  <c r="AV223" i="148"/>
  <c r="AV219" i="148"/>
  <c r="CD12" i="75"/>
  <c r="CD27" i="75"/>
  <c r="CD73" i="75"/>
  <c r="CD17" i="75"/>
  <c r="BX86" i="75"/>
  <c r="BX85" i="75"/>
  <c r="BW86" i="75"/>
  <c r="BW85" i="75"/>
  <c r="CB28" i="75"/>
  <c r="CB33" i="75"/>
  <c r="CB74" i="75"/>
  <c r="CB29" i="75"/>
  <c r="BY56" i="75"/>
  <c r="BY53" i="75"/>
  <c r="BY78" i="75"/>
  <c r="BY54" i="75"/>
  <c r="BY84" i="75"/>
  <c r="BY57" i="75"/>
  <c r="Q73" i="75"/>
  <c r="BI7" i="148" s="1"/>
  <c r="Q17" i="75"/>
  <c r="Q27" i="75"/>
  <c r="Q18" i="75"/>
  <c r="K7" i="157" s="1"/>
  <c r="AT275" i="148"/>
  <c r="BK204" i="148"/>
  <c r="BK225" i="148"/>
  <c r="BK201" i="148"/>
  <c r="BK28" i="148"/>
  <c r="CB14" i="75"/>
  <c r="R12" i="75"/>
  <c r="Q48" i="75"/>
  <c r="AU26" i="148"/>
  <c r="CE18" i="75" s="1"/>
  <c r="CE16" i="75" s="1"/>
  <c r="AU274" i="148"/>
  <c r="Q177" i="75"/>
  <c r="Q174" i="75" s="1"/>
  <c r="AW225" i="148"/>
  <c r="AW203" i="148"/>
  <c r="AW218" i="148"/>
  <c r="AW219" i="148"/>
  <c r="AW222" i="148"/>
  <c r="AW221" i="148"/>
  <c r="AW223" i="148"/>
  <c r="AW224" i="148"/>
  <c r="AW226" i="148"/>
  <c r="AW220" i="148"/>
  <c r="AW30" i="148"/>
  <c r="AW25" i="148" s="1"/>
  <c r="AW31" i="148"/>
  <c r="AW32" i="148" s="1"/>
  <c r="AV225" i="148"/>
  <c r="M90" i="164"/>
  <c r="M99" i="164"/>
  <c r="N81" i="164"/>
  <c r="CC33" i="75"/>
  <c r="CC29" i="75"/>
  <c r="CC28" i="75"/>
  <c r="CC74" i="75"/>
  <c r="BK31" i="148" l="1"/>
  <c r="BK32" i="148" s="1"/>
  <c r="R14" i="75"/>
  <c r="R116" i="75"/>
  <c r="Q33" i="75"/>
  <c r="Q28" i="75"/>
  <c r="Q74" i="75"/>
  <c r="Q29" i="75"/>
  <c r="CB34" i="75"/>
  <c r="CB75" i="75"/>
  <c r="CB82" i="75"/>
  <c r="CB35" i="75"/>
  <c r="N82" i="164"/>
  <c r="N99" i="164"/>
  <c r="K15" i="157"/>
  <c r="CD33" i="75"/>
  <c r="CD29" i="75"/>
  <c r="CD28" i="75"/>
  <c r="CD74" i="75"/>
  <c r="BK30" i="148"/>
  <c r="M82" i="164" s="1"/>
  <c r="M91" i="164" s="1"/>
  <c r="AV25" i="148"/>
  <c r="M100" i="164"/>
  <c r="M109" i="164" s="1"/>
  <c r="V40" i="164" s="1"/>
  <c r="V50" i="164" s="1"/>
  <c r="M108" i="164"/>
  <c r="AU275" i="148"/>
  <c r="CE73" i="75"/>
  <c r="CE17" i="75"/>
  <c r="CE12" i="75"/>
  <c r="CE14" i="75" s="1"/>
  <c r="CE27" i="75"/>
  <c r="CC34" i="75"/>
  <c r="CC35" i="75"/>
  <c r="CC75" i="75"/>
  <c r="CC82" i="75"/>
  <c r="AW274" i="148"/>
  <c r="AW26" i="148"/>
  <c r="CG18" i="75" s="1"/>
  <c r="CG16" i="75" s="1"/>
  <c r="K39" i="157"/>
  <c r="K8" i="157"/>
  <c r="BY85" i="75"/>
  <c r="BY86" i="75"/>
  <c r="CD14" i="75"/>
  <c r="K110" i="164" l="1"/>
  <c r="R176" i="75"/>
  <c r="AW275" i="148"/>
  <c r="CE74" i="75"/>
  <c r="CE29" i="75"/>
  <c r="CE33" i="75"/>
  <c r="CE28" i="75"/>
  <c r="N100" i="164"/>
  <c r="N108" i="164"/>
  <c r="R16" i="75"/>
  <c r="R130" i="75"/>
  <c r="Q82" i="75"/>
  <c r="K12" i="157"/>
  <c r="Q45" i="75"/>
  <c r="Q34" i="75"/>
  <c r="Q75" i="75"/>
  <c r="Q35" i="75"/>
  <c r="CG17" i="75"/>
  <c r="CG73" i="75"/>
  <c r="CG27" i="75"/>
  <c r="CG12" i="75"/>
  <c r="CG14" i="75" s="1"/>
  <c r="AV274" i="148"/>
  <c r="AV26" i="148"/>
  <c r="CF18" i="75" s="1"/>
  <c r="CF16" i="75" s="1"/>
  <c r="BK25" i="148"/>
  <c r="BK26" i="148" s="1"/>
  <c r="N91" i="164"/>
  <c r="K44" i="157"/>
  <c r="K46" i="157" s="1"/>
  <c r="K47" i="157" s="1"/>
  <c r="K49" i="157" s="1"/>
  <c r="K50" i="157" s="1"/>
  <c r="K51" i="157" s="1"/>
  <c r="K40" i="157"/>
  <c r="V43" i="164"/>
  <c r="V53" i="164" s="1"/>
  <c r="M28" i="163"/>
  <c r="M36" i="163" s="1"/>
  <c r="CD35" i="75"/>
  <c r="CD82" i="75"/>
  <c r="CD75" i="75"/>
  <c r="CD34" i="75"/>
  <c r="Q212" i="75"/>
  <c r="Q213" i="75" s="1"/>
  <c r="Q235" i="75" l="1"/>
  <c r="Q83" i="75"/>
  <c r="Q76" i="75"/>
  <c r="Q46" i="75"/>
  <c r="Q52" i="75"/>
  <c r="Q77" i="75"/>
  <c r="R177" i="75"/>
  <c r="R174" i="75" s="1"/>
  <c r="CF73" i="75"/>
  <c r="CF17" i="75"/>
  <c r="CF12" i="75"/>
  <c r="CF27" i="75"/>
  <c r="AV275" i="148"/>
  <c r="BK274" i="148"/>
  <c r="BK275" i="148" s="1"/>
  <c r="R27" i="75"/>
  <c r="R73" i="75"/>
  <c r="R18" i="75"/>
  <c r="L7" i="157" s="1"/>
  <c r="R17" i="75"/>
  <c r="CG28" i="75"/>
  <c r="CG29" i="75"/>
  <c r="CG74" i="75"/>
  <c r="CG33" i="75"/>
  <c r="T12" i="75"/>
  <c r="N109" i="164"/>
  <c r="CE75" i="75"/>
  <c r="CE35" i="75"/>
  <c r="CE82" i="75"/>
  <c r="CE34" i="75"/>
  <c r="K14" i="157"/>
  <c r="N28" i="163"/>
  <c r="W43" i="164"/>
  <c r="W53" i="164" s="1"/>
  <c r="Q123" i="75"/>
  <c r="CG34" i="75" l="1"/>
  <c r="CG75" i="75"/>
  <c r="CG35" i="75"/>
  <c r="CF74" i="75"/>
  <c r="CF33" i="75"/>
  <c r="CF28" i="75"/>
  <c r="CF29" i="75"/>
  <c r="N36" i="163"/>
  <c r="N29" i="163" s="1"/>
  <c r="N21" i="163" s="1"/>
  <c r="N40" i="163" s="1"/>
  <c r="N41" i="163" s="1"/>
  <c r="O28" i="163"/>
  <c r="O36" i="163" s="1"/>
  <c r="O29" i="163" s="1"/>
  <c r="O21" i="163" s="1"/>
  <c r="O40" i="163" s="1"/>
  <c r="O41" i="163" s="1"/>
  <c r="T14" i="75"/>
  <c r="R33" i="75"/>
  <c r="R29" i="75"/>
  <c r="R74" i="75"/>
  <c r="R28" i="75"/>
  <c r="W40" i="164"/>
  <c r="W50" i="164" s="1"/>
  <c r="N7" i="157"/>
  <c r="L8" i="157"/>
  <c r="L39" i="157"/>
  <c r="CF14" i="75"/>
  <c r="S12" i="75"/>
  <c r="Q57" i="75"/>
  <c r="K17" i="157"/>
  <c r="Q162" i="75"/>
  <c r="Q53" i="75"/>
  <c r="Q56" i="75"/>
  <c r="Q84" i="75"/>
  <c r="Q54" i="75"/>
  <c r="Q59" i="75"/>
  <c r="BI4" i="148"/>
  <c r="Q169" i="75"/>
  <c r="Q78" i="75"/>
  <c r="Q223" i="75" s="1"/>
  <c r="Q125" i="75"/>
  <c r="R123" i="75"/>
  <c r="Q184" i="75"/>
  <c r="Q185" i="75" s="1"/>
  <c r="P198" i="75"/>
  <c r="L110" i="164" l="1"/>
  <c r="Q143" i="75"/>
  <c r="Q145" i="75" s="1"/>
  <c r="Q60" i="75"/>
  <c r="R187" i="75"/>
  <c r="Q132" i="75"/>
  <c r="Q55" i="75"/>
  <c r="K81" i="157"/>
  <c r="K80" i="157" s="1"/>
  <c r="K77" i="157" s="1"/>
  <c r="L40" i="157"/>
  <c r="L44" i="157"/>
  <c r="L46" i="157" s="1"/>
  <c r="L47" i="157" s="1"/>
  <c r="L49" i="157" s="1"/>
  <c r="L50" i="157" s="1"/>
  <c r="L51" i="157" s="1"/>
  <c r="BI5" i="148"/>
  <c r="K18" i="157"/>
  <c r="Q85" i="75"/>
  <c r="BI6" i="148" s="1"/>
  <c r="N8" i="157"/>
  <c r="N12" i="157"/>
  <c r="T16" i="75"/>
  <c r="CF82" i="75"/>
  <c r="CF75" i="75"/>
  <c r="CF34" i="75"/>
  <c r="CF35" i="75"/>
  <c r="CG82" i="75"/>
  <c r="Q179" i="75"/>
  <c r="Q198" i="75" s="1"/>
  <c r="S14" i="75"/>
  <c r="S116" i="75"/>
  <c r="R35" i="75"/>
  <c r="R75" i="75"/>
  <c r="L12" i="157"/>
  <c r="R82" i="75"/>
  <c r="R34" i="75"/>
  <c r="R125" i="75"/>
  <c r="S123" i="75"/>
  <c r="R184" i="75"/>
  <c r="R185" i="75" s="1"/>
  <c r="R212" i="75"/>
  <c r="R213" i="75" s="1"/>
  <c r="S16" i="75" l="1"/>
  <c r="T17" i="75" s="1"/>
  <c r="S130" i="75"/>
  <c r="T73" i="75"/>
  <c r="T18" i="75"/>
  <c r="T27" i="75"/>
  <c r="K19" i="157"/>
  <c r="K83" i="157"/>
  <c r="Q147" i="75"/>
  <c r="Q157" i="75"/>
  <c r="Q224" i="75"/>
  <c r="Q228" i="75"/>
  <c r="Z8" i="164" s="1"/>
  <c r="Z7" i="164"/>
  <c r="V179" i="75"/>
  <c r="Q133" i="75"/>
  <c r="K79" i="157"/>
  <c r="K78" i="157"/>
  <c r="K75" i="157" s="1"/>
  <c r="K73" i="157" s="1"/>
  <c r="R194" i="75"/>
  <c r="S176" i="75"/>
  <c r="T116" i="75"/>
  <c r="T176" i="75" s="1"/>
  <c r="S125" i="75"/>
  <c r="T123" i="75"/>
  <c r="S212" i="75"/>
  <c r="S213" i="75" s="1"/>
  <c r="Q114" i="75"/>
  <c r="S184" i="75"/>
  <c r="S185" i="75" s="1"/>
  <c r="S177" i="75" l="1"/>
  <c r="S174" i="75" s="1"/>
  <c r="T130" i="75"/>
  <c r="K84" i="157"/>
  <c r="K90" i="157"/>
  <c r="Q138" i="75"/>
  <c r="K76" i="157"/>
  <c r="K74" i="157"/>
  <c r="T33" i="75"/>
  <c r="T74" i="75"/>
  <c r="T29" i="75"/>
  <c r="S18" i="75"/>
  <c r="M7" i="157" s="1"/>
  <c r="S27" i="75"/>
  <c r="T28" i="75" s="1"/>
  <c r="S17" i="75"/>
  <c r="S73" i="75"/>
  <c r="T125" i="75"/>
  <c r="Q159" i="75"/>
  <c r="Q118" i="75"/>
  <c r="R97" i="75"/>
  <c r="R95" i="75"/>
  <c r="R37" i="75" s="1"/>
  <c r="T212" i="75"/>
  <c r="T213" i="75" s="1"/>
  <c r="T184" i="75"/>
  <c r="T185" i="75" s="1"/>
  <c r="M39" i="157" l="1"/>
  <c r="M8" i="157"/>
  <c r="S29" i="75"/>
  <c r="S74" i="75"/>
  <c r="S33" i="75"/>
  <c r="T34" i="75" s="1"/>
  <c r="S28" i="75"/>
  <c r="T75" i="75"/>
  <c r="T35" i="75"/>
  <c r="T177" i="75"/>
  <c r="T174" i="75" s="1"/>
  <c r="Q148" i="75"/>
  <c r="R98" i="75"/>
  <c r="BZ37" i="75"/>
  <c r="R39" i="75"/>
  <c r="R44" i="75" s="1"/>
  <c r="Q158" i="75"/>
  <c r="Q150" i="75"/>
  <c r="Q230" i="75"/>
  <c r="T82" i="75" l="1"/>
  <c r="M44" i="157"/>
  <c r="M46" i="157" s="1"/>
  <c r="M47" i="157" s="1"/>
  <c r="M49" i="157" s="1"/>
  <c r="M50" i="157" s="1"/>
  <c r="M51" i="157" s="1"/>
  <c r="M40" i="157"/>
  <c r="S82" i="75"/>
  <c r="S75" i="75"/>
  <c r="M12" i="157"/>
  <c r="S34" i="75"/>
  <c r="S35" i="75"/>
  <c r="M110" i="164"/>
  <c r="L13" i="157"/>
  <c r="L42" i="163"/>
  <c r="L43" i="163" s="1"/>
  <c r="R45" i="75"/>
  <c r="BZ39" i="75"/>
  <c r="BZ44" i="75" s="1"/>
  <c r="CA37" i="75"/>
  <c r="R46" i="75" l="1"/>
  <c r="R235" i="75"/>
  <c r="R83" i="75"/>
  <c r="R76" i="75"/>
  <c r="CB37" i="75"/>
  <c r="CC37" i="75" s="1"/>
  <c r="CA39" i="75"/>
  <c r="CA44" i="75" s="1"/>
  <c r="CA45" i="75" s="1"/>
  <c r="BZ45" i="75"/>
  <c r="L44" i="163"/>
  <c r="L46" i="163" s="1"/>
  <c r="L14" i="157"/>
  <c r="L47" i="163" l="1"/>
  <c r="L80" i="163"/>
  <c r="L78" i="163"/>
  <c r="CC39" i="75"/>
  <c r="CC44" i="75" s="1"/>
  <c r="CC45" i="75" s="1"/>
  <c r="BZ46" i="75"/>
  <c r="BZ83" i="75"/>
  <c r="BZ76" i="75"/>
  <c r="BZ48" i="75"/>
  <c r="CB39" i="75"/>
  <c r="CB44" i="75" s="1"/>
  <c r="CA48" i="75"/>
  <c r="CA83" i="75"/>
  <c r="CA46" i="75"/>
  <c r="CA76" i="75"/>
  <c r="CC46" i="75" l="1"/>
  <c r="CC76" i="75"/>
  <c r="CC48" i="75"/>
  <c r="L79" i="163"/>
  <c r="CA52" i="75"/>
  <c r="CB45" i="75"/>
  <c r="BZ52" i="75"/>
  <c r="L89" i="163"/>
  <c r="L48" i="163"/>
  <c r="L68" i="163"/>
  <c r="L69" i="163" s="1"/>
  <c r="BZ57" i="75" l="1"/>
  <c r="BZ54" i="75"/>
  <c r="BZ53" i="75"/>
  <c r="BZ78" i="75"/>
  <c r="BZ84" i="75"/>
  <c r="BZ56" i="75"/>
  <c r="L71" i="163"/>
  <c r="L70" i="163"/>
  <c r="CB48" i="75"/>
  <c r="CB46" i="75"/>
  <c r="CB76" i="75"/>
  <c r="CB83" i="75"/>
  <c r="CC83" i="75"/>
  <c r="CA84" i="75"/>
  <c r="CA56" i="75"/>
  <c r="CA53" i="75"/>
  <c r="CA78" i="75"/>
  <c r="CA54" i="75"/>
  <c r="CA57" i="75"/>
  <c r="CC52" i="75"/>
  <c r="R48" i="75" l="1"/>
  <c r="CB52" i="75"/>
  <c r="CC84" i="75" s="1"/>
  <c r="CA85" i="75"/>
  <c r="CA86" i="75"/>
  <c r="CC53" i="75"/>
  <c r="CC56" i="75"/>
  <c r="CC54" i="75"/>
  <c r="CC57" i="75"/>
  <c r="CC78" i="75"/>
  <c r="BZ86" i="75"/>
  <c r="BZ85" i="75"/>
  <c r="R77" i="75" l="1"/>
  <c r="L15" i="157"/>
  <c r="R52" i="75"/>
  <c r="CB57" i="75"/>
  <c r="CB78" i="75"/>
  <c r="CB84" i="75"/>
  <c r="CB54" i="75"/>
  <c r="CB53" i="75"/>
  <c r="CB56" i="75"/>
  <c r="CC86" i="75"/>
  <c r="CB86" i="75" l="1"/>
  <c r="CB85" i="75"/>
  <c r="L17" i="157"/>
  <c r="R55" i="75" s="1"/>
  <c r="R54" i="75"/>
  <c r="R78" i="75"/>
  <c r="R223" i="75" s="1"/>
  <c r="R57" i="75"/>
  <c r="R84" i="75"/>
  <c r="R169" i="75"/>
  <c r="R53" i="75"/>
  <c r="R162" i="75"/>
  <c r="R56" i="75"/>
  <c r="R59" i="75"/>
  <c r="R143" i="75" s="1"/>
  <c r="CC85" i="75"/>
  <c r="R145" i="75" l="1"/>
  <c r="R179" i="75"/>
  <c r="R85" i="75"/>
  <c r="L18" i="157"/>
  <c r="L81" i="157"/>
  <c r="L80" i="157" s="1"/>
  <c r="L77" i="157" s="1"/>
  <c r="R60" i="75"/>
  <c r="S187" i="75"/>
  <c r="R132" i="75"/>
  <c r="R228" i="75" l="1"/>
  <c r="AA8" i="164" s="1"/>
  <c r="R198" i="75"/>
  <c r="AA7" i="164"/>
  <c r="R133" i="75"/>
  <c r="S194" i="75"/>
  <c r="L79" i="157"/>
  <c r="L78" i="157"/>
  <c r="L75" i="157" s="1"/>
  <c r="L73" i="157" s="1"/>
  <c r="L19" i="157"/>
  <c r="L83" i="157"/>
  <c r="R147" i="75"/>
  <c r="R157" i="75"/>
  <c r="R224" i="75"/>
  <c r="R138" i="75" l="1"/>
  <c r="L76" i="157"/>
  <c r="L74" i="157"/>
  <c r="R114" i="75"/>
  <c r="L84" i="157"/>
  <c r="L90" i="157"/>
  <c r="R159" i="75" l="1"/>
  <c r="S97" i="75"/>
  <c r="S95" i="75"/>
  <c r="S37" i="75" s="1"/>
  <c r="R118" i="75"/>
  <c r="R148" i="75"/>
  <c r="R150" i="75" l="1"/>
  <c r="R230" i="75"/>
  <c r="R158" i="75"/>
  <c r="S98" i="75"/>
  <c r="S39" i="75"/>
  <c r="S44" i="75" s="1"/>
  <c r="CD37" i="75"/>
  <c r="CE37" i="75" l="1"/>
  <c r="CD39" i="75"/>
  <c r="CD44" i="75" s="1"/>
  <c r="M42" i="163"/>
  <c r="M43" i="163" s="1"/>
  <c r="M13" i="157"/>
  <c r="S45" i="75"/>
  <c r="CF37" i="75" l="1"/>
  <c r="CE39" i="75"/>
  <c r="CE44" i="75" s="1"/>
  <c r="CE45" i="75" s="1"/>
  <c r="CD45" i="75"/>
  <c r="M44" i="163"/>
  <c r="M46" i="163" s="1"/>
  <c r="S46" i="75"/>
  <c r="S76" i="75"/>
  <c r="S235" i="75"/>
  <c r="S83" i="75"/>
  <c r="M14" i="157"/>
  <c r="N13" i="157"/>
  <c r="M80" i="163" l="1"/>
  <c r="M47" i="163"/>
  <c r="M78" i="163"/>
  <c r="CD76" i="75"/>
  <c r="CD83" i="75"/>
  <c r="CD48" i="75"/>
  <c r="CD52" i="75" s="1"/>
  <c r="CD46" i="75"/>
  <c r="N14" i="157"/>
  <c r="N15" i="157" s="1"/>
  <c r="T44" i="75"/>
  <c r="CE76" i="75"/>
  <c r="CE83" i="75"/>
  <c r="CE48" i="75"/>
  <c r="CE46" i="75"/>
  <c r="CF39" i="75"/>
  <c r="CF44" i="75" s="1"/>
  <c r="CG37" i="75"/>
  <c r="CD57" i="75" l="1"/>
  <c r="CD78" i="75"/>
  <c r="CD54" i="75"/>
  <c r="CD56" i="75"/>
  <c r="CD53" i="75"/>
  <c r="CD84" i="75"/>
  <c r="T45" i="75"/>
  <c r="N42" i="163"/>
  <c r="M79" i="163"/>
  <c r="CF45" i="75"/>
  <c r="CE52" i="75"/>
  <c r="T48" i="75"/>
  <c r="M68" i="163"/>
  <c r="M69" i="163" s="1"/>
  <c r="M48" i="163"/>
  <c r="M49" i="163"/>
  <c r="M50" i="163" s="1"/>
  <c r="C51" i="163" s="1"/>
  <c r="M89" i="163"/>
  <c r="CG39" i="75"/>
  <c r="CG44" i="75" s="1"/>
  <c r="CG45" i="75" s="1"/>
  <c r="N17" i="157" l="1"/>
  <c r="N18" i="157" s="1"/>
  <c r="CE57" i="75"/>
  <c r="CE53" i="75"/>
  <c r="CE56" i="75"/>
  <c r="CE54" i="75"/>
  <c r="CE84" i="75"/>
  <c r="CE78" i="75"/>
  <c r="T83" i="75"/>
  <c r="T76" i="75"/>
  <c r="T46" i="75"/>
  <c r="T52" i="75"/>
  <c r="CG48" i="75"/>
  <c r="CG83" i="75"/>
  <c r="CG46" i="75"/>
  <c r="CG76" i="75"/>
  <c r="M70" i="163"/>
  <c r="M71" i="163"/>
  <c r="CD86" i="75"/>
  <c r="CD85" i="75"/>
  <c r="J67" i="163"/>
  <c r="C67" i="163"/>
  <c r="G67" i="163"/>
  <c r="M67" i="163"/>
  <c r="F67" i="163"/>
  <c r="E67" i="163"/>
  <c r="L67" i="163"/>
  <c r="K67" i="163"/>
  <c r="C71" i="163"/>
  <c r="D67" i="163"/>
  <c r="I67" i="163"/>
  <c r="H67" i="163"/>
  <c r="T77" i="75"/>
  <c r="CF48" i="75"/>
  <c r="CF76" i="75"/>
  <c r="CF46" i="75"/>
  <c r="CF83" i="75"/>
  <c r="N43" i="163"/>
  <c r="O42" i="163"/>
  <c r="O43" i="163" s="1"/>
  <c r="S48" i="75" l="1"/>
  <c r="CE86" i="75"/>
  <c r="CE85" i="75"/>
  <c r="O44" i="163"/>
  <c r="O46" i="163" s="1"/>
  <c r="T56" i="75"/>
  <c r="T78" i="75"/>
  <c r="T223" i="75" s="1"/>
  <c r="T59" i="75"/>
  <c r="T54" i="75"/>
  <c r="T162" i="75"/>
  <c r="T57" i="75"/>
  <c r="T169" i="75"/>
  <c r="CF52" i="75"/>
  <c r="N44" i="163"/>
  <c r="N46" i="163" s="1"/>
  <c r="CG52" i="75"/>
  <c r="N80" i="163" l="1"/>
  <c r="N47" i="163"/>
  <c r="N78" i="163"/>
  <c r="O47" i="163"/>
  <c r="CG54" i="75"/>
  <c r="CG53" i="75"/>
  <c r="CG56" i="75"/>
  <c r="CG57" i="75"/>
  <c r="CG78" i="75"/>
  <c r="CG84" i="75"/>
  <c r="S77" i="75"/>
  <c r="M15" i="157"/>
  <c r="S52" i="75"/>
  <c r="CF56" i="75"/>
  <c r="CF53" i="75"/>
  <c r="CF57" i="75"/>
  <c r="CF78" i="75"/>
  <c r="CF54" i="75"/>
  <c r="CF84" i="75"/>
  <c r="T60" i="75"/>
  <c r="T179" i="75"/>
  <c r="CF86" i="75" l="1"/>
  <c r="CF85" i="75"/>
  <c r="O78" i="163"/>
  <c r="O79" i="163" s="1"/>
  <c r="N79" i="163"/>
  <c r="O80" i="163"/>
  <c r="N48" i="163"/>
  <c r="N68" i="163"/>
  <c r="N69" i="163" s="1"/>
  <c r="Q47" i="163"/>
  <c r="N67" i="163"/>
  <c r="O68" i="163"/>
  <c r="O69" i="163" s="1"/>
  <c r="O48" i="163"/>
  <c r="AC7" i="164"/>
  <c r="T228" i="75"/>
  <c r="AC8" i="164" s="1"/>
  <c r="S162" i="75"/>
  <c r="S78" i="75"/>
  <c r="S223" i="75" s="1"/>
  <c r="S53" i="75"/>
  <c r="S169" i="75"/>
  <c r="S54" i="75"/>
  <c r="S59" i="75"/>
  <c r="S57" i="75"/>
  <c r="S84" i="75"/>
  <c r="S56" i="75"/>
  <c r="M17" i="157"/>
  <c r="T84" i="75"/>
  <c r="T53" i="75"/>
  <c r="CG85" i="75"/>
  <c r="CG86" i="75"/>
  <c r="M81" i="157" l="1"/>
  <c r="M80" i="157" s="1"/>
  <c r="M77" i="157" s="1"/>
  <c r="S85" i="75"/>
  <c r="M18" i="157"/>
  <c r="T85" i="75"/>
  <c r="S60" i="75"/>
  <c r="T187" i="75"/>
  <c r="S132" i="75"/>
  <c r="S55" i="75"/>
  <c r="S179" i="75"/>
  <c r="O71" i="163"/>
  <c r="O70" i="163"/>
  <c r="N70" i="163"/>
  <c r="N71" i="163"/>
  <c r="S143" i="75"/>
  <c r="M78" i="157" l="1"/>
  <c r="M75" i="157" s="1"/>
  <c r="M73" i="157" s="1"/>
  <c r="M79" i="157"/>
  <c r="S133" i="75"/>
  <c r="T132" i="75"/>
  <c r="M19" i="157"/>
  <c r="C114" i="157" s="1"/>
  <c r="F116" i="157" s="1"/>
  <c r="F117" i="157" s="1"/>
  <c r="C119" i="157" s="1"/>
  <c r="M83" i="157"/>
  <c r="N19" i="157"/>
  <c r="S145" i="75"/>
  <c r="T143" i="75"/>
  <c r="T145" i="75" s="1"/>
  <c r="S228" i="75"/>
  <c r="AB8" i="164" s="1"/>
  <c r="S198" i="75"/>
  <c r="AB7" i="164"/>
  <c r="T194" i="75"/>
  <c r="S138" i="75" l="1"/>
  <c r="T133" i="75"/>
  <c r="T157" i="75"/>
  <c r="T147" i="75"/>
  <c r="S114" i="75"/>
  <c r="M90" i="157"/>
  <c r="M84" i="157"/>
  <c r="M76" i="157"/>
  <c r="M74" i="157"/>
  <c r="Q53" i="163"/>
  <c r="C52" i="163" s="1"/>
  <c r="S157" i="75"/>
  <c r="S147" i="75"/>
  <c r="T224" i="75"/>
  <c r="S224" i="75"/>
  <c r="T198" i="75"/>
  <c r="M20" i="157" l="1"/>
  <c r="S148" i="75"/>
  <c r="T95" i="75"/>
  <c r="T37" i="75" s="1"/>
  <c r="S159" i="75"/>
  <c r="S118" i="75"/>
  <c r="T114" i="75"/>
  <c r="T97" i="75"/>
  <c r="T138" i="75"/>
  <c r="T148" i="75" l="1"/>
  <c r="S230" i="75"/>
  <c r="S150" i="75"/>
  <c r="T159" i="75"/>
  <c r="T118" i="75"/>
  <c r="T39" i="75"/>
  <c r="T43" i="75" s="1"/>
  <c r="T98" i="75"/>
  <c r="M21" i="157"/>
  <c r="K22" i="157" s="1"/>
  <c r="S158" i="75"/>
  <c r="C123" i="157" l="1"/>
  <c r="C125" i="157"/>
  <c r="T150" i="75"/>
  <c r="T230" i="75"/>
  <c r="N23" i="157"/>
  <c r="L23" i="157"/>
  <c r="M23" i="157"/>
  <c r="K23" i="157"/>
  <c r="T158" i="75"/>
  <c r="C73" i="163" l="1"/>
  <c r="D73" i="163" l="1"/>
  <c r="C74" i="163"/>
  <c r="P127" i="75"/>
  <c r="Q127" i="75" s="1"/>
  <c r="R127" i="75" l="1"/>
  <c r="R128" i="75" s="1"/>
  <c r="Q128" i="75"/>
  <c r="S127" i="75"/>
  <c r="Q221" i="75" l="1"/>
  <c r="Q222" i="75"/>
  <c r="R222" i="75"/>
  <c r="R221" i="75"/>
  <c r="S128" i="75"/>
  <c r="T127" i="75"/>
  <c r="T128" i="75" l="1"/>
  <c r="T222" i="75" s="1"/>
  <c r="S222" i="75"/>
  <c r="S221" i="75"/>
  <c r="T221" i="7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Zhang, Xuan [GIR]</author>
  </authors>
  <commentList>
    <comment ref="CQ3" authorId="0" shapeId="0" xr:uid="{EAA2A747-A7C1-4D9F-8343-54F94416B4D5}">
      <text>
        <r>
          <rPr>
            <b/>
            <sz val="9"/>
            <color indexed="81"/>
            <rFont val="Tahoma"/>
            <family val="2"/>
          </rPr>
          <t>Zhang, Xuan [GIR]:</t>
        </r>
        <r>
          <rPr>
            <sz val="9"/>
            <color indexed="81"/>
            <rFont val="Tahoma"/>
            <family val="2"/>
          </rPr>
          <t xml:space="preserve">
Guidance: flat YoY</t>
        </r>
      </text>
    </comment>
    <comment ref="CQ93" authorId="0" shapeId="0" xr:uid="{ADAA0CD5-515A-4F43-9F62-39A540D86AD0}">
      <text>
        <r>
          <rPr>
            <b/>
            <sz val="9"/>
            <color indexed="81"/>
            <rFont val="Tahoma"/>
            <family val="2"/>
          </rPr>
          <t>Zhang, Xuan [GIR]:</t>
        </r>
        <r>
          <rPr>
            <sz val="9"/>
            <color indexed="81"/>
            <rFont val="Tahoma"/>
            <family val="2"/>
          </rPr>
          <t xml:space="preserve">
Guidance: depreciation will increase 30% YoY</t>
        </r>
      </text>
    </comment>
    <comment ref="CS95" authorId="0" shapeId="0" xr:uid="{324B431D-35A5-433D-8D99-4E30D11ECD26}">
      <text>
        <r>
          <rPr>
            <b/>
            <sz val="9"/>
            <color indexed="81"/>
            <rFont val="Tahoma"/>
            <family val="2"/>
          </rPr>
          <t>Zhang, Xuan [GIR]:</t>
        </r>
        <r>
          <rPr>
            <sz val="9"/>
            <color indexed="81"/>
            <rFont val="Tahoma"/>
            <family val="2"/>
          </rPr>
          <t xml:space="preserve">
Guidance: 30% YoY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Luo, Lynn [GIR]</author>
  </authors>
  <commentList>
    <comment ref="C170" authorId="0" shapeId="0" xr:uid="{00000000-0006-0000-0E00-000001000000}">
      <text>
        <r>
          <rPr>
            <b/>
            <sz val="9"/>
            <color indexed="81"/>
            <rFont val="Tahoma"/>
            <family val="2"/>
          </rPr>
          <t>Luo, Lynn [GIR]:</t>
        </r>
        <r>
          <rPr>
            <sz val="9"/>
            <color indexed="81"/>
            <rFont val="Tahoma"/>
            <family val="2"/>
          </rPr>
          <t xml:space="preserve">
Licensing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Huang, Christina [GIR]</author>
  </authors>
  <commentList>
    <comment ref="A129" authorId="0" shapeId="0" xr:uid="{00000000-0006-0000-1400-000001000000}">
      <text>
        <r>
          <rPr>
            <b/>
            <sz val="9"/>
            <color indexed="81"/>
            <rFont val="Tahoma"/>
            <family val="2"/>
          </rPr>
          <t>Huang, Christina [GIR]:</t>
        </r>
        <r>
          <rPr>
            <sz val="9"/>
            <color indexed="81"/>
            <rFont val="Tahoma"/>
            <family val="2"/>
          </rPr>
          <t xml:space="preserve">
Accumulated depreciation and
impairment</t>
        </r>
      </text>
    </comment>
    <comment ref="A130" authorId="0" shapeId="0" xr:uid="{00000000-0006-0000-1400-000002000000}">
      <text>
        <r>
          <rPr>
            <b/>
            <sz val="9"/>
            <color indexed="81"/>
            <rFont val="Tahoma"/>
            <family val="2"/>
          </rPr>
          <t>Huang, Christina [GIR]:</t>
        </r>
        <r>
          <rPr>
            <sz val="9"/>
            <color indexed="81"/>
            <rFont val="Tahoma"/>
            <family val="2"/>
          </rPr>
          <t xml:space="preserve">
PPE carrying amount</t>
        </r>
      </text>
    </comment>
    <comment ref="A135" authorId="0" shapeId="0" xr:uid="{00000000-0006-0000-1400-000003000000}">
      <text>
        <r>
          <rPr>
            <b/>
            <sz val="9"/>
            <color indexed="81"/>
            <rFont val="Tahoma"/>
            <family val="2"/>
          </rPr>
          <t>Huang, Christina [GIR]:</t>
        </r>
        <r>
          <rPr>
            <sz val="9"/>
            <color indexed="81"/>
            <rFont val="Tahoma"/>
            <family val="2"/>
          </rPr>
          <t xml:space="preserve">
Accumulated amortization and impairment</t>
        </r>
      </text>
    </comment>
    <comment ref="A137" authorId="0" shapeId="0" xr:uid="{00000000-0006-0000-1400-000004000000}">
      <text>
        <r>
          <rPr>
            <b/>
            <sz val="9"/>
            <color indexed="81"/>
            <rFont val="Tahoma"/>
            <family val="2"/>
          </rPr>
          <t>Huang, Christina [GIR]:</t>
        </r>
        <r>
          <rPr>
            <sz val="9"/>
            <color indexed="81"/>
            <rFont val="Tahoma"/>
            <family val="2"/>
          </rPr>
          <t xml:space="preserve">
Investments in associates + Investments in joint ventures</t>
        </r>
      </text>
    </comment>
    <comment ref="A193" authorId="0" shapeId="0" xr:uid="{00000000-0006-0000-1400-000005000000}">
      <text>
        <r>
          <rPr>
            <b/>
            <sz val="9"/>
            <color indexed="81"/>
            <rFont val="Tahoma"/>
            <family val="2"/>
          </rPr>
          <t>Huang, Christina [GIR]:</t>
        </r>
        <r>
          <rPr>
            <sz val="9"/>
            <color indexed="81"/>
            <rFont val="Tahoma"/>
            <family val="2"/>
          </rPr>
          <t xml:space="preserve">
Ordinary shares</t>
        </r>
      </text>
    </comment>
    <comment ref="A194" authorId="0" shapeId="0" xr:uid="{00000000-0006-0000-1400-000006000000}">
      <text>
        <r>
          <rPr>
            <b/>
            <sz val="9"/>
            <color indexed="81"/>
            <rFont val="Tahoma"/>
            <family val="2"/>
          </rPr>
          <t>Huang, Christina [GIR]:</t>
        </r>
        <r>
          <rPr>
            <sz val="9"/>
            <color indexed="81"/>
            <rFont val="Tahoma"/>
            <family val="2"/>
          </rPr>
          <t xml:space="preserve">
Share premium
</t>
        </r>
      </text>
    </comment>
    <comment ref="A206" authorId="0" shapeId="0" xr:uid="{00000000-0006-0000-1400-000007000000}">
      <text>
        <r>
          <rPr>
            <b/>
            <sz val="9"/>
            <color indexed="81"/>
            <rFont val="Tahoma"/>
            <family val="2"/>
          </rPr>
          <t>Huang, Christina [GIR]:</t>
        </r>
        <r>
          <rPr>
            <sz val="9"/>
            <color indexed="81"/>
            <rFont val="Tahoma"/>
            <family val="2"/>
          </rPr>
          <t xml:space="preserve">
Equity attributable to owners of the
Company + Perpetual subordinated convertible
securities</t>
        </r>
      </text>
    </comment>
    <comment ref="A243" authorId="0" shapeId="0" xr:uid="{00000000-0006-0000-1400-000008000000}">
      <text>
        <r>
          <rPr>
            <b/>
            <sz val="9"/>
            <color indexed="81"/>
            <rFont val="Tahoma"/>
            <family val="2"/>
          </rPr>
          <t>Huang, Christina [GIR]:</t>
        </r>
        <r>
          <rPr>
            <sz val="9"/>
            <color indexed="81"/>
            <rFont val="Tahoma"/>
            <family val="2"/>
          </rPr>
          <t xml:space="preserve">
Payments for property, plant and equipment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<sst xmlns="http://schemas.openxmlformats.org/spreadsheetml/2006/main" count="2445" uniqueCount="1213">
  <si>
    <t>Cash flow assumptions</t>
  </si>
  <si>
    <t>Capex as a % of revenue</t>
  </si>
  <si>
    <t>Preferred dividend</t>
  </si>
  <si>
    <t>Fully diluted shares outstanding (mn)</t>
  </si>
  <si>
    <t>Weighted avg. adj. shares outstanding (mn)</t>
  </si>
  <si>
    <t>Pre-tax profits</t>
  </si>
  <si>
    <t>Check</t>
  </si>
  <si>
    <t>Pre-tax margin</t>
  </si>
  <si>
    <t>Pre-tax profit (income before tax)</t>
  </si>
  <si>
    <t>Cash and equivalents</t>
  </si>
  <si>
    <t>Balance sheet assumptions and other calculations</t>
  </si>
  <si>
    <t>Prepayment</t>
  </si>
  <si>
    <t>Deposits in non-banking financial institutions</t>
  </si>
  <si>
    <t>Other payables</t>
  </si>
  <si>
    <t>Borrowings</t>
  </si>
  <si>
    <t>Depreciation and amortisation</t>
  </si>
  <si>
    <t>(Increase)/decrease in working capital :</t>
  </si>
  <si>
    <t>As a % of interest in associates</t>
  </si>
  <si>
    <t>Depreciable years</t>
  </si>
  <si>
    <t>Calculation of depreciation</t>
  </si>
  <si>
    <t>Calculation of amortization</t>
  </si>
  <si>
    <t>Gain on disposal of available-for-sale investment</t>
  </si>
  <si>
    <t>Share result of jointly controlled entities</t>
  </si>
  <si>
    <t>Share of results of associates</t>
  </si>
  <si>
    <t>Finance cost</t>
  </si>
  <si>
    <t>Total interest charges (as a % of avg. debt)</t>
  </si>
  <si>
    <t>Interest charges</t>
  </si>
  <si>
    <t>Net loss/(gain) on asset sales</t>
  </si>
  <si>
    <t>Income pre-preferred share dividends</t>
  </si>
  <si>
    <t>Net change in cash and cash equivalents</t>
  </si>
  <si>
    <t>Beta</t>
  </si>
  <si>
    <t>Purchase of property, plant and equipment</t>
  </si>
  <si>
    <t>Dividends paid to minority shareholders</t>
  </si>
  <si>
    <t>Capital contribution by minority shareholders of subsidiaries</t>
  </si>
  <si>
    <t>Net debt</t>
  </si>
  <si>
    <t xml:space="preserve"> </t>
  </si>
  <si>
    <t>Gross margin</t>
  </si>
  <si>
    <t>Finance costs</t>
  </si>
  <si>
    <t>Taxation</t>
  </si>
  <si>
    <t>Basic</t>
  </si>
  <si>
    <t>Diluted</t>
  </si>
  <si>
    <t>Dividends</t>
  </si>
  <si>
    <t>Non-current assets</t>
  </si>
  <si>
    <t>Property, plant and equipment</t>
  </si>
  <si>
    <t>Other long-term assets</t>
  </si>
  <si>
    <t>Inventories</t>
  </si>
  <si>
    <t xml:space="preserve">Cash and cash equivalents </t>
  </si>
  <si>
    <t>Liabilities and shareholders' equity</t>
  </si>
  <si>
    <t>Accounts payable and accrued liabilities</t>
  </si>
  <si>
    <t xml:space="preserve">Cash </t>
  </si>
  <si>
    <t>Cash equivalents</t>
  </si>
  <si>
    <t>Total liabilities and shareholders' equity</t>
  </si>
  <si>
    <t>Other common equity</t>
  </si>
  <si>
    <t>Total accounts receivable CF</t>
  </si>
  <si>
    <t>Total accounts payable and accrued liabilities CF</t>
  </si>
  <si>
    <t>Short-term bank and other borrowings</t>
  </si>
  <si>
    <t>Other current liabilities</t>
  </si>
  <si>
    <t>Non-current liabilities</t>
  </si>
  <si>
    <t>Capital and reserves</t>
  </si>
  <si>
    <t>Share capital</t>
  </si>
  <si>
    <t>Less: accumulated depreciation</t>
  </si>
  <si>
    <t>Operating activities</t>
  </si>
  <si>
    <t>Adjustments for:</t>
  </si>
  <si>
    <t>Increase in current assets:</t>
  </si>
  <si>
    <t>Investing activities</t>
  </si>
  <si>
    <t>Additions to property, plant and equipment</t>
  </si>
  <si>
    <t>Financing activities</t>
  </si>
  <si>
    <t>Effect of foreign exchange rate changes</t>
  </si>
  <si>
    <t>Total sales/revenues</t>
  </si>
  <si>
    <t>Gross profit</t>
  </si>
  <si>
    <t>Total operating expense</t>
  </si>
  <si>
    <t>Preferred dividends</t>
  </si>
  <si>
    <t>Net income</t>
  </si>
  <si>
    <t>Dividends per share</t>
  </si>
  <si>
    <t>Period end shares outstanding (mn)</t>
  </si>
  <si>
    <t>EBIT  (operating profit)</t>
  </si>
  <si>
    <t>EPS - basic</t>
  </si>
  <si>
    <t>EPS - fully diluted</t>
  </si>
  <si>
    <t>EBIT margin</t>
  </si>
  <si>
    <t>Interest income calculation:</t>
  </si>
  <si>
    <t>Interest income as a % of cash</t>
  </si>
  <si>
    <t>Interest expense calculation:</t>
  </si>
  <si>
    <t>Average debt</t>
  </si>
  <si>
    <t>Net receivables</t>
  </si>
  <si>
    <t>Inventory/stocks</t>
  </si>
  <si>
    <t xml:space="preserve">Gross intangibles </t>
  </si>
  <si>
    <t>Net intantigibles</t>
  </si>
  <si>
    <t>Total investments</t>
  </si>
  <si>
    <t>Total assets</t>
  </si>
  <si>
    <t>Current liabilities</t>
  </si>
  <si>
    <t>Total long-term liabilities</t>
  </si>
  <si>
    <t xml:space="preserve">Total liabilities   </t>
  </si>
  <si>
    <t>Preferred shares</t>
  </si>
  <si>
    <t>Treasury stock</t>
  </si>
  <si>
    <t>Retained earnings</t>
  </si>
  <si>
    <t>Total common equity</t>
  </si>
  <si>
    <t>Total shareholders funds/equity</t>
  </si>
  <si>
    <t>Total liabilities and equity</t>
  </si>
  <si>
    <t>Net receivable days</t>
  </si>
  <si>
    <t>Net payable days</t>
  </si>
  <si>
    <t>Book value per share</t>
  </si>
  <si>
    <t>Net working capital</t>
  </si>
  <si>
    <t>Dividend calculation:</t>
  </si>
  <si>
    <t>Cash dividend payout</t>
  </si>
  <si>
    <t>Stock dividend payout</t>
  </si>
  <si>
    <t>Minority interest add-back</t>
  </si>
  <si>
    <t>Depreciation and amortization add-back</t>
  </si>
  <si>
    <t>Net profit/loss on asset sales</t>
  </si>
  <si>
    <t>Accounts receivable</t>
  </si>
  <si>
    <t>Other operating cash flow items</t>
  </si>
  <si>
    <t>Cash flow from operations</t>
  </si>
  <si>
    <t>Other investment cash flow items</t>
  </si>
  <si>
    <t>Cash flow from investing</t>
  </si>
  <si>
    <t>Increase/decrease in ST debt</t>
  </si>
  <si>
    <t>Other financing cash flow items</t>
  </si>
  <si>
    <t>Cash flow from financing</t>
  </si>
  <si>
    <t>Total cash flow</t>
  </si>
  <si>
    <t>Cost of sales</t>
  </si>
  <si>
    <t>XXX</t>
  </si>
  <si>
    <t>Other operating expenses</t>
  </si>
  <si>
    <t>Share repurchase/issue (change In common stock)</t>
  </si>
  <si>
    <t>Increase/decrease in preferred shares</t>
  </si>
  <si>
    <t>Estimate</t>
  </si>
  <si>
    <t>Ticker</t>
  </si>
  <si>
    <t>Interest expense</t>
  </si>
  <si>
    <t>Net intangibles</t>
  </si>
  <si>
    <t>Minority interest</t>
  </si>
  <si>
    <t>Net cash generated from/(used in) operating activities</t>
  </si>
  <si>
    <t>Net cash (used in)/from investing activities</t>
  </si>
  <si>
    <t>Net cash (used in)/from financing activities</t>
  </si>
  <si>
    <t>Non-operating income/(loss)</t>
  </si>
  <si>
    <t>Extraordinary gain/(loss)</t>
  </si>
  <si>
    <t>Net margins</t>
  </si>
  <si>
    <t>Less accumulated depreciation</t>
  </si>
  <si>
    <t>Inventory days</t>
  </si>
  <si>
    <t>Inventory</t>
  </si>
  <si>
    <t>Others</t>
  </si>
  <si>
    <t>EPS</t>
  </si>
  <si>
    <t>Depreciation</t>
  </si>
  <si>
    <t>Amortization</t>
  </si>
  <si>
    <t>Interest income</t>
  </si>
  <si>
    <t>Rating</t>
  </si>
  <si>
    <t>Total COGS</t>
  </si>
  <si>
    <t>EBITDA</t>
  </si>
  <si>
    <t>Current assets</t>
  </si>
  <si>
    <t>Inventories CF</t>
  </si>
  <si>
    <t>Other current assets</t>
  </si>
  <si>
    <t>Accounts payable</t>
  </si>
  <si>
    <t>Accumulated amortization</t>
  </si>
  <si>
    <t>COGS</t>
  </si>
  <si>
    <t>Gain on disposal of trading securities</t>
  </si>
  <si>
    <t>Share count</t>
  </si>
  <si>
    <t>Cost</t>
  </si>
  <si>
    <t>Gross value,including construction in progress</t>
  </si>
  <si>
    <t>Prepaid lease payments</t>
  </si>
  <si>
    <t>yoy %</t>
  </si>
  <si>
    <t>Margin and growth analysis</t>
  </si>
  <si>
    <t>Other income statement assumptions</t>
  </si>
  <si>
    <t>Net profit (post minority int, pref div, extraordinary items)</t>
  </si>
  <si>
    <t>Intangible asseets</t>
  </si>
  <si>
    <t>(Gain) Loss on disposal of PPE and construction in process</t>
  </si>
  <si>
    <t>Net income from associates and jointly controlled entities</t>
  </si>
  <si>
    <t>Calculation of capex:</t>
  </si>
  <si>
    <t>Dividends payable</t>
  </si>
  <si>
    <t>Tax rate (as a % of EBT excluding associates)</t>
  </si>
  <si>
    <t>Minority interest (balance sheet)</t>
  </si>
  <si>
    <t>Change in minority interest</t>
  </si>
  <si>
    <t>Minority interest (Bal Sheet)</t>
  </si>
  <si>
    <t>Income statements</t>
  </si>
  <si>
    <t>Balance sheets</t>
  </si>
  <si>
    <t>Cash flow statements</t>
  </si>
  <si>
    <t>SG&amp;A</t>
  </si>
  <si>
    <t>Gross PP&amp;E/Fixed assets</t>
  </si>
  <si>
    <t>Increase/decrease in long-term debt</t>
  </si>
  <si>
    <t>Short-term debt and current portion of long-term debt</t>
  </si>
  <si>
    <t>Long-term debt</t>
  </si>
  <si>
    <t>Other long-term liabilities/creditors</t>
  </si>
  <si>
    <t>Other long-term liabilities</t>
  </si>
  <si>
    <t>Net PP&amp;E/Fixed assets</t>
  </si>
  <si>
    <t>Increase/(decrease) in short-term debt</t>
  </si>
  <si>
    <t>Increase/(decrease) in long-term debt</t>
  </si>
  <si>
    <t>Increase/(decrease) in preferred shares</t>
  </si>
  <si>
    <t>Common dividends declared</t>
  </si>
  <si>
    <t>Depreciation of Infrastructure facilities</t>
  </si>
  <si>
    <t>Unallocated</t>
  </si>
  <si>
    <t>Source: Company data, Goldman Sachs Research estimates.</t>
  </si>
  <si>
    <t>Pre-tax profit</t>
  </si>
  <si>
    <t>Total current assets</t>
  </si>
  <si>
    <t>Total current liabilities</t>
  </si>
  <si>
    <t>Total liabilities</t>
  </si>
  <si>
    <t>Total shareholders' equity</t>
  </si>
  <si>
    <t>Acquisitions</t>
  </si>
  <si>
    <t>Divestitures</t>
  </si>
  <si>
    <t>SH</t>
  </si>
  <si>
    <t>Adjustment factor</t>
  </si>
  <si>
    <t>Revenue</t>
  </si>
  <si>
    <t xml:space="preserve">   Gorss margin %</t>
  </si>
  <si>
    <t>Goodwill</t>
  </si>
  <si>
    <t>Long-term deffered expense</t>
  </si>
  <si>
    <t>Project materials</t>
  </si>
  <si>
    <t>Disposal of fixed assets</t>
  </si>
  <si>
    <t>Biological assets</t>
  </si>
  <si>
    <t>Oil and gas assets</t>
  </si>
  <si>
    <t>Deffered tax assets</t>
  </si>
  <si>
    <t>Interest accrued</t>
  </si>
  <si>
    <t>Dividend receivables</t>
  </si>
  <si>
    <t>Other receivables</t>
  </si>
  <si>
    <t>Trading financial assets</t>
  </si>
  <si>
    <t>Non-current assets in 1 year</t>
  </si>
  <si>
    <t>Trading financial liabilities</t>
  </si>
  <si>
    <t>Wages payables</t>
  </si>
  <si>
    <t>Tax payable</t>
  </si>
  <si>
    <t>Interest payable</t>
  </si>
  <si>
    <t>Bond payable</t>
  </si>
  <si>
    <t>Long-term payable</t>
  </si>
  <si>
    <t>Specific payable</t>
  </si>
  <si>
    <t>Accrued liabilities</t>
  </si>
  <si>
    <t>Deffered tax liabitlities</t>
  </si>
  <si>
    <t>Other non-current liabilities</t>
  </si>
  <si>
    <t>Amortisation of intangible assets</t>
  </si>
  <si>
    <t>Fair value change</t>
  </si>
  <si>
    <t>Loss on investment</t>
  </si>
  <si>
    <t>Decrease in defferred tax asset</t>
  </si>
  <si>
    <t>Increase in defferred tax liability</t>
  </si>
  <si>
    <t>`</t>
  </si>
  <si>
    <t>2021</t>
  </si>
  <si>
    <t>Gross margin %</t>
  </si>
  <si>
    <t>EBITDA margin %</t>
  </si>
  <si>
    <t>EBIT margin %</t>
  </si>
  <si>
    <t>Net margin %</t>
  </si>
  <si>
    <t>Net PPE + Capex</t>
  </si>
  <si>
    <t>Cash conversion cycle</t>
  </si>
  <si>
    <t>M&amp;A probability (1 = high, 3 = low)</t>
  </si>
  <si>
    <t>R&amp;D expense (capitalized)</t>
  </si>
  <si>
    <t>Previous cash balance</t>
  </si>
  <si>
    <t>Profit after taxation</t>
  </si>
  <si>
    <t>Restricted cash</t>
  </si>
  <si>
    <t xml:space="preserve">Dividends (common and preferred) paid </t>
  </si>
  <si>
    <t>1Q07</t>
  </si>
  <si>
    <t>2Q07</t>
  </si>
  <si>
    <t>3Q07</t>
  </si>
  <si>
    <t>4Q07</t>
  </si>
  <si>
    <t>2Q08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</si>
  <si>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</si>
  <si>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</si>
  <si>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</si>
  <si>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</si>
  <si>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</si>
  <si>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</si>
  <si>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</si>
  <si>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</si>
  <si>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</si>
  <si>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</si>
  <si>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</si>
  <si>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</si>
  <si>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</si>
  <si>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</si>
  <si>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</si>
  <si>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</si>
  <si>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</si>
  <si>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</si>
  <si>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</si>
  <si>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</si>
  <si>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</si>
  <si>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</si>
  <si>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</si>
  <si>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</si>
  <si>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</si>
  <si>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</si>
  <si>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</si>
  <si>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</si>
  <si>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</si>
  <si>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</si>
  <si>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</si>
  <si>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</si>
  <si>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</si>
  <si>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</si>
  <si>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</si>
  <si>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</si>
  <si>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</si>
  <si>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</si>
  <si>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</si>
  <si>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</si>
  <si>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</si>
  <si>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</si>
  <si>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</si>
  <si>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</si>
  <si>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EBITDA margin</t>
    <phoneticPr fontId="17" type="noConversion"/>
  </si>
  <si>
    <t>Accumulated quarterly result</t>
    <phoneticPr fontId="13" type="noConversion"/>
  </si>
  <si>
    <t>Quarterly result</t>
    <phoneticPr fontId="13" type="noConversion"/>
  </si>
  <si>
    <t>Check</t>
    <phoneticPr fontId="13" type="noConversion"/>
  </si>
  <si>
    <t>check</t>
    <phoneticPr fontId="13" type="noConversion"/>
  </si>
  <si>
    <t>Operating expenses</t>
  </si>
  <si>
    <t>R&amp;D</t>
  </si>
  <si>
    <t>Greater China Technology Team</t>
  </si>
  <si>
    <t>Target Price/ Target price period/ Upside/downside to target price</t>
  </si>
  <si>
    <t>Current shares outstanding (mn):</t>
  </si>
  <si>
    <t>Currency:</t>
  </si>
  <si>
    <t>Current Publication Date:</t>
  </si>
  <si>
    <t>Previous Publication Date:</t>
  </si>
  <si>
    <t xml:space="preserve">Team Contacts: </t>
  </si>
  <si>
    <t>Primary Analyst</t>
  </si>
  <si>
    <t>Balance sheet</t>
  </si>
  <si>
    <t>2010/03</t>
  </si>
  <si>
    <t>2010/06</t>
  </si>
  <si>
    <t>2010/09</t>
  </si>
  <si>
    <t>2010/12</t>
  </si>
  <si>
    <t>2011/03</t>
  </si>
  <si>
    <t>2011/06</t>
  </si>
  <si>
    <t>2011/09</t>
  </si>
  <si>
    <t>2011/12</t>
  </si>
  <si>
    <t>2012/03</t>
  </si>
  <si>
    <t>2012/06</t>
  </si>
  <si>
    <t>2012/09</t>
  </si>
  <si>
    <t>2012/12</t>
  </si>
  <si>
    <t>2013/03</t>
  </si>
  <si>
    <t>2013/06</t>
  </si>
  <si>
    <t>2013/09</t>
  </si>
  <si>
    <t>2013/12</t>
  </si>
  <si>
    <t>2014/03</t>
  </si>
  <si>
    <t>2014/06</t>
  </si>
  <si>
    <t>2014/09</t>
  </si>
  <si>
    <t>2014/12</t>
  </si>
  <si>
    <t>2015/03</t>
  </si>
  <si>
    <t>2015/06</t>
  </si>
  <si>
    <t>2015/09</t>
  </si>
  <si>
    <t>2015/12</t>
  </si>
  <si>
    <t>2016/03</t>
  </si>
  <si>
    <t>2016/06</t>
  </si>
  <si>
    <t>2016/09</t>
  </si>
  <si>
    <t>2016/12</t>
  </si>
  <si>
    <t>2017/03</t>
  </si>
  <si>
    <t>2017/06</t>
  </si>
  <si>
    <t>2017/09</t>
  </si>
  <si>
    <t>2017/12</t>
  </si>
  <si>
    <t>2018/03</t>
  </si>
  <si>
    <t>2018/06</t>
  </si>
  <si>
    <t>2018/09</t>
  </si>
  <si>
    <t>1Q</t>
  </si>
  <si>
    <t>2Q</t>
  </si>
  <si>
    <t>3Q</t>
  </si>
  <si>
    <t>4Q</t>
  </si>
  <si>
    <t>Total non-current assets</t>
  </si>
  <si>
    <t>Accounts and notes payable</t>
  </si>
  <si>
    <t>Total non-current liabilities</t>
  </si>
  <si>
    <t>Total retained earnings</t>
  </si>
  <si>
    <t>Total other equity interest</t>
  </si>
  <si>
    <t>Total equity attributable to owners of parent</t>
  </si>
  <si>
    <t>Total operating expenses</t>
  </si>
  <si>
    <t>Total administrative expenses</t>
  </si>
  <si>
    <t>Gains on disposals of investments</t>
  </si>
  <si>
    <t>Foreign exchange gains</t>
  </si>
  <si>
    <t>Losses on disposals of investments</t>
  </si>
  <si>
    <t>Foreign exchange losses</t>
  </si>
  <si>
    <t>Total non-operating income and expenses</t>
  </si>
  <si>
    <t>Depreciation expense</t>
  </si>
  <si>
    <t>Amortization expense</t>
  </si>
  <si>
    <t>Decrease(Increase) in financial assets at FVPL (CFI)</t>
  </si>
  <si>
    <t>Decrease(Increase) in financial assets at FVOCI (CFI)</t>
  </si>
  <si>
    <t>Decrease(Increase) in financial assets at amortized cost (CFI)</t>
  </si>
  <si>
    <t>Purchase of long-term investments</t>
  </si>
  <si>
    <t>Sale of long-term investments</t>
  </si>
  <si>
    <t>Sale of fixed assets</t>
  </si>
  <si>
    <t>Sale(Purchase) in property investments</t>
  </si>
  <si>
    <t>Decrease(Increase) in intangible assets</t>
  </si>
  <si>
    <t>Net cash flow from acquisition of subsidiaries</t>
  </si>
  <si>
    <t>Cash acquired in merger</t>
  </si>
  <si>
    <t>Cash outflow from disposal of subsidiaries</t>
  </si>
  <si>
    <t>Increase (decrease) of short-term debt</t>
  </si>
  <si>
    <t>Increase (decrease) of short-term notes and bills payable</t>
  </si>
  <si>
    <t>Proceeds from issuing bonds</t>
  </si>
  <si>
    <t>Repayments of bonds</t>
  </si>
  <si>
    <t>Increase in long-term debt</t>
  </si>
  <si>
    <t>Long-term debt redeemed</t>
  </si>
  <si>
    <t>Proceeds from issuing preference share liabilities</t>
  </si>
  <si>
    <t>Repayments of preference share liabilities</t>
  </si>
  <si>
    <t>Decrease(Increase) - Treasure stocks</t>
  </si>
  <si>
    <t>Proceeds from capital Increase(decrease)</t>
  </si>
  <si>
    <t>Execution of employee stock pption</t>
  </si>
  <si>
    <t>Cash dividends paid</t>
  </si>
  <si>
    <t>Other Operating Expense</t>
  </si>
  <si>
    <t>Total Operating Expense</t>
  </si>
  <si>
    <t>Selling expenses</t>
  </si>
  <si>
    <t xml:space="preserve">COGS </t>
  </si>
  <si>
    <t>Total R&amp;D expenses</t>
  </si>
  <si>
    <t>Total revenue</t>
  </si>
  <si>
    <t>Operating Income (EBIT)</t>
  </si>
  <si>
    <t>Investment income from associates and JVs</t>
  </si>
  <si>
    <t>Gains on disposals of PP&amp;E</t>
  </si>
  <si>
    <t>Losses on disposals of PP&amp;E</t>
  </si>
  <si>
    <t>Net disposals gains</t>
  </si>
  <si>
    <t>Net foreign exchange gains</t>
  </si>
  <si>
    <t>Net interest income</t>
  </si>
  <si>
    <t>Other non-operating income and expenses</t>
  </si>
  <si>
    <t>Earnings per share (NTD)</t>
  </si>
  <si>
    <t>Weighted avg. shares outstanding (mn)</t>
  </si>
  <si>
    <t>Legal and special reserve</t>
  </si>
  <si>
    <t>Total divestitures</t>
  </si>
  <si>
    <t>Total investment/acquisitions</t>
  </si>
  <si>
    <t>Other investment related cash flow</t>
  </si>
  <si>
    <t>Other financing related cash flow</t>
  </si>
  <si>
    <t>Long-term investment under equity method</t>
  </si>
  <si>
    <t>Purchase of PP&amp;E (CAPEX)</t>
  </si>
  <si>
    <t>Margins</t>
  </si>
  <si>
    <t>Operating expense</t>
  </si>
  <si>
    <t>General &amp; admin expenses</t>
  </si>
  <si>
    <t>Other expenses</t>
  </si>
  <si>
    <t>Net interest</t>
  </si>
  <si>
    <t>Net investment</t>
  </si>
  <si>
    <t>Disposal of assets (pre-tax)</t>
  </si>
  <si>
    <t>Exchange gain (loss)</t>
  </si>
  <si>
    <t>Others income (loss)</t>
  </si>
  <si>
    <t>OPEX/sales</t>
  </si>
  <si>
    <t>Sequential growth</t>
  </si>
  <si>
    <t>Selling expenses % of QoQ sales growth</t>
  </si>
  <si>
    <t>General &amp; admin expenses % of QoQ sales growth</t>
  </si>
  <si>
    <t>R&amp;D % of yoy sales growth</t>
  </si>
  <si>
    <t>1Q20</t>
  </si>
  <si>
    <t>2Q20</t>
  </si>
  <si>
    <t>3Q20</t>
  </si>
  <si>
    <t>4Q20</t>
  </si>
  <si>
    <t>1Q21</t>
  </si>
  <si>
    <t>2Q21</t>
  </si>
  <si>
    <t>3Q21</t>
  </si>
  <si>
    <t>4Q21</t>
  </si>
  <si>
    <t>Pretax profit</t>
  </si>
  <si>
    <t>EPS growth</t>
  </si>
  <si>
    <t>Cash flow statement</t>
  </si>
  <si>
    <t>Free cash flow</t>
  </si>
  <si>
    <t>2019E</t>
  </si>
  <si>
    <t>2020E</t>
  </si>
  <si>
    <t>2021E</t>
  </si>
  <si>
    <t>Allen Chang, allen.k.chang@gs.com,  +852 2978 2930  Goldman Sachs (Asia) L.L.C.</t>
  </si>
  <si>
    <t>2018/12</t>
  </si>
  <si>
    <t>Income statement</t>
  </si>
  <si>
    <t>Net Sales</t>
  </si>
  <si>
    <t>Gross Revenue</t>
  </si>
  <si>
    <t>Sales Returns and Allowances</t>
  </si>
  <si>
    <t>Excise Taxes Payments (Revenues)</t>
  </si>
  <si>
    <t>Other Revenue, Total</t>
  </si>
  <si>
    <t>Total Revenue</t>
  </si>
  <si>
    <t>Cost of Revenue</t>
  </si>
  <si>
    <t>Excise Taxes Payments</t>
  </si>
  <si>
    <t>Cost of Revenue, Total</t>
  </si>
  <si>
    <t>Gross Profit</t>
  </si>
  <si>
    <t>Selling/General/Administrative Expense</t>
  </si>
  <si>
    <t>Labor And Related Expense</t>
  </si>
  <si>
    <t>Advertising Expense</t>
  </si>
  <si>
    <t>Selling/General/Administrative Expense, Total</t>
  </si>
  <si>
    <t>Research And Development</t>
  </si>
  <si>
    <t>Depreciation, Operating</t>
  </si>
  <si>
    <t>Amortization of Intangibles, Operating</t>
  </si>
  <si>
    <t>Amortization of Acquisition Costs, Operating</t>
  </si>
  <si>
    <t>Depreciation And Amortization</t>
  </si>
  <si>
    <t>Interest Expense - Operating</t>
  </si>
  <si>
    <t>Interest Capitalized - Operating</t>
  </si>
  <si>
    <t>Interest Expense, Net - Operating</t>
  </si>
  <si>
    <t>Interest Income - Operating</t>
  </si>
  <si>
    <t>Investment Income - Operating</t>
  </si>
  <si>
    <t>Interest/Investment Income - Operating</t>
  </si>
  <si>
    <t>Interest Expense (Income) - Net Operating</t>
  </si>
  <si>
    <t>Interest Expense (Income), Net-Operating, Ttl</t>
  </si>
  <si>
    <t>Purchased R&amp;D Written-Off</t>
  </si>
  <si>
    <t>Restructuring Charge</t>
  </si>
  <si>
    <t>Litigation</t>
  </si>
  <si>
    <t>Loss (Gain) on Sale of Assets - Operating</t>
  </si>
  <si>
    <t>Impairment - Assets Held for Use</t>
  </si>
  <si>
    <t>Impairment - Assets Held for Sale</t>
  </si>
  <si>
    <t>Other Unusual Expense (Income)</t>
  </si>
  <si>
    <t>Unusual Expense (Income)</t>
  </si>
  <si>
    <t>Foreign Currency Adjustment</t>
  </si>
  <si>
    <t>Unrealized Losses (Gains)</t>
  </si>
  <si>
    <t>Minimum Pension Liability Adjustment</t>
  </si>
  <si>
    <t>Other, Net - Operating</t>
  </si>
  <si>
    <t>Other Operating Expenses, Total</t>
  </si>
  <si>
    <t>Operating Income</t>
  </si>
  <si>
    <t>Interest Expense - Non-Operating</t>
  </si>
  <si>
    <t>Interest Capitalized - Non-Operating</t>
  </si>
  <si>
    <t>Interest Expense, Net Non-Operating</t>
  </si>
  <si>
    <t>Interest Income - Non-Operating</t>
  </si>
  <si>
    <t>Investment Income - Non-Operating</t>
  </si>
  <si>
    <t>Interest/Invest Income - Non-Operating</t>
  </si>
  <si>
    <t>Interest Income (Exp), Net Non-Operating</t>
  </si>
  <si>
    <t>Interest Income (Expense), Net-Non-Operating, Total</t>
  </si>
  <si>
    <t>Gain (Loss) on Sale of Assets</t>
  </si>
  <si>
    <t>Unrealized Gains (Losses)</t>
  </si>
  <si>
    <t>Other Non-Operating Income (Expense)</t>
  </si>
  <si>
    <t>Other, Net - Non-Operating</t>
  </si>
  <si>
    <t>Net Income Before Taxes</t>
  </si>
  <si>
    <t>Provision for Income Taxes</t>
  </si>
  <si>
    <t>Net Income After Taxes</t>
  </si>
  <si>
    <t>Minority Interest</t>
  </si>
  <si>
    <t>Equity In Affiliates</t>
  </si>
  <si>
    <t>U.S. GAAP Adjustment</t>
  </si>
  <si>
    <t>Net Income Before Extraordinary Items</t>
  </si>
  <si>
    <t>Accounting Change</t>
  </si>
  <si>
    <t>Discontinued Operations</t>
  </si>
  <si>
    <t>Extraordinary Item</t>
  </si>
  <si>
    <t>Tax on Extraordinary Items</t>
  </si>
  <si>
    <t>Total Extraordinary Items</t>
  </si>
  <si>
    <t>Net Income Incl Extra Before Distributions</t>
  </si>
  <si>
    <t>Preferred Dividends</t>
  </si>
  <si>
    <t>General Partners' Distributions</t>
  </si>
  <si>
    <t>Miscellaneous Earnings Adjustment</t>
  </si>
  <si>
    <t>Pro Forma Adjustment</t>
  </si>
  <si>
    <t>Interest Adjustment - Primary EPS</t>
  </si>
  <si>
    <t>Total Adjustments to Net Income</t>
  </si>
  <si>
    <t>Income Avail to Cmn Shareholders Excl Extra</t>
  </si>
  <si>
    <t>Income Avail to Cmn Shareholders Incl Extra</t>
  </si>
  <si>
    <t>Basic Weighted Average Shares</t>
  </si>
  <si>
    <t>Basic EPS Excluding Extraordinary Items</t>
  </si>
  <si>
    <t>Basic EPS Including Extraordinary Items</t>
  </si>
  <si>
    <t>Dilution Adjustment</t>
  </si>
  <si>
    <t>Diluted Net Income</t>
  </si>
  <si>
    <t>Diluted Weighted Average Shares</t>
  </si>
  <si>
    <t>Diluted EPS Excluding Extraordinary Items</t>
  </si>
  <si>
    <t>Diluted EPS Including Extraordinary Items</t>
  </si>
  <si>
    <t>DPS - Common Stock Primary Issue</t>
  </si>
  <si>
    <t>Cash</t>
  </si>
  <si>
    <t>Cash and Equivalents</t>
  </si>
  <si>
    <t>Short Term Investments</t>
  </si>
  <si>
    <t>Cash and Short Term Investments</t>
  </si>
  <si>
    <t>Accounts Receivable - Trade, Gross</t>
  </si>
  <si>
    <t>Provision for Doubtful Accounts</t>
  </si>
  <si>
    <t>Accounts Receivable - Trade, Net</t>
  </si>
  <si>
    <t>Notes Receivable - Short Term</t>
  </si>
  <si>
    <t>Receivables - Other</t>
  </si>
  <si>
    <t>Total Receivables, Net</t>
  </si>
  <si>
    <t>Inventories - Finished Goods</t>
  </si>
  <si>
    <t>Inventories - Work In Progress</t>
  </si>
  <si>
    <t>Inventories - Raw Materials</t>
  </si>
  <si>
    <t>Inventories - Other</t>
  </si>
  <si>
    <t>LIFO Reserve</t>
  </si>
  <si>
    <t>Total Inventory</t>
  </si>
  <si>
    <t>Prepaid Expenses</t>
  </si>
  <si>
    <t>Restricted Cash - Current</t>
  </si>
  <si>
    <t>Deferred Income Tax - Current Asset</t>
  </si>
  <si>
    <t>Discontinued Operations - Current Asset</t>
  </si>
  <si>
    <t>Other Current Assets</t>
  </si>
  <si>
    <t>Other Current Assets, Total</t>
  </si>
  <si>
    <t>Total Current Assets</t>
  </si>
  <si>
    <t>Building - Gross</t>
  </si>
  <si>
    <t>Land/Improvements - Gross</t>
  </si>
  <si>
    <t>Machinery/Equipment - Gross</t>
  </si>
  <si>
    <t>Construction in Progress - Gross</t>
  </si>
  <si>
    <t>Leases - Gross</t>
  </si>
  <si>
    <t>Natural Resources - Gross</t>
  </si>
  <si>
    <t>Other Property/Plant/Equipment - Gross</t>
  </si>
  <si>
    <t>Property, Plant And Equipment, Total - Gross</t>
  </si>
  <si>
    <t>Accumulated Depreciation, Total</t>
  </si>
  <si>
    <t>Property/Plant/Equipment, Total - Net</t>
  </si>
  <si>
    <t>Goodwill - Gross</t>
  </si>
  <si>
    <t>Accumulated Goodwill Amortization</t>
  </si>
  <si>
    <t>Goodwill, Net</t>
  </si>
  <si>
    <t>Intangibles, Gross</t>
  </si>
  <si>
    <t>Accumulated Intangible Amortization</t>
  </si>
  <si>
    <t>Intangibles, Net</t>
  </si>
  <si>
    <t>LT Investment - Affiliate Companies</t>
  </si>
  <si>
    <t>LT Investments - Other</t>
  </si>
  <si>
    <t>Long Term Investments</t>
  </si>
  <si>
    <t>Note Receivable - Long Term</t>
  </si>
  <si>
    <t>Deferred Charges</t>
  </si>
  <si>
    <t>Pension Benefits - Overfunded</t>
  </si>
  <si>
    <t>Deferred Income Tax - LT Asset</t>
  </si>
  <si>
    <t>Discontinued Operations - LT Asset</t>
  </si>
  <si>
    <t>Restricted Cash - Long Term</t>
  </si>
  <si>
    <t>Other Long Term Assets</t>
  </si>
  <si>
    <t>Other Long Term Assets, Total</t>
  </si>
  <si>
    <t>Other Assets, Total</t>
  </si>
  <si>
    <t>Total Assets, Reported</t>
  </si>
  <si>
    <t>Accounts Payable</t>
  </si>
  <si>
    <t>Payable / Accrued</t>
  </si>
  <si>
    <t>Accrued Expenses</t>
  </si>
  <si>
    <t>Notes Payable/Short Term Debt</t>
  </si>
  <si>
    <t>Current Port. of LT Debt/Capital Leases</t>
  </si>
  <si>
    <t>Dividends Payable</t>
  </si>
  <si>
    <t>Customer Advances</t>
  </si>
  <si>
    <t>Security Deposits</t>
  </si>
  <si>
    <t>Income Taxes Payable</t>
  </si>
  <si>
    <t>Other Payables</t>
  </si>
  <si>
    <t>Deferred Income Tax - Current Liability</t>
  </si>
  <si>
    <t>Discontinued Operations - Curr Liability</t>
  </si>
  <si>
    <t>Other Current Liabilities</t>
  </si>
  <si>
    <t>Other Current liabilities, Total</t>
  </si>
  <si>
    <t>Total Current Liabilities</t>
  </si>
  <si>
    <t>Long Term Debt</t>
  </si>
  <si>
    <t>Capital Lease Obligations</t>
  </si>
  <si>
    <t>Total Long Term Debt</t>
  </si>
  <si>
    <t>Total Debt</t>
  </si>
  <si>
    <t>Deferred Income Tax - LT Liability</t>
  </si>
  <si>
    <t>Reserves</t>
  </si>
  <si>
    <t>Pension Benefits - Underfunded</t>
  </si>
  <si>
    <t>Other Long Term Liabilities</t>
  </si>
  <si>
    <t>Discontinued Operations - Liabilities</t>
  </si>
  <si>
    <t>Other Liabilities</t>
  </si>
  <si>
    <t>Other Liabilities, Total</t>
  </si>
  <si>
    <t>Total Liabilities</t>
  </si>
  <si>
    <t>Redeemable Preferred Stock</t>
  </si>
  <si>
    <t>Redeemable Convertible Preferred Stock</t>
  </si>
  <si>
    <t>Redeemable Preferred Stock, Total</t>
  </si>
  <si>
    <t>Preferred Stock - Non Redeemable</t>
  </si>
  <si>
    <t>Convertible Preferred Stock - Non Rdmbl</t>
  </si>
  <si>
    <t>Treasury Stock - Preferred</t>
  </si>
  <si>
    <t>General Partner</t>
  </si>
  <si>
    <t>Preferred Stock - Non Redeemable, Net</t>
  </si>
  <si>
    <t>Common Stock, Total</t>
  </si>
  <si>
    <t>Additional Paid-In Capital</t>
  </si>
  <si>
    <t>Retained Earnings (Accumulated Deficit)</t>
  </si>
  <si>
    <t>Treasury Stock - Common</t>
  </si>
  <si>
    <t>ESOP Debt Guarantee</t>
  </si>
  <si>
    <t>Unrealized Gain (Loss)</t>
  </si>
  <si>
    <t>Translation Adjustment</t>
  </si>
  <si>
    <t>Other Equity</t>
  </si>
  <si>
    <t>Other Comprehensive Income</t>
  </si>
  <si>
    <t>Other Equity, Total</t>
  </si>
  <si>
    <t>Total Equity</t>
  </si>
  <si>
    <t>Total Liabilities And Shareholders' Equity</t>
  </si>
  <si>
    <t>Total Common Shares Outstanding</t>
  </si>
  <si>
    <t>Total Preferred Shares Outstanding</t>
  </si>
  <si>
    <t>Net Income/Starting Line, Cumulative</t>
  </si>
  <si>
    <t>Depreciation (CF), Cumulative</t>
  </si>
  <si>
    <t>Depreciation / Depletion, Cumulative</t>
  </si>
  <si>
    <t>Amortization of Intangibles (CF)</t>
  </si>
  <si>
    <t>Amortization of Acquisition Costs (CF)</t>
  </si>
  <si>
    <t>Amortization, Cumulative</t>
  </si>
  <si>
    <t>Deferred Taxes (CF)</t>
  </si>
  <si>
    <t>Accounting Changes (CF)</t>
  </si>
  <si>
    <t>Discontinued Operations (CF)</t>
  </si>
  <si>
    <t>Extraordinary Item (CF)</t>
  </si>
  <si>
    <t>Unusual Items (CF)</t>
  </si>
  <si>
    <t>Purchased R&amp;D (CF)</t>
  </si>
  <si>
    <t>Equity in Net Earnings (Loss) (CF)</t>
  </si>
  <si>
    <t>Other Non-Cash Items</t>
  </si>
  <si>
    <t>Non-Cash Items</t>
  </si>
  <si>
    <t>Accounts Receivable (CF)</t>
  </si>
  <si>
    <t>Inventories (CF)</t>
  </si>
  <si>
    <t>Prepaid Expenses (CF)</t>
  </si>
  <si>
    <t>Other Assets (CF)</t>
  </si>
  <si>
    <t>Accounts Payable (CF)</t>
  </si>
  <si>
    <t>Accrued Expenses (CF)</t>
  </si>
  <si>
    <t>Payable / Accrued (CF)</t>
  </si>
  <si>
    <t>Taxes Payable (CF)</t>
  </si>
  <si>
    <t>Other Liabilities (CF)</t>
  </si>
  <si>
    <t>Other Assets &amp; Liabilities, Net (CF)</t>
  </si>
  <si>
    <t>Other Operating Cash Flow</t>
  </si>
  <si>
    <t>Changes in Working Capital, Cumulative</t>
  </si>
  <si>
    <t>Cash from Operating Activities, Cumulative</t>
  </si>
  <si>
    <t>Purchase of Fixed Assets, Cumulative</t>
  </si>
  <si>
    <t>Purchase/Acquisition of Intangibles</t>
  </si>
  <si>
    <t>Software Development Costs</t>
  </si>
  <si>
    <t>Capital Expenditures, Cumulative</t>
  </si>
  <si>
    <t>Acquisition of Business</t>
  </si>
  <si>
    <t>Sale of Business</t>
  </si>
  <si>
    <t>Sale of Fixed Assets</t>
  </si>
  <si>
    <t>Sale/Maturity of Investment</t>
  </si>
  <si>
    <t>Investment, Net (CF)</t>
  </si>
  <si>
    <t>Purchase of Investments</t>
  </si>
  <si>
    <t>Sale of Intangible Assets</t>
  </si>
  <si>
    <t>Intangible, Net (CF)</t>
  </si>
  <si>
    <t>Other Investing Cash Flow</t>
  </si>
  <si>
    <t>Other Investing Cash Flow Items, Total, Cumulative</t>
  </si>
  <si>
    <t>Cash from Investing Activities, Cumulative</t>
  </si>
  <si>
    <t>Other Financing Cash Flow</t>
  </si>
  <si>
    <t>Financing Cash Flow Items</t>
  </si>
  <si>
    <t>Cash Dividends Paid - Common</t>
  </si>
  <si>
    <t>Cash Dividends Paid - Preferred</t>
  </si>
  <si>
    <t>Total Cash Dividends Paid, Cumulative</t>
  </si>
  <si>
    <t>Sale/Issuance of Common</t>
  </si>
  <si>
    <t>Repurchase/Retirement of Common</t>
  </si>
  <si>
    <t>Common Stock Issued (Retired), Net</t>
  </si>
  <si>
    <t>Sale/Issuance of Preferred</t>
  </si>
  <si>
    <t>Repurchase/Retirement of Preferred</t>
  </si>
  <si>
    <t>Preferred Stock Issued (Retired), Net</t>
  </si>
  <si>
    <t>Sale/Issuance of Common/Preferred</t>
  </si>
  <si>
    <t>Repurchases/Retirement of Common/Preferred</t>
  </si>
  <si>
    <t>Options Exercised</t>
  </si>
  <si>
    <t>Warrants Converted</t>
  </si>
  <si>
    <t>Treasury Stock (CF)</t>
  </si>
  <si>
    <t>Issuance (Retirement) of Stock, Net, Cumulative</t>
  </si>
  <si>
    <t>Short Term Debt Issued</t>
  </si>
  <si>
    <t>Short Term Debt Reduction</t>
  </si>
  <si>
    <t>Short Term Debt Issued (Reduced), Net</t>
  </si>
  <si>
    <t>Long Term Debt Issued</t>
  </si>
  <si>
    <t>Long Term Debt Reduction</t>
  </si>
  <si>
    <t>Long Term Debt Issued (Reduced), Net</t>
  </si>
  <si>
    <t>Total Debt Issued</t>
  </si>
  <si>
    <t>Total Debt Reduction</t>
  </si>
  <si>
    <t>Issuance (Retirement) of Debt, Net, Cumulative</t>
  </si>
  <si>
    <t>Cash from Financing Activities, Cumulative</t>
  </si>
  <si>
    <t>Foreign Exchange Effects, Cumulative</t>
  </si>
  <si>
    <t>Net Change in Cash, Cumulative</t>
  </si>
  <si>
    <t>Net Cash - Beginning Balance</t>
  </si>
  <si>
    <t>Net Cash - Ending Balance</t>
  </si>
  <si>
    <t>Cash Interest Paid, Supplemental, Cumulative</t>
  </si>
  <si>
    <t>Cash Taxes Paid</t>
  </si>
  <si>
    <t>Total selling/general/admin expenses</t>
  </si>
  <si>
    <t>SMIC (0981.HK)</t>
  </si>
  <si>
    <t>In USD millions</t>
  </si>
  <si>
    <t>IFRS&gt;&gt;&gt;&gt;</t>
  </si>
  <si>
    <t>Short-Term Borrowings</t>
  </si>
  <si>
    <t>Long-term debt (current portion)</t>
  </si>
  <si>
    <t>Redeemable convertible promissory note</t>
  </si>
  <si>
    <t>SMIC</t>
  </si>
  <si>
    <t>0981.HK</t>
  </si>
  <si>
    <t>OPM</t>
  </si>
  <si>
    <t>Operating profit</t>
  </si>
  <si>
    <t>Total</t>
  </si>
  <si>
    <t>0.15/0.18um</t>
  </si>
  <si>
    <t>0.11/0.13um</t>
  </si>
  <si>
    <t>90nm</t>
  </si>
  <si>
    <t>55/65nm</t>
  </si>
  <si>
    <t>40/45nm</t>
  </si>
  <si>
    <t>28nm</t>
  </si>
  <si>
    <t>14nm</t>
  </si>
  <si>
    <t>Wafer GP by nodes</t>
  </si>
  <si>
    <t>Wafer GM by nodes</t>
  </si>
  <si>
    <t>ASP (US$, 12equiv.)</t>
  </si>
  <si>
    <t>Blended ASP</t>
  </si>
  <si>
    <t>ASP QoQ</t>
  </si>
  <si>
    <t>ASP (US$, 8" equiv.)</t>
  </si>
  <si>
    <t>Shipments (k 8" equiv.)</t>
  </si>
  <si>
    <t>Yield rate</t>
  </si>
  <si>
    <t xml:space="preserve">12" fab utilization </t>
  </si>
  <si>
    <t xml:space="preserve">8" fab utilization </t>
  </si>
  <si>
    <t>0.25/0/35um (8")</t>
  </si>
  <si>
    <t>0.15/0.18um (8")</t>
  </si>
  <si>
    <t>0.11/0.13um (8")</t>
  </si>
  <si>
    <t>90nm (12")</t>
  </si>
  <si>
    <t>55/65nm (12")</t>
  </si>
  <si>
    <t>40/45nm (12")</t>
  </si>
  <si>
    <t>28nm (12")</t>
  </si>
  <si>
    <t>Capacity by nodes</t>
  </si>
  <si>
    <t xml:space="preserve">12" capacity </t>
  </si>
  <si>
    <t xml:space="preserve">8" capacity </t>
  </si>
  <si>
    <t>SH 12" JV (new)</t>
  </si>
  <si>
    <t>Lfoundry 8"</t>
  </si>
  <si>
    <t>BJ 12" JV</t>
  </si>
  <si>
    <t>SZ 12"</t>
  </si>
  <si>
    <t>SZ 8"</t>
  </si>
  <si>
    <t>TJ 8"</t>
  </si>
  <si>
    <t>BJ 12"</t>
  </si>
  <si>
    <t>SH 12"</t>
  </si>
  <si>
    <t>SH 8"</t>
  </si>
  <si>
    <t>Capciaty by fabs (k 8" equiv. WPQ)</t>
  </si>
  <si>
    <t>Wafer revenue by nodes</t>
  </si>
  <si>
    <t>GP</t>
  </si>
  <si>
    <t>others GM</t>
  </si>
  <si>
    <t>Others GP</t>
  </si>
  <si>
    <t>Wafer GM</t>
  </si>
  <si>
    <t>Wafer GP</t>
  </si>
  <si>
    <t>Non-depr COGS (Others)</t>
  </si>
  <si>
    <t>Non-depr COGS (Wafer)</t>
  </si>
  <si>
    <t xml:space="preserve">Depreciation </t>
  </si>
  <si>
    <t>GM %</t>
  </si>
  <si>
    <t>Total shipments (8" equpv.)</t>
  </si>
  <si>
    <t>Total Capacity (8" equipv.)</t>
  </si>
  <si>
    <t>Licensing (1Q-2Q18 only)</t>
  </si>
  <si>
    <t>Mask making, testing, others</t>
  </si>
  <si>
    <t>Wafer revenue</t>
  </si>
  <si>
    <t>Wafer</t>
  </si>
  <si>
    <t xml:space="preserve">Revenue by serive type </t>
  </si>
  <si>
    <t>Revenue (US$bn)</t>
  </si>
  <si>
    <t>Semiconductor Manufacturing International Corporation</t>
  </si>
  <si>
    <t>Capacity, Utilization, and Wafer Shipments</t>
    <phoneticPr fontId="0" type="noConversion"/>
  </si>
  <si>
    <t>(8-inch equivalent wafers)</t>
  </si>
  <si>
    <t>1Q03</t>
    <phoneticPr fontId="0" type="noConversion"/>
  </si>
  <si>
    <t>2Q03</t>
    <phoneticPr fontId="0" type="noConversion"/>
  </si>
  <si>
    <t>3Q03</t>
    <phoneticPr fontId="0" type="noConversion"/>
  </si>
  <si>
    <t>4Q03</t>
    <phoneticPr fontId="0" type="noConversion"/>
  </si>
  <si>
    <t>1Q04</t>
    <phoneticPr fontId="0" type="noConversion"/>
  </si>
  <si>
    <t>2Q04</t>
    <phoneticPr fontId="0" type="noConversion"/>
  </si>
  <si>
    <t>3Q04</t>
    <phoneticPr fontId="0" type="noConversion"/>
  </si>
  <si>
    <t>4Q04</t>
    <phoneticPr fontId="0" type="noConversion"/>
  </si>
  <si>
    <t>1Q05</t>
    <phoneticPr fontId="0" type="noConversion"/>
  </si>
  <si>
    <t>2Q05</t>
    <phoneticPr fontId="0" type="noConversion"/>
  </si>
  <si>
    <t>3Q05</t>
    <phoneticPr fontId="0" type="noConversion"/>
  </si>
  <si>
    <t>4Q05</t>
    <phoneticPr fontId="0" type="noConversion"/>
  </si>
  <si>
    <t>1Q06</t>
    <phoneticPr fontId="0" type="noConversion"/>
  </si>
  <si>
    <t>2Q06</t>
    <phoneticPr fontId="0" type="noConversion"/>
  </si>
  <si>
    <t>3Q06</t>
    <phoneticPr fontId="0" type="noConversion"/>
  </si>
  <si>
    <t>4Q06</t>
    <phoneticPr fontId="0" type="noConversion"/>
  </si>
  <si>
    <t>1Q08</t>
    <phoneticPr fontId="0" type="noConversion"/>
  </si>
  <si>
    <t>3Q08</t>
    <phoneticPr fontId="0" type="noConversion"/>
  </si>
  <si>
    <t>4Q08</t>
    <phoneticPr fontId="0" type="noConversion"/>
  </si>
  <si>
    <t>1Q10</t>
    <phoneticPr fontId="0" type="noConversion"/>
  </si>
  <si>
    <t>1Q11</t>
    <phoneticPr fontId="0" type="noConversion"/>
  </si>
  <si>
    <t>2Q11</t>
    <phoneticPr fontId="0" type="noConversion"/>
  </si>
  <si>
    <t>3Q11</t>
    <phoneticPr fontId="0" type="noConversion"/>
  </si>
  <si>
    <t>4Q11</t>
    <phoneticPr fontId="0" type="noConversion"/>
  </si>
  <si>
    <t>1Q12</t>
    <phoneticPr fontId="0" type="noConversion"/>
  </si>
  <si>
    <t>2Q12</t>
    <phoneticPr fontId="0" type="noConversion"/>
  </si>
  <si>
    <t>3Q12</t>
    <phoneticPr fontId="0" type="noConversion"/>
  </si>
  <si>
    <t>4Q12</t>
    <phoneticPr fontId="0" type="noConversion"/>
  </si>
  <si>
    <t>2Q16</t>
    <phoneticPr fontId="0" type="noConversion"/>
  </si>
  <si>
    <t>3Q16</t>
    <phoneticPr fontId="0" type="noConversion"/>
  </si>
  <si>
    <t>4Q16</t>
    <phoneticPr fontId="0" type="noConversion"/>
  </si>
  <si>
    <t>1Q17</t>
    <phoneticPr fontId="0" type="noConversion"/>
  </si>
  <si>
    <t>2Q17</t>
    <phoneticPr fontId="0" type="noConversion"/>
  </si>
  <si>
    <t>3Q17</t>
    <phoneticPr fontId="0" type="noConversion"/>
  </si>
  <si>
    <t>4Q17</t>
    <phoneticPr fontId="0" type="noConversion"/>
  </si>
  <si>
    <t>1Q18</t>
    <phoneticPr fontId="0" type="noConversion"/>
  </si>
  <si>
    <t>2Q18</t>
    <phoneticPr fontId="0" type="noConversion"/>
  </si>
  <si>
    <t>3Q18</t>
    <phoneticPr fontId="0" type="noConversion"/>
  </si>
  <si>
    <t>4Q18</t>
    <phoneticPr fontId="0" type="noConversion"/>
  </si>
  <si>
    <t>Shanghai Mega Fab (8”)</t>
  </si>
  <si>
    <t>Shanghai 12-inch Fab (12")</t>
    <phoneticPr fontId="0" type="noConversion"/>
  </si>
  <si>
    <t>Beijing Mega Fab (12")</t>
  </si>
  <si>
    <t>Tianjin Fab (8")</t>
  </si>
  <si>
    <t>Shenzhen Fab (8”)</t>
  </si>
  <si>
    <t>Shenzhen Fab (12”)</t>
    <phoneticPr fontId="0" type="noConversion"/>
  </si>
  <si>
    <t>Avezzano Majority-Owned Fab (8")</t>
  </si>
  <si>
    <t xml:space="preserve">Total Monthly Capacity </t>
  </si>
  <si>
    <t>Note:  Wafers per month at the end of the period in 8” equivalent wafers, calculated on a 30-day basis for comparison purposes</t>
    <phoneticPr fontId="0" type="noConversion"/>
  </si>
  <si>
    <t>Wafer Shipment</t>
    <phoneticPr fontId="0" type="noConversion"/>
  </si>
  <si>
    <t>Utilization Rate</t>
  </si>
  <si>
    <t>*See Note</t>
    <phoneticPr fontId="0" type="noConversion"/>
  </si>
  <si>
    <t xml:space="preserve">Note: Beginning 1Q 2010, capacity utilization rate is  based on total equivalent wafers out divided by estimated quarterly capacity. </t>
    <phoneticPr fontId="0" type="noConversion"/>
  </si>
  <si>
    <t>In prior quarters utilization had been reported based on total wafer out divided by estimated quarterly capacity.</t>
    <phoneticPr fontId="0" type="noConversion"/>
  </si>
  <si>
    <t>Capex</t>
  </si>
  <si>
    <t xml:space="preserve"> Equipment (7yr)</t>
  </si>
  <si>
    <t xml:space="preserve"> Facility (10yr)</t>
  </si>
  <si>
    <t>Depr calculation</t>
  </si>
  <si>
    <t>D&amp;A in CF</t>
  </si>
  <si>
    <t>Difference</t>
  </si>
  <si>
    <t>Depr in COGS</t>
  </si>
  <si>
    <t>Capacity adds</t>
  </si>
  <si>
    <t>Capex per k wpm</t>
  </si>
  <si>
    <t>0.25um/0.35um</t>
  </si>
  <si>
    <t>Non-depreciation COGS</t>
  </si>
  <si>
    <t>Non-depreciation COGS/wafer (US$)</t>
  </si>
  <si>
    <t>Blended cost/wafer</t>
  </si>
  <si>
    <t>Non-depreciation COGS/wafer QoQ</t>
  </si>
  <si>
    <t>Other opx (income)</t>
  </si>
  <si>
    <t>Operating expense as % to sales</t>
  </si>
  <si>
    <t>Government funding</t>
  </si>
  <si>
    <t>Depreciation schedule</t>
  </si>
  <si>
    <t>2020</t>
  </si>
  <si>
    <t>Total calculated depreciation</t>
  </si>
  <si>
    <t>Depreciation in COGS</t>
  </si>
  <si>
    <t>ROE</t>
  </si>
  <si>
    <t>Upside</t>
  </si>
  <si>
    <t>PE</t>
  </si>
  <si>
    <t>Net margin</t>
  </si>
  <si>
    <t>8" GM</t>
  </si>
  <si>
    <t>12" GM</t>
  </si>
  <si>
    <t>QoQ/YoY</t>
  </si>
  <si>
    <t>Income taxes benefit (expense)</t>
  </si>
  <si>
    <t>8" fab revenue</t>
  </si>
  <si>
    <t>12" fab revenue</t>
  </si>
  <si>
    <t>Opex</t>
  </si>
  <si>
    <t>Net profit</t>
  </si>
  <si>
    <t>GP mix by nodes</t>
  </si>
  <si>
    <t>yoy % / qoq %</t>
  </si>
  <si>
    <t>Ordinary share</t>
  </si>
  <si>
    <t>Retained earnings (accumulated deficit)</t>
  </si>
  <si>
    <t>Depr 2018</t>
  </si>
  <si>
    <t>D&amp;A 2018</t>
  </si>
  <si>
    <t>Value</t>
  </si>
  <si>
    <t>YoY</t>
  </si>
  <si>
    <t>GM</t>
  </si>
  <si>
    <t>Capex / Revenue</t>
  </si>
  <si>
    <t>China</t>
  </si>
  <si>
    <t>Eurasia</t>
  </si>
  <si>
    <t>EPS YoY (for quarterly)</t>
  </si>
  <si>
    <t>Trade receivables</t>
  </si>
  <si>
    <t>Short-term investment</t>
  </si>
  <si>
    <t>Net debt (bbg)</t>
  </si>
  <si>
    <t>Additional Paid in Capital</t>
  </si>
  <si>
    <t>Common Stock</t>
  </si>
  <si>
    <t>Common stock (+APIC)</t>
  </si>
  <si>
    <t>New</t>
  </si>
  <si>
    <t>Old</t>
  </si>
  <si>
    <t>Total Utilization (calculated)</t>
  </si>
  <si>
    <t>2018</t>
  </si>
  <si>
    <t>Utilization</t>
  </si>
  <si>
    <t xml:space="preserve">  YoY</t>
  </si>
  <si>
    <t>FCF</t>
  </si>
  <si>
    <t>(US$ m)</t>
  </si>
  <si>
    <t>US</t>
  </si>
  <si>
    <t>Asset turnover (RHS)</t>
  </si>
  <si>
    <t>Leverage (RHS)</t>
  </si>
  <si>
    <t>Non-op</t>
  </si>
  <si>
    <t>Selling</t>
  </si>
  <si>
    <t>G&amp;A</t>
  </si>
  <si>
    <t>Opex analysis</t>
  </si>
  <si>
    <t>Sequential</t>
  </si>
  <si>
    <t>Other opex (income)</t>
  </si>
  <si>
    <t>EPS (US$)</t>
  </si>
  <si>
    <t>Net debt to equity</t>
  </si>
  <si>
    <t>Buy</t>
  </si>
  <si>
    <t>2022E</t>
  </si>
  <si>
    <t>2023E</t>
  </si>
  <si>
    <t>2024E</t>
  </si>
  <si>
    <t>2025E</t>
  </si>
  <si>
    <t>2026E</t>
  </si>
  <si>
    <t>2027E</t>
  </si>
  <si>
    <t>2028E</t>
  </si>
  <si>
    <t>YoY Growth</t>
  </si>
  <si>
    <t>Peer avg multiple x EPS</t>
  </si>
  <si>
    <t>COE assumption</t>
  </si>
  <si>
    <t>Risk free</t>
  </si>
  <si>
    <t>Market risk premium</t>
  </si>
  <si>
    <t>COE</t>
  </si>
  <si>
    <t>Peers</t>
  </si>
  <si>
    <t>Average</t>
  </si>
  <si>
    <t>Implied stock value (HK$)</t>
  </si>
  <si>
    <t>Hua Hong</t>
  </si>
  <si>
    <t>TSMC</t>
  </si>
  <si>
    <t>UMC</t>
  </si>
  <si>
    <t>Vanguard</t>
  </si>
  <si>
    <t>Opex ratio</t>
  </si>
  <si>
    <t>OP</t>
  </si>
  <si>
    <t>Minority</t>
  </si>
  <si>
    <t>Tax benefit (expense)</t>
  </si>
  <si>
    <t>BVPS (US$)</t>
  </si>
  <si>
    <t>7nm</t>
  </si>
  <si>
    <t>5nm</t>
  </si>
  <si>
    <t>Technology migration</t>
  </si>
  <si>
    <t>(US$mn)</t>
  </si>
  <si>
    <t>Total GM</t>
  </si>
  <si>
    <t>Revenue YoY</t>
  </si>
  <si>
    <t>Financial assets at amortised cost</t>
  </si>
  <si>
    <t>US$</t>
  </si>
  <si>
    <t>Previous Cash + Financial assets at amortised cost</t>
  </si>
  <si>
    <t xml:space="preserve">   Interest rate including financial assets</t>
  </si>
  <si>
    <t xml:space="preserve">   Interest income including financial assets</t>
  </si>
  <si>
    <t>R&amp;D exp ex. govt funding</t>
  </si>
  <si>
    <t xml:space="preserve">    Govt funding for R&amp;D</t>
  </si>
  <si>
    <t xml:space="preserve">        % of total govt funding in opex</t>
  </si>
  <si>
    <t>Non-IFRS opex</t>
  </si>
  <si>
    <t>Old GM</t>
  </si>
  <si>
    <t>Rev chg</t>
  </si>
  <si>
    <t>Total (8" equiv.)</t>
  </si>
  <si>
    <t>Capciaty by fabs (k 8"/12" WPM)</t>
  </si>
  <si>
    <t>Total capacity (k 8" equiv. WPM)</t>
  </si>
  <si>
    <t>12/14nm</t>
  </si>
  <si>
    <t>12/14nm (12")</t>
  </si>
  <si>
    <t>Implied 2H20-1H21E P/E</t>
  </si>
  <si>
    <t>2H20-1H21 EPS</t>
  </si>
  <si>
    <t>OPEX</t>
  </si>
  <si>
    <t>Revenue contribution</t>
  </si>
  <si>
    <t>Discounted back to 1H21</t>
  </si>
  <si>
    <t>BJ</t>
  </si>
  <si>
    <t>TJ</t>
  </si>
  <si>
    <t>SZ</t>
  </si>
  <si>
    <t>2029E</t>
  </si>
  <si>
    <t>1Q22</t>
  </si>
  <si>
    <t>2Q22</t>
  </si>
  <si>
    <t>3Q22</t>
  </si>
  <si>
    <t>4Q22</t>
  </si>
  <si>
    <t>90-28nm</t>
  </si>
  <si>
    <t>14/12nm</t>
  </si>
  <si>
    <t>7/8nm</t>
  </si>
  <si>
    <t>3nm</t>
  </si>
  <si>
    <t>8" fabs/others</t>
  </si>
  <si>
    <t>12/14nm depreciation analysis</t>
  </si>
  <si>
    <t>7/8nm depreciation analysis</t>
  </si>
  <si>
    <t>7/8nm capacity (k 12” WPM)</t>
  </si>
  <si>
    <t>12/14nm capacity (k 12” WPM)</t>
  </si>
  <si>
    <t>2/5/2020</t>
  </si>
  <si>
    <t>2030E</t>
  </si>
  <si>
    <t>20/21 avg</t>
  </si>
  <si>
    <t>close</t>
  </si>
  <si>
    <t>12nm</t>
  </si>
  <si>
    <t>Old EPS</t>
  </si>
  <si>
    <t>Old revenue</t>
  </si>
  <si>
    <t>Capacity</t>
  </si>
  <si>
    <t>Capacity increase %</t>
  </si>
  <si>
    <t>Capex per k</t>
  </si>
  <si>
    <t>Total capex</t>
  </si>
  <si>
    <t>Equipment capex</t>
  </si>
  <si>
    <t>Non-depr cogs</t>
  </si>
  <si>
    <t>Non-depr cogs YoY</t>
  </si>
  <si>
    <t>2nm</t>
  </si>
  <si>
    <t>Total depreciation</t>
  </si>
  <si>
    <t>HiSilicon</t>
  </si>
  <si>
    <t>Qualcomm</t>
  </si>
  <si>
    <t>Broadcom</t>
  </si>
  <si>
    <t>GigaDevice</t>
  </si>
  <si>
    <t>On Semi</t>
  </si>
  <si>
    <t>Galaxycore</t>
  </si>
  <si>
    <t>Cypress</t>
  </si>
  <si>
    <t>Rockchip</t>
  </si>
  <si>
    <t>Leadcore</t>
  </si>
  <si>
    <t>Datang Micro</t>
  </si>
  <si>
    <t>Allwinner</t>
  </si>
  <si>
    <t>Beken</t>
  </si>
  <si>
    <t>Bright Power</t>
  </si>
  <si>
    <t>MEMSensing</t>
  </si>
  <si>
    <t>Will Semi</t>
  </si>
  <si>
    <t>Jieli</t>
  </si>
  <si>
    <t>By region</t>
  </si>
  <si>
    <t>Qorvo</t>
  </si>
  <si>
    <t>Brite Semi</t>
  </si>
  <si>
    <t>China customers</t>
  </si>
  <si>
    <t>US customers</t>
  </si>
  <si>
    <t>Eurasia customers</t>
  </si>
  <si>
    <t>Himax</t>
  </si>
  <si>
    <t>Synaptics</t>
  </si>
  <si>
    <t>Silicon Motion</t>
  </si>
  <si>
    <t>Silicon Lab</t>
  </si>
  <si>
    <t>Fingerprint Cards</t>
  </si>
  <si>
    <t>Advanced nodes</t>
  </si>
  <si>
    <t>VeriSilicon</t>
  </si>
  <si>
    <t>ZTE Micro</t>
  </si>
  <si>
    <t>UniSoC</t>
  </si>
  <si>
    <t>SMEC (Shaoxing)</t>
  </si>
  <si>
    <t>Unigroup Guoxin</t>
  </si>
  <si>
    <t>Ingenic</t>
  </si>
  <si>
    <t>Fullhan</t>
  </si>
  <si>
    <t>Nuvoton</t>
  </si>
  <si>
    <t>Pango</t>
  </si>
  <si>
    <t>Region mix</t>
  </si>
  <si>
    <t>Customer mix</t>
  </si>
  <si>
    <t>Maintenance/facility</t>
  </si>
  <si>
    <t>current TP</t>
  </si>
  <si>
    <t>Peers                           Avg 2020-21E PE</t>
  </si>
  <si>
    <t>Revenue mix by technology nodes</t>
  </si>
  <si>
    <t>Operating cash flow</t>
  </si>
  <si>
    <t>Depreciation and amortization</t>
  </si>
  <si>
    <t>Covered customers</t>
  </si>
  <si>
    <t>TP implied P/E</t>
  </si>
  <si>
    <t>Non-IFRS opex as % to sales</t>
  </si>
  <si>
    <t>2021E P/E</t>
  </si>
  <si>
    <t>Opex YoY</t>
  </si>
  <si>
    <t>2019</t>
  </si>
  <si>
    <t>8nm</t>
  </si>
  <si>
    <t>Rev</t>
  </si>
  <si>
    <t>Rev pub</t>
  </si>
  <si>
    <t>https://m.moneydj.com/f1a.aspx?a=a6026eb5-9488-4879-b6e5-a54bc3b3c914</t>
  </si>
  <si>
    <t>TSMC 5nm ref</t>
  </si>
  <si>
    <t>年產能預估可超過100萬片十二吋晶圓，並創造4,000個優質的工作機會，為台積公司的卓越製造再添一堅實的生力軍。
台積公司張忠謀董事長表示：「台積公司晶圓十八廠代表了台積公司的三個重要承諾：1.對未來持續成長的承諾；2.對技術繼續前進的承諾；3.對台灣的承諾。我們在五奈米技術的整體投資初估約新台幣7,000億元，晶圓十八廠的總投資額則為新台幣5,000多億元。</t>
  </si>
  <si>
    <t>Pre tax</t>
  </si>
  <si>
    <t>2023</t>
  </si>
  <si>
    <t>2024</t>
  </si>
  <si>
    <t>2025</t>
  </si>
  <si>
    <t>Hygon</t>
  </si>
  <si>
    <t>Implied 2022E P/B</t>
  </si>
  <si>
    <t>Implied 2022E P/E</t>
  </si>
  <si>
    <t>Gov sub / EBITDA</t>
  </si>
  <si>
    <t>NP</t>
  </si>
  <si>
    <t>upside</t>
  </si>
  <si>
    <t>Diluted EPS</t>
  </si>
  <si>
    <t>A-share dilution</t>
  </si>
  <si>
    <t>EPS revision</t>
  </si>
  <si>
    <t>New EPS</t>
  </si>
  <si>
    <t>2022PE</t>
  </si>
  <si>
    <t>EPS x multiple</t>
  </si>
  <si>
    <t>Discounted back to 2022, TP</t>
  </si>
  <si>
    <t>OP revision</t>
  </si>
  <si>
    <t>OP chg</t>
  </si>
  <si>
    <t>Rev revision</t>
  </si>
  <si>
    <t>2025E target P/E</t>
  </si>
  <si>
    <t>Target multiple x EPS</t>
  </si>
  <si>
    <t>Discounted back to 2022; TP (HK$)</t>
  </si>
  <si>
    <t>Samsung</t>
  </si>
  <si>
    <t>2026</t>
  </si>
  <si>
    <t>2027</t>
  </si>
  <si>
    <t>2028</t>
  </si>
  <si>
    <t>Depreciation to net PP&amp;E</t>
  </si>
  <si>
    <t>EBITDA (SMIC's caculation)</t>
  </si>
  <si>
    <t>No capacity breakdown by fabs</t>
  </si>
  <si>
    <t>A-Share Valuation</t>
  </si>
  <si>
    <t>H-Share Valuation</t>
  </si>
  <si>
    <t>4Q23</t>
  </si>
  <si>
    <t>1Q23</t>
  </si>
  <si>
    <t>2Q23</t>
  </si>
  <si>
    <t>3Q23</t>
  </si>
  <si>
    <t>Other adjustment</t>
  </si>
  <si>
    <t>1Q24</t>
  </si>
  <si>
    <t>2Q24</t>
  </si>
  <si>
    <t>3Q24</t>
  </si>
  <si>
    <t>4Q24</t>
  </si>
  <si>
    <t>1Q25</t>
  </si>
  <si>
    <t>2Q25</t>
  </si>
  <si>
    <t>3Q25</t>
  </si>
  <si>
    <t>4Q25</t>
  </si>
  <si>
    <t>1Q26</t>
  </si>
  <si>
    <t>2Q26</t>
  </si>
  <si>
    <t>3Q26</t>
  </si>
  <si>
    <t>4Q26</t>
  </si>
  <si>
    <t>1Q27</t>
  </si>
  <si>
    <t>2Q27</t>
  </si>
  <si>
    <t>3Q27</t>
  </si>
  <si>
    <t>4Q27</t>
  </si>
  <si>
    <t>1Q28</t>
  </si>
  <si>
    <t>2Q28</t>
  </si>
  <si>
    <t>3Q28</t>
  </si>
  <si>
    <t>4Q28</t>
  </si>
  <si>
    <t>Special Disclosure</t>
  </si>
  <si>
    <t>Pursuant to Executive Order 13959, the United States has imposed sanctions restrictions on certain Chinese companies that generally prohibit U.S. persons from investing in securities issued by such companies. This research report is not, and should not be construed as, an inducement to transact in any securities in contravention of U.S. sanctions laws.</t>
  </si>
  <si>
    <t>688981.SS</t>
  </si>
  <si>
    <t>YoY %</t>
  </si>
  <si>
    <t>FAB S1</t>
  </si>
  <si>
    <t>FAB B1</t>
  </si>
  <si>
    <t>FAB 7</t>
  </si>
  <si>
    <t>FAB 15</t>
  </si>
  <si>
    <t>FAB 16</t>
  </si>
  <si>
    <t>FAB S2</t>
  </si>
  <si>
    <t>SZ 12" (new)</t>
  </si>
  <si>
    <t>FAB SN1</t>
  </si>
  <si>
    <t>BJ 12" JV (Jingcheng)</t>
  </si>
  <si>
    <t>USDCNY</t>
  </si>
  <si>
    <t>CNYHKD</t>
  </si>
  <si>
    <t>OLD TP</t>
  </si>
  <si>
    <t>CHG</t>
  </si>
  <si>
    <t>Price</t>
  </si>
  <si>
    <t>Beijing Fab, Jingcheng (12'')</t>
  </si>
  <si>
    <t>SH 12" JV (Oriental)</t>
  </si>
  <si>
    <t>TJ 12" JV (Xiqing)</t>
  </si>
  <si>
    <t>2029</t>
  </si>
  <si>
    <t>Capex old</t>
  </si>
  <si>
    <t>New vs. old</t>
  </si>
  <si>
    <t>Beijing Majority-Owned Fab, North (12")</t>
  </si>
  <si>
    <t>Shanghai Majority-owned Fab, South (12'')</t>
  </si>
  <si>
    <t>Shanghai Fab, Oriental (12'')</t>
  </si>
  <si>
    <t>Capex estimate old</t>
  </si>
  <si>
    <t>Change</t>
  </si>
  <si>
    <t>2025 EPS (USD)</t>
  </si>
  <si>
    <t>2025 EPS (HKD)</t>
  </si>
  <si>
    <t>2025E Target P/E</t>
  </si>
  <si>
    <t>A</t>
  </si>
  <si>
    <t>B</t>
  </si>
  <si>
    <t>X</t>
  </si>
  <si>
    <t>Y</t>
  </si>
  <si>
    <t>Tianjin Fab, Xiqing (12'')</t>
  </si>
  <si>
    <t>Fab code</t>
  </si>
  <si>
    <t>FAB B2, B3</t>
  </si>
  <si>
    <t>LF</t>
  </si>
  <si>
    <t>Implied capex per wpm (m USD per k, 12'')</t>
  </si>
  <si>
    <t>Capex per unit capacity</t>
  </si>
  <si>
    <t>Capacity by year end</t>
  </si>
  <si>
    <t>Capacity add (kwpm, 8'')</t>
  </si>
  <si>
    <t>Capex per k (8'')</t>
  </si>
  <si>
    <t>Capex per k (12'')</t>
  </si>
  <si>
    <t>Capacity add (kwpm, 12'')</t>
  </si>
  <si>
    <t>Capex (m)</t>
  </si>
  <si>
    <t>Capacity addition (k wmp)</t>
  </si>
  <si>
    <t>28-29 avg earnings growth</t>
  </si>
  <si>
    <t>2028E target P/E</t>
  </si>
  <si>
    <t>Discounted back to 2026; TP (HK$)</t>
  </si>
  <si>
    <t>Total Utilization (reported)</t>
  </si>
  <si>
    <t>Avg. earnings growth in 25-26E</t>
  </si>
  <si>
    <t>2025 P/E</t>
  </si>
  <si>
    <t>EPS 24</t>
  </si>
  <si>
    <t>EPS 25</t>
  </si>
  <si>
    <t>EPS 26</t>
  </si>
  <si>
    <t>EPS 27</t>
  </si>
  <si>
    <t>Hua Hong - H</t>
  </si>
  <si>
    <t>1347.HK</t>
  </si>
  <si>
    <t>Hua Hong - A</t>
  </si>
  <si>
    <t>TSMC - TW</t>
  </si>
  <si>
    <t>2330.TW</t>
  </si>
  <si>
    <t>TSMC - US</t>
  </si>
  <si>
    <t>TSM</t>
  </si>
  <si>
    <t>2303.TW</t>
  </si>
  <si>
    <t>5347.TWO</t>
  </si>
  <si>
    <t>SMIC-A</t>
  </si>
  <si>
    <t>SMIC-H</t>
  </si>
  <si>
    <t>Nexchip</t>
  </si>
  <si>
    <t>688249.SS</t>
  </si>
  <si>
    <t>CR Micro</t>
  </si>
  <si>
    <t>688396.SS</t>
  </si>
  <si>
    <t>Sanan</t>
  </si>
  <si>
    <t xml:space="preserve">
600703.SS</t>
  </si>
  <si>
    <t>Silan</t>
  </si>
  <si>
    <t>600460.SS</t>
  </si>
  <si>
    <t>United Nova</t>
  </si>
  <si>
    <t>688469.SS</t>
  </si>
  <si>
    <t>Powerchip</t>
  </si>
  <si>
    <t>6770.TWO</t>
  </si>
  <si>
    <t>Globalfoundries</t>
  </si>
  <si>
    <t>GFS</t>
  </si>
  <si>
    <t>Tower Semi</t>
  </si>
  <si>
    <t xml:space="preserve">TSEM </t>
  </si>
  <si>
    <t>005930.KS</t>
  </si>
  <si>
    <t>Jingjia Micro</t>
  </si>
  <si>
    <t>300474.SZ</t>
  </si>
  <si>
    <t>688041.SS</t>
  </si>
  <si>
    <t>Empyrean</t>
  </si>
  <si>
    <t>301269.SZ</t>
  </si>
  <si>
    <t>JCET</t>
  </si>
  <si>
    <t>600584.SS</t>
  </si>
  <si>
    <t>Tongfu</t>
  </si>
  <si>
    <t>002156.SZ</t>
  </si>
  <si>
    <t>Yangjie</t>
  </si>
  <si>
    <t>300373.SZ</t>
  </si>
  <si>
    <t>Accotest</t>
  </si>
  <si>
    <t>688200.SS</t>
  </si>
  <si>
    <t>Naura</t>
  </si>
  <si>
    <t>002371.SZ</t>
  </si>
  <si>
    <t>AMEC</t>
  </si>
  <si>
    <t>688012.SS</t>
  </si>
  <si>
    <t>603501.SS</t>
  </si>
  <si>
    <t>USD to HKD</t>
  </si>
  <si>
    <t>688347.SS</t>
  </si>
  <si>
    <t>Old multiple</t>
  </si>
  <si>
    <t>GFS.O</t>
  </si>
  <si>
    <t>TSEM.O</t>
  </si>
  <si>
    <t>Revision table</t>
  </si>
  <si>
    <t>Revenues (Rmb m)</t>
  </si>
  <si>
    <t>New vs. Old</t>
  </si>
  <si>
    <t>Implied P/E</t>
  </si>
  <si>
    <t>Implied P/B</t>
  </si>
  <si>
    <t>More advanced</t>
  </si>
  <si>
    <t xml:space="preserve"> % CF to COGS</t>
  </si>
  <si>
    <t>% CG vs. Calculated</t>
  </si>
  <si>
    <t>Mix by nodes</t>
  </si>
  <si>
    <t>Matured</t>
  </si>
  <si>
    <t>12 inch kwp</t>
  </si>
  <si>
    <t>135/ 12 Month/ 78.5%</t>
  </si>
  <si>
    <r>
      <t xml:space="preserve">Market Cap (US$ mn) </t>
    </r>
    <r>
      <rPr>
        <sz val="10"/>
        <rFont val="Helvetica"/>
        <family val="2"/>
      </rPr>
      <t>(</t>
    </r>
    <r>
      <rPr>
        <i/>
        <sz val="9"/>
        <color theme="1"/>
        <rFont val="Calibri"/>
        <family val="2"/>
      </rPr>
      <t>price as of Jun 5, 2026</t>
    </r>
    <r>
      <rPr>
        <sz val="10"/>
        <rFont val="Helvetica"/>
        <family val="2"/>
      </rPr>
      <t>)</t>
    </r>
    <r>
      <rPr>
        <b/>
        <sz val="10.5"/>
        <color theme="1"/>
        <rFont val="Calibri"/>
        <family val="2"/>
      </rPr>
      <t>:</t>
    </r>
  </si>
  <si>
    <t>Verena Jeng, verena.jeng@gs.com,  +852 2978 1681  Goldman Sachs (Asia)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</si>
</sst>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Red]&quot;￥&quot;\-#,##0.00"/>
    <numFmt numFmtId="165" formatCode="_ &quot;￥&quot;* #,##0_ ;_ &quot;￥&quot;* \-#,##0_ ;_ &quot;￥&quot;* &quot;-&quot;_ ;_ @_ "/>
    <numFmt numFmtId="166" formatCode="_ * #,##0_ ;_ * \-#,##0_ ;_ * &quot;-&quot;_ ;_ @_ "/>
    <numFmt numFmtId="167" formatCode="_ &quot;￥&quot;* #,##0.00_ ;_ &quot;￥&quot;* \-#,##0.00_ ;_ &quot;￥&quot;* &quot;-&quot;??_ ;_ @_ "/>
    <numFmt numFmtId="168" formatCode="_ * #,##0.00_ ;_ * \-#,##0.00_ ;_ * &quot;-&quot;??_ ;_ @_ "/>
    <numFmt numFmtId="169" formatCode="0.0%"/>
    <numFmt numFmtId="170" formatCode="0.0"/>
    <numFmt numFmtId="171" formatCode="#,##0.0"/>
    <numFmt numFmtId="172" formatCode="#,##0;[Red]\(#,##0\)"/>
    <numFmt numFmtId="173" formatCode="#,##0;\(#,##0\)"/>
    <numFmt numFmtId="174" formatCode="#,##0.0_);\(#,##0.0\)"/>
    <numFmt numFmtId="175" formatCode=";;;"/>
    <numFmt numFmtId="176" formatCode="0_);\(0\)"/>
    <numFmt numFmtId="177" formatCode="0.00_);\(0.00\)"/>
    <numFmt numFmtId="178" formatCode="&quot;C&quot;\ &quot;´&quot;&quot;´&quot;&quot;´&quot;&quot;´&quot;\ &quot;≫&quot;&quot;≫&quot;&quot;≫&quot;&quot;≫&quot;"/>
    <numFmt numFmtId="179" formatCode="&quot;Ç&quot;\ &quot;´&quot;&quot;´&quot;&quot;´&quot;&quot;´&quot;\ &quot;»&quot;&quot;»&quot;&quot;»&quot;&quot;»&quot;"/>
    <numFmt numFmtId="180" formatCode="_(#,##0.0%_);\(#,##0.0%\);_(&quot;-&quot;?_)"/>
    <numFmt numFmtId="181" formatCode="0&quot;E&quot;"/>
    <numFmt numFmtId="182" formatCode="_(#,##0%_);_(\(#,##0%\);_(&quot;-&quot;?_)"/>
    <numFmt numFmtId="183" formatCode="_(* #,##0_);_(* \(#,##0\);_(* &quot;-&quot;_)"/>
    <numFmt numFmtId="184" formatCode="_(#,##0%_);\(#,##0%\);_(&quot;-&quot;?_)"/>
    <numFmt numFmtId="185" formatCode="____@"/>
    <numFmt numFmtId="186" formatCode="0.0\x"/>
    <numFmt numFmtId="187" formatCode="_(* #,##0.0_);_(* \(#,##0.0\);_(* &quot;-&quot;_);_(@_)"/>
    <numFmt numFmtId="188" formatCode="#,##0.0_);[Red]\(#,##0.0\)"/>
    <numFmt numFmtId="189" formatCode="______@"/>
    <numFmt numFmtId="190" formatCode="_(* #,##0_);* \(#,##0\);_(* &quot;-&quot;_)"/>
    <numFmt numFmtId="191" formatCode="_(* #,##0.0_);* \(#,##0.0\);_(* &quot;-&quot;_)"/>
    <numFmt numFmtId="192" formatCode="_(* #,##0.00_);* \(#,##0.00\);_(* &quot;-&quot;_)"/>
    <numFmt numFmtId="193" formatCode="0_ "/>
    <numFmt numFmtId="194" formatCode="#,##0.000_);\(#,##0.000\)"/>
    <numFmt numFmtId="195" formatCode="0.000%"/>
    <numFmt numFmtId="196" formatCode="#,##0.00_ "/>
    <numFmt numFmtId="197" formatCode="_-#,##0_-;\(#,##0\);_-\ \ &quot;-&quot;_-;_-@_-"/>
    <numFmt numFmtId="198" formatCode="_-#,##0.00_-;\(#,##0.00\);_-\ \ &quot;-&quot;_-;_-@_-"/>
    <numFmt numFmtId="199" formatCode="mmm/dd/yyyy;_-\ &quot;N/A&quot;_-;_-\ &quot;-&quot;_-"/>
    <numFmt numFmtId="200" formatCode="mmm/yyyy;_-\ &quot;N/A&quot;_-;_-\ &quot;-&quot;_-"/>
    <numFmt numFmtId="201" formatCode="_-#,##0%_-;\(#,##0%\);_-\ &quot;-&quot;_-"/>
    <numFmt numFmtId="202" formatCode="_-#,###,_-;\(#,###,\);_-\ \ &quot;-&quot;_-;_-@_-"/>
    <numFmt numFmtId="203" formatCode="_-#,###.00,_-;\(#,###.00,\);_-\ \ &quot;-&quot;_-;_-@_-"/>
    <numFmt numFmtId="204" formatCode="_-#0&quot;.&quot;0,_-;\(#0&quot;.&quot;0,\);_-\ \ &quot;-&quot;_-;_-@_-"/>
    <numFmt numFmtId="205" formatCode="_-#0&quot;.&quot;0000_-;\(#0&quot;.&quot;0000\);_-\ \ &quot;-&quot;_-;_-@_-"/>
    <numFmt numFmtId="206" formatCode="_([$€-2]* #,##0.00_);_([$€-2]* \(#,##0.00\);_([$€-2]* &quot;-&quot;??_)"/>
    <numFmt numFmtId="207" formatCode="#,##0\x_);\(#,##0\x\)"/>
    <numFmt numFmtId="208" formatCode="#,##0.0_ "/>
    <numFmt numFmtId="209" formatCode="_(* #,##0.0%_);_(* \(#,##0.0%\);_(* &quot;-&quot;_);_(@_)"/>
    <numFmt numFmtId="210" formatCode="#,##0.00;\(#,##0.00\)"/>
    <numFmt numFmtId="211" formatCode="&quot;&quot;\ #,##0_);[Red]\(&quot;&quot;\ #,##0\)"/>
    <numFmt numFmtId="212" formatCode="&quot;&quot;\ #,##0_);[Red]\(&quot;&quot;\ #,##0\)"/>
    <numFmt numFmtId="213" formatCode="0.0_)\%;\(0.0\)\%;0.0_)\%;@_)_%"/>
    <numFmt numFmtId="214" formatCode="#,##0.0_)_%;\(#,##0.0\)_%;0.0_)_%;@_)_%"/>
    <numFmt numFmtId="215" formatCode="\+#,##0.0;\-0.0"/>
    <numFmt numFmtId="216" formatCode="#,###&quot;—&quot;_);\(#,###&quot;—&quot;\)"/>
    <numFmt numFmtId="217" formatCode="#,##0.0_);\(#,##0.0\);#,##0.0_);@_)"/>
    <numFmt numFmtId="218" formatCode="&quot;$&quot;_(#,##0.00_);&quot;$&quot;\(#,##0.00\);&quot;$&quot;_(0.00_);@_)"/>
    <numFmt numFmtId="219" formatCode="#,##0.00_);\(#,##0.00\);0.00_);@_)"/>
    <numFmt numFmtId="220" formatCode="&quot;MR&quot;#,##0.00_);\(&quot;$&quot;#,##0.00\)"/>
    <numFmt numFmtId="221" formatCode="&quot;€&quot;_(#,##0.00_);&quot;€&quot;\(#,##0.00\);&quot;€&quot;_(0.00_);@_)"/>
    <numFmt numFmtId="222" formatCode="&quot;ß&quot;\&amp;\,\&amp;\&amp;0.00_);\(&quot;ß&quot;\&amp;\,\&amp;\&amp;0.00\)"/>
    <numFmt numFmtId="223" formatCode="\+#,##0;\-#,##0"/>
    <numFmt numFmtId="224" formatCode="\+#,##0.00;\-#,##0.00"/>
    <numFmt numFmtId="225" formatCode="#,##0_)\x;\(#,##0\)\x;0_)\x;@_)_x"/>
    <numFmt numFmtId="226" formatCode="#,##0.0_)_x;\(#,##0.0\)_x"/>
    <numFmt numFmtId="227" formatCode="&quot;£&quot;\ #,##0_);[Red]\(&quot;£&quot;\ #,##0\)"/>
    <numFmt numFmtId="228" formatCode="&quot;￥&quot;\ #,##0_);[Red]\(&quot;￥&quot;\ #,##0\)"/>
    <numFmt numFmtId="229" formatCode="0\A"/>
    <numFmt numFmtId="230" formatCode="&quot;•&quot;\ \ @"/>
    <numFmt numFmtId="231" formatCode="\ \ _•&quot;–&quot;\ \ \ \ @"/>
    <numFmt numFmtId="232" formatCode="0.0&quot;  &quot;"/>
    <numFmt numFmtId="233" formatCode="_-* #,##0_-;\(#,##0\);_-* &quot;–&quot;_-;_-@_-"/>
    <numFmt numFmtId="234" formatCode="#,##0;\(#,##0\);&quot;–&quot;;@"/>
    <numFmt numFmtId="235" formatCode="0.0000000"/>
    <numFmt numFmtId="236" formatCode="0.000000"/>
    <numFmt numFmtId="237" formatCode="0.00000000"/>
    <numFmt numFmtId="238" formatCode="_(* #,##0_);[Red]_(* \(#,##0\);_(* &quot;-&quot;??_)"/>
    <numFmt numFmtId="239" formatCode="&quot;C&quot;\ &quot;´&quot;&quot;´&quot;&quot;´&quot;&quot;´&quot;\ &quot;?&quot;&quot;?&quot;&quot;?&quot;&quot;?&quot;"/>
    <numFmt numFmtId="240" formatCode="_ &quot;\&quot;* #,##0_ ;_ &quot;\&quot;* \-#,##0_ ;_ &quot;\&quot;* &quot;-&quot;_ ;_ @_ "/>
    <numFmt numFmtId="241" formatCode="&quot;s&quot;#,##0.00_);[Red]\(&quot;s&quot;#,##0.00\)"/>
    <numFmt numFmtId="242" formatCode="_(* #,##0.00%_);_(* \(#,##0.00%\);_(* &quot;-&quot;_);_(@_)"/>
    <numFmt numFmtId="243" formatCode="&quot;$&quot;_(#,##0.00_);&quot;$&quot;\(#,##0.00\)"/>
    <numFmt numFmtId="244" formatCode="&quot;\&quot;_(#,##0.00_);&quot;\&quot;\(#,##0.00\);&quot;\&quot;_(0.00_);@_)"/>
    <numFmt numFmtId="245" formatCode="#,##0.000000000000"/>
    <numFmt numFmtId="246" formatCode="#,##0_ ;\-#,##0\ "/>
    <numFmt numFmtId="247" formatCode="&quot;\&quot;_(#,##0.00_);&quot;\&quot;\(#,##0.00\)"/>
    <numFmt numFmtId="248" formatCode="#,##0.00000000000"/>
    <numFmt numFmtId="249" formatCode="0.000000%"/>
    <numFmt numFmtId="250" formatCode="&quot;ß&quot;#,##0.00_);[Red]\(&quot;ß&quot;#,##0.00\)"/>
    <numFmt numFmtId="251" formatCode="_ &quot;$&quot;* #,##0_ ;_ &quot;$&quot;* \-#,##0_ ;_ &quot;$&quot;* &quot;-&quot;_ ;_ @_ "/>
    <numFmt numFmtId="252" formatCode="_(* #,##0.0000000000_);_(* \(#,##0.0000000000\);_(* &quot;-&quot;??_);_(@_)"/>
    <numFmt numFmtId="253" formatCode="0.000_)"/>
    <numFmt numFmtId="254" formatCode="#,##0.000_);\(&quot;$&quot;#,##0.000\)"/>
    <numFmt numFmtId="255" formatCode="_(* #,##0.000_);_(* \(#,##0.000\);_(* &quot;-&quot;??_);_(@_)"/>
    <numFmt numFmtId="256" formatCode="#,###&quot;—&quot;;#,###&quot;—&quot;"/>
    <numFmt numFmtId="257" formatCode="0.0%;[Red]\(0.0\)%"/>
    <numFmt numFmtId="258" formatCode="mmmm\-yy"/>
    <numFmt numFmtId="259" formatCode="0_)"/>
    <numFmt numFmtId="260" formatCode="#,##0.00000"/>
    <numFmt numFmtId="261" formatCode="_-* #,##0_-;\-* #,##0_-;_-* &quot;-&quot;?_-;_-@_-"/>
    <numFmt numFmtId="262" formatCode="dd\-mmmm"/>
    <numFmt numFmtId="263" formatCode="_-&quot;$&quot;* #,##0_-;\-&quot;$&quot;* #,##0_-;_-&quot;$&quot;* &quot;-&quot;_-;_-@_-"/>
    <numFmt numFmtId="264" formatCode="_-&quot;$&quot;* #,##0.00_-;\-&quot;$&quot;* #,##0.00_-;_-&quot;$&quot;* &quot;-&quot;??_-;_-@_-"/>
    <numFmt numFmtId="265" formatCode="_-&quot;£&quot;* #,##0.00_-;\-&quot;£&quot;* #,##0.00_-;_-&quot;£&quot;* &quot;-&quot;??_-;_-@_-"/>
    <numFmt numFmtId="266" formatCode="&quot;昞&quot;\ \ @"/>
    <numFmt numFmtId="267" formatCode="d\.m\.yy\ h:mm"/>
    <numFmt numFmtId="268" formatCode="&quot;\&quot;#,##0;[Red]&quot;\&quot;&quot;\&quot;&quot;\&quot;&quot;\&quot;&quot;\&quot;&quot;\&quot;&quot;\&quot;\-#,##0"/>
    <numFmt numFmtId="269" formatCode="0.00_);\(0.00\);0.00"/>
    <numFmt numFmtId="270" formatCode="\$#,##0.00;\(\$#,##0.00\)"/>
    <numFmt numFmtId="271" formatCode="_(* #,##0.0_);_(* \(#,##0.0\);_(* &quot;-&quot;?_);_(@_)"/>
    <numFmt numFmtId="272" formatCode="\$#,##0;\(\$#,##0\)"/>
    <numFmt numFmtId="273" formatCode="0%\);[Red]\(0%"/>
    <numFmt numFmtId="274" formatCode="&quot;$&quot;#,##0_);[Red]&quot;\&quot;&quot;\&quot;\(&quot;$&quot;#,##0&quot;\&quot;&quot;\&quot;\)"/>
    <numFmt numFmtId="275" formatCode="0.00_)"/>
    <numFmt numFmtId="276" formatCode="0.00\%;\-0.00\%;0.00\%"/>
    <numFmt numFmtId="277" formatCode="0.00\x;\-0.00\x;0.00\x"/>
    <numFmt numFmtId="278" formatCode="##0.00000"/>
    <numFmt numFmtId="279" formatCode="0%\);[Red]\(0%\)"/>
    <numFmt numFmtId="280" formatCode="&quot;$&quot;#,##0;[Red]\-&quot;$&quot;#,##0"/>
    <numFmt numFmtId="281" formatCode="dd/mmm/yyyy"/>
    <numFmt numFmtId="282" formatCode="0.00_);[Red]\(0.00\)"/>
    <numFmt numFmtId="283" formatCode="_(* #,##0.00_);_(* \(#,##0.00\);_(* &quot;-&quot;_);_(@_)"/>
    <numFmt numFmtId="284" formatCode="0.0%_);\(0.0%\)"/>
    <numFmt numFmtId="285" formatCode="_-* #,##0.00_-;\-* #,##0.00_-;_-* &quot;-&quot;??_-;_-@_-"/>
    <numFmt numFmtId="286" formatCode="#,###\—_);\(#,###\—\)"/>
    <numFmt numFmtId="287" formatCode="_-* #,##0_-;\-* #,##0_-;_-* &quot;-&quot;_-;_-@_-"/>
    <numFmt numFmtId="288" formatCode="0.0%;\(0.0\)%"/>
    <numFmt numFmtId="289" formatCode="0.000"/>
    <numFmt numFmtId="290" formatCode="#,##0.0;\(#,##0.0\)"/>
    <numFmt numFmtId="291" formatCode="#,##0_%_);\(#,##0\)_%;#,##0_%_);@_%_)"/>
    <numFmt numFmtId="292" formatCode="&quot;$&quot;#,##0_%_);\(&quot;$&quot;#,##0\)_%;&quot;$&quot;#,##0_%_);@_%_)"/>
    <numFmt numFmtId="293" formatCode="&quot;$&quot;#,##0.00_%_);\(&quot;$&quot;#,##0.00\)_%;&quot;$&quot;#,##0.00_%_);@_%_)"/>
    <numFmt numFmtId="294" formatCode="m/d/yy_%_)"/>
    <numFmt numFmtId="295" formatCode="0.0%;\(0.0%\)"/>
    <numFmt numFmtId="296" formatCode="0_%_);\(0\)_%;0_%_);@_%_)"/>
    <numFmt numFmtId="297" formatCode="#,##0.00;\(#,##0.00\);\-"/>
    <numFmt numFmtId="298" formatCode="0.00%;\(0.00%\)"/>
    <numFmt numFmtId="299" formatCode="0.0\%_);\(0.0\%\);0.0\%_);@_%_)"/>
    <numFmt numFmtId="300" formatCode="0.000000_)"/>
    <numFmt numFmtId="301" formatCode="&quot;$&quot;#,##0.0\);\(&quot;$&quot;#,##0.0\)"/>
    <numFmt numFmtId="302" formatCode="0.00000_)"/>
    <numFmt numFmtId="303" formatCode="0.0000000_)"/>
    <numFmt numFmtId="304" formatCode="0.0\x_)_);&quot;NM&quot;_x_)_);0.0\x_)_);@_%_)"/>
    <numFmt numFmtId="305" formatCode="#,##0.0\ \ \ ;\(#,##0.0\)\ \ "/>
    <numFmt numFmtId="306" formatCode="#,##0;\(#,##0\);\-"/>
    <numFmt numFmtId="307" formatCode="\$\ #,##0;&quot;£&quot;\ \-#,##0"/>
    <numFmt numFmtId="308" formatCode="#,##0.00_)\ \x;\(#,##0.00\)\ \x"/>
    <numFmt numFmtId="309" formatCode="&quot;£&quot;#,##0;[Red]\-&quot;£&quot;#,##0"/>
    <numFmt numFmtId="310" formatCode="&quot;£&quot;#,##0.00;[Red]\-&quot;£&quot;#,##0.00"/>
    <numFmt numFmtId="311" formatCode="_(* #,##0.000_);* \(#,##0.000\);_(* &quot;-&quot;_)"/>
    <numFmt numFmtId="312" formatCode="#,##0.0_)\x;\(#,##0.0\)\x"/>
    <numFmt numFmtId="313" formatCode="#,##0.0_)\x;\(#,##0.0\)\x;0.0_)\x;@_)_x"/>
    <numFmt numFmtId="314" formatCode="#,##0_)_x;\(#,##0\)_x;0_)_x;@_)_x"/>
    <numFmt numFmtId="315" formatCode="#,##0.0_)_x;\(#,##0.0\)_x;0.0_)_x;@_)_x"/>
    <numFmt numFmtId="316" formatCode="0\p"/>
    <numFmt numFmtId="317" formatCode="#,##0.00;;;[White]General"/>
    <numFmt numFmtId="318" formatCode="#,##0.000_);[Red]\(#,##0.000\)"/>
    <numFmt numFmtId="319" formatCode="&quot;$&quot;0.0"/>
    <numFmt numFmtId="320" formatCode="_(&quot;CHF&quot;* #,##0.0_);_(&quot;CHF&quot;* \(#,##0.0\);_(&quot;CHF&quot;* &quot;-&quot;??_);_(@_)"/>
    <numFmt numFmtId="321" formatCode="&quot;$&quot;#,##0.00"/>
    <numFmt numFmtId="323" formatCode="_(* #,##0_);_(* \(#,##0\);_(* &quot;-&quot;??_);_(@_)"/>
    <numFmt numFmtId="324" formatCode="&quot;£&quot;_(#,##0.00_);&quot;£&quot;\(#,##0.00\);&quot;£&quot;_(0.00_);@_)"/>
    <numFmt numFmtId="325" formatCode="\€_(#,##0.00_);\€\(#,##0.00\);\€_(0.00_);@_)"/>
    <numFmt numFmtId="326" formatCode="0.0;\(0.0\)"/>
    <numFmt numFmtId="327" formatCode="m/d"/>
    <numFmt numFmtId="328" formatCode="yyyy"/>
    <numFmt numFmtId="329" formatCode="#,##0.00000;\(#,##0.00000\)"/>
    <numFmt numFmtId="330" formatCode="&quot;$&quot;#,##0.00&quot;A&quot;;[Red]\(&quot;$&quot;#,##0.00\)&quot;A&quot;"/>
    <numFmt numFmtId="331" formatCode="&quot;$&quot;#,##0.00&quot;E&quot;;[Red]\(&quot;$&quot;#,##0.00\)&quot;E&quot;"/>
    <numFmt numFmtId="332" formatCode="&quot;£&quot;0.00\b\n"/>
    <numFmt numFmtId="333" formatCode="0.0%_);[Red]\(0.0%\)"/>
    <numFmt numFmtId="334" formatCode="[$-409]d/mmm/yy;@"/>
    <numFmt numFmtId="335" formatCode="&quot;MR&quot;#,##0.00_);\(&quot;￥&quot;#,##0.00\)"/>
    <numFmt numFmtId="336" formatCode="\$#,##0_);[Red]\(\$#,##0\)"/>
    <numFmt numFmtId="337" formatCode="&quot;113-&quot;@"/>
    <numFmt numFmtId="338" formatCode="@&quot;E&quot;"/>
    <numFmt numFmtId="339" formatCode="_(* #,##0%_);_(* \(#,##0%\);_(* &quot;-&quot;_);_(@_)"/>
    <numFmt numFmtId="340" formatCode="_(* #,##0.0\X_);_(* \(#,##0.0\X\);_(* &quot;-&quot;_);_(@_)"/>
    <numFmt numFmtId="341" formatCode="General_)"/>
    <numFmt numFmtId="342" formatCode="&quot;￡m&quot;\ 0"/>
    <numFmt numFmtId="343" formatCode="&quot;£m&quot;\ 0"/>
    <numFmt numFmtId="344" formatCode="0.0000%"/>
    <numFmt numFmtId="345" formatCode="_(* #,##0.0_);_(* \(#,##0.0\);\-??_);_(* @_)_)"/>
    <numFmt numFmtId="346" formatCode="_(* #,##0.00_);_(* \(#,##0.00\);\-??_);_(* @_)_)"/>
    <numFmt numFmtId="347" formatCode="[Red][&gt;0]_(* #,##0.00_);[Red][&lt;0]_(* \(#,##0.00\);\-??_)"/>
    <numFmt numFmtId="348" formatCode="#,##0.00000000"/>
    <numFmt numFmtId="349" formatCode="#,##0_%_);\(#,##0\)_%"/>
    <numFmt numFmtId="350" formatCode=";;;* @_)"/>
    <numFmt numFmtId="351" formatCode="#,##0_);\-#,##0_)"/>
    <numFmt numFmtId="352" formatCode="&quot;$&quot;#,##0.0_%_);\(&quot;$&quot;#,##0.0\)_%;&quot;$&quot;#,##0.0_%_);@_%_)"/>
    <numFmt numFmtId="353" formatCode="&quot;$&quot;#,##0_%_);\(&quot;$&quot;#,##0\)_%;&quot;$&quot;#,##0_%_);@_$_)"/>
    <numFmt numFmtId="354" formatCode="&quot;$&quot;#,##0.0_%_);\(&quot;$&quot;#,##0.0\)_%"/>
    <numFmt numFmtId="355" formatCode="0\ &quot;Years&quot;_%_)"/>
    <numFmt numFmtId="356" formatCode="#,##0.00_);\(&quot;$&quot;#,##0.00\)"/>
    <numFmt numFmtId="357" formatCode="#,##0.00_%_);\(#,##0.00\)_%"/>
    <numFmt numFmtId="358" formatCode="0.00%_);\(0.00%\);0.00%_);@_%_)"/>
    <numFmt numFmtId="359" formatCode="#,##0.0\ ;\(#,##0.0\)"/>
    <numFmt numFmtId="360" formatCode="\C&quot;$&quot;\ #,##0.00_);\C&quot;$&quot;\ \(#,##0.00\);\C&quot;$&quot;\ 0.00_)"/>
    <numFmt numFmtId="361" formatCode="&quot;$&quot;#,##0.000\ ;\(&quot;$&quot;#,##0.000\)"/>
    <numFmt numFmtId="362" formatCode="_(&quot;$&quot;#,##0_)&quot;millions&quot;;\(&quot;$&quot;#,##0\)&quot; millions&quot;"/>
    <numFmt numFmtId="363" formatCode="&quot;$&quot;#,##0.00_)\ \ \ ;\(&quot;$&quot;#,##0.00\)\ \ \ "/>
    <numFmt numFmtId="364" formatCode="&quot;$&quot;#,##0.00&quot;*&quot;\ \ ;\(&quot;$&quot;#,##0.00\)&quot;*&quot;\ \ "/>
    <numFmt numFmtId="365" formatCode="&quot;$&quot;#,##0.00\A_)\ ;\(&quot;$&quot;#,##0.00\A\)\ \ "/>
    <numFmt numFmtId="366" formatCode="&quot;$&quot;#,##0.00;[Red]\-&quot;$&quot;#,##0.00"/>
    <numFmt numFmtId="367" formatCode="0.0_)"/>
    <numFmt numFmtId="368" formatCode="_-* #,##0_-;\-* #,##0_-;_-* &quot;-&quot;??_-;_-@_-"/>
    <numFmt numFmtId="369" formatCode="#,##0.000"/>
  </numFmts>
  <fonts count="383">
    <font>
      <sz val="10"/>
      <name val="Helvetica"/>
      <family val="2"/>
    </font>
    <font>
      <sz val="11"/>
      <color theme="1"/>
      <name val="Arial"/>
      <family val="2"/>
      <scheme val="minor"/>
    </font>
    <font>
      <sz val="11"/>
      <color theme="1"/>
      <name val="Arial"/>
      <family val="2"/>
      <scheme val="minor"/>
    </font>
    <font>
      <sz val="11"/>
      <color theme="1"/>
      <name val="Arial"/>
      <family val="2"/>
      <scheme val="minor"/>
    </font>
    <font>
      <sz val="10"/>
      <color theme="1"/>
      <name val="Arial"/>
      <family val="2"/>
    </font>
    <font>
      <sz val="11"/>
      <color theme="1"/>
      <name val="Arial"/>
      <family val="2"/>
      <scheme val="minor"/>
    </font>
    <font>
      <sz val="11"/>
      <color theme="1"/>
      <name val="Calibri"/>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0"/>
      <name val="Arial"/>
      <family val="2"/>
    </font>
    <font>
      <sz val="10"/>
      <name val="Arial"/>
      <family val="2"/>
    </font>
    <font>
      <sz val="8"/>
      <name val="Helvetica"/>
      <family val="2"/>
    </font>
    <font>
      <b/>
      <sz val="10"/>
      <color indexed="8"/>
      <name val="Arial"/>
      <family val="2"/>
    </font>
    <font>
      <sz val="10"/>
      <color indexed="8"/>
      <name val="Arial"/>
      <family val="2"/>
    </font>
    <font>
      <sz val="9"/>
      <name val="Arial"/>
      <family val="2"/>
    </font>
    <font>
      <sz val="8"/>
      <name val="Arial"/>
      <family val="2"/>
    </font>
    <font>
      <b/>
      <sz val="9"/>
      <name val="Arial"/>
      <family val="2"/>
    </font>
    <font>
      <b/>
      <sz val="12"/>
      <name val="arial"/>
      <family val="2"/>
    </font>
    <font>
      <b/>
      <sz val="14"/>
      <name val="Arial"/>
      <family val="2"/>
    </font>
    <font>
      <b/>
      <u/>
      <sz val="9"/>
      <name val="Arial"/>
      <family val="2"/>
    </font>
    <font>
      <b/>
      <sz val="10"/>
      <color indexed="9"/>
      <name val="Arial"/>
      <family val="2"/>
    </font>
    <font>
      <i/>
      <sz val="10"/>
      <name val="Arial"/>
      <family val="2"/>
    </font>
    <font>
      <b/>
      <sz val="8"/>
      <name val="Arial"/>
      <family val="2"/>
    </font>
    <font>
      <b/>
      <sz val="11"/>
      <name val="Arial"/>
      <family val="2"/>
    </font>
    <font>
      <b/>
      <u/>
      <sz val="10"/>
      <name val="Arial"/>
      <family val="2"/>
    </font>
    <font>
      <sz val="10"/>
      <name val="Arial"/>
      <family val="2"/>
    </font>
    <font>
      <b/>
      <sz val="10"/>
      <color indexed="18"/>
      <name val="Arial"/>
      <family val="2"/>
    </font>
    <font>
      <b/>
      <sz val="10"/>
      <color indexed="12"/>
      <name val="Arial"/>
      <family val="2"/>
    </font>
    <font>
      <sz val="10"/>
      <name val="Helvetica"/>
      <family val="2"/>
    </font>
    <font>
      <sz val="8"/>
      <name val="Helv"/>
      <family val="2"/>
    </font>
    <font>
      <sz val="10"/>
      <color indexed="12"/>
      <name val="Arial"/>
      <family val="2"/>
    </font>
    <font>
      <u/>
      <sz val="10"/>
      <color indexed="12"/>
      <name val="Arial"/>
      <family val="2"/>
    </font>
    <font>
      <sz val="10"/>
      <color indexed="9"/>
      <name val="Arial"/>
      <family val="2"/>
    </font>
    <font>
      <sz val="12"/>
      <name val="Arial"/>
      <family val="2"/>
    </font>
    <font>
      <b/>
      <sz val="10"/>
      <color indexed="17"/>
      <name val="Arial"/>
      <family val="2"/>
    </font>
    <font>
      <sz val="10"/>
      <color indexed="52"/>
      <name val="Arial"/>
      <family val="2"/>
    </font>
    <font>
      <sz val="10"/>
      <color indexed="17"/>
      <name val="Arial"/>
      <family val="2"/>
    </font>
    <font>
      <sz val="10"/>
      <color indexed="8"/>
      <name val="MS Sans Serif"/>
      <family val="2"/>
    </font>
    <font>
      <b/>
      <sz val="10"/>
      <color indexed="52"/>
      <name val="Arial"/>
      <family val="2"/>
    </font>
    <font>
      <b/>
      <sz val="12"/>
      <name val="宋体"/>
      <family val="3"/>
      <charset val="134"/>
    </font>
    <font>
      <sz val="8"/>
      <color indexed="8"/>
      <name val="Arial"/>
      <family val="2"/>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8"/>
      <name val="宋体"/>
      <family val="3"/>
      <charset val="134"/>
    </font>
    <font>
      <sz val="11"/>
      <color indexed="10"/>
      <name val="宋体"/>
      <family val="3"/>
      <charset val="134"/>
    </font>
    <font>
      <sz val="11"/>
      <color indexed="8"/>
      <name val="宋体"/>
      <family val="3"/>
      <charset val="134"/>
    </font>
    <font>
      <sz val="10"/>
      <color indexed="10"/>
      <name val="Arial"/>
      <family val="2"/>
    </font>
    <font>
      <sz val="12"/>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63"/>
      <name val="宋体"/>
      <family val="3"/>
      <charset val="134"/>
    </font>
    <font>
      <sz val="10"/>
      <color indexed="20"/>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60"/>
      <name val="Arial"/>
      <family val="2"/>
    </font>
    <font>
      <b/>
      <sz val="10"/>
      <color indexed="63"/>
      <name val="Arial"/>
      <family val="2"/>
    </font>
    <font>
      <sz val="12"/>
      <name val="Times New Roman"/>
      <family val="1"/>
    </font>
    <font>
      <sz val="11"/>
      <color indexed="8"/>
      <name val="Calibri"/>
      <family val="2"/>
    </font>
    <font>
      <sz val="11"/>
      <color indexed="9"/>
      <name val="Calibri"/>
      <family val="2"/>
    </font>
    <font>
      <b/>
      <sz val="11"/>
      <color indexed="8"/>
      <name val="Calibri"/>
      <family val="2"/>
    </font>
    <font>
      <sz val="8"/>
      <color indexed="62"/>
      <name val="Arial"/>
      <family val="2"/>
    </font>
    <font>
      <b/>
      <sz val="8"/>
      <color indexed="8"/>
      <name val="Arial"/>
      <family val="2"/>
    </font>
    <font>
      <sz val="10"/>
      <color indexed="39"/>
      <name val="Arial"/>
      <family val="2"/>
    </font>
    <font>
      <sz val="19"/>
      <name val="Arial"/>
      <family val="2"/>
    </font>
    <font>
      <sz val="8"/>
      <color indexed="14"/>
      <name val="Arial"/>
      <family val="2"/>
    </font>
    <font>
      <b/>
      <sz val="18"/>
      <color indexed="62"/>
      <name val="Cambria"/>
      <family val="1"/>
    </font>
    <font>
      <sz val="11"/>
      <name val="돋움"/>
      <family val="2"/>
    </font>
    <font>
      <b/>
      <sz val="15"/>
      <color indexed="62"/>
      <name val="Calibri"/>
      <family val="2"/>
    </font>
    <font>
      <b/>
      <sz val="13"/>
      <color indexed="62"/>
      <name val="Calibri"/>
      <family val="2"/>
    </font>
    <font>
      <b/>
      <sz val="11"/>
      <color indexed="62"/>
      <name val="Calibri"/>
      <family val="2"/>
    </font>
    <font>
      <b/>
      <sz val="11"/>
      <color indexed="9"/>
      <name val="Calibri"/>
      <family val="2"/>
    </font>
    <font>
      <sz val="11"/>
      <color indexed="14"/>
      <name val="Calibri"/>
      <family val="2"/>
    </font>
    <font>
      <b/>
      <sz val="11"/>
      <color indexed="17"/>
      <name val="Calibri"/>
      <family val="2"/>
    </font>
    <font>
      <sz val="11"/>
      <color indexed="48"/>
      <name val="Calibri"/>
      <family val="2"/>
    </font>
    <font>
      <b/>
      <sz val="11"/>
      <color indexed="63"/>
      <name val="Calibri"/>
      <family val="2"/>
    </font>
    <font>
      <sz val="11"/>
      <color indexed="17"/>
      <name val="Calibri"/>
      <family val="2"/>
    </font>
    <font>
      <sz val="11"/>
      <color theme="1"/>
      <name val="Arial"/>
      <family val="3"/>
      <charset val="134"/>
      <scheme val="minor"/>
    </font>
    <font>
      <sz val="12"/>
      <name val="新細明體"/>
      <family val="1"/>
      <charset val="136"/>
    </font>
    <font>
      <sz val="9"/>
      <color indexed="8"/>
      <name val="Arial"/>
      <family val="2"/>
    </font>
    <font>
      <sz val="12"/>
      <name val="????"/>
      <family val="2"/>
    </font>
    <font>
      <sz val="10"/>
      <name val="?? ?????"/>
      <family val="2"/>
      <charset val="128"/>
    </font>
    <font>
      <sz val="12"/>
      <name val="???"/>
      <family val="1"/>
      <charset val="136"/>
    </font>
    <font>
      <sz val="10"/>
      <name val="Times New Roman"/>
      <family val="1"/>
    </font>
    <font>
      <i/>
      <sz val="12"/>
      <name val="Lucida Sans"/>
      <family val="2"/>
    </font>
    <font>
      <sz val="9"/>
      <name val="Lucida Sans"/>
      <family val="2"/>
    </font>
    <font>
      <sz val="11"/>
      <color indexed="10"/>
      <name val="Arial"/>
      <family val="2"/>
    </font>
    <font>
      <sz val="10"/>
      <name val="Helv"/>
      <family val="2"/>
    </font>
    <font>
      <sz val="11"/>
      <name val="?? ?????"/>
      <family val="3"/>
      <charset val="128"/>
    </font>
    <font>
      <b/>
      <sz val="22"/>
      <color indexed="18"/>
      <name val="Arial"/>
      <family val="2"/>
    </font>
    <font>
      <sz val="10"/>
      <name val="Geneva"/>
      <family val="2"/>
    </font>
    <font>
      <b/>
      <sz val="14"/>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0"/>
      <name val="Courier"/>
      <family val="3"/>
    </font>
    <font>
      <sz val="10"/>
      <color indexed="8"/>
      <name val="Times New Roman"/>
      <family val="1"/>
    </font>
    <font>
      <sz val="9"/>
      <color indexed="8"/>
      <name val="Times New Roman"/>
      <family val="1"/>
    </font>
    <font>
      <b/>
      <sz val="10"/>
      <color indexed="8"/>
      <name val="Times New Roman"/>
      <family val="1"/>
    </font>
    <font>
      <sz val="8"/>
      <name val="Times"/>
      <family val="1"/>
    </font>
    <font>
      <sz val="10"/>
      <color indexed="18"/>
      <name val="GS TheSans"/>
      <family val="2"/>
    </font>
    <font>
      <sz val="9"/>
      <color indexed="9"/>
      <name val="Times New Roman"/>
      <family val="1"/>
    </font>
    <font>
      <sz val="9"/>
      <color indexed="12"/>
      <name val="Tms Rmn"/>
      <family val="1"/>
    </font>
    <font>
      <b/>
      <sz val="12"/>
      <name val="Times New Roman"/>
      <family val="1"/>
    </font>
    <font>
      <b/>
      <sz val="24"/>
      <name val="Times New Roman"/>
      <family val="1"/>
    </font>
    <font>
      <sz val="10"/>
      <name val="GS TheSans"/>
      <family val="2"/>
    </font>
    <font>
      <b/>
      <sz val="8.5"/>
      <color indexed="17"/>
      <name val="Arial"/>
      <family val="2"/>
    </font>
    <font>
      <sz val="9"/>
      <name val="Tms Rmn"/>
      <family val="1"/>
    </font>
    <font>
      <b/>
      <sz val="14"/>
      <color indexed="8"/>
      <name val="Helv"/>
      <family val="2"/>
    </font>
    <font>
      <sz val="7"/>
      <name val="Arial"/>
      <family val="2"/>
    </font>
    <font>
      <b/>
      <sz val="7"/>
      <color indexed="17"/>
      <name val="Arial"/>
      <family val="2"/>
    </font>
    <font>
      <sz val="8.5"/>
      <color indexed="8"/>
      <name val="Arial"/>
      <family val="2"/>
    </font>
    <font>
      <sz val="10"/>
      <color indexed="10"/>
      <name val="Times New Roman"/>
      <family val="1"/>
    </font>
    <font>
      <sz val="10"/>
      <name val="MS Sans Serif"/>
      <family val="2"/>
    </font>
    <font>
      <b/>
      <sz val="10"/>
      <name val="MS Sans Serif"/>
      <family val="2"/>
    </font>
    <font>
      <b/>
      <i/>
      <sz val="16"/>
      <name val="Helv"/>
      <family val="2"/>
    </font>
    <font>
      <i/>
      <sz val="10"/>
      <name val="Helv"/>
      <family val="2"/>
    </font>
    <font>
      <b/>
      <sz val="14"/>
      <name val="Times New Roman"/>
      <family val="1"/>
    </font>
    <font>
      <sz val="8"/>
      <name val="Times New Roman"/>
      <family val="1"/>
    </font>
    <font>
      <sz val="12"/>
      <name val="Helvetica"/>
      <family val="2"/>
    </font>
    <font>
      <b/>
      <sz val="8"/>
      <name val="HelveticaNeue Condensed"/>
      <family val="2"/>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10"/>
      <name val="Times New Roman"/>
      <family val="1"/>
    </font>
    <font>
      <sz val="8"/>
      <name val="华文楷体"/>
      <family val="3"/>
      <charset val="134"/>
    </font>
    <font>
      <u/>
      <sz val="8"/>
      <color indexed="36"/>
      <name val="Arial"/>
      <family val="2"/>
    </font>
    <font>
      <sz val="9"/>
      <name val="华文楷体"/>
      <family val="3"/>
      <charset val="134"/>
    </font>
    <font>
      <sz val="10"/>
      <name val="ＭＳ Ｐゴシック"/>
      <family val="2"/>
      <charset val="128"/>
    </font>
    <font>
      <sz val="9"/>
      <name val="Times New Roman"/>
      <family val="1"/>
    </font>
    <font>
      <u/>
      <sz val="8"/>
      <color indexed="12"/>
      <name val="Arial"/>
      <family val="2"/>
    </font>
    <font>
      <sz val="11"/>
      <name val="蹈框"/>
      <family val="2"/>
      <charset val="134"/>
    </font>
    <font>
      <sz val="11"/>
      <color theme="1"/>
      <name val="Univers LT Std 55"/>
      <family val="2"/>
    </font>
    <font>
      <sz val="11"/>
      <color indexed="8"/>
      <name val="Univers LT Std 55"/>
      <family val="2"/>
    </font>
    <font>
      <sz val="12"/>
      <name val="宋体"/>
      <family val="3"/>
      <charset val="134"/>
    </font>
    <font>
      <sz val="11"/>
      <color rgb="FF3F3F76"/>
      <name val="Arial"/>
      <family val="3"/>
      <charset val="134"/>
      <scheme val="minor"/>
    </font>
    <font>
      <sz val="12"/>
      <name val="宋体"/>
      <family val="3"/>
      <charset val="134"/>
    </font>
    <font>
      <sz val="12"/>
      <name val="宋体"/>
      <family val="3"/>
      <charset val="134"/>
    </font>
    <font>
      <sz val="12"/>
      <name val="宋体"/>
      <family val="3"/>
      <charset val="134"/>
    </font>
    <font>
      <sz val="11"/>
      <color indexed="8"/>
      <name val="新細明體"/>
      <family val="1"/>
      <charset val="136"/>
    </font>
    <font>
      <sz val="12"/>
      <name val="·s²Ó©úÅé"/>
      <family val="1"/>
    </font>
    <font>
      <sz val="11"/>
      <color indexed="9"/>
      <name val="新細明體"/>
      <family val="1"/>
      <charset val="136"/>
    </font>
    <font>
      <u/>
      <sz val="10"/>
      <color indexed="20"/>
      <name val="Arial"/>
      <family val="2"/>
    </font>
    <font>
      <sz val="11"/>
      <color indexed="20"/>
      <name val="新細明體"/>
      <family val="1"/>
      <charset val="136"/>
    </font>
    <font>
      <b/>
      <sz val="11"/>
      <color indexed="52"/>
      <name val="新細明體"/>
      <family val="1"/>
      <charset val="136"/>
    </font>
    <font>
      <b/>
      <sz val="10"/>
      <name val="Helv"/>
      <family val="2"/>
    </font>
    <font>
      <b/>
      <sz val="11"/>
      <color indexed="9"/>
      <name val="新細明體"/>
      <family val="1"/>
      <charset val="136"/>
    </font>
    <font>
      <sz val="12"/>
      <name val="楷体_GB2312"/>
      <family val="3"/>
      <charset val="134"/>
    </font>
    <font>
      <sz val="24"/>
      <name val="MS Sans Serif"/>
      <family val="2"/>
    </font>
    <font>
      <sz val="12"/>
      <name val="Tms Rmn"/>
      <family val="1"/>
    </font>
    <font>
      <i/>
      <sz val="11"/>
      <color indexed="23"/>
      <name val="新細明體"/>
      <family val="1"/>
      <charset val="136"/>
    </font>
    <font>
      <sz val="11"/>
      <color indexed="17"/>
      <name val="新細明體"/>
      <family val="1"/>
      <charset val="136"/>
    </font>
    <font>
      <b/>
      <sz val="12"/>
      <name val="Helv"/>
      <family val="2"/>
    </font>
    <font>
      <b/>
      <sz val="15"/>
      <color indexed="56"/>
      <name val="新細明體"/>
      <family val="1"/>
      <charset val="136"/>
    </font>
    <font>
      <b/>
      <sz val="13"/>
      <color indexed="56"/>
      <name val="新細明體"/>
      <family val="1"/>
      <charset val="136"/>
    </font>
    <font>
      <b/>
      <sz val="11"/>
      <color indexed="56"/>
      <name val="新細明體"/>
      <family val="1"/>
      <charset val="136"/>
    </font>
    <font>
      <i/>
      <sz val="10"/>
      <color indexed="58"/>
      <name val="Times New Roman"/>
      <family val="1"/>
    </font>
    <font>
      <sz val="11"/>
      <color indexed="52"/>
      <name val="新細明體"/>
      <family val="1"/>
      <charset val="136"/>
    </font>
    <font>
      <sz val="12"/>
      <color indexed="17"/>
      <name val="Times New Roman"/>
      <family val="1"/>
    </font>
    <font>
      <b/>
      <sz val="11"/>
      <name val="Helv"/>
      <family val="2"/>
    </font>
    <font>
      <sz val="11"/>
      <color indexed="60"/>
      <name val="新細明體"/>
      <family val="1"/>
      <charset val="136"/>
    </font>
    <font>
      <sz val="8"/>
      <name val="MS Sans Serif"/>
      <family val="2"/>
    </font>
    <font>
      <b/>
      <sz val="11"/>
      <color indexed="63"/>
      <name val="新細明體"/>
      <family val="1"/>
      <charset val="136"/>
    </font>
    <font>
      <sz val="11"/>
      <color indexed="8"/>
      <name val="Times New Roman"/>
      <family val="1"/>
    </font>
    <font>
      <sz val="10"/>
      <color indexed="12"/>
      <name val="MS Sans Serif"/>
      <family val="2"/>
    </font>
    <font>
      <b/>
      <sz val="18"/>
      <color indexed="56"/>
      <name val="新細明體"/>
      <family val="1"/>
      <charset val="136"/>
    </font>
    <font>
      <sz val="11"/>
      <color indexed="10"/>
      <name val="新細明體"/>
      <family val="1"/>
      <charset val="136"/>
    </font>
    <font>
      <u/>
      <sz val="12"/>
      <color indexed="12"/>
      <name val="穝灿砰"/>
      <charset val="134"/>
    </font>
    <font>
      <u/>
      <sz val="12"/>
      <color indexed="36"/>
      <name val="穝灿砰"/>
      <charset val="134"/>
    </font>
    <font>
      <sz val="14"/>
      <name val="Times New Roman"/>
      <family val="1"/>
    </font>
    <font>
      <sz val="12"/>
      <color indexed="39"/>
      <name val="宋体"/>
      <family val="3"/>
      <charset val="134"/>
    </font>
    <font>
      <sz val="11"/>
      <color theme="1"/>
      <name val="Arial"/>
      <family val="2"/>
      <charset val="134"/>
      <scheme val="minor"/>
    </font>
    <font>
      <sz val="8"/>
      <color indexed="49"/>
      <name val="Times New Roman"/>
      <family val="1"/>
    </font>
    <font>
      <sz val="8"/>
      <name val="Helv"/>
    </font>
    <font>
      <sz val="10"/>
      <name val="Helv"/>
    </font>
    <font>
      <sz val="9"/>
      <color indexed="12"/>
      <name val="Tms Rmn"/>
    </font>
    <font>
      <b/>
      <sz val="8"/>
      <color indexed="32"/>
      <name val="Arial"/>
      <family val="2"/>
    </font>
    <font>
      <sz val="8"/>
      <color indexed="12"/>
      <name val="Helv"/>
    </font>
    <font>
      <sz val="8"/>
      <name val="Palatino"/>
      <family val="1"/>
    </font>
    <font>
      <b/>
      <sz val="8"/>
      <name val="Times New Roman"/>
      <family val="1"/>
    </font>
    <font>
      <sz val="7"/>
      <name val="Palatino"/>
      <family val="1"/>
    </font>
    <font>
      <sz val="6"/>
      <color indexed="16"/>
      <name val="Palatino"/>
      <family val="1"/>
    </font>
    <font>
      <sz val="10"/>
      <color indexed="10"/>
      <name val="Helv"/>
    </font>
    <font>
      <sz val="10"/>
      <name val="Tms Rmn"/>
    </font>
    <font>
      <sz val="10"/>
      <name val="Palatino"/>
      <family val="1"/>
    </font>
    <font>
      <sz val="11"/>
      <name val="Arial Narrow"/>
      <family val="2"/>
    </font>
    <font>
      <i/>
      <sz val="10"/>
      <name val="Helv"/>
    </font>
    <font>
      <sz val="10"/>
      <color indexed="16"/>
      <name val="Helvetica-Black"/>
    </font>
    <font>
      <b/>
      <sz val="10"/>
      <name val="Helv"/>
    </font>
    <font>
      <b/>
      <sz val="9"/>
      <name val="Palatino"/>
      <family val="1"/>
    </font>
    <font>
      <sz val="9"/>
      <color indexed="21"/>
      <name val="Helvetica-Black"/>
    </font>
    <font>
      <sz val="9"/>
      <name val="Helvetica-Black"/>
    </font>
    <font>
      <b/>
      <sz val="9"/>
      <color indexed="8"/>
      <name val="Helv"/>
    </font>
    <font>
      <sz val="10"/>
      <name val="MS Serif"/>
      <family val="1"/>
    </font>
    <font>
      <b/>
      <sz val="9"/>
      <color indexed="81"/>
      <name val="Tahoma"/>
      <family val="2"/>
    </font>
    <font>
      <sz val="8"/>
      <name val="Tahoma"/>
      <family val="2"/>
    </font>
    <font>
      <b/>
      <sz val="12"/>
      <name val="Tms Rmn"/>
    </font>
    <font>
      <b/>
      <i/>
      <sz val="8"/>
      <name val="Arial"/>
      <family val="2"/>
    </font>
    <font>
      <b/>
      <sz val="10"/>
      <name val="Bookman"/>
      <family val="1"/>
    </font>
    <font>
      <b/>
      <sz val="14"/>
      <name val="Book Antiqua"/>
      <family val="1"/>
    </font>
    <font>
      <sz val="11"/>
      <color indexed="12"/>
      <name val="Book Antiqua"/>
      <family val="1"/>
    </font>
    <font>
      <sz val="10"/>
      <name val="Book Antiqua"/>
      <family val="1"/>
    </font>
    <font>
      <b/>
      <sz val="8"/>
      <name val="Book Antiqua"/>
      <family val="1"/>
    </font>
    <font>
      <b/>
      <sz val="10"/>
      <name val="Palatino"/>
      <family val="1"/>
    </font>
    <font>
      <sz val="8"/>
      <name val="Book Antiqua"/>
      <family val="1"/>
    </font>
    <font>
      <i/>
      <sz val="7"/>
      <name val="Book Antiqua"/>
      <family val="1"/>
    </font>
    <font>
      <sz val="8"/>
      <color indexed="9"/>
      <name val="Arial"/>
      <family val="2"/>
    </font>
    <font>
      <sz val="10"/>
      <color indexed="72"/>
      <name val="System"/>
      <family val="2"/>
    </font>
    <font>
      <b/>
      <u/>
      <sz val="14"/>
      <name val="Book Antiqua"/>
      <family val="1"/>
    </font>
    <font>
      <b/>
      <sz val="10"/>
      <name val="Book Antiqua"/>
      <family val="1"/>
    </font>
    <font>
      <b/>
      <sz val="7"/>
      <name val="Arial"/>
      <family val="2"/>
    </font>
    <font>
      <sz val="9"/>
      <color indexed="81"/>
      <name val="Tahoma"/>
      <family val="2"/>
    </font>
    <font>
      <sz val="10"/>
      <color rgb="FFFF0000"/>
      <name val="Arial"/>
      <family val="2"/>
    </font>
    <font>
      <sz val="10"/>
      <color theme="0"/>
      <name val="Helvetica"/>
      <family val="2"/>
    </font>
    <font>
      <b/>
      <sz val="11"/>
      <color theme="1"/>
      <name val="Calibri"/>
      <family val="2"/>
    </font>
    <font>
      <sz val="12"/>
      <name val="宋体"/>
      <charset val="134"/>
    </font>
    <font>
      <sz val="10"/>
      <color indexed="64"/>
      <name val="Arial"/>
      <family val="2"/>
    </font>
    <font>
      <sz val="10"/>
      <color indexed="64"/>
      <name val="Arial"/>
      <family val="2"/>
    </font>
    <font>
      <b/>
      <sz val="10"/>
      <color rgb="FFFF0000"/>
      <name val="Arial"/>
      <family val="2"/>
    </font>
    <font>
      <u/>
      <sz val="11"/>
      <color theme="10"/>
      <name val="Calibri"/>
      <family val="2"/>
    </font>
    <font>
      <sz val="11"/>
      <color rgb="FF9C0006"/>
      <name val="Arial"/>
      <family val="2"/>
      <scheme val="minor"/>
    </font>
    <font>
      <sz val="11"/>
      <color indexed="20"/>
      <name val="Calibri"/>
      <family val="2"/>
    </font>
    <font>
      <b/>
      <sz val="11"/>
      <color indexed="52"/>
      <name val="Calibri"/>
      <family val="2"/>
    </font>
    <font>
      <b/>
      <sz val="7"/>
      <name val="GillSans"/>
      <family val="2"/>
    </font>
    <font>
      <i/>
      <sz val="11"/>
      <color indexed="23"/>
      <name val="Calibri"/>
      <family val="2"/>
    </font>
    <font>
      <sz val="11"/>
      <color rgb="FF006100"/>
      <name val="Arial"/>
      <family val="2"/>
      <scheme val="minor"/>
    </font>
    <font>
      <i/>
      <sz val="8"/>
      <color indexed="17"/>
      <name val="Times New Roman"/>
      <family val="1"/>
    </font>
    <font>
      <sz val="8"/>
      <color indexed="21"/>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8"/>
      <color indexed="18"/>
      <name val="Times New Roman"/>
      <family val="1"/>
    </font>
    <font>
      <sz val="11"/>
      <color rgb="FF9C6500"/>
      <name val="Arial"/>
      <family val="2"/>
      <scheme val="minor"/>
    </font>
    <font>
      <sz val="11"/>
      <color indexed="60"/>
      <name val="Calibri"/>
      <family val="2"/>
    </font>
    <font>
      <b/>
      <sz val="11"/>
      <color rgb="FF3F3F3F"/>
      <name val="Arial"/>
      <family val="2"/>
      <scheme val="minor"/>
    </font>
    <font>
      <sz val="10"/>
      <name val="GillSans Light"/>
      <family val="2"/>
    </font>
    <font>
      <sz val="8"/>
      <color indexed="12"/>
      <name val="Arial"/>
      <family val="2"/>
    </font>
    <font>
      <sz val="12"/>
      <name val="宋体"/>
    </font>
    <font>
      <i/>
      <sz val="10"/>
      <color rgb="FFFF0000"/>
      <name val="Arial"/>
      <family val="2"/>
    </font>
    <font>
      <sz val="10"/>
      <color rgb="FFFF9900"/>
      <name val="Arial"/>
      <family val="2"/>
    </font>
    <font>
      <sz val="10"/>
      <color theme="0"/>
      <name val="Arial"/>
      <family val="2"/>
    </font>
    <font>
      <u/>
      <sz val="11"/>
      <color theme="10"/>
      <name val="Arial"/>
      <family val="2"/>
      <scheme val="minor"/>
    </font>
    <font>
      <sz val="11"/>
      <name val="돋움"/>
      <family val="3"/>
      <charset val="129"/>
    </font>
    <font>
      <sz val="12"/>
      <name val="바탕체"/>
      <family val="3"/>
      <charset val="129"/>
    </font>
    <font>
      <b/>
      <sz val="10"/>
      <color rgb="FF008000"/>
      <name val="Arial"/>
      <family val="2"/>
    </font>
    <font>
      <b/>
      <sz val="11"/>
      <color theme="1"/>
      <name val="Arial"/>
      <family val="2"/>
      <scheme val="minor"/>
    </font>
    <font>
      <sz val="11"/>
      <name val="ＭＳ Ｐゴシック"/>
      <family val="2"/>
      <charset val="128"/>
    </font>
    <font>
      <sz val="12"/>
      <color theme="1"/>
      <name val="Arial"/>
      <family val="2"/>
      <scheme val="minor"/>
    </font>
    <font>
      <sz val="8"/>
      <color theme="1"/>
      <name val="Arial"/>
      <family val="2"/>
      <scheme val="minor"/>
    </font>
    <font>
      <sz val="10"/>
      <name val="Tahoma"/>
      <family val="2"/>
    </font>
    <font>
      <b/>
      <i/>
      <sz val="11"/>
      <name val="Tahoma"/>
      <family val="2"/>
    </font>
    <font>
      <sz val="11"/>
      <name val="Tahoma"/>
      <family val="2"/>
    </font>
    <font>
      <sz val="10.5"/>
      <color theme="1"/>
      <name val="Calibri"/>
      <family val="2"/>
    </font>
    <font>
      <b/>
      <sz val="11.5"/>
      <color theme="0"/>
      <name val="Calibri"/>
      <family val="2"/>
    </font>
    <font>
      <b/>
      <sz val="10.5"/>
      <color theme="1"/>
      <name val="Calibri"/>
      <family val="2"/>
    </font>
    <font>
      <i/>
      <sz val="9"/>
      <color theme="1"/>
      <name val="Calibri"/>
      <family val="2"/>
    </font>
    <font>
      <b/>
      <sz val="10"/>
      <color theme="0"/>
      <name val="Arial"/>
      <family val="2"/>
    </font>
    <font>
      <b/>
      <sz val="12"/>
      <color theme="0"/>
      <name val="arial"/>
      <family val="2"/>
    </font>
    <font>
      <sz val="12"/>
      <color theme="0"/>
      <name val="arial"/>
      <family val="2"/>
    </font>
    <font>
      <b/>
      <sz val="11"/>
      <color theme="0"/>
      <name val="arial"/>
      <family val="2"/>
    </font>
    <font>
      <b/>
      <sz val="14"/>
      <color theme="0"/>
      <name val="arial"/>
      <family val="2"/>
    </font>
    <font>
      <sz val="11"/>
      <color theme="0"/>
      <name val="Helvetica"/>
      <family val="2"/>
    </font>
    <font>
      <sz val="11"/>
      <color theme="1"/>
      <name val="Times New Roman"/>
      <family val="2"/>
    </font>
    <font>
      <sz val="8"/>
      <color indexed="12"/>
      <name val="Times New Roman"/>
      <family val="1"/>
    </font>
    <font>
      <b/>
      <i/>
      <sz val="8"/>
      <color indexed="8"/>
      <name val="Times New Roman"/>
      <family val="1"/>
    </font>
    <font>
      <sz val="14"/>
      <name val="Palatino"/>
      <family val="1"/>
    </font>
    <font>
      <sz val="16"/>
      <name val="Palatino"/>
      <family val="1"/>
    </font>
    <font>
      <sz val="32"/>
      <name val="Helvetica-Black"/>
      <family val="2"/>
    </font>
    <font>
      <sz val="8"/>
      <color indexed="8"/>
      <name val="Times New Roman"/>
      <family val="1"/>
    </font>
    <font>
      <sz val="6"/>
      <color indexed="23"/>
      <name val="Helvetica-Black"/>
      <family val="2"/>
    </font>
    <font>
      <sz val="9.5"/>
      <color indexed="23"/>
      <name val="Helvetica-Black"/>
      <family val="2"/>
    </font>
    <font>
      <sz val="12"/>
      <name val="Helv"/>
      <family val="2"/>
    </font>
    <font>
      <sz val="6"/>
      <name val="Palatino"/>
      <family val="1"/>
    </font>
    <font>
      <sz val="6"/>
      <color indexed="12"/>
      <name val="Palatino"/>
      <family val="1"/>
    </font>
    <font>
      <sz val="10"/>
      <name val="Helvetica-Black"/>
      <family val="2"/>
    </font>
    <font>
      <sz val="28"/>
      <name val="Helvetica-Black"/>
      <family val="2"/>
    </font>
    <font>
      <sz val="18"/>
      <name val="Palatino"/>
      <family val="1"/>
    </font>
    <font>
      <i/>
      <sz val="14"/>
      <name val="Palatino"/>
      <family val="1"/>
    </font>
    <font>
      <sz val="8"/>
      <color indexed="16"/>
      <name val="Palatino"/>
      <family val="1"/>
    </font>
    <font>
      <sz val="11"/>
      <color theme="0"/>
      <name val="arial"/>
      <family val="2"/>
    </font>
    <font>
      <sz val="10"/>
      <color rgb="FF008000"/>
      <name val="Arial"/>
      <family val="2"/>
    </font>
    <font>
      <sz val="10"/>
      <color rgb="FF7030A0"/>
      <name val="Arial"/>
      <family val="2"/>
    </font>
    <font>
      <sz val="9"/>
      <color theme="1"/>
      <name val="Arial"/>
      <family val="2"/>
    </font>
    <font>
      <sz val="10"/>
      <name val="GillSans"/>
      <family val="2"/>
    </font>
    <font>
      <sz val="10"/>
      <color indexed="12"/>
      <name val="Helv"/>
      <family val="2"/>
    </font>
    <font>
      <sz val="10"/>
      <color rgb="FF0000FF"/>
      <name val="Arial"/>
      <family val="2"/>
    </font>
    <font>
      <sz val="10"/>
      <name val="Arial"/>
      <family val="2"/>
      <scheme val="major"/>
    </font>
    <font>
      <b/>
      <sz val="10"/>
      <color rgb="FF0000FF"/>
      <name val="Arial"/>
      <family val="2"/>
    </font>
    <font>
      <sz val="10"/>
      <color rgb="FFFF6600"/>
      <name val="Arial"/>
      <family val="2"/>
    </font>
    <font>
      <b/>
      <sz val="8"/>
      <color indexed="62"/>
      <name val="Arial"/>
      <family val="2"/>
    </font>
    <font>
      <i/>
      <sz val="8"/>
      <name val="Arial"/>
      <family val="2"/>
    </font>
    <font>
      <b/>
      <sz val="9"/>
      <name val="Helvetica"/>
      <family val="2"/>
    </font>
    <font>
      <b/>
      <sz val="9"/>
      <name val="Arial"/>
      <family val="2"/>
      <scheme val="major"/>
    </font>
    <font>
      <sz val="9"/>
      <name val="Arial"/>
      <family val="2"/>
      <scheme val="major"/>
    </font>
    <font>
      <sz val="9"/>
      <color rgb="FFFF0000"/>
      <name val="Arial"/>
      <family val="2"/>
      <scheme val="major"/>
    </font>
    <font>
      <sz val="9"/>
      <color rgb="FF0000FF"/>
      <name val="Arial"/>
      <family val="2"/>
      <scheme val="major"/>
    </font>
    <font>
      <b/>
      <sz val="9"/>
      <color theme="0"/>
      <name val="Arial"/>
      <family val="2"/>
      <scheme val="major"/>
    </font>
    <font>
      <b/>
      <sz val="15"/>
      <color theme="0"/>
      <name val="Arial"/>
      <family val="2"/>
    </font>
    <font>
      <sz val="11"/>
      <name val="Arial"/>
      <family val="2"/>
    </font>
    <font>
      <u/>
      <sz val="15"/>
      <color indexed="12"/>
      <name val="Arial"/>
      <family val="2"/>
    </font>
    <font>
      <b/>
      <sz val="15"/>
      <name val="Arial"/>
      <family val="2"/>
    </font>
    <font>
      <sz val="15"/>
      <name val="Arial"/>
      <family val="2"/>
    </font>
    <font>
      <sz val="15"/>
      <color theme="0"/>
      <name val="Arial"/>
      <family val="2"/>
    </font>
    <font>
      <sz val="15"/>
      <color theme="4"/>
      <name val="Arial"/>
      <family val="2"/>
    </font>
    <font>
      <sz val="12"/>
      <color theme="5" tint="-0.749992370372631"/>
      <name val="Arial"/>
      <family val="2"/>
    </font>
    <font>
      <sz val="12"/>
      <color theme="4"/>
      <name val="Arial"/>
      <family val="2"/>
    </font>
    <font>
      <sz val="10"/>
      <color indexed="17"/>
      <name val="Arial"/>
      <family val="2"/>
      <scheme val="major"/>
    </font>
    <font>
      <sz val="9"/>
      <color theme="1"/>
      <name val="Arial"/>
      <family val="2"/>
      <scheme val="major"/>
    </font>
    <font>
      <b/>
      <sz val="9"/>
      <color theme="1"/>
      <name val="Arial"/>
      <family val="2"/>
      <scheme val="major"/>
    </font>
    <font>
      <sz val="9"/>
      <color theme="0"/>
      <name val="Arial"/>
      <family val="2"/>
      <scheme val="major"/>
    </font>
    <font>
      <b/>
      <sz val="9"/>
      <color rgb="FF0000FF"/>
      <name val="Arial"/>
      <family val="2"/>
      <scheme val="major"/>
    </font>
    <font>
      <sz val="9"/>
      <color theme="0" tint="-0.499984740745262"/>
      <name val="Arial"/>
      <family val="2"/>
      <scheme val="major"/>
    </font>
    <font>
      <sz val="9"/>
      <color rgb="FF008000"/>
      <name val="Arial"/>
      <family val="2"/>
      <scheme val="major"/>
    </font>
    <font>
      <b/>
      <sz val="9"/>
      <color theme="9" tint="-0.499984740745262"/>
      <name val="Arial"/>
      <family val="2"/>
      <scheme val="major"/>
    </font>
    <font>
      <sz val="9"/>
      <color rgb="FF00B050"/>
      <name val="Arial"/>
      <family val="2"/>
      <scheme val="major"/>
    </font>
    <font>
      <sz val="9"/>
      <color rgb="FF00B0F0"/>
      <name val="Arial"/>
      <family val="2"/>
      <scheme val="major"/>
    </font>
    <font>
      <i/>
      <sz val="9"/>
      <color theme="0" tint="-0.499984740745262"/>
      <name val="Arial"/>
      <family val="2"/>
      <scheme val="major"/>
    </font>
    <font>
      <b/>
      <sz val="9"/>
      <color theme="0" tint="-0.499984740745262"/>
      <name val="Arial"/>
      <family val="2"/>
      <scheme val="major"/>
    </font>
    <font>
      <sz val="9"/>
      <color theme="0" tint="-0.34998626667073579"/>
      <name val="Arial"/>
      <family val="2"/>
      <scheme val="major"/>
    </font>
    <font>
      <b/>
      <u/>
      <sz val="9"/>
      <color theme="1"/>
      <name val="Arial"/>
      <family val="2"/>
      <scheme val="major"/>
    </font>
    <font>
      <b/>
      <sz val="9"/>
      <color rgb="FFFF0000"/>
      <name val="Arial"/>
      <family val="2"/>
      <scheme val="major"/>
    </font>
    <font>
      <sz val="8"/>
      <color theme="0"/>
      <name val="Arial"/>
      <family val="2"/>
      <scheme val="major"/>
    </font>
    <font>
      <b/>
      <sz val="8"/>
      <name val="Arial"/>
      <family val="2"/>
      <scheme val="major"/>
    </font>
    <font>
      <sz val="8"/>
      <name val="Arial"/>
      <family val="2"/>
      <scheme val="major"/>
    </font>
    <font>
      <sz val="8"/>
      <color rgb="FFFF0000"/>
      <name val="Arial"/>
      <family val="2"/>
      <scheme val="major"/>
    </font>
    <font>
      <b/>
      <u/>
      <sz val="8"/>
      <name val="Arial"/>
      <family val="2"/>
      <scheme val="major"/>
    </font>
    <font>
      <i/>
      <sz val="8"/>
      <name val="Arial"/>
      <family val="2"/>
      <scheme val="major"/>
    </font>
    <font>
      <sz val="10"/>
      <color theme="0" tint="-0.34998626667073579"/>
      <name val="Arial"/>
      <family val="2"/>
    </font>
    <font>
      <b/>
      <sz val="9"/>
      <color theme="0"/>
      <name val="Arial"/>
      <family val="2"/>
    </font>
    <font>
      <b/>
      <sz val="9"/>
      <color rgb="FF0000FF"/>
      <name val="Arial"/>
      <family val="2"/>
    </font>
    <font>
      <b/>
      <sz val="9"/>
      <color rgb="FFFF6600"/>
      <name val="Arial"/>
      <family val="2"/>
    </font>
    <font>
      <b/>
      <sz val="9"/>
      <color theme="1"/>
      <name val="Arial"/>
      <family val="2"/>
    </font>
    <font>
      <sz val="9"/>
      <color rgb="FF0000FF"/>
      <name val="Arial"/>
      <family val="2"/>
    </font>
    <font>
      <b/>
      <sz val="9"/>
      <color rgb="FF008000"/>
      <name val="Arial"/>
      <family val="2"/>
    </font>
    <font>
      <sz val="9"/>
      <color rgb="FFFF0000"/>
      <name val="Arial"/>
      <family val="2"/>
    </font>
    <font>
      <sz val="9"/>
      <color rgb="FFFF6600"/>
      <name val="Arial"/>
      <family val="2"/>
    </font>
    <font>
      <u/>
      <sz val="10"/>
      <color theme="10"/>
      <name val="Helvetica"/>
      <family val="2"/>
    </font>
    <font>
      <b/>
      <i/>
      <sz val="8"/>
      <name val="Arial"/>
      <family val="2"/>
      <scheme val="major"/>
    </font>
    <font>
      <sz val="8"/>
      <color rgb="FF008000"/>
      <name val="Arial"/>
      <family val="2"/>
    </font>
    <font>
      <b/>
      <sz val="12"/>
      <color theme="1"/>
      <name val="Arial"/>
      <family val="2"/>
      <scheme val="major"/>
    </font>
    <font>
      <sz val="12"/>
      <color theme="1"/>
      <name val="Arial"/>
      <family val="2"/>
      <scheme val="major"/>
    </font>
    <font>
      <b/>
      <sz val="12"/>
      <color theme="0"/>
      <name val="Arial"/>
      <family val="2"/>
      <scheme val="major"/>
    </font>
    <font>
      <sz val="8"/>
      <color rgb="FFC00000"/>
      <name val="Arial"/>
      <family val="2"/>
    </font>
    <font>
      <sz val="8"/>
      <color theme="3"/>
      <name val="Arial"/>
      <family val="2"/>
    </font>
    <font>
      <b/>
      <sz val="11"/>
      <color rgb="FF0000FF"/>
      <name val="arial"/>
      <family val="2"/>
    </font>
    <font>
      <sz val="8"/>
      <color theme="1"/>
      <name val="Arial"/>
      <family val="2"/>
      <scheme val="major"/>
    </font>
    <font>
      <b/>
      <sz val="8"/>
      <color theme="0"/>
      <name val="Arial"/>
      <family val="2"/>
      <scheme val="major"/>
    </font>
    <font>
      <sz val="10"/>
      <color theme="1"/>
      <name val="Arial"/>
      <family val="2"/>
      <scheme val="major"/>
    </font>
    <font>
      <i/>
      <sz val="8"/>
      <color rgb="FFFF0000"/>
      <name val="Arial"/>
      <family val="2"/>
    </font>
    <font>
      <sz val="8"/>
      <color rgb="FFFF0000"/>
      <name val="Arial"/>
      <family val="2"/>
    </font>
    <font>
      <sz val="10"/>
      <color theme="8" tint="0.39997558519241921"/>
      <name val="Arial"/>
      <family val="2"/>
    </font>
    <font>
      <sz val="9"/>
      <color theme="9" tint="-0.499984740745262"/>
      <name val="Arial"/>
      <family val="2"/>
      <scheme val="major"/>
    </font>
    <font>
      <i/>
      <sz val="9"/>
      <color theme="0"/>
      <name val="Arial"/>
      <family val="2"/>
      <scheme val="major"/>
    </font>
    <font>
      <b/>
      <sz val="10"/>
      <color theme="0"/>
      <name val="Helvetica"/>
    </font>
    <font>
      <sz val="10"/>
      <color theme="0"/>
      <name val="Helvetica"/>
    </font>
    <font>
      <u/>
      <sz val="10"/>
      <color theme="0"/>
      <name val="Helvetica"/>
      <family val="2"/>
    </font>
    <font>
      <b/>
      <u/>
      <sz val="9"/>
      <color theme="0"/>
      <name val="Arial"/>
      <family val="2"/>
      <scheme val="major"/>
    </font>
    <font>
      <sz val="10"/>
      <color theme="0"/>
      <name val="Arial"/>
      <family val="2"/>
      <scheme val="major"/>
    </font>
    <font>
      <b/>
      <sz val="10"/>
      <color theme="0"/>
      <name val="Arial"/>
      <family val="2"/>
      <scheme val="major"/>
    </font>
    <font>
      <u/>
      <sz val="10"/>
      <color theme="0"/>
      <name val="Arial"/>
      <family val="2"/>
    </font>
    <font>
      <b/>
      <sz val="10"/>
      <color theme="0"/>
      <name val="Helvetica"/>
      <family val="2"/>
    </font>
    <font>
      <i/>
      <sz val="10"/>
      <color theme="0"/>
      <name val="Helvetica"/>
      <family val="2"/>
    </font>
    <font>
      <sz val="10"/>
      <color theme="0"/>
      <name val="Arial"/>
      <family val="2"/>
      <scheme val="minor"/>
    </font>
    <font>
      <b/>
      <i/>
      <sz val="10"/>
      <color theme="0"/>
      <name val="Helvetica"/>
      <family val="2"/>
    </font>
  </fonts>
  <fills count="115">
    <fill>
      <patternFill patternType="none"/>
    </fill>
    <fill>
      <patternFill patternType="gray125"/>
    </fill>
    <fill>
      <patternFill patternType="solid">
        <fgColor indexed="30"/>
      </patternFill>
    </fill>
    <fill>
      <patternFill patternType="solid">
        <fgColor indexed="31"/>
      </patternFill>
    </fill>
    <fill>
      <patternFill patternType="solid">
        <fgColor indexed="27"/>
      </patternFill>
    </fill>
    <fill>
      <patternFill patternType="solid">
        <fgColor indexed="45"/>
      </patternFill>
    </fill>
    <fill>
      <patternFill patternType="solid">
        <fgColor indexed="42"/>
      </patternFill>
    </fill>
    <fill>
      <patternFill patternType="solid">
        <fgColor indexed="9"/>
      </patternFill>
    </fill>
    <fill>
      <patternFill patternType="solid">
        <fgColor indexed="4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solid">
        <fgColor indexed="13"/>
        <bgColor indexed="64"/>
      </patternFill>
    </fill>
    <fill>
      <patternFill patternType="solid">
        <fgColor indexed="22"/>
        <bgColor indexed="64"/>
      </patternFill>
    </fill>
    <fill>
      <patternFill patternType="gray0625">
        <fgColor indexed="10"/>
        <bgColor indexed="9"/>
      </patternFill>
    </fill>
    <fill>
      <patternFill patternType="lightGray">
        <fgColor indexed="14"/>
        <bgColor indexed="9"/>
      </patternFill>
    </fill>
    <fill>
      <patternFill patternType="lightGray">
        <fgColor indexed="12"/>
        <bgColor indexed="9"/>
      </patternFill>
    </fill>
    <fill>
      <patternFill patternType="solid">
        <fgColor indexed="11"/>
        <bgColor indexed="9"/>
      </patternFill>
    </fill>
    <fill>
      <patternFill patternType="solid">
        <fgColor indexed="13"/>
      </patternFill>
    </fill>
    <fill>
      <patternFill patternType="lightGray">
        <fgColor indexed="22"/>
        <bgColor indexed="9"/>
      </patternFill>
    </fill>
    <fill>
      <patternFill patternType="solid">
        <fgColor rgb="FFFFCC99"/>
      </patternFill>
    </fill>
    <fill>
      <patternFill patternType="lightGray">
        <fgColor indexed="12"/>
      </patternFill>
    </fill>
    <fill>
      <patternFill patternType="solid">
        <fgColor indexed="18"/>
        <bgColor indexed="64"/>
      </patternFill>
    </fill>
    <fill>
      <patternFill patternType="solid">
        <fgColor indexed="16"/>
        <bgColor indexed="64"/>
      </patternFill>
    </fill>
    <fill>
      <patternFill patternType="solid">
        <fgColor indexed="8"/>
        <bgColor indexed="64"/>
      </patternFill>
    </fill>
    <fill>
      <patternFill patternType="gray0625"/>
    </fill>
    <fill>
      <patternFill patternType="lightGray">
        <fgColor indexed="15"/>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99"/>
        <bgColor indexed="64"/>
      </patternFill>
    </fill>
    <fill>
      <patternFill patternType="mediumGray">
        <fgColor indexed="9"/>
        <bgColor indexed="43"/>
      </patternFill>
    </fill>
    <fill>
      <patternFill patternType="mediumGray">
        <fgColor indexed="9"/>
        <bgColor indexed="41"/>
      </patternFill>
    </fill>
    <fill>
      <patternFill patternType="solid">
        <fgColor theme="5" tint="-0.749992370372631"/>
        <bgColor indexed="64"/>
      </patternFill>
    </fill>
    <fill>
      <patternFill patternType="solid">
        <fgColor theme="7" tint="-0.249977111117893"/>
        <bgColor indexed="64"/>
      </patternFill>
    </fill>
    <fill>
      <patternFill patternType="solid">
        <fgColor indexed="42"/>
        <bgColor indexed="64"/>
      </patternFill>
    </fill>
    <fill>
      <patternFill patternType="solid">
        <fgColor indexed="35"/>
        <bgColor indexed="64"/>
      </patternFill>
    </fill>
    <fill>
      <patternFill patternType="solid">
        <fgColor indexed="41"/>
        <bgColor indexed="64"/>
      </patternFill>
    </fill>
    <fill>
      <patternFill patternType="solid">
        <fgColor indexed="11"/>
        <bgColor indexed="64"/>
      </patternFill>
    </fill>
    <fill>
      <patternFill patternType="solid">
        <fgColor theme="5"/>
        <bgColor indexed="64"/>
      </patternFill>
    </fill>
    <fill>
      <patternFill patternType="solid">
        <fgColor rgb="FFFF99FF"/>
        <bgColor indexed="64"/>
      </patternFill>
    </fill>
    <fill>
      <patternFill patternType="solid">
        <fgColor theme="4"/>
        <bgColor indexed="64"/>
      </patternFill>
    </fill>
    <fill>
      <patternFill patternType="solid">
        <fgColor rgb="FFFFFF00"/>
        <bgColor indexed="64"/>
      </patternFill>
    </fill>
    <fill>
      <patternFill patternType="solid">
        <fgColor rgb="FF92D050"/>
        <bgColor indexed="64"/>
      </patternFill>
    </fill>
    <fill>
      <patternFill patternType="solid">
        <fgColor rgb="FF002060"/>
        <bgColor indexed="64"/>
      </patternFill>
    </fill>
    <fill>
      <patternFill patternType="solid">
        <fgColor theme="4" tint="0.89999084444715716"/>
        <bgColor indexed="64"/>
      </patternFill>
    </fill>
    <fill>
      <patternFill patternType="solid">
        <fgColor theme="2"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4F81BD"/>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style="thin">
        <color indexed="48"/>
      </top>
      <bottom style="double">
        <color indexed="48"/>
      </bottom>
      <diagonal/>
    </border>
    <border>
      <left/>
      <right/>
      <top/>
      <bottom style="double">
        <color indexed="17"/>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hair">
        <color indexed="64"/>
      </top>
      <bottom style="hair">
        <color indexed="64"/>
      </bottom>
      <diagonal/>
    </border>
    <border>
      <left/>
      <right/>
      <top style="medium">
        <color indexed="64"/>
      </top>
      <bottom style="medium">
        <color indexed="64"/>
      </bottom>
      <diagonal/>
    </border>
    <border>
      <left/>
      <right style="medium">
        <color indexed="64"/>
      </right>
      <top/>
      <bottom/>
      <diagonal/>
    </border>
    <border>
      <left/>
      <right/>
      <top style="hair">
        <color indexed="8"/>
      </top>
      <bottom style="hair">
        <color indexed="8"/>
      </bottom>
      <diagonal/>
    </border>
    <border>
      <left/>
      <right/>
      <top/>
      <bottom style="medium">
        <color indexed="18"/>
      </bottom>
      <diagonal/>
    </border>
    <border>
      <left/>
      <right style="thick">
        <color indexed="64"/>
      </right>
      <top style="thick">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32"/>
      </top>
      <bottom style="medium">
        <color indexed="32"/>
      </bottom>
      <diagonal/>
    </border>
    <border>
      <left/>
      <right/>
      <top/>
      <bottom style="dotted">
        <color indexed="64"/>
      </bottom>
      <diagonal/>
    </border>
    <border>
      <left/>
      <right/>
      <top style="medium">
        <color indexed="64"/>
      </top>
      <bottom/>
      <diagonal/>
    </border>
    <border>
      <left/>
      <right/>
      <top style="dotted">
        <color indexed="64"/>
      </top>
      <bottom style="dotted">
        <color indexed="64"/>
      </bottom>
      <diagonal/>
    </border>
    <border>
      <left style="thin">
        <color indexed="9"/>
      </left>
      <right/>
      <top style="thin">
        <color indexed="9"/>
      </top>
      <bottom style="thin">
        <color indexed="23"/>
      </bottom>
      <diagonal/>
    </border>
    <border>
      <left style="thin">
        <color indexed="23"/>
      </left>
      <right style="dashed">
        <color indexed="9"/>
      </right>
      <top/>
      <bottom style="dashed">
        <color indexed="9"/>
      </bottom>
      <diagonal/>
    </border>
    <border>
      <left/>
      <right/>
      <top style="thin">
        <color indexed="8"/>
      </top>
      <bottom style="thin">
        <color indexed="8"/>
      </bottom>
      <diagonal/>
    </border>
    <border>
      <left style="medium">
        <color indexed="9"/>
      </left>
      <right style="medium">
        <color indexed="9"/>
      </right>
      <top/>
      <bottom/>
      <diagonal/>
    </border>
    <border>
      <left/>
      <right style="thin">
        <color indexed="8"/>
      </right>
      <top style="thin">
        <color indexed="8"/>
      </top>
      <bottom/>
      <diagonal/>
    </border>
    <border>
      <left style="thick">
        <color indexed="9"/>
      </left>
      <right style="thick">
        <color indexed="9"/>
      </right>
      <top/>
      <bottom style="double">
        <color indexed="64"/>
      </bottom>
      <diagonal/>
    </border>
    <border>
      <left/>
      <right/>
      <top/>
      <bottom style="thin">
        <color auto="1"/>
      </bottom>
      <diagonal/>
    </border>
    <border>
      <left/>
      <right/>
      <top style="hair">
        <color indexed="64"/>
      </top>
      <bottom style="hair">
        <color indexed="64"/>
      </bottom>
      <diagonal/>
    </border>
    <border>
      <left/>
      <right/>
      <top style="hair">
        <color indexed="8"/>
      </top>
      <bottom style="hair">
        <color indexed="8"/>
      </bottom>
      <diagonal/>
    </border>
    <border>
      <left style="thin">
        <color rgb="FF3F3F3F"/>
      </left>
      <right style="thin">
        <color rgb="FF3F3F3F"/>
      </right>
      <top style="thin">
        <color rgb="FF3F3F3F"/>
      </top>
      <bottom style="thin">
        <color rgb="FF3F3F3F"/>
      </bottom>
      <diagonal/>
    </border>
    <border>
      <left/>
      <right/>
      <top/>
      <bottom style="double">
        <color indexed="64"/>
      </bottom>
      <diagonal/>
    </border>
    <border>
      <left/>
      <right/>
      <top style="thin">
        <color theme="4"/>
      </top>
      <bottom style="double">
        <color theme="4"/>
      </bottom>
      <diagonal/>
    </border>
    <border>
      <left/>
      <right/>
      <top style="double">
        <color indexed="64"/>
      </top>
      <bottom/>
      <diagonal/>
    </border>
    <border>
      <left/>
      <right/>
      <top style="dashed">
        <color indexed="64"/>
      </top>
      <bottom/>
      <diagonal/>
    </border>
    <border>
      <left style="thin">
        <color indexed="9"/>
      </left>
      <right style="thin">
        <color indexed="9"/>
      </right>
      <top style="thin">
        <color indexed="9"/>
      </top>
      <bottom style="thin">
        <color indexed="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rgb="FFFF0000"/>
      </left>
      <right style="thin">
        <color rgb="FFFF0000"/>
      </right>
      <top style="thin">
        <color rgb="FFFF0000"/>
      </top>
      <bottom style="thin">
        <color indexed="64"/>
      </bottom>
      <diagonal/>
    </border>
  </borders>
  <cellStyleXfs count="11360">
    <xf numFmtId="0" fontId="0" fillId="0" borderId="0"/>
    <xf numFmtId="0" fontId="13" fillId="0" borderId="0"/>
    <xf numFmtId="178" fontId="31" fillId="0" borderId="0"/>
    <xf numFmtId="0" fontId="13" fillId="0" borderId="0"/>
    <xf numFmtId="179" fontId="31" fillId="0" borderId="0"/>
    <xf numFmtId="0" fontId="31" fillId="0" borderId="0"/>
    <xf numFmtId="0" fontId="31" fillId="0" borderId="0"/>
    <xf numFmtId="0" fontId="31" fillId="0" borderId="0"/>
    <xf numFmtId="0" fontId="13" fillId="0" borderId="0"/>
    <xf numFmtId="0" fontId="58" fillId="0" borderId="0"/>
    <xf numFmtId="0" fontId="13" fillId="0" borderId="0"/>
    <xf numFmtId="0" fontId="16" fillId="3"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8" borderId="0" applyNumberFormat="0" applyBorder="0" applyAlignment="0" applyProtection="0">
      <alignment vertical="center"/>
    </xf>
    <xf numFmtId="0" fontId="16" fillId="4" borderId="0" applyNumberFormat="0" applyBorder="0" applyAlignment="0" applyProtection="0">
      <alignment vertical="center"/>
    </xf>
    <xf numFmtId="0" fontId="16" fillId="9" borderId="0" applyNumberFormat="0" applyBorder="0" applyAlignment="0" applyProtection="0">
      <alignment vertical="center"/>
    </xf>
    <xf numFmtId="0" fontId="44" fillId="3" borderId="0" applyNumberFormat="0" applyBorder="0" applyAlignment="0" applyProtection="0">
      <alignment vertical="center"/>
    </xf>
    <xf numFmtId="0" fontId="44" fillId="5" borderId="0" applyNumberFormat="0" applyBorder="0" applyAlignment="0" applyProtection="0">
      <alignment vertical="center"/>
    </xf>
    <xf numFmtId="0" fontId="44" fillId="6" borderId="0" applyNumberFormat="0" applyBorder="0" applyAlignment="0" applyProtection="0">
      <alignment vertical="center"/>
    </xf>
    <xf numFmtId="0" fontId="44" fillId="8" borderId="0" applyNumberFormat="0" applyBorder="0" applyAlignment="0" applyProtection="0">
      <alignment vertical="center"/>
    </xf>
    <xf numFmtId="0" fontId="44" fillId="4" borderId="0" applyNumberFormat="0" applyBorder="0" applyAlignment="0" applyProtection="0">
      <alignment vertical="center"/>
    </xf>
    <xf numFmtId="0" fontId="44" fillId="9"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8" borderId="0" applyNumberFormat="0" applyBorder="0" applyAlignment="0" applyProtection="0">
      <alignment vertical="center"/>
    </xf>
    <xf numFmtId="0" fontId="16" fillId="10" borderId="0" applyNumberFormat="0" applyBorder="0" applyAlignment="0" applyProtection="0">
      <alignment vertical="center"/>
    </xf>
    <xf numFmtId="0" fontId="16" fillId="13"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4" fillId="8" borderId="0" applyNumberFormat="0" applyBorder="0" applyAlignment="0" applyProtection="0">
      <alignment vertical="center"/>
    </xf>
    <xf numFmtId="0" fontId="44" fillId="10" borderId="0" applyNumberFormat="0" applyBorder="0" applyAlignment="0" applyProtection="0">
      <alignment vertical="center"/>
    </xf>
    <xf numFmtId="0" fontId="44" fillId="13" borderId="0" applyNumberFormat="0" applyBorder="0" applyAlignment="0" applyProtection="0">
      <alignment vertical="center"/>
    </xf>
    <xf numFmtId="0" fontId="35" fillId="2"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45" fillId="2" borderId="0" applyNumberFormat="0" applyBorder="0" applyAlignment="0" applyProtection="0">
      <alignment vertical="center"/>
    </xf>
    <xf numFmtId="0" fontId="45" fillId="11" borderId="0" applyNumberFormat="0" applyBorder="0" applyAlignment="0" applyProtection="0">
      <alignment vertical="center"/>
    </xf>
    <xf numFmtId="0" fontId="45" fillId="12" borderId="0" applyNumberFormat="0" applyBorder="0" applyAlignment="0" applyProtection="0">
      <alignment vertical="center"/>
    </xf>
    <xf numFmtId="0" fontId="45"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35" fillId="24" borderId="0" applyNumberFormat="0" applyBorder="0" applyAlignment="0" applyProtection="0">
      <alignment vertical="center"/>
    </xf>
    <xf numFmtId="0" fontId="35" fillId="24" borderId="0" applyNumberFormat="0" applyBorder="0" applyAlignment="0" applyProtection="0">
      <alignment vertical="center"/>
    </xf>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35" fillId="30" borderId="0" applyNumberFormat="0" applyBorder="0" applyAlignment="0" applyProtection="0">
      <alignment vertical="center"/>
    </xf>
    <xf numFmtId="0" fontId="35" fillId="30" borderId="0" applyNumberFormat="0" applyBorder="0" applyAlignment="0" applyProtection="0">
      <alignment vertical="center"/>
    </xf>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27"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20" borderId="0" applyNumberFormat="0" applyBorder="0" applyAlignment="0" applyProtection="0"/>
    <xf numFmtId="0" fontId="35" fillId="35" borderId="0" applyNumberFormat="0" applyBorder="0" applyAlignment="0" applyProtection="0">
      <alignment vertical="center"/>
    </xf>
    <xf numFmtId="0" fontId="35" fillId="35" borderId="0" applyNumberFormat="0" applyBorder="0" applyAlignment="0" applyProtection="0">
      <alignment vertical="center"/>
    </xf>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7"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0"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35" fillId="15" borderId="0" applyNumberFormat="0" applyBorder="0" applyAlignment="0" applyProtection="0">
      <alignment vertical="center"/>
    </xf>
    <xf numFmtId="0" fontId="35" fillId="15" borderId="0" applyNumberFormat="0" applyBorder="0" applyAlignment="0" applyProtection="0">
      <alignment vertical="center"/>
    </xf>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19" borderId="0" applyNumberFormat="0" applyBorder="0" applyAlignment="0" applyProtection="0"/>
    <xf numFmtId="0" fontId="73"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35" fillId="16" borderId="0" applyNumberFormat="0" applyBorder="0" applyAlignment="0" applyProtection="0">
      <alignment vertical="center"/>
    </xf>
    <xf numFmtId="0" fontId="35" fillId="16" borderId="0" applyNumberFormat="0" applyBorder="0" applyAlignment="0" applyProtection="0">
      <alignment vertical="center"/>
    </xf>
    <xf numFmtId="0" fontId="73" fillId="36"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2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74" fillId="37" borderId="0" applyNumberFormat="0" applyBorder="0" applyAlignment="0" applyProtection="0"/>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64" fillId="5" borderId="0" applyNumberFormat="0" applyBorder="0" applyAlignment="0" applyProtection="0">
      <alignment vertical="center"/>
    </xf>
    <xf numFmtId="0" fontId="58" fillId="10" borderId="0" applyNumberFormat="0" applyBorder="0" applyAlignment="0">
      <protection locked="0"/>
    </xf>
    <xf numFmtId="0" fontId="41" fillId="40" borderId="1" applyNumberFormat="0" applyAlignment="0" applyProtection="0">
      <alignment vertical="center"/>
    </xf>
    <xf numFmtId="0" fontId="23" fillId="41" borderId="2" applyNumberFormat="0" applyAlignment="0" applyProtection="0">
      <alignment vertical="center"/>
    </xf>
    <xf numFmtId="43" fontId="28" fillId="0" borderId="0" applyFont="0" applyFill="0" applyBorder="0" applyAlignment="0" applyProtection="0"/>
    <xf numFmtId="43" fontId="13" fillId="0" borderId="0" applyFont="0" applyFill="0" applyBorder="0" applyAlignment="0" applyProtection="0"/>
    <xf numFmtId="43" fontId="56" fillId="0" borderId="0" applyFont="0" applyFill="0" applyBorder="0" applyAlignment="0" applyProtection="0"/>
    <xf numFmtId="43" fontId="92" fillId="0" borderId="0" applyFont="0" applyFill="0" applyBorder="0" applyAlignment="0" applyProtection="0"/>
    <xf numFmtId="168" fontId="13" fillId="0" borderId="0" applyFont="0" applyFill="0" applyBorder="0" applyAlignment="0" applyProtection="0"/>
    <xf numFmtId="43" fontId="13" fillId="0" borderId="0" applyFont="0" applyFill="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65" fillId="0" borderId="0" applyNumberFormat="0" applyFill="0" applyBorder="0" applyAlignment="0" applyProtection="0">
      <alignment vertical="center"/>
    </xf>
    <xf numFmtId="0" fontId="39" fillId="6" borderId="0" applyNumberFormat="0" applyBorder="0" applyAlignment="0" applyProtection="0">
      <alignment vertical="center"/>
    </xf>
    <xf numFmtId="0" fontId="66" fillId="0" borderId="3" applyNumberFormat="0" applyFill="0" applyAlignment="0" applyProtection="0">
      <alignment vertical="center"/>
    </xf>
    <xf numFmtId="0" fontId="67" fillId="0" borderId="4" applyNumberFormat="0" applyFill="0" applyAlignment="0" applyProtection="0">
      <alignment vertical="center"/>
    </xf>
    <xf numFmtId="0" fontId="68" fillId="0" borderId="5" applyNumberFormat="0" applyFill="0" applyAlignment="0" applyProtection="0">
      <alignment vertical="center"/>
    </xf>
    <xf numFmtId="0" fontId="68"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69" fillId="9" borderId="1" applyNumberFormat="0" applyAlignment="0" applyProtection="0">
      <alignment vertical="center"/>
    </xf>
    <xf numFmtId="0" fontId="38" fillId="0" borderId="6" applyNumberFormat="0" applyFill="0" applyAlignment="0" applyProtection="0">
      <alignment vertical="center"/>
    </xf>
    <xf numFmtId="0" fontId="70" fillId="47" borderId="0" applyNumberFormat="0" applyBorder="0" applyAlignment="0" applyProtection="0">
      <alignment vertical="center"/>
    </xf>
    <xf numFmtId="0" fontId="92" fillId="0" borderId="0"/>
    <xf numFmtId="0" fontId="92" fillId="0" borderId="0"/>
    <xf numFmtId="0" fontId="13" fillId="0" borderId="0"/>
    <xf numFmtId="0" fontId="13" fillId="0" borderId="0"/>
    <xf numFmtId="0" fontId="13" fillId="0" borderId="0"/>
    <xf numFmtId="0" fontId="13" fillId="0" borderId="0"/>
    <xf numFmtId="0" fontId="58" fillId="14" borderId="7" applyNumberFormat="0" applyFont="0" applyAlignment="0" applyProtection="0">
      <alignment vertical="center"/>
    </xf>
    <xf numFmtId="0" fontId="71" fillId="40" borderId="8" applyNumberFormat="0" applyAlignment="0" applyProtection="0">
      <alignment vertical="center"/>
    </xf>
    <xf numFmtId="9" fontId="13" fillId="0" borderId="0" applyFont="0" applyFill="0" applyBorder="0" applyAlignment="0" applyProtection="0"/>
    <xf numFmtId="9" fontId="56" fillId="0" borderId="0" applyFont="0" applyFill="0" applyBorder="0" applyAlignment="0" applyProtection="0"/>
    <xf numFmtId="9" fontId="92" fillId="0" borderId="0" applyFont="0" applyFill="0" applyBorder="0" applyAlignment="0" applyProtection="0"/>
    <xf numFmtId="9" fontId="13" fillId="0" borderId="0" applyFont="0" applyFill="0" applyBorder="0" applyAlignment="0" applyProtection="0"/>
    <xf numFmtId="0" fontId="13" fillId="0" borderId="0"/>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18" fillId="7" borderId="12" applyNumberFormat="0">
      <protection locked="0"/>
    </xf>
    <xf numFmtId="0" fontId="25" fillId="52" borderId="13" applyBorder="0"/>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6" fillId="56" borderId="14" applyNumberFormat="0" applyProtection="0">
      <alignment vertical="center"/>
    </xf>
    <xf numFmtId="4" fontId="78" fillId="14" borderId="10" applyNumberFormat="0" applyProtection="0">
      <alignment vertical="center"/>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0" fontId="18" fillId="59" borderId="14"/>
    <xf numFmtId="0" fontId="18" fillId="59" borderId="14"/>
    <xf numFmtId="0" fontId="18" fillId="59" borderId="14"/>
    <xf numFmtId="0" fontId="18" fillId="59" borderId="14"/>
    <xf numFmtId="0" fontId="18" fillId="59" borderId="14"/>
    <xf numFmtId="0" fontId="18" fillId="59" borderId="14"/>
    <xf numFmtId="0" fontId="18" fillId="59" borderId="14"/>
    <xf numFmtId="0" fontId="18" fillId="59" borderId="14"/>
    <xf numFmtId="0" fontId="18" fillId="59" borderId="14"/>
    <xf numFmtId="0" fontId="18" fillId="59" borderId="14"/>
    <xf numFmtId="0" fontId="18" fillId="59" borderId="14"/>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3" fillId="0" borderId="0">
      <alignment vertical="top"/>
    </xf>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59" fillId="0" borderId="0" applyNumberFormat="0" applyFill="0" applyBorder="0" applyAlignment="0" applyProtection="0">
      <alignment vertical="center"/>
    </xf>
    <xf numFmtId="0" fontId="15" fillId="0" borderId="15" applyNumberFormat="0" applyFill="0" applyAlignment="0" applyProtection="0">
      <alignment vertical="center"/>
    </xf>
    <xf numFmtId="0" fontId="57" fillId="0" borderId="0" applyNumberFormat="0" applyFill="0" applyBorder="0" applyAlignment="0" applyProtection="0">
      <alignment vertical="center"/>
    </xf>
    <xf numFmtId="0" fontId="82" fillId="0" borderId="0"/>
    <xf numFmtId="3" fontId="17" fillId="0" borderId="0"/>
    <xf numFmtId="168" fontId="58" fillId="0" borderId="0" applyFont="0" applyFill="0" applyBorder="0" applyAlignment="0" applyProtection="0"/>
    <xf numFmtId="0" fontId="50" fillId="6" borderId="0" applyNumberFormat="0" applyBorder="0" applyAlignment="0" applyProtection="0">
      <alignment vertical="center"/>
    </xf>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50" fillId="6" borderId="0" applyNumberFormat="0" applyBorder="0" applyAlignment="0" applyProtection="0">
      <alignment vertical="center"/>
    </xf>
    <xf numFmtId="0" fontId="50" fillId="50" borderId="0" applyNumberFormat="0" applyBorder="0" applyAlignment="0" applyProtection="0">
      <alignment vertical="center"/>
    </xf>
    <xf numFmtId="0" fontId="50" fillId="5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5" borderId="0" applyNumberFormat="0" applyBorder="0" applyAlignment="0" applyProtection="0">
      <alignment vertical="center"/>
    </xf>
    <xf numFmtId="0" fontId="18" fillId="60" borderId="0"/>
    <xf numFmtId="0" fontId="18" fillId="60" borderId="0"/>
    <xf numFmtId="0" fontId="18" fillId="60" borderId="0"/>
    <xf numFmtId="0" fontId="18" fillId="60" borderId="0"/>
    <xf numFmtId="0" fontId="18" fillId="60" borderId="0"/>
    <xf numFmtId="0" fontId="18" fillId="60" borderId="0"/>
    <xf numFmtId="0" fontId="18" fillId="60" borderId="0"/>
    <xf numFmtId="0" fontId="18" fillId="60" borderId="0"/>
    <xf numFmtId="0" fontId="18" fillId="60" borderId="0"/>
    <xf numFmtId="0" fontId="58"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4" fillId="0" borderId="0">
      <alignment vertical="center"/>
    </xf>
    <xf numFmtId="0" fontId="18" fillId="60" borderId="0"/>
    <xf numFmtId="0" fontId="18" fillId="60" borderId="0"/>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alignment vertical="center"/>
    </xf>
    <xf numFmtId="0" fontId="58"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44" fillId="0" borderId="0">
      <alignment vertical="center"/>
    </xf>
    <xf numFmtId="0" fontId="58" fillId="0" borderId="0">
      <alignment vertical="center"/>
    </xf>
    <xf numFmtId="0" fontId="58" fillId="0" borderId="0">
      <alignment vertical="center"/>
    </xf>
    <xf numFmtId="0" fontId="58" fillId="0" borderId="0">
      <alignment vertical="center"/>
    </xf>
    <xf numFmtId="0" fontId="44" fillId="0" borderId="0">
      <alignment vertical="center"/>
    </xf>
    <xf numFmtId="0" fontId="44" fillId="0" borderId="0">
      <alignment vertical="center"/>
    </xf>
    <xf numFmtId="0" fontId="18" fillId="60" borderId="0"/>
    <xf numFmtId="0" fontId="45" fillId="24" borderId="0" applyNumberFormat="0" applyBorder="0" applyAlignment="0" applyProtection="0">
      <alignment vertical="center"/>
    </xf>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45" fillId="30" borderId="0" applyNumberFormat="0" applyBorder="0" applyAlignment="0" applyProtection="0">
      <alignment vertical="center"/>
    </xf>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45" fillId="35" borderId="0" applyNumberFormat="0" applyBorder="0" applyAlignment="0" applyProtection="0">
      <alignment vertical="center"/>
    </xf>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45" fillId="15" borderId="0" applyNumberFormat="0" applyBorder="0" applyAlignment="0" applyProtection="0">
      <alignment vertical="center"/>
    </xf>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45" fillId="16" borderId="0" applyNumberFormat="0" applyBorder="0" applyAlignment="0" applyProtection="0">
      <alignment vertical="center"/>
    </xf>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45" fillId="39" borderId="0" applyNumberFormat="0" applyBorder="0" applyAlignment="0" applyProtection="0">
      <alignment vertical="center"/>
    </xf>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59" fillId="0" borderId="0" applyNumberFormat="0" applyFill="0" applyBorder="0" applyAlignment="0" applyProtection="0">
      <alignment vertical="center"/>
    </xf>
    <xf numFmtId="0" fontId="60" fillId="0" borderId="3" applyNumberFormat="0" applyFill="0" applyAlignment="0" applyProtection="0">
      <alignment vertical="center"/>
    </xf>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83" fillId="0" borderId="16" applyNumberFormat="0" applyFill="0" applyAlignment="0" applyProtection="0"/>
    <xf numFmtId="0" fontId="61" fillId="0" borderId="4" applyNumberFormat="0" applyFill="0" applyAlignment="0" applyProtection="0">
      <alignment vertical="center"/>
    </xf>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84" fillId="0" borderId="17" applyNumberFormat="0" applyFill="0" applyAlignment="0" applyProtection="0"/>
    <xf numFmtId="0" fontId="62" fillId="0" borderId="5" applyNumberFormat="0" applyFill="0" applyAlignment="0" applyProtection="0">
      <alignment vertical="center"/>
    </xf>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85" fillId="0" borderId="18" applyNumberFormat="0" applyFill="0" applyAlignment="0" applyProtection="0"/>
    <xf numFmtId="0" fontId="62" fillId="0" borderId="0" applyNumberForma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8" fillId="41" borderId="2" applyNumberFormat="0" applyAlignment="0" applyProtection="0">
      <alignment vertical="center"/>
    </xf>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86" fillId="64" borderId="2" applyNumberFormat="0" applyAlignment="0" applyProtection="0"/>
    <xf numFmtId="0" fontId="54" fillId="0" borderId="15" applyNumberFormat="0" applyFill="0" applyAlignment="0" applyProtection="0">
      <alignment vertical="center"/>
    </xf>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75" fillId="0" borderId="19" applyNumberFormat="0" applyFill="0" applyAlignment="0" applyProtection="0"/>
    <xf numFmtId="0" fontId="58" fillId="14" borderId="7" applyNumberFormat="0" applyFont="0" applyAlignment="0" applyProtection="0">
      <alignment vertical="center"/>
    </xf>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18" fillId="36" borderId="9" applyNumberFormat="0" applyFont="0" applyAlignment="0" applyProtection="0"/>
    <xf numFmtId="0" fontId="49"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7" fillId="40" borderId="1" applyNumberFormat="0" applyAlignment="0" applyProtection="0">
      <alignment vertical="center"/>
    </xf>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88" fillId="66" borderId="9" applyNumberFormat="0" applyAlignment="0" applyProtection="0"/>
    <xf numFmtId="0" fontId="51" fillId="9" borderId="1" applyNumberFormat="0" applyAlignment="0" applyProtection="0">
      <alignment vertical="center"/>
    </xf>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89" fillId="37" borderId="9" applyNumberFormat="0" applyAlignment="0" applyProtection="0"/>
    <xf numFmtId="0" fontId="63" fillId="40" borderId="8" applyNumberFormat="0" applyAlignment="0" applyProtection="0">
      <alignment vertical="center"/>
    </xf>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90" fillId="66" borderId="8" applyNumberFormat="0" applyAlignment="0" applyProtection="0"/>
    <xf numFmtId="0" fontId="53" fillId="47" borderId="0" applyNumberFormat="0" applyBorder="0" applyAlignment="0" applyProtection="0">
      <alignment vertical="center"/>
    </xf>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52" fillId="0" borderId="6" applyNumberFormat="0" applyFill="0" applyAlignment="0" applyProtection="0">
      <alignment vertical="center"/>
    </xf>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91" fillId="0" borderId="20" applyNumberFormat="0" applyFill="0" applyAlignment="0" applyProtection="0"/>
    <xf numFmtId="0" fontId="31" fillId="0" borderId="0"/>
    <xf numFmtId="169" fontId="13" fillId="0" borderId="0" applyFill="0" applyBorder="0" applyProtection="0"/>
    <xf numFmtId="37" fontId="31" fillId="0" borderId="0"/>
    <xf numFmtId="0" fontId="31" fillId="0" borderId="0"/>
    <xf numFmtId="0" fontId="40" fillId="0" borderId="0" applyNumberFormat="0" applyFont="0" applyFill="0" applyBorder="0" applyAlignment="0" applyProtection="0"/>
    <xf numFmtId="239" fontId="31" fillId="0" borderId="0"/>
    <xf numFmtId="0" fontId="95" fillId="0" borderId="0"/>
    <xf numFmtId="166" fontId="96" fillId="0" borderId="0" applyFont="0" applyFill="0" applyBorder="0" applyAlignment="0" applyProtection="0"/>
    <xf numFmtId="41" fontId="72" fillId="0" borderId="0" applyFont="0" applyFill="0" applyBorder="0" applyAlignment="0" applyProtection="0"/>
    <xf numFmtId="43" fontId="72" fillId="0" borderId="0" applyFont="0" applyFill="0" applyBorder="0" applyAlignment="0" applyProtection="0"/>
    <xf numFmtId="240" fontId="97" fillId="0" borderId="0" applyFont="0" applyFill="0" applyBorder="0" applyAlignment="0" applyProtection="0"/>
    <xf numFmtId="3" fontId="72" fillId="0" borderId="0"/>
    <xf numFmtId="178" fontId="31" fillId="0" borderId="0"/>
    <xf numFmtId="241" fontId="31" fillId="0" borderId="0"/>
    <xf numFmtId="0" fontId="17" fillId="0" borderId="0"/>
    <xf numFmtId="0" fontId="31" fillId="0" borderId="0"/>
    <xf numFmtId="0" fontId="17" fillId="0" borderId="0"/>
    <xf numFmtId="241" fontId="31" fillId="0" borderId="0"/>
    <xf numFmtId="239" fontId="31" fillId="0" borderId="0"/>
    <xf numFmtId="178" fontId="31" fillId="0" borderId="0"/>
    <xf numFmtId="0" fontId="31" fillId="0" borderId="0"/>
    <xf numFmtId="178" fontId="31" fillId="0" borderId="0"/>
    <xf numFmtId="178" fontId="31" fillId="0" borderId="0"/>
    <xf numFmtId="239" fontId="31" fillId="0" borderId="0"/>
    <xf numFmtId="178" fontId="31" fillId="0" borderId="0"/>
    <xf numFmtId="0" fontId="31" fillId="0" borderId="0"/>
    <xf numFmtId="178" fontId="31" fillId="0" borderId="0"/>
    <xf numFmtId="178" fontId="31" fillId="0" borderId="0"/>
    <xf numFmtId="239" fontId="31" fillId="0" borderId="0"/>
    <xf numFmtId="178" fontId="31" fillId="0" borderId="0"/>
    <xf numFmtId="0" fontId="31" fillId="0" borderId="0"/>
    <xf numFmtId="178" fontId="31" fillId="0" borderId="0"/>
    <xf numFmtId="178" fontId="31" fillId="0" borderId="0"/>
    <xf numFmtId="239" fontId="31" fillId="0" borderId="0"/>
    <xf numFmtId="178" fontId="31" fillId="0" borderId="0"/>
    <xf numFmtId="0" fontId="31" fillId="0" borderId="0"/>
    <xf numFmtId="178" fontId="31" fillId="0" borderId="0"/>
    <xf numFmtId="178" fontId="31" fillId="0" borderId="0"/>
    <xf numFmtId="239" fontId="31" fillId="0" borderId="0"/>
    <xf numFmtId="178" fontId="31" fillId="0" borderId="0"/>
    <xf numFmtId="0" fontId="31" fillId="0" borderId="0"/>
    <xf numFmtId="178" fontId="31" fillId="0" borderId="0"/>
    <xf numFmtId="178" fontId="31" fillId="0" borderId="0"/>
    <xf numFmtId="239" fontId="31" fillId="0" borderId="0"/>
    <xf numFmtId="178" fontId="31" fillId="0" borderId="0"/>
    <xf numFmtId="0" fontId="31" fillId="0" borderId="0"/>
    <xf numFmtId="178" fontId="31" fillId="0" borderId="0"/>
    <xf numFmtId="178" fontId="31" fillId="0" borderId="0"/>
    <xf numFmtId="178" fontId="31" fillId="0" borderId="0"/>
    <xf numFmtId="178" fontId="31" fillId="0" borderId="0"/>
    <xf numFmtId="1" fontId="127" fillId="0" borderId="0" applyNumberFormat="0">
      <alignment horizontal="right"/>
    </xf>
    <xf numFmtId="211" fontId="72" fillId="0" borderId="0" applyFont="0" applyFill="0" applyBorder="0" applyAlignment="0" applyProtection="0"/>
    <xf numFmtId="212" fontId="72" fillId="0" borderId="0" applyFont="0" applyFill="0" applyBorder="0" applyAlignment="0" applyProtection="0"/>
    <xf numFmtId="0" fontId="17" fillId="0" borderId="0"/>
    <xf numFmtId="0" fontId="17" fillId="0" borderId="0"/>
    <xf numFmtId="49" fontId="98" fillId="0" borderId="0" applyProtection="0">
      <alignment horizontal="left"/>
    </xf>
    <xf numFmtId="209" fontId="99" fillId="0" borderId="0" applyFont="0" applyFill="0" applyBorder="0" applyAlignment="0" applyProtection="0">
      <alignment vertical="center"/>
    </xf>
    <xf numFmtId="187" fontId="100" fillId="0" borderId="0" applyFont="0" applyFill="0" applyBorder="0" applyAlignment="0" applyProtection="0">
      <alignment vertical="center"/>
    </xf>
    <xf numFmtId="242" fontId="100" fillId="0" borderId="7" applyFont="0" applyFill="0" applyBorder="0" applyAlignment="0" applyProtection="0">
      <alignment vertical="center"/>
    </xf>
    <xf numFmtId="41" fontId="93" fillId="0" borderId="0" applyFont="0" applyFill="0" applyBorder="0" applyAlignment="0" applyProtection="0">
      <alignment vertical="center"/>
    </xf>
    <xf numFmtId="213" fontId="13" fillId="0" borderId="0" applyFont="0" applyFill="0" applyBorder="0" applyAlignment="0" applyProtection="0"/>
    <xf numFmtId="214" fontId="13" fillId="0" borderId="0" applyFont="0" applyFill="0" applyBorder="0" applyAlignment="0" applyProtection="0"/>
    <xf numFmtId="220" fontId="17" fillId="0" borderId="0"/>
    <xf numFmtId="0" fontId="31" fillId="0" borderId="0"/>
    <xf numFmtId="0" fontId="95" fillId="0" borderId="0"/>
    <xf numFmtId="0" fontId="31" fillId="0" borderId="0"/>
    <xf numFmtId="3" fontId="17" fillId="0" borderId="0"/>
    <xf numFmtId="37" fontId="101" fillId="57" borderId="27">
      <alignment horizontal="right"/>
    </xf>
    <xf numFmtId="216" fontId="31" fillId="0" borderId="0"/>
    <xf numFmtId="0" fontId="13" fillId="0" borderId="0"/>
    <xf numFmtId="3" fontId="17" fillId="0" borderId="0"/>
    <xf numFmtId="220" fontId="17" fillId="0" borderId="0"/>
    <xf numFmtId="220" fontId="17" fillId="0" borderId="0"/>
    <xf numFmtId="0" fontId="13" fillId="0" borderId="0"/>
    <xf numFmtId="0" fontId="31" fillId="0" borderId="0"/>
    <xf numFmtId="0" fontId="31" fillId="0" borderId="0"/>
    <xf numFmtId="0"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215" fontId="31" fillId="0" borderId="0"/>
    <xf numFmtId="0" fontId="102" fillId="0" borderId="0">
      <protection locked="0"/>
    </xf>
    <xf numFmtId="0" fontId="102" fillId="0" borderId="0">
      <protection locked="0"/>
    </xf>
    <xf numFmtId="216" fontId="31" fillId="0" borderId="0"/>
    <xf numFmtId="0" fontId="102" fillId="0" borderId="0">
      <protection locked="0"/>
    </xf>
    <xf numFmtId="216" fontId="31" fillId="0" borderId="0"/>
    <xf numFmtId="0" fontId="102" fillId="0" borderId="0">
      <protection locked="0"/>
    </xf>
    <xf numFmtId="0" fontId="13" fillId="0" borderId="0"/>
    <xf numFmtId="0" fontId="31" fillId="0" borderId="0"/>
    <xf numFmtId="3" fontId="17" fillId="0" borderId="0"/>
    <xf numFmtId="220" fontId="17" fillId="0" borderId="0"/>
    <xf numFmtId="0" fontId="13" fillId="0" borderId="0" applyNumberForma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2" fillId="0" borderId="0"/>
    <xf numFmtId="0" fontId="102" fillId="0" borderId="0"/>
    <xf numFmtId="0" fontId="102" fillId="0" borderId="0"/>
    <xf numFmtId="0" fontId="13" fillId="0" borderId="0"/>
    <xf numFmtId="3" fontId="17" fillId="0" borderId="0"/>
    <xf numFmtId="220" fontId="17" fillId="0" borderId="0"/>
    <xf numFmtId="0" fontId="13" fillId="0" borderId="0"/>
    <xf numFmtId="0" fontId="13" fillId="0" borderId="0" applyNumberFormat="0" applyFill="0" applyBorder="0" applyAlignment="0" applyProtection="0"/>
    <xf numFmtId="179" fontId="31" fillId="0" borderId="0"/>
    <xf numFmtId="216" fontId="31" fillId="0" borderId="0"/>
    <xf numFmtId="216" fontId="31" fillId="0" borderId="0"/>
    <xf numFmtId="0" fontId="13" fillId="0" borderId="0"/>
    <xf numFmtId="0" fontId="13" fillId="0" borderId="0"/>
    <xf numFmtId="0" fontId="13" fillId="0" borderId="0"/>
    <xf numFmtId="217" fontId="13" fillId="0" borderId="0" applyFont="0" applyFill="0" applyBorder="0" applyAlignment="0" applyProtection="0"/>
    <xf numFmtId="217" fontId="13" fillId="0" borderId="0" applyFont="0" applyFill="0" applyBorder="0" applyAlignment="0" applyProtection="0"/>
    <xf numFmtId="174"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174" fontId="13" fillId="0" borderId="0" applyFont="0" applyFill="0" applyBorder="0" applyAlignment="0" applyProtection="0"/>
    <xf numFmtId="217" fontId="13" fillId="0" borderId="0" applyFont="0" applyFill="0" applyBorder="0" applyAlignment="0" applyProtection="0"/>
    <xf numFmtId="3" fontId="17" fillId="0" borderId="0"/>
    <xf numFmtId="0" fontId="13" fillId="0" borderId="0"/>
    <xf numFmtId="218"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44" fontId="13" fillId="0" borderId="0" applyFont="0" applyFill="0" applyBorder="0" applyAlignment="0" applyProtection="0"/>
    <xf numFmtId="43" fontId="13" fillId="0" borderId="0" applyFont="0" applyFill="0" applyBorder="0" applyAlignment="0" applyProtection="0"/>
    <xf numFmtId="245" fontId="13" fillId="0" borderId="0" applyFont="0" applyFill="0" applyBorder="0" applyAlignment="0" applyProtection="0"/>
    <xf numFmtId="246" fontId="13" fillId="0" borderId="0" applyFont="0" applyFill="0" applyBorder="0" applyAlignment="0" applyProtection="0"/>
    <xf numFmtId="195" fontId="13" fillId="0" borderId="0" applyFont="0" applyFill="0" applyBorder="0" applyAlignment="0" applyProtection="0"/>
    <xf numFmtId="43" fontId="13" fillId="0" borderId="0" applyFont="0" applyFill="0" applyBorder="0" applyAlignment="0" applyProtection="0"/>
    <xf numFmtId="245" fontId="13" fillId="0" borderId="0" applyFont="0" applyFill="0" applyBorder="0" applyAlignment="0" applyProtection="0"/>
    <xf numFmtId="246" fontId="13" fillId="0" borderId="0" applyFont="0" applyFill="0" applyBorder="0" applyAlignment="0" applyProtection="0"/>
    <xf numFmtId="195"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18" fontId="13" fillId="0" borderId="0" applyFont="0" applyFill="0" applyBorder="0" applyAlignment="0" applyProtection="0"/>
    <xf numFmtId="247" fontId="10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43" fontId="13" fillId="0" borderId="0" applyFont="0" applyFill="0" applyBorder="0" applyAlignment="0" applyProtection="0"/>
    <xf numFmtId="245" fontId="13" fillId="0" borderId="0" applyFont="0" applyFill="0" applyBorder="0" applyAlignment="0" applyProtection="0"/>
    <xf numFmtId="246" fontId="13" fillId="0" borderId="0" applyFont="0" applyFill="0" applyBorder="0" applyAlignment="0" applyProtection="0"/>
    <xf numFmtId="245" fontId="13" fillId="0" borderId="0" applyFont="0" applyFill="0" applyBorder="0" applyAlignment="0" applyProtection="0"/>
    <xf numFmtId="246" fontId="13" fillId="0" borderId="0" applyFont="0" applyFill="0" applyBorder="0" applyAlignment="0" applyProtection="0"/>
    <xf numFmtId="195" fontId="13" fillId="0" borderId="0" applyFont="0" applyFill="0" applyBorder="0" applyAlignment="0" applyProtection="0"/>
    <xf numFmtId="43" fontId="13" fillId="0" borderId="0" applyFont="0" applyFill="0" applyBorder="0" applyAlignment="0" applyProtection="0"/>
    <xf numFmtId="245" fontId="13" fillId="0" borderId="0" applyFont="0" applyFill="0" applyBorder="0" applyAlignment="0" applyProtection="0"/>
    <xf numFmtId="246" fontId="13" fillId="0" borderId="0" applyFont="0" applyFill="0" applyBorder="0" applyAlignment="0" applyProtection="0"/>
    <xf numFmtId="195" fontId="13" fillId="0" borderId="0" applyFont="0" applyFill="0" applyBorder="0" applyAlignment="0" applyProtection="0"/>
    <xf numFmtId="174"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0" fontId="13" fillId="0" borderId="0"/>
    <xf numFmtId="3" fontId="17" fillId="0" borderId="0"/>
    <xf numFmtId="43" fontId="13" fillId="0" borderId="0" applyFont="0" applyFill="0" applyBorder="0" applyAlignment="0" applyProtection="0"/>
    <xf numFmtId="175" fontId="13" fillId="0" borderId="0" applyFont="0" applyFill="0" applyBorder="0" applyAlignment="0" applyProtection="0"/>
    <xf numFmtId="248" fontId="13" fillId="0" borderId="0" applyFont="0" applyFill="0" applyBorder="0" applyAlignment="0" applyProtection="0"/>
    <xf numFmtId="249" fontId="13" fillId="0" borderId="0" applyFont="0" applyFill="0" applyBorder="0" applyAlignment="0" applyProtection="0"/>
    <xf numFmtId="0" fontId="13" fillId="0" borderId="0" applyNumberFormat="0" applyFill="0" applyBorder="0" applyAlignment="0" applyProtection="0"/>
    <xf numFmtId="220" fontId="17" fillId="0" borderId="0"/>
    <xf numFmtId="0" fontId="13" fillId="0" borderId="0" applyFont="0" applyFill="0" applyBorder="0" applyAlignment="0" applyProtection="0"/>
    <xf numFmtId="216" fontId="31" fillId="0" borderId="0"/>
    <xf numFmtId="216" fontId="31" fillId="0" borderId="0"/>
    <xf numFmtId="3" fontId="17" fillId="0" borderId="0"/>
    <xf numFmtId="0" fontId="31" fillId="0" borderId="0"/>
    <xf numFmtId="0" fontId="31" fillId="0" borderId="0"/>
    <xf numFmtId="0" fontId="31" fillId="0" borderId="0"/>
    <xf numFmtId="216" fontId="31" fillId="0" borderId="0"/>
    <xf numFmtId="216"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0" fontId="17" fillId="0" borderId="0"/>
    <xf numFmtId="0" fontId="17" fillId="0" borderId="0"/>
    <xf numFmtId="0" fontId="31"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25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250" fontId="31" fillId="0" borderId="0"/>
    <xf numFmtId="250" fontId="31" fillId="0" borderId="0"/>
    <xf numFmtId="0" fontId="17" fillId="0" borderId="0"/>
    <xf numFmtId="0" fontId="17" fillId="0" borderId="0"/>
    <xf numFmtId="250" fontId="31" fillId="0" borderId="0"/>
    <xf numFmtId="0" fontId="17" fillId="0" borderId="0"/>
    <xf numFmtId="0" fontId="17" fillId="0" borderId="0"/>
    <xf numFmtId="25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6" fontId="31" fillId="0" borderId="0"/>
    <xf numFmtId="216"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220" fontId="17" fillId="0" borderId="0"/>
    <xf numFmtId="0" fontId="17" fillId="0" borderId="0"/>
    <xf numFmtId="22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0" fontId="17" fillId="0" borderId="0"/>
    <xf numFmtId="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0" fontId="17" fillId="0" borderId="0"/>
    <xf numFmtId="0" fontId="17" fillId="0" borderId="0"/>
    <xf numFmtId="0" fontId="31"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25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250" fontId="31" fillId="0" borderId="0"/>
    <xf numFmtId="250" fontId="31" fillId="0" borderId="0"/>
    <xf numFmtId="0" fontId="17" fillId="0" borderId="0"/>
    <xf numFmtId="0" fontId="17" fillId="0" borderId="0"/>
    <xf numFmtId="250" fontId="31" fillId="0" borderId="0"/>
    <xf numFmtId="0" fontId="17" fillId="0" borderId="0"/>
    <xf numFmtId="0" fontId="17" fillId="0" borderId="0"/>
    <xf numFmtId="25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 fillId="0" borderId="0"/>
    <xf numFmtId="22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221" fontId="13" fillId="0" borderId="0" applyFont="0" applyFill="0" applyBorder="0" applyAlignment="0" applyProtection="0"/>
    <xf numFmtId="221" fontId="13" fillId="0" borderId="0" applyFont="0" applyFill="0" applyBorder="0" applyAlignment="0" applyProtection="0"/>
    <xf numFmtId="221" fontId="13" fillId="0" borderId="0" applyFont="0" applyFill="0" applyBorder="0" applyAlignment="0" applyProtection="0"/>
    <xf numFmtId="221" fontId="13" fillId="0" borderId="0" applyFont="0" applyFill="0" applyBorder="0" applyAlignment="0" applyProtection="0"/>
    <xf numFmtId="0" fontId="102" fillId="0" borderId="0"/>
    <xf numFmtId="0" fontId="102"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222" fontId="31" fillId="0" borderId="0"/>
    <xf numFmtId="222" fontId="31" fillId="0" borderId="0"/>
    <xf numFmtId="222" fontId="31" fillId="0" borderId="0"/>
    <xf numFmtId="222" fontId="31" fillId="0" borderId="0"/>
    <xf numFmtId="222"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0" fontId="31" fillId="0" borderId="0"/>
    <xf numFmtId="0" fontId="31" fillId="0" borderId="0"/>
    <xf numFmtId="179"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222" fontId="31" fillId="0" borderId="0"/>
    <xf numFmtId="222" fontId="31" fillId="0" borderId="0"/>
    <xf numFmtId="222" fontId="31" fillId="0" borderId="0"/>
    <xf numFmtId="222" fontId="31" fillId="0" borderId="0"/>
    <xf numFmtId="222"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0" fontId="31" fillId="0" borderId="0"/>
    <xf numFmtId="0" fontId="31" fillId="0" borderId="0"/>
    <xf numFmtId="179"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222" fontId="31" fillId="0" borderId="0"/>
    <xf numFmtId="222" fontId="31" fillId="0" borderId="0"/>
    <xf numFmtId="222" fontId="31" fillId="0" borderId="0"/>
    <xf numFmtId="222" fontId="31" fillId="0" borderId="0"/>
    <xf numFmtId="222"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0" fontId="31" fillId="0" borderId="0"/>
    <xf numFmtId="0" fontId="31" fillId="0" borderId="0"/>
    <xf numFmtId="179"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222" fontId="31" fillId="0" borderId="0"/>
    <xf numFmtId="222" fontId="31" fillId="0" borderId="0"/>
    <xf numFmtId="222" fontId="31" fillId="0" borderId="0"/>
    <xf numFmtId="222" fontId="31" fillId="0" borderId="0"/>
    <xf numFmtId="222"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0" fontId="31" fillId="0" borderId="0"/>
    <xf numFmtId="0" fontId="31" fillId="0" borderId="0"/>
    <xf numFmtId="179"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222" fontId="31" fillId="0" borderId="0"/>
    <xf numFmtId="222" fontId="31" fillId="0" borderId="0"/>
    <xf numFmtId="222" fontId="31" fillId="0" borderId="0"/>
    <xf numFmtId="222" fontId="31" fillId="0" borderId="0"/>
    <xf numFmtId="222" fontId="31" fillId="0" borderId="0"/>
    <xf numFmtId="179"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0" fontId="31" fillId="0" borderId="0"/>
    <xf numFmtId="179" fontId="31" fillId="0" borderId="0"/>
    <xf numFmtId="179" fontId="31" fillId="0" borderId="0"/>
    <xf numFmtId="222" fontId="31" fillId="0" borderId="0"/>
    <xf numFmtId="222"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0" fontId="104" fillId="0" borderId="0" applyNumberFormat="0" applyFill="0" applyBorder="0" applyAlignment="0" applyProtection="0"/>
    <xf numFmtId="0" fontId="13" fillId="47" borderId="0" applyNumberFormat="0" applyFont="0" applyAlignment="0" applyProtection="0"/>
    <xf numFmtId="0" fontId="31" fillId="0" borderId="0"/>
    <xf numFmtId="223" fontId="31" fillId="0" borderId="0"/>
    <xf numFmtId="223" fontId="31" fillId="0" borderId="0"/>
    <xf numFmtId="0" fontId="13" fillId="0" borderId="0"/>
    <xf numFmtId="224" fontId="13" fillId="0" borderId="0"/>
    <xf numFmtId="224" fontId="13" fillId="0" borderId="0"/>
    <xf numFmtId="224" fontId="13" fillId="0" borderId="0"/>
    <xf numFmtId="224" fontId="13" fillId="0" borderId="0"/>
    <xf numFmtId="224" fontId="13" fillId="0" borderId="0"/>
    <xf numFmtId="0" fontId="13" fillId="0" borderId="0"/>
    <xf numFmtId="0" fontId="13" fillId="0" borderId="0"/>
    <xf numFmtId="0" fontId="13" fillId="0" borderId="0"/>
    <xf numFmtId="0" fontId="13" fillId="0" borderId="0"/>
    <xf numFmtId="0" fontId="13" fillId="0" borderId="0"/>
    <xf numFmtId="224" fontId="13" fillId="0" borderId="0"/>
    <xf numFmtId="224" fontId="13" fillId="0" borderId="0"/>
    <xf numFmtId="224" fontId="13" fillId="0" borderId="0"/>
    <xf numFmtId="224" fontId="13" fillId="0" borderId="0"/>
    <xf numFmtId="223" fontId="31" fillId="0" borderId="0"/>
    <xf numFmtId="223" fontId="31" fillId="0" borderId="0"/>
    <xf numFmtId="223" fontId="31" fillId="0" borderId="0"/>
    <xf numFmtId="0" fontId="31" fillId="0" borderId="0"/>
    <xf numFmtId="0" fontId="31" fillId="0" borderId="0"/>
    <xf numFmtId="0" fontId="31" fillId="0" borderId="0"/>
    <xf numFmtId="0" fontId="31" fillId="0" borderId="0"/>
    <xf numFmtId="0" fontId="31" fillId="0" borderId="0"/>
    <xf numFmtId="223" fontId="31" fillId="0" borderId="0"/>
    <xf numFmtId="223" fontId="31" fillId="0" borderId="0"/>
    <xf numFmtId="223" fontId="31" fillId="0" borderId="0"/>
    <xf numFmtId="223" fontId="31" fillId="0" borderId="0"/>
    <xf numFmtId="0" fontId="102" fillId="0" borderId="0">
      <protection locked="0"/>
    </xf>
    <xf numFmtId="0" fontId="102" fillId="0" borderId="0">
      <protection locked="0"/>
    </xf>
    <xf numFmtId="0" fontId="95" fillId="0" borderId="0"/>
    <xf numFmtId="225" fontId="13" fillId="0" borderId="0" applyFont="0" applyFill="0" applyBorder="0" applyAlignment="0" applyProtection="0"/>
    <xf numFmtId="226" fontId="13" fillId="0" borderId="0" applyFont="0" applyFill="0" applyBorder="0" applyAlignment="0" applyProtection="0"/>
    <xf numFmtId="0" fontId="13" fillId="0" borderId="0"/>
    <xf numFmtId="3" fontId="17" fillId="0" borderId="0"/>
    <xf numFmtId="216" fontId="31" fillId="0" borderId="0"/>
    <xf numFmtId="216" fontId="31" fillId="0" borderId="0"/>
    <xf numFmtId="216" fontId="31" fillId="0" borderId="0"/>
    <xf numFmtId="216"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88" fontId="31" fillId="0" borderId="0"/>
    <xf numFmtId="188" fontId="31" fillId="0" borderId="0"/>
    <xf numFmtId="188" fontId="31" fillId="0" borderId="0"/>
    <xf numFmtId="188" fontId="31" fillId="0" borderId="0"/>
    <xf numFmtId="188" fontId="31" fillId="0" borderId="0"/>
    <xf numFmtId="0" fontId="31" fillId="0" borderId="0"/>
    <xf numFmtId="0" fontId="31" fillId="0" borderId="0"/>
    <xf numFmtId="0" fontId="31" fillId="0" borderId="0"/>
    <xf numFmtId="0" fontId="31" fillId="0" borderId="0"/>
    <xf numFmtId="0" fontId="31" fillId="0" borderId="0"/>
    <xf numFmtId="188" fontId="31" fillId="0" borderId="0"/>
    <xf numFmtId="188" fontId="31" fillId="0" borderId="0"/>
    <xf numFmtId="188" fontId="31" fillId="0" borderId="0"/>
    <xf numFmtId="188"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0" fontId="31" fillId="0" borderId="0"/>
    <xf numFmtId="0" fontId="95" fillId="0" borderId="0"/>
    <xf numFmtId="0" fontId="13" fillId="0" borderId="0"/>
    <xf numFmtId="0" fontId="95" fillId="0" borderId="0"/>
    <xf numFmtId="0" fontId="17" fillId="0" borderId="0"/>
    <xf numFmtId="0" fontId="17" fillId="0" borderId="0"/>
    <xf numFmtId="0" fontId="31" fillId="0" borderId="0"/>
    <xf numFmtId="179" fontId="31" fillId="0" borderId="0"/>
    <xf numFmtId="179" fontId="31" fillId="0" borderId="0"/>
    <xf numFmtId="222" fontId="31" fillId="0" borderId="0"/>
    <xf numFmtId="222" fontId="31" fillId="0" borderId="0"/>
    <xf numFmtId="179" fontId="31" fillId="0" borderId="0"/>
    <xf numFmtId="17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9" fontId="31" fillId="0" borderId="0"/>
    <xf numFmtId="179" fontId="31" fillId="0" borderId="0"/>
    <xf numFmtId="179" fontId="31" fillId="0" borderId="0"/>
    <xf numFmtId="179" fontId="31" fillId="0" borderId="0"/>
    <xf numFmtId="0" fontId="31" fillId="0" borderId="0"/>
    <xf numFmtId="0" fontId="31" fillId="0" borderId="0"/>
    <xf numFmtId="0" fontId="105" fillId="0" borderId="0"/>
    <xf numFmtId="0" fontId="105" fillId="0" borderId="0"/>
    <xf numFmtId="216" fontId="31" fillId="0" borderId="0"/>
    <xf numFmtId="216" fontId="31" fillId="0" borderId="0"/>
    <xf numFmtId="0" fontId="72" fillId="0" borderId="0"/>
    <xf numFmtId="0" fontId="106" fillId="0" borderId="0" applyNumberFormat="0" applyFill="0" applyBorder="0" applyProtection="0">
      <alignment vertical="top"/>
    </xf>
    <xf numFmtId="0" fontId="94" fillId="0" borderId="28" applyNumberFormat="0" applyFill="0" applyAlignment="0" applyProtection="0"/>
    <xf numFmtId="0" fontId="29" fillId="0" borderId="29" applyNumberFormat="0" applyFill="0" applyProtection="0">
      <alignment horizontal="center"/>
    </xf>
    <xf numFmtId="0" fontId="29" fillId="0" borderId="0" applyNumberFormat="0" applyFill="0" applyBorder="0" applyProtection="0">
      <alignment horizontal="left"/>
    </xf>
    <xf numFmtId="0" fontId="107" fillId="0" borderId="0" applyNumberFormat="0" applyFill="0" applyBorder="0" applyProtection="0">
      <alignment horizontal="centerContinuous"/>
    </xf>
    <xf numFmtId="3" fontId="17" fillId="0" borderId="0"/>
    <xf numFmtId="0" fontId="13" fillId="0" borderId="0"/>
    <xf numFmtId="0" fontId="95" fillId="0" borderId="0"/>
    <xf numFmtId="197" fontId="98" fillId="0" borderId="0" applyFill="0" applyBorder="0" applyProtection="0">
      <alignment horizontal="right"/>
    </xf>
    <xf numFmtId="198" fontId="98" fillId="0" borderId="0" applyFill="0" applyBorder="0" applyProtection="0">
      <alignment horizontal="right"/>
    </xf>
    <xf numFmtId="199" fontId="108" fillId="0" borderId="0" applyFill="0" applyBorder="0" applyProtection="0">
      <alignment horizontal="center"/>
    </xf>
    <xf numFmtId="200" fontId="108" fillId="0" borderId="0" applyFill="0" applyBorder="0" applyProtection="0">
      <alignment horizontal="center"/>
    </xf>
    <xf numFmtId="201" fontId="109" fillId="0" borderId="0" applyFill="0" applyBorder="0" applyProtection="0">
      <alignment horizontal="right"/>
    </xf>
    <xf numFmtId="202" fontId="98" fillId="0" borderId="0" applyFill="0" applyBorder="0" applyProtection="0">
      <alignment horizontal="right"/>
    </xf>
    <xf numFmtId="203" fontId="98" fillId="0" borderId="0" applyFill="0" applyBorder="0" applyProtection="0">
      <alignment horizontal="right"/>
    </xf>
    <xf numFmtId="204" fontId="98" fillId="0" borderId="0" applyFill="0" applyBorder="0" applyProtection="0">
      <alignment horizontal="right"/>
    </xf>
    <xf numFmtId="205" fontId="98" fillId="0" borderId="0" applyFill="0" applyBorder="0" applyProtection="0">
      <alignment horizontal="right"/>
    </xf>
    <xf numFmtId="227" fontId="72" fillId="0" borderId="0" applyFont="0" applyFill="0" applyBorder="0" applyAlignment="0" applyProtection="0"/>
    <xf numFmtId="228" fontId="72" fillId="0" borderId="0" applyFont="0" applyFill="0" applyBorder="0" applyAlignment="0" applyProtection="0"/>
    <xf numFmtId="9" fontId="32" fillId="0" borderId="0" applyFont="0" applyFill="0" applyBorder="0" applyAlignment="0" applyProtection="0"/>
    <xf numFmtId="0" fontId="105" fillId="0" borderId="0"/>
    <xf numFmtId="0" fontId="32" fillId="0" borderId="0" applyFont="0" applyFill="0" applyBorder="0" applyAlignment="0" applyProtection="0"/>
    <xf numFmtId="10" fontId="32" fillId="0" borderId="0" applyFont="0" applyFill="0" applyBorder="0" applyAlignment="0" applyProtection="0"/>
    <xf numFmtId="0" fontId="32" fillId="0" borderId="0" applyFont="0" applyFill="0" applyBorder="0" applyAlignment="0" applyProtection="0"/>
    <xf numFmtId="3" fontId="31" fillId="0" borderId="0"/>
    <xf numFmtId="0" fontId="31" fillId="0" borderId="0" applyBorder="0"/>
    <xf numFmtId="39" fontId="110" fillId="0" borderId="0" applyFont="0" applyFill="0" applyBorder="0" applyAlignment="0" applyProtection="0"/>
    <xf numFmtId="0" fontId="110" fillId="0" borderId="0" applyFont="0" applyFill="0" applyBorder="0" applyAlignment="0" applyProtection="0"/>
    <xf numFmtId="0" fontId="111" fillId="0" borderId="0"/>
    <xf numFmtId="0" fontId="111" fillId="0" borderId="0"/>
    <xf numFmtId="173" fontId="112" fillId="69" borderId="0" applyNumberFormat="0" applyFont="0" applyBorder="0" applyAlignment="0">
      <alignment horizontal="right"/>
    </xf>
    <xf numFmtId="229" fontId="113" fillId="69" borderId="21" applyFont="0">
      <alignment horizontal="right"/>
    </xf>
    <xf numFmtId="0" fontId="18" fillId="0" borderId="0" applyNumberFormat="0" applyFill="0" applyBorder="0" applyAlignment="0" applyProtection="0"/>
    <xf numFmtId="0" fontId="114" fillId="0" borderId="0"/>
    <xf numFmtId="10" fontId="115" fillId="0" borderId="0" applyNumberFormat="0" applyFill="0" applyBorder="0" applyAlignment="0" applyProtection="0">
      <alignment horizontal="right"/>
    </xf>
    <xf numFmtId="0" fontId="116" fillId="0" borderId="0" applyNumberFormat="0" applyFill="0" applyBorder="0" applyAlignment="0"/>
    <xf numFmtId="0" fontId="117" fillId="0" borderId="0" applyNumberFormat="0" applyFill="0" applyBorder="0" applyAlignment="0" applyProtection="0"/>
    <xf numFmtId="0" fontId="118" fillId="0" borderId="23" applyNumberFormat="0" applyFill="0" applyAlignment="0" applyProtection="0"/>
    <xf numFmtId="230" fontId="72" fillId="0" borderId="0" applyFont="0" applyFill="0" applyBorder="0" applyAlignment="0" applyProtection="0"/>
    <xf numFmtId="2" fontId="18" fillId="70" borderId="0" applyNumberFormat="0" applyFont="0" applyBorder="0" applyAlignment="0" applyProtection="0"/>
    <xf numFmtId="38" fontId="13" fillId="0" borderId="0">
      <alignment horizontal="center"/>
      <protection locked="0"/>
    </xf>
    <xf numFmtId="0" fontId="119" fillId="0" borderId="0" applyNumberFormat="0" applyFill="0" applyBorder="0">
      <alignment horizontal="right"/>
    </xf>
    <xf numFmtId="231" fontId="72" fillId="0" borderId="0" applyFont="0" applyFill="0" applyBorder="0" applyAlignment="0" applyProtection="0"/>
    <xf numFmtId="174" fontId="120" fillId="0" borderId="25" applyFont="0" applyFill="0" applyBorder="0" applyProtection="0">
      <alignment horizontal="right"/>
    </xf>
    <xf numFmtId="0" fontId="32" fillId="0" borderId="0"/>
    <xf numFmtId="0" fontId="120" fillId="0" borderId="0"/>
    <xf numFmtId="38" fontId="13" fillId="68" borderId="0" applyNumberFormat="0" applyFont="0" applyBorder="0" applyAlignment="0" applyProtection="0">
      <alignment vertical="center"/>
    </xf>
    <xf numFmtId="206" fontId="98" fillId="0" borderId="0" applyFont="0" applyFill="0" applyBorder="0" applyAlignment="0" applyProtection="0"/>
    <xf numFmtId="232" fontId="18" fillId="71" borderId="24" applyNumberFormat="0" applyFont="0" applyBorder="0" applyAlignment="0" applyProtection="0">
      <alignment horizontal="right"/>
    </xf>
    <xf numFmtId="0" fontId="17" fillId="0" borderId="0" applyFont="0" applyFill="0" applyBorder="0" applyAlignment="0" applyProtection="0"/>
    <xf numFmtId="1" fontId="18" fillId="0" borderId="0" applyNumberFormat="0" applyBorder="0" applyAlignment="0" applyProtection="0"/>
    <xf numFmtId="37" fontId="34" fillId="0" borderId="0" applyNumberFormat="0" applyFill="0" applyBorder="0" applyAlignment="0" applyProtection="0">
      <alignment vertical="center"/>
    </xf>
    <xf numFmtId="233" fontId="121" fillId="0" borderId="0">
      <alignment vertical="center"/>
    </xf>
    <xf numFmtId="0" fontId="122" fillId="0" borderId="0"/>
    <xf numFmtId="210" fontId="123" fillId="12" borderId="30" applyNumberFormat="0" applyFont="0" applyBorder="0" applyAlignment="0">
      <protection locked="0"/>
    </xf>
    <xf numFmtId="38" fontId="18" fillId="68" borderId="0" applyNumberFormat="0" applyBorder="0" applyAlignment="0" applyProtection="0"/>
    <xf numFmtId="49" fontId="124" fillId="0" borderId="0">
      <alignment horizontal="right"/>
    </xf>
    <xf numFmtId="49" fontId="124" fillId="0" borderId="0">
      <alignment horizontal="right"/>
    </xf>
    <xf numFmtId="49" fontId="125" fillId="0" borderId="0">
      <alignment horizontal="right"/>
    </xf>
    <xf numFmtId="233" fontId="126" fillId="0" borderId="0">
      <alignment vertical="center"/>
    </xf>
    <xf numFmtId="0" fontId="20" fillId="0" borderId="0"/>
    <xf numFmtId="0" fontId="13" fillId="0" borderId="0" applyNumberFormat="0" applyFont="0" applyFill="0" applyBorder="0" applyAlignment="0">
      <alignment horizontal="left"/>
    </xf>
    <xf numFmtId="1" fontId="127" fillId="0" borderId="0" applyNumberFormat="0">
      <alignment horizontal="right"/>
    </xf>
    <xf numFmtId="10" fontId="18" fillId="57" borderId="14" applyNumberFormat="0" applyBorder="0" applyAlignment="0" applyProtection="0"/>
    <xf numFmtId="0" fontId="128" fillId="72" borderId="0" applyNumberFormat="0" applyFont="0" applyBorder="0" applyAlignment="0" applyProtection="0"/>
    <xf numFmtId="0" fontId="33" fillId="0" borderId="0" applyNumberFormat="0" applyFill="0" applyBorder="0" applyAlignment="0">
      <protection locked="0"/>
    </xf>
    <xf numFmtId="0" fontId="129" fillId="73" borderId="11">
      <alignment horizontal="left" vertical="center" wrapText="1"/>
    </xf>
    <xf numFmtId="0" fontId="21" fillId="0" borderId="0"/>
    <xf numFmtId="207" fontId="98" fillId="0" borderId="0" applyFont="0" applyFill="0" applyBorder="0" applyAlignment="0" applyProtection="0"/>
    <xf numFmtId="0" fontId="17" fillId="0" borderId="0" applyFont="0" applyFill="0" applyBorder="0" applyAlignment="0" applyProtection="0"/>
    <xf numFmtId="37" fontId="120" fillId="0" borderId="0" applyFont="0" applyFill="0" applyBorder="0" applyProtection="0">
      <alignment horizontal="right"/>
    </xf>
    <xf numFmtId="0" fontId="130" fillId="0" borderId="0"/>
    <xf numFmtId="2" fontId="128" fillId="0" borderId="0" applyBorder="0" applyProtection="0"/>
    <xf numFmtId="0" fontId="131" fillId="0" borderId="31"/>
    <xf numFmtId="0" fontId="32" fillId="0" borderId="0"/>
    <xf numFmtId="0" fontId="132" fillId="0" borderId="0" applyNumberFormat="0" applyFill="0" applyBorder="0">
      <alignment horizontal="left"/>
    </xf>
    <xf numFmtId="10" fontId="120" fillId="0" borderId="0" applyFont="0" applyFill="0" applyBorder="0" applyProtection="0">
      <alignment horizontal="right"/>
    </xf>
    <xf numFmtId="10" fontId="13" fillId="0" borderId="0" applyFont="0" applyFill="0" applyBorder="0" applyAlignment="0" applyProtection="0"/>
    <xf numFmtId="0" fontId="133" fillId="0" borderId="0" applyFill="0" applyBorder="0" applyAlignment="0" applyProtection="0"/>
    <xf numFmtId="0" fontId="134" fillId="0" borderId="0"/>
    <xf numFmtId="170" fontId="128" fillId="30" borderId="32" applyNumberFormat="0" applyFont="0" applyBorder="0" applyAlignment="0" applyProtection="0">
      <alignment horizontal="center"/>
    </xf>
    <xf numFmtId="1" fontId="134" fillId="74" borderId="0" applyNumberFormat="0" applyFont="0" applyBorder="0" applyAlignment="0">
      <alignment horizontal="left"/>
    </xf>
    <xf numFmtId="0" fontId="133" fillId="0" borderId="0"/>
    <xf numFmtId="234" fontId="135" fillId="0" borderId="0" applyNumberFormat="0" applyFill="0" applyBorder="0" applyAlignment="0" applyProtection="0">
      <alignment horizontal="right" vertical="center" wrapText="1"/>
    </xf>
    <xf numFmtId="0" fontId="136" fillId="0" borderId="0" applyNumberFormat="0" applyFill="0" applyBorder="0" applyAlignment="0" applyProtection="0"/>
    <xf numFmtId="0" fontId="137" fillId="0" borderId="0" applyNumberFormat="0" applyFill="0" applyBorder="0" applyAlignment="0" applyProtection="0">
      <protection locked="0"/>
    </xf>
    <xf numFmtId="0" fontId="138" fillId="0" borderId="24" applyNumberFormat="0" applyFill="0" applyProtection="0">
      <alignment horizontal="right"/>
    </xf>
    <xf numFmtId="0" fontId="138" fillId="0" borderId="33" applyNumberFormat="0" applyProtection="0">
      <alignment horizontal="right"/>
    </xf>
    <xf numFmtId="0" fontId="139" fillId="0" borderId="23" applyNumberFormat="0" applyFill="0" applyProtection="0"/>
    <xf numFmtId="3" fontId="19" fillId="0" borderId="0" applyNumberFormat="0"/>
    <xf numFmtId="0" fontId="140" fillId="0" borderId="0">
      <alignment vertical="center"/>
    </xf>
    <xf numFmtId="0" fontId="121" fillId="0" borderId="0">
      <alignment vertical="center"/>
    </xf>
    <xf numFmtId="0" fontId="126" fillId="0" borderId="0">
      <alignment vertical="center"/>
    </xf>
    <xf numFmtId="0" fontId="128" fillId="0" borderId="0" applyBorder="0"/>
    <xf numFmtId="0" fontId="32" fillId="0" borderId="34" applyNumberFormat="0" applyFont="0" applyFill="0" applyAlignment="0" applyProtection="0"/>
    <xf numFmtId="0" fontId="17" fillId="0" borderId="0"/>
    <xf numFmtId="0" fontId="17" fillId="0" borderId="0"/>
    <xf numFmtId="1" fontId="141" fillId="0" borderId="21" applyFill="0" applyProtection="0">
      <alignment horizontal="right"/>
    </xf>
    <xf numFmtId="0" fontId="142" fillId="0" borderId="0">
      <alignment vertical="center"/>
    </xf>
    <xf numFmtId="0" fontId="129" fillId="0" borderId="0" applyNumberFormat="0" applyFill="0" applyBorder="0" applyAlignment="0" applyProtection="0"/>
    <xf numFmtId="166" fontId="58" fillId="0" borderId="0" applyFont="0" applyFill="0" applyBorder="0" applyAlignment="0" applyProtection="0"/>
    <xf numFmtId="168" fontId="58" fillId="0" borderId="0" applyFont="0" applyFill="0" applyBorder="0" applyAlignment="0" applyProtection="0"/>
    <xf numFmtId="166" fontId="98" fillId="0" borderId="0" applyFont="0" applyFill="0" applyBorder="0" applyAlignment="0" applyProtection="0"/>
    <xf numFmtId="168" fontId="98" fillId="0" borderId="0" applyFont="0" applyFill="0" applyBorder="0" applyAlignment="0" applyProtection="0"/>
    <xf numFmtId="0" fontId="143" fillId="0" borderId="0" applyNumberFormat="0" applyFill="0" applyBorder="0" applyAlignment="0" applyProtection="0">
      <alignment vertical="top"/>
      <protection locked="0"/>
    </xf>
    <xf numFmtId="0" fontId="58" fillId="0" borderId="0"/>
    <xf numFmtId="238" fontId="142" fillId="0" borderId="0">
      <alignment vertical="center"/>
    </xf>
    <xf numFmtId="208" fontId="142" fillId="0" borderId="0">
      <alignment vertical="center"/>
    </xf>
    <xf numFmtId="196" fontId="142" fillId="0" borderId="0">
      <alignment vertical="center"/>
    </xf>
    <xf numFmtId="9" fontId="144" fillId="0" borderId="0">
      <alignment vertical="center"/>
    </xf>
    <xf numFmtId="169" fontId="144" fillId="0" borderId="0">
      <alignment vertical="center"/>
    </xf>
    <xf numFmtId="10" fontId="144" fillId="0" borderId="0">
      <alignment vertical="center"/>
    </xf>
    <xf numFmtId="0" fontId="98" fillId="0" borderId="0"/>
    <xf numFmtId="0" fontId="145" fillId="0" borderId="0"/>
    <xf numFmtId="236" fontId="72" fillId="0" borderId="0" applyFont="0" applyFill="0" applyBorder="0" applyAlignment="0" applyProtection="0"/>
    <xf numFmtId="237" fontId="72" fillId="0" borderId="0" applyFont="0" applyFill="0" applyBorder="0" applyAlignment="0" applyProtection="0"/>
    <xf numFmtId="0" fontId="146" fillId="0" borderId="0">
      <alignment vertical="center"/>
    </xf>
    <xf numFmtId="165" fontId="58" fillId="0" borderId="0" applyFont="0" applyFill="0" applyBorder="0" applyAlignment="0" applyProtection="0"/>
    <xf numFmtId="167" fontId="58" fillId="0" borderId="0" applyFont="0" applyFill="0" applyBorder="0" applyAlignment="0" applyProtection="0"/>
    <xf numFmtId="0" fontId="147" fillId="0" borderId="0" applyNumberFormat="0" applyFill="0" applyBorder="0" applyAlignment="0" applyProtection="0">
      <alignment vertical="top"/>
      <protection locked="0"/>
    </xf>
    <xf numFmtId="0" fontId="148" fillId="0" borderId="0"/>
    <xf numFmtId="235" fontId="72" fillId="0" borderId="0" applyFont="0" applyFill="0" applyBorder="0" applyAlignment="0" applyProtection="0"/>
    <xf numFmtId="164" fontId="58" fillId="0" borderId="0" applyFont="0" applyFill="0" applyBorder="0" applyAlignment="0" applyProtection="0"/>
    <xf numFmtId="0" fontId="149" fillId="0" borderId="0"/>
    <xf numFmtId="9" fontId="150" fillId="0" borderId="0" applyFont="0" applyFill="0" applyBorder="0" applyAlignment="0" applyProtection="0"/>
    <xf numFmtId="9" fontId="13" fillId="0" borderId="0" applyFont="0" applyFill="0" applyBorder="0" applyAlignment="0" applyProtection="0"/>
    <xf numFmtId="41" fontId="93" fillId="0" borderId="0" applyFont="0" applyFill="0" applyBorder="0" applyAlignment="0" applyProtection="0">
      <alignment vertical="center"/>
    </xf>
    <xf numFmtId="0" fontId="13" fillId="0" borderId="0"/>
    <xf numFmtId="0" fontId="58" fillId="0" borderId="0"/>
    <xf numFmtId="0" fontId="13" fillId="0" borderId="0"/>
    <xf numFmtId="9" fontId="31" fillId="0" borderId="0" applyFont="0" applyFill="0" applyBorder="0" applyAlignment="0" applyProtection="0"/>
    <xf numFmtId="1" fontId="127" fillId="0" borderId="0" applyNumberFormat="0">
      <alignment horizontal="right"/>
    </xf>
    <xf numFmtId="9" fontId="31" fillId="0" borderId="0" applyFont="0" applyFill="0" applyBorder="0" applyAlignment="0" applyProtection="0"/>
    <xf numFmtId="9" fontId="31" fillId="0" borderId="0" applyFont="0" applyFill="0" applyBorder="0" applyAlignment="0" applyProtection="0"/>
    <xf numFmtId="0" fontId="58" fillId="0" borderId="0">
      <alignment vertical="center"/>
    </xf>
    <xf numFmtId="168" fontId="58" fillId="0" borderId="0" applyFont="0" applyFill="0" applyBorder="0" applyAlignment="0" applyProtection="0">
      <alignment vertical="center"/>
    </xf>
    <xf numFmtId="172" fontId="124" fillId="0" borderId="0" applyBorder="0" applyAlignment="0"/>
    <xf numFmtId="0" fontId="151" fillId="0" borderId="0">
      <alignment vertical="center"/>
    </xf>
    <xf numFmtId="168" fontId="58" fillId="0" borderId="0" applyFont="0" applyFill="0" applyBorder="0" applyAlignment="0" applyProtection="0">
      <alignment vertical="center"/>
    </xf>
    <xf numFmtId="168" fontId="58" fillId="0" borderId="0" applyFont="0" applyFill="0" applyBorder="0" applyAlignment="0" applyProtection="0">
      <alignment vertical="center"/>
    </xf>
    <xf numFmtId="0" fontId="152" fillId="75" borderId="36" applyNumberFormat="0" applyAlignment="0" applyProtection="0">
      <alignment vertical="center"/>
    </xf>
    <xf numFmtId="9" fontId="58" fillId="0" borderId="0" applyFont="0" applyFill="0" applyBorder="0" applyAlignment="0" applyProtection="0">
      <alignment vertical="center"/>
    </xf>
    <xf numFmtId="0" fontId="58" fillId="0" borderId="0">
      <alignment vertical="center"/>
    </xf>
    <xf numFmtId="0" fontId="152" fillId="75" borderId="36" applyNumberFormat="0" applyAlignment="0" applyProtection="0">
      <alignment vertical="center"/>
    </xf>
    <xf numFmtId="0" fontId="152" fillId="75" borderId="36" applyNumberFormat="0" applyAlignment="0" applyProtection="0">
      <alignment vertical="center"/>
    </xf>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0" fontId="58" fillId="0" borderId="0">
      <alignment vertical="center"/>
    </xf>
    <xf numFmtId="9" fontId="58" fillId="0" borderId="0" applyFont="0" applyFill="0" applyBorder="0" applyAlignment="0" applyProtection="0">
      <alignment vertical="center"/>
    </xf>
    <xf numFmtId="0" fontId="153" fillId="0" borderId="0"/>
    <xf numFmtId="9" fontId="58" fillId="0" borderId="0" applyFont="0" applyFill="0" applyBorder="0" applyAlignment="0" applyProtection="0">
      <alignment vertical="center"/>
    </xf>
    <xf numFmtId="0" fontId="92" fillId="0" borderId="0">
      <alignment vertical="center"/>
    </xf>
    <xf numFmtId="168" fontId="58" fillId="0" borderId="0" applyFont="0" applyFill="0" applyBorder="0" applyAlignment="0" applyProtection="0">
      <alignment vertical="center"/>
    </xf>
    <xf numFmtId="0" fontId="153" fillId="0" borderId="0"/>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0" fontId="154" fillId="0" borderId="0"/>
    <xf numFmtId="9" fontId="154" fillId="0" borderId="0" applyFont="0" applyFill="0" applyBorder="0" applyAlignment="0" applyProtection="0">
      <alignment vertical="center"/>
    </xf>
    <xf numFmtId="168" fontId="154" fillId="0" borderId="0" applyFont="0" applyFill="0" applyBorder="0" applyAlignment="0" applyProtection="0">
      <alignment vertical="center"/>
    </xf>
    <xf numFmtId="0" fontId="58" fillId="0" borderId="0"/>
    <xf numFmtId="0" fontId="58" fillId="0" borderId="0"/>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0" fontId="155" fillId="0" borderId="0"/>
    <xf numFmtId="251" fontId="31" fillId="0" borderId="0"/>
    <xf numFmtId="0" fontId="13" fillId="0" borderId="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3" fillId="0" borderId="0"/>
    <xf numFmtId="49" fontId="98" fillId="0" borderId="0" applyProtection="0">
      <alignment horizontal="left"/>
    </xf>
    <xf numFmtId="0" fontId="13" fillId="0" borderId="0"/>
    <xf numFmtId="0" fontId="13" fillId="0" borderId="0"/>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applyNumberFormat="0" applyFill="0" applyBorder="0" applyAlignment="0" applyProtection="0"/>
    <xf numFmtId="216" fontId="31" fillId="0" borderId="0"/>
    <xf numFmtId="251" fontId="31" fillId="0" borderId="0"/>
    <xf numFmtId="0" fontId="13" fillId="0" borderId="0" applyFill="0" applyBorder="0" applyProtection="0">
      <protection locked="0"/>
    </xf>
    <xf numFmtId="251" fontId="31" fillId="0" borderId="0"/>
    <xf numFmtId="252"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16" fontId="31" fillId="0" borderId="0"/>
    <xf numFmtId="216"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53" fontId="31" fillId="0" borderId="0"/>
    <xf numFmtId="252" fontId="31" fillId="0" borderId="0"/>
    <xf numFmtId="252" fontId="31" fillId="0" borderId="0"/>
    <xf numFmtId="252"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4" fontId="31" fillId="0" borderId="0"/>
    <xf numFmtId="252"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2" fontId="31" fillId="0" borderId="0"/>
    <xf numFmtId="254" fontId="31" fillId="0" borderId="0"/>
    <xf numFmtId="25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4" fontId="31" fillId="0" borderId="0"/>
    <xf numFmtId="252" fontId="31" fillId="0" borderId="0"/>
    <xf numFmtId="252" fontId="31" fillId="0" borderId="0"/>
    <xf numFmtId="252" fontId="31" fillId="0" borderId="0"/>
    <xf numFmtId="252" fontId="31" fillId="0" borderId="0"/>
    <xf numFmtId="0"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2"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25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0" fontId="13" fillId="0" borderId="0" applyFill="0" applyBorder="0" applyProtection="0">
      <protection locked="0"/>
    </xf>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29" fillId="0" borderId="0" applyNumberFormat="0" applyFill="0" applyBorder="0" applyAlignment="0" applyProtection="0"/>
    <xf numFmtId="0" fontId="102" fillId="0" borderId="0"/>
    <xf numFmtId="0" fontId="102" fillId="0" borderId="0"/>
    <xf numFmtId="0" fontId="102" fillId="0" borderId="0"/>
    <xf numFmtId="0" fontId="102" fillId="0" borderId="0"/>
    <xf numFmtId="0" fontId="13" fillId="0" borderId="0"/>
    <xf numFmtId="0" fontId="13" fillId="0" borderId="0"/>
    <xf numFmtId="253" fontId="31" fillId="0" borderId="0"/>
    <xf numFmtId="251"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16" fontId="31" fillId="0" borderId="0"/>
    <xf numFmtId="253" fontId="31" fillId="0" borderId="0"/>
    <xf numFmtId="255" fontId="120" fillId="0" borderId="0"/>
    <xf numFmtId="255"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5" fontId="120" fillId="0" borderId="0"/>
    <xf numFmtId="255"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5" fontId="120" fillId="0" borderId="0"/>
    <xf numFmtId="255"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8" fillId="0" borderId="0" applyFont="0" applyFill="0" applyBorder="0" applyAlignment="0" applyProtection="0">
      <alignment vertical="center"/>
    </xf>
    <xf numFmtId="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NumberFormat="0" applyFill="0" applyBorder="0" applyAlignment="0" applyProtection="0"/>
    <xf numFmtId="0" fontId="13" fillId="0" borderId="0" applyNumberFormat="0" applyFill="0" applyBorder="0" applyAlignment="0" applyProtection="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1"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16" fontId="31" fillId="0" borderId="0"/>
    <xf numFmtId="0" fontId="17" fillId="0" borderId="0"/>
    <xf numFmtId="258" fontId="31" fillId="0" borderId="0"/>
    <xf numFmtId="258" fontId="31" fillId="0" borderId="0"/>
    <xf numFmtId="258" fontId="31" fillId="0" borderId="0"/>
    <xf numFmtId="258"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60" fontId="31" fillId="0" borderId="0"/>
    <xf numFmtId="260" fontId="31" fillId="0" borderId="0"/>
    <xf numFmtId="260" fontId="31" fillId="0" borderId="0"/>
    <xf numFmtId="260"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1" fontId="31" fillId="0" borderId="0"/>
    <xf numFmtId="260"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0" fontId="31" fillId="0" borderId="0"/>
    <xf numFmtId="261" fontId="31" fillId="0" borderId="0"/>
    <xf numFmtId="26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1" fontId="31" fillId="0" borderId="0"/>
    <xf numFmtId="260" fontId="31" fillId="0" borderId="0"/>
    <xf numFmtId="260" fontId="31" fillId="0" borderId="0"/>
    <xf numFmtId="260" fontId="31" fillId="0" borderId="0"/>
    <xf numFmtId="260" fontId="31" fillId="0" borderId="0"/>
    <xf numFmtId="0" fontId="13"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0"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261"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8" fontId="31" fillId="0" borderId="0"/>
    <xf numFmtId="258" fontId="31" fillId="0" borderId="0"/>
    <xf numFmtId="259" fontId="31" fillId="0" borderId="0"/>
    <xf numFmtId="258"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8" fontId="31" fillId="0" borderId="0"/>
    <xf numFmtId="259" fontId="31" fillId="0" borderId="0"/>
    <xf numFmtId="25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9" fontId="31" fillId="0" borderId="0"/>
    <xf numFmtId="258" fontId="31" fillId="0" borderId="0"/>
    <xf numFmtId="258" fontId="31" fillId="0" borderId="0"/>
    <xf numFmtId="258" fontId="31" fillId="0" borderId="0"/>
    <xf numFmtId="258" fontId="31" fillId="0" borderId="0"/>
    <xf numFmtId="0"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8"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25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xf numFmtId="255" fontId="120" fillId="0" borderId="0"/>
    <xf numFmtId="255"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5" fontId="120" fillId="0" borderId="0"/>
    <xf numFmtId="255"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6" fontId="120" fillId="0" borderId="0"/>
    <xf numFmtId="255" fontId="120" fillId="0" borderId="0"/>
    <xf numFmtId="255"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5" fontId="120"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0" fontId="13" fillId="0" borderId="0" applyNumberFormat="0" applyFill="0" applyBorder="0" applyAlignment="0" applyProtection="0"/>
    <xf numFmtId="251" fontId="31" fillId="0" borderId="0"/>
    <xf numFmtId="253"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0" fontId="1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8" fontId="31" fillId="0" borderId="0"/>
    <xf numFmtId="18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188"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8" fillId="0" borderId="0" applyFont="0" applyFill="0" applyBorder="0" applyAlignment="0" applyProtection="0">
      <alignment vertical="center"/>
    </xf>
    <xf numFmtId="0" fontId="13" fillId="0" borderId="0" applyNumberFormat="0" applyFill="0" applyBorder="0" applyAlignment="0" applyProtection="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25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Fill="0" applyBorder="0" applyProtection="0">
      <protection locked="0"/>
    </xf>
    <xf numFmtId="0" fontId="13" fillId="0" borderId="0"/>
    <xf numFmtId="0" fontId="13" fillId="0" borderId="0" applyFill="0" applyBorder="0" applyProtection="0">
      <protection locked="0"/>
    </xf>
    <xf numFmtId="0" fontId="13" fillId="0" borderId="0" applyFill="0" applyBorder="0" applyProtection="0">
      <protection locked="0"/>
    </xf>
    <xf numFmtId="0" fontId="13" fillId="0" borderId="0"/>
    <xf numFmtId="0" fontId="13" fillId="0" borderId="0" applyNumberFormat="0" applyFill="0" applyBorder="0" applyAlignment="0" applyProtection="0"/>
    <xf numFmtId="216" fontId="3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251" fontId="31" fillId="0" borderId="0"/>
    <xf numFmtId="0" fontId="17"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1"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253"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9" fillId="0" borderId="0" applyNumberFormat="0" applyFill="0" applyBorder="0" applyAlignment="0" applyProtection="0"/>
    <xf numFmtId="0" fontId="13" fillId="0" borderId="0"/>
    <xf numFmtId="0" fontId="13" fillId="0" borderId="0" applyFill="0" applyBorder="0" applyProtection="0">
      <protection locked="0"/>
    </xf>
    <xf numFmtId="0" fontId="13" fillId="0" borderId="0"/>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3" fontId="128" fillId="0" borderId="14"/>
    <xf numFmtId="0" fontId="31" fillId="0" borderId="0"/>
    <xf numFmtId="0" fontId="31" fillId="0" borderId="0"/>
    <xf numFmtId="0" fontId="34" fillId="0" borderId="0" applyNumberFormat="0" applyFill="0" applyBorder="0" applyAlignment="0" applyProtection="0">
      <alignment vertical="top"/>
      <protection locked="0"/>
    </xf>
    <xf numFmtId="9" fontId="31" fillId="0" borderId="0" applyFont="0" applyFill="0" applyBorder="0" applyAlignment="0" applyProtection="0"/>
    <xf numFmtId="0" fontId="72" fillId="0" borderId="0"/>
    <xf numFmtId="0" fontId="72" fillId="0" borderId="0"/>
    <xf numFmtId="169" fontId="31" fillId="0" borderId="0" applyFont="0" applyFill="0" applyBorder="0" applyAlignment="0" applyProtection="0"/>
    <xf numFmtId="10" fontId="31" fillId="0" borderId="0" applyFont="0" applyFill="0" applyBorder="0" applyAlignment="0" applyProtection="0"/>
    <xf numFmtId="188" fontId="31" fillId="0" borderId="0" applyFont="0" applyFill="0" applyBorder="0" applyAlignment="0" applyProtection="0"/>
    <xf numFmtId="262" fontId="31" fillId="0" borderId="0" applyBorder="0"/>
    <xf numFmtId="0" fontId="156" fillId="3" borderId="0" applyNumberFormat="0" applyBorder="0" applyAlignment="0" applyProtection="0">
      <alignment vertical="center"/>
    </xf>
    <xf numFmtId="0" fontId="156" fillId="5" borderId="0" applyNumberFormat="0" applyBorder="0" applyAlignment="0" applyProtection="0">
      <alignment vertical="center"/>
    </xf>
    <xf numFmtId="0" fontId="156" fillId="6" borderId="0" applyNumberFormat="0" applyBorder="0" applyAlignment="0" applyProtection="0">
      <alignment vertical="center"/>
    </xf>
    <xf numFmtId="0" fontId="156" fillId="8" borderId="0" applyNumberFormat="0" applyBorder="0" applyAlignment="0" applyProtection="0">
      <alignment vertical="center"/>
    </xf>
    <xf numFmtId="0" fontId="156" fillId="4" borderId="0" applyNumberFormat="0" applyBorder="0" applyAlignment="0" applyProtection="0">
      <alignment vertical="center"/>
    </xf>
    <xf numFmtId="0" fontId="156" fillId="9" borderId="0" applyNumberFormat="0" applyBorder="0" applyAlignment="0" applyProtection="0">
      <alignment vertical="center"/>
    </xf>
    <xf numFmtId="194" fontId="110" fillId="0" borderId="0" applyFont="0" applyFill="0" applyBorder="0" applyAlignment="0" applyProtection="0"/>
    <xf numFmtId="0" fontId="72" fillId="0" borderId="0"/>
    <xf numFmtId="263" fontId="157" fillId="0" borderId="0" applyFont="0" applyFill="0" applyBorder="0" applyAlignment="0" applyProtection="0"/>
    <xf numFmtId="264" fontId="157" fillId="0" borderId="0" applyFont="0" applyFill="0" applyBorder="0" applyAlignment="0" applyProtection="0"/>
    <xf numFmtId="0" fontId="156" fillId="10" borderId="0" applyNumberFormat="0" applyBorder="0" applyAlignment="0" applyProtection="0">
      <alignment vertical="center"/>
    </xf>
    <xf numFmtId="0" fontId="156" fillId="11" borderId="0" applyNumberFormat="0" applyBorder="0" applyAlignment="0" applyProtection="0">
      <alignment vertical="center"/>
    </xf>
    <xf numFmtId="0" fontId="156" fillId="12" borderId="0" applyNumberFormat="0" applyBorder="0" applyAlignment="0" applyProtection="0">
      <alignment vertical="center"/>
    </xf>
    <xf numFmtId="0" fontId="156" fillId="8" borderId="0" applyNumberFormat="0" applyBorder="0" applyAlignment="0" applyProtection="0">
      <alignment vertical="center"/>
    </xf>
    <xf numFmtId="0" fontId="156" fillId="10" borderId="0" applyNumberFormat="0" applyBorder="0" applyAlignment="0" applyProtection="0">
      <alignment vertical="center"/>
    </xf>
    <xf numFmtId="0" fontId="156" fillId="13" borderId="0" applyNumberFormat="0" applyBorder="0" applyAlignment="0" applyProtection="0">
      <alignment vertical="center"/>
    </xf>
    <xf numFmtId="0" fontId="158" fillId="2" borderId="0" applyNumberFormat="0" applyBorder="0" applyAlignment="0" applyProtection="0">
      <alignment vertical="center"/>
    </xf>
    <xf numFmtId="0" fontId="158" fillId="11" borderId="0" applyNumberFormat="0" applyBorder="0" applyAlignment="0" applyProtection="0">
      <alignment vertical="center"/>
    </xf>
    <xf numFmtId="0" fontId="158" fillId="12"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17" borderId="0" applyNumberFormat="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265" fontId="31" fillId="69" borderId="21" applyFont="0">
      <alignment horizontal="right"/>
    </xf>
    <xf numFmtId="0" fontId="13" fillId="0" borderId="0"/>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4" fontId="33" fillId="0" borderId="0" applyNumberFormat="0" applyFill="0" applyBorder="0" applyAlignment="0" applyProtection="0"/>
    <xf numFmtId="0" fontId="160" fillId="5" borderId="0" applyNumberFormat="0" applyBorder="0" applyAlignment="0" applyProtection="0">
      <alignment vertical="center"/>
    </xf>
    <xf numFmtId="266" fontId="72" fillId="0" borderId="0" applyFont="0" applyFill="0" applyBorder="0" applyAlignment="0" applyProtection="0"/>
    <xf numFmtId="0" fontId="113" fillId="0" borderId="0"/>
    <xf numFmtId="267" fontId="13" fillId="0" borderId="0" applyFill="0" applyBorder="0" applyAlignment="0"/>
    <xf numFmtId="0" fontId="161" fillId="40" borderId="1" applyNumberFormat="0" applyAlignment="0" applyProtection="0">
      <alignment vertical="center"/>
    </xf>
    <xf numFmtId="0" fontId="162" fillId="0" borderId="0"/>
    <xf numFmtId="3" fontId="128" fillId="0" borderId="14"/>
    <xf numFmtId="0" fontId="163" fillId="41" borderId="2" applyNumberFormat="0" applyAlignment="0" applyProtection="0">
      <alignment vertical="center"/>
    </xf>
    <xf numFmtId="49" fontId="164" fillId="0" borderId="0" applyNumberFormat="0" applyFill="0" applyBorder="0" applyProtection="0"/>
    <xf numFmtId="0" fontId="128" fillId="0" borderId="0">
      <alignment horizontal="center" wrapText="1"/>
      <protection hidden="1"/>
    </xf>
    <xf numFmtId="0" fontId="42" fillId="0" borderId="0" applyNumberFormat="0" applyFill="0" applyBorder="0" applyAlignment="0" applyProtection="0"/>
    <xf numFmtId="268" fontId="13" fillId="0" borderId="0"/>
    <xf numFmtId="268" fontId="13" fillId="0" borderId="0"/>
    <xf numFmtId="268" fontId="13" fillId="0" borderId="0"/>
    <xf numFmtId="268" fontId="13" fillId="0" borderId="0"/>
    <xf numFmtId="268" fontId="13" fillId="0" borderId="0"/>
    <xf numFmtId="268" fontId="13" fillId="0" borderId="0"/>
    <xf numFmtId="268" fontId="13" fillId="0" borderId="0"/>
    <xf numFmtId="268" fontId="13" fillId="0" borderId="0"/>
    <xf numFmtId="173" fontId="98" fillId="0" borderId="0"/>
    <xf numFmtId="0" fontId="165" fillId="76" borderId="0">
      <alignment horizontal="center" vertical="center" wrapText="1"/>
    </xf>
    <xf numFmtId="0" fontId="165" fillId="76" borderId="0">
      <alignment horizontal="center" vertical="center" wrapText="1"/>
    </xf>
    <xf numFmtId="269" fontId="128" fillId="0" borderId="0" applyFill="0" applyBorder="0">
      <alignment horizontal="right"/>
      <protection locked="0"/>
    </xf>
    <xf numFmtId="270" fontId="98" fillId="0" borderId="0"/>
    <xf numFmtId="271" fontId="31" fillId="0" borderId="0" applyFont="0" applyFill="0" applyBorder="0" applyAlignment="0" applyProtection="0">
      <alignment horizontal="right"/>
    </xf>
    <xf numFmtId="272" fontId="98" fillId="0" borderId="0"/>
    <xf numFmtId="0" fontId="166" fillId="0" borderId="0" applyNumberFormat="0" applyFill="0" applyBorder="0" applyAlignment="0" applyProtection="0"/>
    <xf numFmtId="0" fontId="18" fillId="67" borderId="14"/>
    <xf numFmtId="0" fontId="167" fillId="0" borderId="0" applyNumberFormat="0" applyFill="0" applyBorder="0" applyAlignment="0" applyProtection="0">
      <alignment vertical="center"/>
    </xf>
    <xf numFmtId="273" fontId="31" fillId="71" borderId="24" applyNumberFormat="0" applyFont="0" applyBorder="0" applyAlignment="0" applyProtection="0">
      <alignment horizontal="right"/>
    </xf>
    <xf numFmtId="0" fontId="13" fillId="0" borderId="0" applyFill="0" applyBorder="0" applyProtection="0">
      <protection locked="0"/>
    </xf>
    <xf numFmtId="0" fontId="168" fillId="6" borderId="0" applyNumberFormat="0" applyBorder="0" applyAlignment="0" applyProtection="0">
      <alignment vertical="center"/>
    </xf>
    <xf numFmtId="0" fontId="18" fillId="68" borderId="0" applyNumberFormat="0" applyBorder="0" applyAlignment="0" applyProtection="0"/>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49" fontId="124" fillId="0" borderId="0">
      <alignment horizontal="right"/>
    </xf>
    <xf numFmtId="0" fontId="169" fillId="0" borderId="0">
      <alignment horizontal="left"/>
    </xf>
    <xf numFmtId="0" fontId="20" fillId="0" borderId="26" applyNumberFormat="0" applyAlignment="0" applyProtection="0">
      <alignment horizontal="left" vertical="center"/>
    </xf>
    <xf numFmtId="0" fontId="20" fillId="0" borderId="21">
      <alignment horizontal="left" vertical="center"/>
    </xf>
    <xf numFmtId="0" fontId="170" fillId="0" borderId="3" applyNumberFormat="0" applyFill="0" applyAlignment="0" applyProtection="0">
      <alignment vertical="center"/>
    </xf>
    <xf numFmtId="0" fontId="171" fillId="0" borderId="4" applyNumberFormat="0" applyFill="0" applyAlignment="0" applyProtection="0">
      <alignment vertical="center"/>
    </xf>
    <xf numFmtId="0" fontId="172" fillId="0" borderId="5" applyNumberFormat="0" applyFill="0" applyAlignment="0" applyProtection="0">
      <alignment vertical="center"/>
    </xf>
    <xf numFmtId="0" fontId="172" fillId="0" borderId="0" applyNumberFormat="0" applyFill="0" applyBorder="0" applyAlignment="0" applyProtection="0">
      <alignment vertical="center"/>
    </xf>
    <xf numFmtId="171" fontId="31" fillId="0" borderId="0" applyNumberFormat="0" applyFont="0" applyFill="0" applyBorder="0" applyAlignment="0">
      <alignment horizontal="left"/>
    </xf>
    <xf numFmtId="1" fontId="127" fillId="0" borderId="0" applyNumberFormat="0">
      <alignment horizontal="right"/>
    </xf>
    <xf numFmtId="0" fontId="18" fillId="56" borderId="14" applyNumberFormat="0" applyBorder="0" applyAlignment="0" applyProtection="0"/>
    <xf numFmtId="168" fontId="58" fillId="0" borderId="0" applyFont="0" applyFill="0" applyBorder="0" applyAlignment="0" applyProtection="0">
      <alignment vertical="center"/>
    </xf>
    <xf numFmtId="0" fontId="128" fillId="0" borderId="0" applyFill="0" applyBorder="0">
      <alignment horizontal="right"/>
      <protection locked="0"/>
    </xf>
    <xf numFmtId="169" fontId="173" fillId="0" borderId="0">
      <alignment horizontal="right"/>
    </xf>
    <xf numFmtId="177" fontId="128" fillId="0" borderId="0" applyFill="0" applyBorder="0">
      <alignment horizontal="right"/>
      <protection locked="0"/>
    </xf>
    <xf numFmtId="0" fontId="174" fillId="0" borderId="6" applyNumberFormat="0" applyFill="0" applyAlignment="0" applyProtection="0">
      <alignment vertical="center"/>
    </xf>
    <xf numFmtId="38" fontId="175" fillId="0" borderId="0" applyNumberFormat="0" applyFill="0" applyBorder="0" applyAlignment="0" applyProtection="0">
      <alignment vertical="center"/>
    </xf>
    <xf numFmtId="0" fontId="176" fillId="0" borderId="35"/>
    <xf numFmtId="0" fontId="177" fillId="47" borderId="0" applyNumberFormat="0" applyBorder="0" applyAlignment="0" applyProtection="0">
      <alignment vertical="center"/>
    </xf>
    <xf numFmtId="274" fontId="13" fillId="0" borderId="0" applyFont="0" applyFill="0" applyBorder="0" applyAlignment="0" applyProtection="0"/>
    <xf numFmtId="275" fontId="130" fillId="0" borderId="0"/>
    <xf numFmtId="1" fontId="178" fillId="0" borderId="0"/>
    <xf numFmtId="194" fontId="13" fillId="0" borderId="0"/>
    <xf numFmtId="0" fontId="40" fillId="0" borderId="0"/>
    <xf numFmtId="0" fontId="155" fillId="14" borderId="7" applyNumberFormat="0" applyFont="0" applyAlignment="0" applyProtection="0">
      <alignment vertical="center"/>
    </xf>
    <xf numFmtId="0" fontId="31" fillId="0" borderId="0"/>
    <xf numFmtId="0" fontId="179" fillId="40" borderId="8" applyNumberFormat="0" applyAlignment="0" applyProtection="0">
      <alignment vertical="center"/>
    </xf>
    <xf numFmtId="40" fontId="180" fillId="57" borderId="0">
      <alignment horizontal="right"/>
    </xf>
    <xf numFmtId="10" fontId="155" fillId="0" borderId="0" applyFont="0" applyFill="0" applyBorder="0" applyAlignment="0" applyProtection="0"/>
    <xf numFmtId="276" fontId="128" fillId="0" borderId="0" applyFill="0" applyBorder="0">
      <alignment horizontal="right"/>
      <protection locked="0"/>
    </xf>
    <xf numFmtId="0" fontId="18" fillId="68" borderId="14"/>
    <xf numFmtId="277" fontId="128" fillId="0" borderId="0">
      <alignment horizontal="right"/>
      <protection locked="0"/>
    </xf>
    <xf numFmtId="169" fontId="13" fillId="0" borderId="0"/>
    <xf numFmtId="0" fontId="42" fillId="0" borderId="0" applyNumberFormat="0" applyFill="0" applyBorder="0" applyAlignment="0" applyProtection="0"/>
    <xf numFmtId="0" fontId="111" fillId="0" borderId="37">
      <alignment horizontal="centerContinuous"/>
    </xf>
    <xf numFmtId="174" fontId="111" fillId="0" borderId="0"/>
    <xf numFmtId="0" fontId="111" fillId="0" borderId="37">
      <protection locked="0"/>
    </xf>
    <xf numFmtId="278" fontId="181" fillId="0" borderId="0" applyFill="0" applyBorder="0" applyProtection="0">
      <alignment horizontal="right"/>
      <protection hidden="1"/>
    </xf>
    <xf numFmtId="279" fontId="31" fillId="0" borderId="0" applyNumberFormat="0" applyFill="0" applyBorder="0" applyAlignment="0" applyProtection="0">
      <alignment horizontal="right" vertical="center" wrapText="1"/>
    </xf>
    <xf numFmtId="168" fontId="58" fillId="0" borderId="0" applyFont="0" applyFill="0" applyBorder="0" applyAlignment="0" applyProtection="0">
      <alignment vertical="center"/>
    </xf>
    <xf numFmtId="0" fontId="176" fillId="0" borderId="0"/>
    <xf numFmtId="0" fontId="140" fillId="0" borderId="0">
      <alignment vertical="center"/>
    </xf>
    <xf numFmtId="0" fontId="182" fillId="0" borderId="0" applyNumberFormat="0" applyFill="0" applyBorder="0" applyAlignment="0" applyProtection="0">
      <alignment vertical="center"/>
    </xf>
    <xf numFmtId="0" fontId="31" fillId="0" borderId="34" applyNumberFormat="0" applyFont="0" applyFill="0" applyAlignment="0" applyProtection="0"/>
    <xf numFmtId="22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164" fillId="0" borderId="23" applyFont="0" applyFill="0" applyAlignment="0" applyProtection="0">
      <alignment vertical="center"/>
    </xf>
    <xf numFmtId="0" fontId="183" fillId="0" borderId="0" applyNumberFormat="0" applyFill="0" applyBorder="0" applyAlignment="0" applyProtection="0">
      <alignment vertical="center"/>
    </xf>
    <xf numFmtId="41" fontId="13" fillId="0" borderId="0">
      <alignment wrapText="1"/>
    </xf>
    <xf numFmtId="0" fontId="13" fillId="0" borderId="0" applyFill="0" applyBorder="0" applyProtection="0">
      <protection locked="0"/>
    </xf>
    <xf numFmtId="9" fontId="155" fillId="0" borderId="0" applyFont="0" applyFill="0" applyBorder="0" applyAlignment="0" applyProtection="0">
      <alignment vertical="center"/>
    </xf>
    <xf numFmtId="9" fontId="155" fillId="0" borderId="0" applyFont="0" applyFill="0" applyBorder="0" applyAlignment="0" applyProtection="0"/>
    <xf numFmtId="9" fontId="13" fillId="0" borderId="0" applyFont="0" applyFill="0" applyBorder="0" applyAlignment="0" applyProtection="0"/>
    <xf numFmtId="0" fontId="13" fillId="0" borderId="0">
      <protection locked="0"/>
    </xf>
    <xf numFmtId="0" fontId="31" fillId="0" borderId="0"/>
    <xf numFmtId="0" fontId="72" fillId="0" borderId="0">
      <alignment horizontal="center" wrapText="1" shrinkToFit="1"/>
    </xf>
    <xf numFmtId="0" fontId="184" fillId="0" borderId="0" applyNumberFormat="0" applyFill="0" applyBorder="0" applyAlignment="0" applyProtection="0">
      <alignment vertical="top"/>
      <protection locked="0"/>
    </xf>
    <xf numFmtId="42" fontId="155" fillId="0" borderId="0" applyFont="0" applyFill="0" applyBorder="0" applyAlignment="0" applyProtection="0"/>
    <xf numFmtId="280" fontId="155" fillId="0" borderId="0" applyFont="0" applyFill="0" applyBorder="0" applyAlignment="0" applyProtection="0"/>
    <xf numFmtId="44" fontId="155" fillId="0" borderId="0" applyFont="0" applyFill="0" applyBorder="0" applyAlignment="0" applyProtection="0"/>
    <xf numFmtId="38" fontId="155" fillId="0" borderId="0" applyFont="0" applyFill="0" applyBorder="0" applyAlignment="0" applyProtection="0"/>
    <xf numFmtId="40" fontId="155" fillId="0" borderId="0" applyFont="0" applyFill="0" applyBorder="0" applyAlignment="0" applyProtection="0"/>
    <xf numFmtId="0" fontId="155" fillId="0" borderId="0" applyFont="0" applyFill="0" applyBorder="0" applyAlignment="0" applyProtection="0"/>
    <xf numFmtId="0" fontId="155" fillId="0" borderId="0" applyFont="0" applyFill="0" applyBorder="0" applyAlignment="0" applyProtection="0"/>
    <xf numFmtId="263" fontId="155" fillId="0" borderId="0" applyFont="0" applyFill="0" applyBorder="0" applyAlignment="0" applyProtection="0"/>
    <xf numFmtId="264" fontId="155" fillId="0" borderId="0" applyFont="0" applyFill="0" applyBorder="0" applyAlignment="0" applyProtection="0"/>
    <xf numFmtId="0" fontId="58" fillId="0" borderId="0"/>
    <xf numFmtId="166"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alignment vertical="center"/>
    </xf>
    <xf numFmtId="168" fontId="155" fillId="0" borderId="0" applyFont="0" applyFill="0" applyBorder="0" applyAlignment="0" applyProtection="0"/>
    <xf numFmtId="43" fontId="13" fillId="0" borderId="0" applyFont="0" applyFill="0" applyBorder="0" applyAlignment="0" applyProtection="0"/>
    <xf numFmtId="0" fontId="185" fillId="0" borderId="0" applyNumberFormat="0" applyFill="0" applyBorder="0" applyAlignment="0" applyProtection="0">
      <alignment vertical="top"/>
      <protection locked="0"/>
    </xf>
    <xf numFmtId="281" fontId="186" fillId="0" borderId="0">
      <alignment horizontal="center" vertical="top" shrinkToFit="1"/>
    </xf>
    <xf numFmtId="0" fontId="13" fillId="0" borderId="0"/>
    <xf numFmtId="0" fontId="13" fillId="0" borderId="0"/>
    <xf numFmtId="193" fontId="187" fillId="0" borderId="0">
      <alignment horizontal="center" vertical="top"/>
    </xf>
    <xf numFmtId="0" fontId="13" fillId="0" borderId="0" applyFill="0" applyBorder="0" applyProtection="0">
      <protection locked="0"/>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41" fontId="155" fillId="0" borderId="0" applyFont="0" applyFill="0" applyBorder="0" applyAlignment="0" applyProtection="0"/>
    <xf numFmtId="43" fontId="155" fillId="0" borderId="0" applyFont="0" applyFill="0" applyBorder="0" applyAlignment="0" applyProtection="0"/>
    <xf numFmtId="1" fontId="127" fillId="0" borderId="0" applyNumberFormat="0">
      <alignment horizontal="right"/>
    </xf>
    <xf numFmtId="1" fontId="127" fillId="0" borderId="0" applyNumberFormat="0">
      <alignment horizontal="right"/>
    </xf>
    <xf numFmtId="271" fontId="31" fillId="0" borderId="0" applyFont="0" applyFill="0" applyBorder="0" applyAlignment="0" applyProtection="0">
      <alignment horizontal="right"/>
    </xf>
    <xf numFmtId="271" fontId="31" fillId="0" borderId="0" applyFont="0" applyFill="0" applyBorder="0" applyAlignment="0" applyProtection="0">
      <alignment horizontal="right"/>
    </xf>
    <xf numFmtId="0" fontId="13" fillId="0" borderId="0" applyFill="0" applyBorder="0" applyProtection="0">
      <protection locked="0"/>
    </xf>
    <xf numFmtId="220" fontId="17" fillId="0" borderId="0"/>
    <xf numFmtId="0" fontId="13" fillId="0" borderId="0" applyFill="0" applyBorder="0" applyProtection="0">
      <protection locked="0"/>
    </xf>
    <xf numFmtId="220" fontId="17" fillId="0" borderId="0"/>
    <xf numFmtId="168" fontId="58" fillId="0" borderId="0" applyFont="0" applyFill="0" applyBorder="0" applyAlignment="0" applyProtection="0">
      <alignment vertical="center"/>
    </xf>
    <xf numFmtId="0" fontId="13" fillId="0" borderId="0" applyFill="0" applyBorder="0" applyProtection="0">
      <protection locked="0"/>
    </xf>
    <xf numFmtId="220" fontId="17" fillId="0" borderId="0"/>
    <xf numFmtId="0" fontId="158" fillId="39" borderId="0" applyNumberFormat="0" applyBorder="0" applyAlignment="0" applyProtection="0">
      <alignment vertical="center"/>
    </xf>
    <xf numFmtId="0" fontId="158" fillId="16" borderId="0" applyNumberFormat="0" applyBorder="0" applyAlignment="0" applyProtection="0">
      <alignment vertical="center"/>
    </xf>
    <xf numFmtId="0" fontId="158" fillId="15" borderId="0" applyNumberFormat="0" applyBorder="0" applyAlignment="0" applyProtection="0">
      <alignment vertical="center"/>
    </xf>
    <xf numFmtId="168" fontId="58" fillId="0" borderId="0" applyFont="0" applyFill="0" applyBorder="0" applyAlignment="0" applyProtection="0">
      <alignment vertical="center"/>
    </xf>
    <xf numFmtId="0" fontId="158" fillId="35" borderId="0" applyNumberFormat="0" applyBorder="0" applyAlignment="0" applyProtection="0">
      <alignment vertical="center"/>
    </xf>
    <xf numFmtId="0" fontId="158" fillId="30" borderId="0" applyNumberFormat="0" applyBorder="0" applyAlignment="0" applyProtection="0">
      <alignment vertical="center"/>
    </xf>
    <xf numFmtId="0" fontId="158" fillId="24" borderId="0" applyNumberFormat="0" applyBorder="0" applyAlignment="0" applyProtection="0">
      <alignment vertical="center"/>
    </xf>
    <xf numFmtId="0" fontId="158" fillId="39" borderId="0" applyNumberFormat="0" applyBorder="0" applyAlignment="0" applyProtection="0">
      <alignment vertical="center"/>
    </xf>
    <xf numFmtId="0" fontId="158" fillId="16" borderId="0" applyNumberFormat="0" applyBorder="0" applyAlignment="0" applyProtection="0">
      <alignment vertical="center"/>
    </xf>
    <xf numFmtId="168" fontId="58" fillId="0" borderId="0" applyFont="0" applyFill="0" applyBorder="0" applyAlignment="0" applyProtection="0">
      <alignment vertical="center"/>
    </xf>
    <xf numFmtId="0" fontId="158" fillId="15" borderId="0" applyNumberFormat="0" applyBorder="0" applyAlignment="0" applyProtection="0">
      <alignment vertical="center"/>
    </xf>
    <xf numFmtId="0" fontId="158" fillId="35" borderId="0" applyNumberFormat="0" applyBorder="0" applyAlignment="0" applyProtection="0">
      <alignment vertical="center"/>
    </xf>
    <xf numFmtId="0" fontId="158" fillId="30" borderId="0" applyNumberFormat="0" applyBorder="0" applyAlignment="0" applyProtection="0">
      <alignment vertical="center"/>
    </xf>
    <xf numFmtId="0" fontId="158" fillId="24" borderId="0" applyNumberFormat="0" applyBorder="0" applyAlignment="0" applyProtection="0">
      <alignment vertical="center"/>
    </xf>
    <xf numFmtId="0" fontId="31" fillId="0" borderId="0"/>
    <xf numFmtId="0" fontId="13" fillId="0" borderId="0" applyFill="0" applyBorder="0" applyProtection="0">
      <protection locked="0"/>
    </xf>
    <xf numFmtId="220" fontId="17" fillId="0" borderId="0"/>
    <xf numFmtId="0" fontId="31" fillId="0" borderId="0"/>
    <xf numFmtId="9" fontId="58" fillId="0" borderId="0" applyFont="0" applyFill="0" applyBorder="0" applyAlignment="0" applyProtection="0">
      <alignment vertical="center"/>
    </xf>
    <xf numFmtId="0" fontId="31" fillId="0" borderId="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1" fontId="127" fillId="0" borderId="0" applyNumberFormat="0">
      <alignment horizontal="right"/>
    </xf>
    <xf numFmtId="1" fontId="127" fillId="0" borderId="0" applyNumberFormat="0">
      <alignment horizontal="right"/>
    </xf>
    <xf numFmtId="1" fontId="127" fillId="0" borderId="0" applyNumberFormat="0">
      <alignment horizontal="right"/>
    </xf>
    <xf numFmtId="271" fontId="31" fillId="0" borderId="0" applyFont="0" applyFill="0" applyBorder="0" applyAlignment="0" applyProtection="0">
      <alignment horizontal="right"/>
    </xf>
    <xf numFmtId="271" fontId="31" fillId="0" borderId="0" applyFont="0" applyFill="0" applyBorder="0" applyAlignment="0" applyProtection="0">
      <alignment horizontal="right"/>
    </xf>
    <xf numFmtId="271" fontId="31" fillId="0" borderId="0" applyFont="0" applyFill="0" applyBorder="0" applyAlignment="0" applyProtection="0">
      <alignment horizontal="right"/>
    </xf>
    <xf numFmtId="0" fontId="158" fillId="39" borderId="0" applyNumberFormat="0" applyBorder="0" applyAlignment="0" applyProtection="0">
      <alignment vertical="center"/>
    </xf>
    <xf numFmtId="0" fontId="158" fillId="16" borderId="0" applyNumberFormat="0" applyBorder="0" applyAlignment="0" applyProtection="0">
      <alignment vertical="center"/>
    </xf>
    <xf numFmtId="0" fontId="158" fillId="15" borderId="0" applyNumberFormat="0" applyBorder="0" applyAlignment="0" applyProtection="0">
      <alignment vertical="center"/>
    </xf>
    <xf numFmtId="0" fontId="158" fillId="35" borderId="0" applyNumberFormat="0" applyBorder="0" applyAlignment="0" applyProtection="0">
      <alignment vertical="center"/>
    </xf>
    <xf numFmtId="0" fontId="158" fillId="30" borderId="0" applyNumberFormat="0" applyBorder="0" applyAlignment="0" applyProtection="0">
      <alignment vertical="center"/>
    </xf>
    <xf numFmtId="0" fontId="158" fillId="24" borderId="0" applyNumberFormat="0" applyBorder="0" applyAlignment="0" applyProtection="0">
      <alignment vertical="center"/>
    </xf>
    <xf numFmtId="0" fontId="158" fillId="39" borderId="0" applyNumberFormat="0" applyBorder="0" applyAlignment="0" applyProtection="0">
      <alignment vertical="center"/>
    </xf>
    <xf numFmtId="0" fontId="158" fillId="16" borderId="0" applyNumberFormat="0" applyBorder="0" applyAlignment="0" applyProtection="0">
      <alignment vertical="center"/>
    </xf>
    <xf numFmtId="0" fontId="158" fillId="15" borderId="0" applyNumberFormat="0" applyBorder="0" applyAlignment="0" applyProtection="0">
      <alignment vertical="center"/>
    </xf>
    <xf numFmtId="0" fontId="158" fillId="35" borderId="0" applyNumberFormat="0" applyBorder="0" applyAlignment="0" applyProtection="0">
      <alignment vertical="center"/>
    </xf>
    <xf numFmtId="0" fontId="158" fillId="30" borderId="0" applyNumberFormat="0" applyBorder="0" applyAlignment="0" applyProtection="0">
      <alignment vertical="center"/>
    </xf>
    <xf numFmtId="0" fontId="158" fillId="24" borderId="0" applyNumberFormat="0" applyBorder="0" applyAlignment="0" applyProtection="0">
      <alignment vertical="center"/>
    </xf>
    <xf numFmtId="0" fontId="158" fillId="39" borderId="0" applyNumberFormat="0" applyBorder="0" applyAlignment="0" applyProtection="0">
      <alignment vertical="center"/>
    </xf>
    <xf numFmtId="0" fontId="158" fillId="16" borderId="0" applyNumberFormat="0" applyBorder="0" applyAlignment="0" applyProtection="0">
      <alignment vertical="center"/>
    </xf>
    <xf numFmtId="0" fontId="158" fillId="15" borderId="0" applyNumberFormat="0" applyBorder="0" applyAlignment="0" applyProtection="0">
      <alignment vertical="center"/>
    </xf>
    <xf numFmtId="0" fontId="158" fillId="35" borderId="0" applyNumberFormat="0" applyBorder="0" applyAlignment="0" applyProtection="0">
      <alignment vertical="center"/>
    </xf>
    <xf numFmtId="0" fontId="158" fillId="30" borderId="0" applyNumberFormat="0" applyBorder="0" applyAlignment="0" applyProtection="0">
      <alignment vertical="center"/>
    </xf>
    <xf numFmtId="0" fontId="158" fillId="24" borderId="0" applyNumberFormat="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271" fontId="31" fillId="0" borderId="0" applyFont="0" applyFill="0" applyBorder="0" applyAlignment="0" applyProtection="0">
      <alignment horizontal="right"/>
    </xf>
    <xf numFmtId="1" fontId="127" fillId="0" borderId="0" applyNumberFormat="0">
      <alignment horizontal="right"/>
    </xf>
    <xf numFmtId="9" fontId="58" fillId="0" borderId="0" applyFont="0" applyFill="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0" fontId="158" fillId="24" borderId="0" applyNumberFormat="0" applyBorder="0" applyAlignment="0" applyProtection="0">
      <alignment vertical="center"/>
    </xf>
    <xf numFmtId="0" fontId="158" fillId="30" borderId="0" applyNumberFormat="0" applyBorder="0" applyAlignment="0" applyProtection="0">
      <alignment vertical="center"/>
    </xf>
    <xf numFmtId="0" fontId="158" fillId="35" borderId="0" applyNumberFormat="0" applyBorder="0" applyAlignment="0" applyProtection="0">
      <alignment vertical="center"/>
    </xf>
    <xf numFmtId="0" fontId="158" fillId="15" borderId="0" applyNumberFormat="0" applyBorder="0" applyAlignment="0" applyProtection="0">
      <alignment vertical="center"/>
    </xf>
    <xf numFmtId="0" fontId="158" fillId="16" borderId="0" applyNumberFormat="0" applyBorder="0" applyAlignment="0" applyProtection="0">
      <alignment vertical="center"/>
    </xf>
    <xf numFmtId="0" fontId="158" fillId="39" borderId="0" applyNumberFormat="0" applyBorder="0" applyAlignment="0" applyProtection="0">
      <alignment vertical="center"/>
    </xf>
    <xf numFmtId="0" fontId="31" fillId="0" borderId="0"/>
    <xf numFmtId="271" fontId="31" fillId="0" borderId="0" applyFont="0" applyFill="0" applyBorder="0" applyAlignment="0" applyProtection="0">
      <alignment horizontal="right"/>
    </xf>
    <xf numFmtId="168" fontId="58" fillId="0" borderId="0" applyFont="0" applyFill="0" applyBorder="0" applyAlignment="0" applyProtection="0">
      <alignment vertical="center"/>
    </xf>
    <xf numFmtId="271" fontId="31" fillId="0" borderId="0" applyFont="0" applyFill="0" applyBorder="0" applyAlignment="0" applyProtection="0">
      <alignment horizontal="right"/>
    </xf>
    <xf numFmtId="220" fontId="17" fillId="0" borderId="0"/>
    <xf numFmtId="0" fontId="13" fillId="0" borderId="0" applyFill="0" applyBorder="0" applyProtection="0">
      <protection locked="0"/>
    </xf>
    <xf numFmtId="271" fontId="31" fillId="0" borderId="0" applyFont="0" applyFill="0" applyBorder="0" applyAlignment="0" applyProtection="0">
      <alignment horizontal="right"/>
    </xf>
    <xf numFmtId="271" fontId="31" fillId="0" borderId="0" applyFont="0" applyFill="0" applyBorder="0" applyAlignment="0" applyProtection="0">
      <alignment horizontal="right"/>
    </xf>
    <xf numFmtId="220" fontId="17" fillId="0" borderId="0"/>
    <xf numFmtId="0" fontId="13" fillId="0" borderId="0" applyFill="0" applyBorder="0" applyProtection="0">
      <protection locked="0"/>
    </xf>
    <xf numFmtId="1" fontId="127" fillId="0" borderId="0" applyNumberFormat="0">
      <alignment horizontal="right"/>
    </xf>
    <xf numFmtId="1" fontId="127" fillId="0" borderId="0" applyNumberFormat="0">
      <alignment horizontal="right"/>
    </xf>
    <xf numFmtId="1" fontId="127" fillId="0" borderId="0" applyNumberFormat="0">
      <alignment horizontal="right"/>
    </xf>
    <xf numFmtId="1" fontId="127" fillId="0" borderId="0" applyNumberFormat="0">
      <alignment horizontal="right"/>
    </xf>
    <xf numFmtId="10" fontId="58"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0" fontId="31" fillId="0" borderId="0"/>
    <xf numFmtId="9" fontId="58" fillId="0" borderId="0" applyFont="0" applyFill="0" applyBorder="0" applyAlignment="0" applyProtection="0">
      <alignment vertical="center"/>
    </xf>
    <xf numFmtId="0" fontId="31" fillId="0" borderId="0"/>
    <xf numFmtId="9" fontId="58" fillId="0" borderId="0" applyFont="0" applyFill="0" applyBorder="0" applyAlignment="0" applyProtection="0">
      <alignment vertical="center"/>
    </xf>
    <xf numFmtId="9" fontId="58" fillId="0" borderId="0" applyFont="0" applyFill="0" applyBorder="0" applyAlignment="0" applyProtection="0"/>
    <xf numFmtId="0" fontId="31" fillId="0" borderId="0"/>
    <xf numFmtId="0" fontId="31" fillId="0" borderId="0"/>
    <xf numFmtId="168" fontId="58" fillId="0" borderId="0" applyFont="0" applyFill="0" applyBorder="0" applyAlignment="0" applyProtection="0">
      <alignment vertical="center"/>
    </xf>
    <xf numFmtId="168" fontId="58" fillId="0" borderId="0" applyFont="0" applyFill="0" applyBorder="0" applyAlignment="0" applyProtection="0">
      <alignment vertical="center"/>
    </xf>
    <xf numFmtId="220" fontId="17" fillId="0" borderId="0"/>
    <xf numFmtId="0" fontId="13" fillId="0" borderId="0" applyFill="0" applyBorder="0" applyProtection="0">
      <protection locked="0"/>
    </xf>
    <xf numFmtId="168" fontId="58" fillId="0" borderId="0" applyFont="0" applyFill="0" applyBorder="0" applyAlignment="0" applyProtection="0">
      <alignment vertical="center"/>
    </xf>
    <xf numFmtId="220" fontId="17" fillId="0" borderId="0"/>
    <xf numFmtId="0" fontId="13" fillId="0" borderId="0" applyFill="0" applyBorder="0" applyProtection="0">
      <protection locked="0"/>
    </xf>
    <xf numFmtId="168" fontId="58" fillId="0" borderId="0" applyFont="0" applyFill="0" applyBorder="0" applyAlignment="0" applyProtection="0">
      <alignment vertical="center"/>
    </xf>
    <xf numFmtId="220" fontId="17" fillId="0" borderId="0"/>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58" fillId="0" borderId="0"/>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58" fillId="0" borderId="0"/>
    <xf numFmtId="0" fontId="13" fillId="0" borderId="0" applyFill="0" applyBorder="0" applyProtection="0">
      <protection locked="0"/>
    </xf>
    <xf numFmtId="0" fontId="13" fillId="0" borderId="0" applyFill="0" applyBorder="0" applyProtection="0">
      <protection locked="0"/>
    </xf>
    <xf numFmtId="0" fontId="13" fillId="0" borderId="0" applyFill="0" applyBorder="0" applyProtection="0">
      <protection locked="0"/>
    </xf>
    <xf numFmtId="0" fontId="58" fillId="0" borderId="0"/>
    <xf numFmtId="0" fontId="58" fillId="0" borderId="0"/>
    <xf numFmtId="0" fontId="58" fillId="0" borderId="0"/>
    <xf numFmtId="0" fontId="58" fillId="0" borderId="0"/>
    <xf numFmtId="0" fontId="58" fillId="0" borderId="0"/>
    <xf numFmtId="0" fontId="13" fillId="0" borderId="0" applyFill="0" applyBorder="0" applyProtection="0">
      <protection locked="0"/>
    </xf>
    <xf numFmtId="0" fontId="58" fillId="0" borderId="0"/>
    <xf numFmtId="0" fontId="58"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 fontId="127" fillId="0" borderId="0" applyNumberFormat="0">
      <alignment horizontal="right"/>
    </xf>
    <xf numFmtId="9" fontId="13" fillId="0" borderId="0" applyFont="0" applyFill="0" applyBorder="0" applyAlignment="0" applyProtection="0"/>
    <xf numFmtId="9" fontId="31" fillId="0" borderId="0" applyFont="0" applyFill="0" applyBorder="0" applyAlignment="0" applyProtection="0"/>
    <xf numFmtId="0" fontId="188" fillId="0" borderId="0">
      <alignment vertical="center"/>
    </xf>
    <xf numFmtId="0" fontId="31" fillId="0" borderId="0"/>
    <xf numFmtId="1" fontId="127" fillId="0" borderId="0" applyNumberFormat="0">
      <alignment horizontal="right"/>
    </xf>
    <xf numFmtId="0" fontId="32" fillId="0" borderId="34" applyNumberFormat="0" applyFont="0" applyFill="0" applyAlignment="0" applyProtection="0"/>
    <xf numFmtId="9" fontId="31" fillId="0" borderId="0" applyFont="0" applyFill="0" applyBorder="0" applyAlignment="0" applyProtection="0"/>
    <xf numFmtId="0" fontId="31" fillId="0" borderId="0"/>
    <xf numFmtId="43" fontId="13" fillId="0" borderId="0" applyFont="0" applyFill="0" applyBorder="0" applyAlignment="0" applyProtection="0"/>
    <xf numFmtId="43" fontId="44" fillId="0" borderId="0" applyFont="0" applyFill="0" applyBorder="0" applyAlignment="0" applyProtection="0"/>
    <xf numFmtId="0" fontId="69" fillId="9" borderId="1" applyNumberFormat="0" applyAlignment="0" applyProtection="0">
      <alignment vertical="center"/>
    </xf>
    <xf numFmtId="0" fontId="92" fillId="0" borderId="0"/>
    <xf numFmtId="0" fontId="13" fillId="0" borderId="0"/>
    <xf numFmtId="0" fontId="13" fillId="0" borderId="0"/>
    <xf numFmtId="9" fontId="13"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5" fillId="0" borderId="15" applyNumberFormat="0" applyFill="0" applyAlignment="0" applyProtection="0">
      <alignmen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58" fillId="0" borderId="0">
      <alignment vertical="center"/>
    </xf>
    <xf numFmtId="0" fontId="58" fillId="0" borderId="0">
      <alignment vertical="center"/>
    </xf>
    <xf numFmtId="0" fontId="58" fillId="0" borderId="0"/>
    <xf numFmtId="0" fontId="58" fillId="0" borderId="0"/>
    <xf numFmtId="0" fontId="58" fillId="0" borderId="0"/>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0" fontId="58"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8" fillId="14" borderId="7" applyNumberFormat="0" applyFont="0" applyAlignment="0" applyProtection="0">
      <alignment vertical="center"/>
    </xf>
    <xf numFmtId="10" fontId="58" fillId="0" borderId="0" applyFont="0" applyFill="0" applyBorder="0" applyAlignment="0" applyProtection="0"/>
    <xf numFmtId="9" fontId="13" fillId="0" borderId="0" applyFont="0" applyFill="0" applyBorder="0" applyAlignment="0" applyProtection="0"/>
    <xf numFmtId="9" fontId="58" fillId="0" borderId="0" applyFont="0" applyFill="0" applyBorder="0" applyAlignment="0" applyProtection="0">
      <alignment vertical="center"/>
    </xf>
    <xf numFmtId="168" fontId="58" fillId="0" borderId="0" applyFont="0" applyFill="0" applyBorder="0" applyAlignment="0" applyProtection="0">
      <alignment vertical="center"/>
    </xf>
    <xf numFmtId="168"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88" fillId="0" borderId="0">
      <alignment vertical="center"/>
    </xf>
    <xf numFmtId="284" fontId="189" fillId="0" borderId="0" applyFont="0" applyFill="0" applyBorder="0" applyAlignment="0" applyProtection="0"/>
    <xf numFmtId="14" fontId="128"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3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5" fontId="13" fillId="0" borderId="0" applyFont="0" applyFill="0" applyBorder="0" applyAlignment="0" applyProtection="0"/>
    <xf numFmtId="285" fontId="13" fillId="0" borderId="0" applyFont="0" applyFill="0" applyBorder="0" applyAlignment="0" applyProtection="0"/>
    <xf numFmtId="286" fontId="31" fillId="0" borderId="0"/>
    <xf numFmtId="0" fontId="31" fillId="0" borderId="0"/>
    <xf numFmtId="0" fontId="31" fillId="0" borderId="0"/>
    <xf numFmtId="0"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6" fontId="31"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88" fontId="13" fillId="0" borderId="0" applyFont="0" applyFill="0" applyBorder="0" applyAlignment="0" applyProtection="0"/>
    <xf numFmtId="0" fontId="1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9" fontId="190" fillId="0" borderId="0" applyFont="0" applyFill="0" applyBorder="0" applyAlignment="0" applyProtection="0"/>
    <xf numFmtId="0" fontId="190" fillId="0" borderId="0" applyFont="0" applyFill="0" applyBorder="0" applyAlignment="0" applyProtection="0"/>
    <xf numFmtId="10" fontId="190" fillId="0" borderId="0" applyFont="0" applyFill="0" applyBorder="0" applyAlignment="0" applyProtection="0"/>
    <xf numFmtId="0" fontId="191" fillId="0" borderId="0"/>
    <xf numFmtId="2" fontId="191" fillId="0" borderId="0"/>
    <xf numFmtId="289" fontId="13" fillId="69" borderId="21" applyFont="0">
      <alignment horizontal="right"/>
    </xf>
    <xf numFmtId="290" fontId="33" fillId="0" borderId="0" applyFont="0" applyAlignment="0"/>
    <xf numFmtId="10" fontId="115" fillId="0" borderId="0" applyNumberFormat="0" applyFill="0" applyBorder="0" applyAlignment="0" applyProtection="0">
      <alignment horizontal="right"/>
    </xf>
    <xf numFmtId="0" fontId="192" fillId="0" borderId="0" applyNumberFormat="0" applyFill="0" applyBorder="0" applyAlignment="0" applyProtection="0"/>
    <xf numFmtId="0" fontId="35" fillId="77" borderId="38"/>
    <xf numFmtId="0" fontId="193" fillId="0" borderId="39"/>
    <xf numFmtId="0" fontId="13" fillId="0" borderId="0" applyNumberFormat="0" applyFont="0" applyFill="0" applyBorder="0" applyAlignment="0" applyProtection="0"/>
    <xf numFmtId="0" fontId="12" fillId="0" borderId="0" applyNumberFormat="0" applyFont="0" applyFill="0" applyBorder="0" applyAlignment="0" applyProtection="0"/>
    <xf numFmtId="0" fontId="13" fillId="0" borderId="21" applyNumberFormat="0" applyFill="0" applyProtection="0">
      <alignment horizontal="right"/>
    </xf>
    <xf numFmtId="38" fontId="194" fillId="0" borderId="0">
      <alignment horizontal="center"/>
      <protection locked="0"/>
    </xf>
    <xf numFmtId="291" fontId="195" fillId="0" borderId="0" applyFont="0" applyFill="0" applyBorder="0" applyAlignment="0" applyProtection="0">
      <alignment horizontal="right"/>
    </xf>
    <xf numFmtId="0" fontId="13" fillId="0" borderId="0"/>
    <xf numFmtId="292" fontId="195" fillId="0" borderId="0" applyFont="0" applyFill="0" applyBorder="0" applyAlignment="0" applyProtection="0">
      <alignment horizontal="right"/>
    </xf>
    <xf numFmtId="293" fontId="195" fillId="0" borderId="0" applyFont="0" applyFill="0" applyBorder="0" applyAlignment="0" applyProtection="0">
      <alignment horizontal="right"/>
    </xf>
    <xf numFmtId="0" fontId="120" fillId="0" borderId="0"/>
    <xf numFmtId="14" fontId="128" fillId="0" borderId="0"/>
    <xf numFmtId="294" fontId="195" fillId="0" borderId="0" applyFont="0" applyFill="0" applyBorder="0" applyAlignment="0" applyProtection="0"/>
    <xf numFmtId="14" fontId="196" fillId="0" borderId="0" applyFont="0" applyFill="0" applyBorder="0" applyAlignment="0" applyProtection="0">
      <alignment horizontal="center"/>
    </xf>
    <xf numFmtId="39" fontId="115" fillId="0" borderId="0" applyFont="0" applyFill="0" applyBorder="0" applyProtection="0">
      <alignment horizontal="right"/>
    </xf>
    <xf numFmtId="295" fontId="13" fillId="0" borderId="0" applyFont="0" applyFill="0" applyBorder="0" applyAlignment="0" applyProtection="0">
      <alignment horizontal="right"/>
    </xf>
    <xf numFmtId="296" fontId="195" fillId="0" borderId="40" applyNumberFormat="0" applyFont="0" applyFill="0" applyAlignment="0" applyProtection="0"/>
    <xf numFmtId="0" fontId="12" fillId="0" borderId="0" applyNumberFormat="0" applyFont="0" applyFill="0" applyBorder="0" applyAlignment="0" applyProtection="0"/>
    <xf numFmtId="38" fontId="13" fillId="0" borderId="21" applyBorder="0" applyAlignment="0" applyProtection="0"/>
    <xf numFmtId="297" fontId="13" fillId="71" borderId="24" applyNumberFormat="0" applyFont="0" applyBorder="0" applyAlignment="0" applyProtection="0">
      <alignment horizontal="right"/>
    </xf>
    <xf numFmtId="0" fontId="18" fillId="0" borderId="0" applyFont="0" applyFill="0" applyBorder="0" applyAlignment="0" applyProtection="0">
      <alignment horizontal="right"/>
    </xf>
    <xf numFmtId="0" fontId="197" fillId="0" borderId="0" applyFill="0" applyBorder="0" applyProtection="0">
      <alignment horizontal="left"/>
    </xf>
    <xf numFmtId="12" fontId="191" fillId="0" borderId="0">
      <alignment horizontal="center"/>
    </xf>
    <xf numFmtId="37" fontId="120" fillId="0" borderId="0"/>
    <xf numFmtId="37" fontId="13" fillId="0" borderId="0" applyNumberFormat="0" applyFill="0" applyBorder="0" applyAlignment="0" applyProtection="0">
      <alignment horizontal="right"/>
    </xf>
    <xf numFmtId="37" fontId="13" fillId="0" borderId="0" applyNumberFormat="0" applyFill="0" applyBorder="0" applyAlignment="0" applyProtection="0">
      <alignment horizontal="right"/>
    </xf>
    <xf numFmtId="0" fontId="13" fillId="0" borderId="0"/>
    <xf numFmtId="298" fontId="25" fillId="56" borderId="14" applyNumberFormat="0" applyFont="0" applyAlignment="0"/>
    <xf numFmtId="299" fontId="195" fillId="0" borderId="0" applyFont="0" applyFill="0" applyBorder="0" applyAlignment="0" applyProtection="0">
      <alignment horizontal="right"/>
    </xf>
    <xf numFmtId="0" fontId="198" fillId="0" borderId="0" applyProtection="0">
      <alignment horizontal="right"/>
    </xf>
    <xf numFmtId="38" fontId="13" fillId="0" borderId="0"/>
    <xf numFmtId="169" fontId="13" fillId="0" borderId="0"/>
    <xf numFmtId="10" fontId="199" fillId="0" borderId="0"/>
    <xf numFmtId="0" fontId="39" fillId="0" borderId="41" applyBorder="0">
      <protection locked="0"/>
    </xf>
    <xf numFmtId="0" fontId="200" fillId="0" borderId="0" applyNumberFormat="0" applyFill="0" applyBorder="0" applyAlignment="0"/>
    <xf numFmtId="3" fontId="201" fillId="0" borderId="0" applyFont="0" applyFill="0" applyBorder="0" applyAlignment="0" applyProtection="0"/>
    <xf numFmtId="38" fontId="32" fillId="0" borderId="0" applyFill="0" applyBorder="0" applyAlignment="0" applyProtection="0"/>
    <xf numFmtId="300" fontId="202" fillId="0" borderId="0" applyFont="0" applyFill="0" applyBorder="0" applyAlignment="0" applyProtection="0"/>
    <xf numFmtId="301" fontId="202" fillId="0" borderId="0" applyFont="0" applyFill="0" applyBorder="0" applyAlignment="0" applyProtection="0"/>
    <xf numFmtId="0" fontId="13" fillId="0" borderId="0" applyFont="0" applyFill="0" applyBorder="0" applyAlignment="0" applyProtection="0"/>
    <xf numFmtId="0" fontId="105" fillId="0" borderId="0" applyFont="0" applyFill="0" applyBorder="0" applyAlignment="0" applyProtection="0"/>
    <xf numFmtId="302" fontId="202" fillId="0" borderId="0" applyFont="0" applyFill="0" applyBorder="0" applyAlignment="0" applyProtection="0"/>
    <xf numFmtId="303" fontId="202" fillId="0" borderId="0" applyFont="0" applyFill="0" applyBorder="0" applyAlignment="0" applyProtection="0"/>
    <xf numFmtId="304" fontId="195" fillId="0" borderId="0" applyFont="0" applyFill="0" applyBorder="0" applyAlignment="0" applyProtection="0">
      <alignment horizontal="right"/>
    </xf>
    <xf numFmtId="0" fontId="37" fillId="0" borderId="0">
      <alignment horizontal="right"/>
    </xf>
    <xf numFmtId="0" fontId="39" fillId="0" borderId="42" applyNumberFormat="0" applyAlignment="0"/>
    <xf numFmtId="0" fontId="203" fillId="0" borderId="31"/>
    <xf numFmtId="305" fontId="190" fillId="0" borderId="0"/>
    <xf numFmtId="37" fontId="199" fillId="0" borderId="0"/>
    <xf numFmtId="37" fontId="191" fillId="0" borderId="0"/>
    <xf numFmtId="170" fontId="194" fillId="0" borderId="0"/>
    <xf numFmtId="1" fontId="204" fillId="0" borderId="0" applyProtection="0">
      <alignment horizontal="right" vertical="center"/>
    </xf>
    <xf numFmtId="38" fontId="18" fillId="0" borderId="0" applyFill="0" applyBorder="0" applyAlignment="0" applyProtection="0">
      <alignment horizontal="right"/>
    </xf>
    <xf numFmtId="9" fontId="105" fillId="0" borderId="0" applyFont="0" applyFill="0" applyBorder="0" applyAlignment="0" applyProtection="0"/>
    <xf numFmtId="0" fontId="205" fillId="0" borderId="0" applyFont="0" applyFill="0" applyBorder="0">
      <alignment horizontal="right"/>
    </xf>
    <xf numFmtId="3" fontId="13" fillId="68" borderId="43" applyFont="0" applyFill="0" applyBorder="0" applyAlignment="0" applyProtection="0"/>
    <xf numFmtId="4" fontId="13" fillId="68" borderId="43" applyFont="0" applyFill="0" applyBorder="0" applyAlignment="0" applyProtection="0"/>
    <xf numFmtId="0" fontId="105" fillId="68" borderId="43" applyFont="0" applyFill="0" applyBorder="0" applyAlignment="0" applyProtection="0"/>
    <xf numFmtId="0" fontId="13" fillId="68" borderId="44" applyFont="0" applyFill="0" applyBorder="0" applyAlignment="0" applyProtection="0"/>
    <xf numFmtId="10" fontId="13" fillId="68" borderId="43" applyFont="0" applyFill="0" applyBorder="0" applyAlignment="0" applyProtection="0"/>
    <xf numFmtId="9" fontId="13" fillId="68" borderId="43" applyFont="0" applyFill="0" applyBorder="0" applyAlignment="0" applyProtection="0"/>
    <xf numFmtId="2" fontId="13" fillId="68" borderId="43" applyFont="0" applyFill="0" applyBorder="0" applyAlignment="0" applyProtection="0"/>
    <xf numFmtId="306" fontId="13" fillId="0" borderId="0" applyNumberFormat="0" applyFill="0" applyBorder="0" applyAlignment="0" applyProtection="0">
      <alignment horizontal="right" vertical="center" wrapText="1"/>
    </xf>
    <xf numFmtId="307" fontId="13" fillId="0" borderId="0"/>
    <xf numFmtId="296" fontId="206" fillId="0" borderId="23" applyBorder="0" applyProtection="0">
      <alignment horizontal="right" vertical="center"/>
    </xf>
    <xf numFmtId="0" fontId="207" fillId="78" borderId="0" applyBorder="0" applyProtection="0">
      <alignment horizontal="centerContinuous" vertical="center"/>
    </xf>
    <xf numFmtId="0" fontId="207" fillId="79" borderId="23" applyBorder="0" applyProtection="0">
      <alignment horizontal="centerContinuous" vertical="center"/>
    </xf>
    <xf numFmtId="0" fontId="139" fillId="0" borderId="23" applyNumberFormat="0" applyFill="0" applyProtection="0"/>
    <xf numFmtId="0" fontId="208" fillId="0" borderId="0" applyFill="0" applyBorder="0" applyProtection="0">
      <alignment horizontal="left"/>
    </xf>
    <xf numFmtId="0" fontId="197" fillId="0" borderId="22" applyFill="0" applyBorder="0" applyProtection="0">
      <alignment horizontal="left" vertical="top"/>
    </xf>
    <xf numFmtId="0" fontId="27" fillId="0" borderId="0" applyNumberFormat="0" applyFont="0" applyFill="0" applyBorder="0" applyAlignment="0" applyProtection="0"/>
    <xf numFmtId="308" fontId="13" fillId="0" borderId="0"/>
    <xf numFmtId="37" fontId="209" fillId="40" borderId="43" applyNumberFormat="0" applyBorder="0">
      <alignment horizontal="center"/>
    </xf>
    <xf numFmtId="38" fontId="205" fillId="80" borderId="23" applyAlignment="0"/>
    <xf numFmtId="174" fontId="13" fillId="0" borderId="24" applyNumberFormat="0" applyFont="0" applyFill="0" applyAlignment="0"/>
    <xf numFmtId="38" fontId="128" fillId="0" borderId="0" applyFont="0" applyFill="0" applyBorder="0" applyAlignment="0" applyProtection="0"/>
    <xf numFmtId="40" fontId="128" fillId="0" borderId="0" applyFont="0" applyFill="0" applyBorder="0" applyAlignment="0" applyProtection="0"/>
    <xf numFmtId="0" fontId="210" fillId="0" borderId="23" applyNumberFormat="0" applyFill="0" applyProtection="0"/>
    <xf numFmtId="309" fontId="128" fillId="0" borderId="0" applyFont="0" applyFill="0" applyBorder="0" applyAlignment="0" applyProtection="0"/>
    <xf numFmtId="310" fontId="128"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1" fillId="0" borderId="0"/>
    <xf numFmtId="217" fontId="13" fillId="0" borderId="0" applyFont="0" applyFill="0" applyBorder="0" applyAlignment="0" applyProtection="0"/>
    <xf numFmtId="217" fontId="13" fillId="0" borderId="0" applyFont="0" applyFill="0" applyBorder="0" applyAlignment="0" applyProtection="0"/>
    <xf numFmtId="217" fontId="120" fillId="0" borderId="0" applyFont="0" applyFill="0" applyBorder="0" applyAlignment="0" applyProtection="0"/>
    <xf numFmtId="217" fontId="120" fillId="0" borderId="0" applyFont="0" applyFill="0" applyBorder="0" applyAlignment="0" applyProtection="0"/>
    <xf numFmtId="217" fontId="120" fillId="0" borderId="0" applyFont="0" applyFill="0" applyBorder="0" applyAlignment="0" applyProtection="0"/>
    <xf numFmtId="217" fontId="212"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7" fontId="13" fillId="0" borderId="0" applyFont="0" applyFill="0" applyBorder="0" applyAlignment="0" applyProtection="0"/>
    <xf numFmtId="217" fontId="129"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20"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7" fontId="120"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20"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7" fontId="120"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18" fontId="212"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18" fontId="13" fillId="0" borderId="0" applyFont="0" applyFill="0" applyBorder="0" applyAlignment="0" applyProtection="0"/>
    <xf numFmtId="218" fontId="129"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43" fontId="13" fillId="0" borderId="0" applyFont="0" applyFill="0" applyBorder="0" applyAlignment="0" applyProtection="0"/>
    <xf numFmtId="218" fontId="120" fillId="0" borderId="0" applyFont="0" applyFill="0" applyBorder="0" applyAlignment="0" applyProtection="0"/>
    <xf numFmtId="243"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20" fillId="0" borderId="0" applyFont="0" applyFill="0" applyBorder="0" applyAlignment="0" applyProtection="0"/>
    <xf numFmtId="218" fontId="120" fillId="0" borderId="0" applyFont="0" applyFill="0" applyBorder="0" applyAlignment="0" applyProtection="0"/>
    <xf numFmtId="218" fontId="120" fillId="0" borderId="0" applyFont="0" applyFill="0" applyBorder="0" applyAlignment="0" applyProtection="0"/>
    <xf numFmtId="243" fontId="13" fillId="0" borderId="0" applyFont="0" applyFill="0" applyBorder="0" applyAlignment="0" applyProtection="0"/>
    <xf numFmtId="218" fontId="120" fillId="0" borderId="0" applyFont="0" applyFill="0" applyBorder="0" applyAlignment="0" applyProtection="0"/>
    <xf numFmtId="243" fontId="13" fillId="0" borderId="0" applyFont="0" applyFill="0" applyBorder="0" applyAlignment="0" applyProtection="0"/>
    <xf numFmtId="218" fontId="120" fillId="0" borderId="0" applyFont="0" applyFill="0" applyBorder="0" applyAlignment="0" applyProtection="0"/>
    <xf numFmtId="243"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19" fontId="212"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219" fontId="129"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19" fontId="120"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20" fillId="0" borderId="0" applyFont="0" applyFill="0" applyBorder="0" applyAlignment="0" applyProtection="0"/>
    <xf numFmtId="219" fontId="120" fillId="0" borderId="0" applyFont="0" applyFill="0" applyBorder="0" applyAlignment="0" applyProtection="0"/>
    <xf numFmtId="219" fontId="120" fillId="0" borderId="0" applyFont="0" applyFill="0" applyBorder="0" applyAlignment="0" applyProtection="0"/>
    <xf numFmtId="39" fontId="13" fillId="0" borderId="0" applyFont="0" applyFill="0" applyBorder="0" applyAlignment="0" applyProtection="0"/>
    <xf numFmtId="219" fontId="120" fillId="0" borderId="0" applyFont="0" applyFill="0" applyBorder="0" applyAlignment="0" applyProtection="0"/>
    <xf numFmtId="39" fontId="13" fillId="0" borderId="0" applyFont="0" applyFill="0" applyBorder="0" applyAlignment="0" applyProtection="0"/>
    <xf numFmtId="219" fontId="120" fillId="0" borderId="0" applyFont="0" applyFill="0" applyBorder="0" applyAlignment="0" applyProtection="0"/>
    <xf numFmtId="3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0" fontId="104" fillId="0" borderId="0" applyNumberFormat="0" applyFill="0" applyBorder="0" applyAlignment="0" applyProtection="0"/>
    <xf numFmtId="225" fontId="13" fillId="0" borderId="0" applyFont="0" applyFill="0" applyBorder="0" applyAlignment="0" applyProtection="0"/>
    <xf numFmtId="225"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225" fontId="212"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225"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225" fontId="13" fillId="0" borderId="0" applyFont="0" applyFill="0" applyBorder="0" applyAlignment="0" applyProtection="0"/>
    <xf numFmtId="225" fontId="129" fillId="0" borderId="0" applyFont="0" applyFill="0" applyBorder="0" applyAlignment="0" applyProtection="0"/>
    <xf numFmtId="313" fontId="13" fillId="0" borderId="0" applyFont="0" applyFill="0" applyBorder="0" applyAlignment="0" applyProtection="0"/>
    <xf numFmtId="313" fontId="13" fillId="0" borderId="0" applyFont="0" applyFill="0" applyBorder="0" applyAlignment="0" applyProtection="0"/>
    <xf numFmtId="313"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312" fontId="13" fillId="0" borderId="0" applyFont="0" applyFill="0" applyBorder="0" applyAlignment="0" applyProtection="0"/>
    <xf numFmtId="225" fontId="120" fillId="0" borderId="0" applyFont="0" applyFill="0" applyBorder="0" applyAlignment="0" applyProtection="0"/>
    <xf numFmtId="312" fontId="13" fillId="0" borderId="0" applyFont="0" applyFill="0" applyBorder="0" applyAlignment="0" applyProtection="0"/>
    <xf numFmtId="225" fontId="13" fillId="0" borderId="0" applyFont="0" applyFill="0" applyBorder="0" applyAlignment="0" applyProtection="0"/>
    <xf numFmtId="225" fontId="13" fillId="0" borderId="0" applyFont="0" applyFill="0" applyBorder="0" applyAlignment="0" applyProtection="0"/>
    <xf numFmtId="225" fontId="120" fillId="0" borderId="0" applyFont="0" applyFill="0" applyBorder="0" applyAlignment="0" applyProtection="0"/>
    <xf numFmtId="225" fontId="120" fillId="0" borderId="0" applyFont="0" applyFill="0" applyBorder="0" applyAlignment="0" applyProtection="0"/>
    <xf numFmtId="225" fontId="120" fillId="0" borderId="0" applyFont="0" applyFill="0" applyBorder="0" applyAlignment="0" applyProtection="0"/>
    <xf numFmtId="312" fontId="13" fillId="0" borderId="0" applyFont="0" applyFill="0" applyBorder="0" applyAlignment="0" applyProtection="0"/>
    <xf numFmtId="225" fontId="120" fillId="0" borderId="0" applyFont="0" applyFill="0" applyBorder="0" applyAlignment="0" applyProtection="0"/>
    <xf numFmtId="312" fontId="13" fillId="0" borderId="0" applyFont="0" applyFill="0" applyBorder="0" applyAlignment="0" applyProtection="0"/>
    <xf numFmtId="225" fontId="120" fillId="0" borderId="0" applyFont="0" applyFill="0" applyBorder="0" applyAlignment="0" applyProtection="0"/>
    <xf numFmtId="312" fontId="13" fillId="0" borderId="0" applyFont="0" applyFill="0" applyBorder="0" applyAlignment="0" applyProtection="0"/>
    <xf numFmtId="225" fontId="13" fillId="0" borderId="0" applyFont="0" applyFill="0" applyBorder="0" applyAlignment="0" applyProtection="0"/>
    <xf numFmtId="225" fontId="13" fillId="0" borderId="0" applyFont="0" applyFill="0" applyBorder="0" applyAlignment="0" applyProtection="0"/>
    <xf numFmtId="225" fontId="13" fillId="0" borderId="0" applyFont="0" applyFill="0" applyBorder="0" applyAlignment="0" applyProtection="0"/>
    <xf numFmtId="314" fontId="13" fillId="0" borderId="0" applyFont="0" applyFill="0" applyBorder="0" applyProtection="0">
      <alignment horizontal="right"/>
    </xf>
    <xf numFmtId="314" fontId="13" fillId="0" borderId="0" applyFont="0" applyFill="0" applyBorder="0" applyProtection="0">
      <alignment horizontal="right"/>
    </xf>
    <xf numFmtId="226" fontId="13" fillId="0" borderId="0" applyFont="0" applyFill="0" applyBorder="0" applyAlignment="0" applyProtection="0"/>
    <xf numFmtId="226" fontId="13" fillId="0" borderId="0" applyFont="0" applyFill="0" applyBorder="0" applyAlignment="0" applyProtection="0"/>
    <xf numFmtId="314" fontId="212" fillId="0" borderId="0" applyFont="0" applyFill="0" applyBorder="0" applyProtection="0">
      <alignment horizontal="right"/>
    </xf>
    <xf numFmtId="226" fontId="13" fillId="0" borderId="0" applyFont="0" applyFill="0" applyBorder="0" applyAlignment="0" applyProtection="0"/>
    <xf numFmtId="226" fontId="13" fillId="0" borderId="0" applyFont="0" applyFill="0" applyBorder="0" applyAlignment="0" applyProtection="0"/>
    <xf numFmtId="314" fontId="13" fillId="0" borderId="0" applyFont="0" applyFill="0" applyBorder="0" applyProtection="0">
      <alignment horizontal="right"/>
    </xf>
    <xf numFmtId="226" fontId="13" fillId="0" borderId="0" applyFont="0" applyFill="0" applyBorder="0" applyAlignment="0" applyProtection="0"/>
    <xf numFmtId="226" fontId="13" fillId="0" borderId="0" applyFont="0" applyFill="0" applyBorder="0" applyAlignment="0" applyProtection="0"/>
    <xf numFmtId="314" fontId="13" fillId="0" borderId="0" applyFont="0" applyFill="0" applyBorder="0" applyProtection="0">
      <alignment horizontal="right"/>
    </xf>
    <xf numFmtId="314" fontId="129" fillId="0" borderId="0" applyFont="0" applyFill="0" applyBorder="0" applyProtection="0">
      <alignment horizontal="right"/>
    </xf>
    <xf numFmtId="315" fontId="13" fillId="0" borderId="0" applyFont="0" applyFill="0" applyBorder="0" applyAlignment="0" applyProtection="0"/>
    <xf numFmtId="315" fontId="13" fillId="0" borderId="0" applyFont="0" applyFill="0" applyBorder="0" applyAlignment="0" applyProtection="0"/>
    <xf numFmtId="315" fontId="13" fillId="0" borderId="0" applyFont="0" applyFill="0" applyBorder="0" applyAlignment="0" applyProtection="0"/>
    <xf numFmtId="226" fontId="13" fillId="0" borderId="0" applyFont="0" applyFill="0" applyBorder="0" applyAlignment="0" applyProtection="0"/>
    <xf numFmtId="226" fontId="13" fillId="0" borderId="0" applyFont="0" applyFill="0" applyBorder="0" applyAlignment="0" applyProtection="0"/>
    <xf numFmtId="226" fontId="13" fillId="0" borderId="0" applyFont="0" applyFill="0" applyBorder="0" applyAlignment="0" applyProtection="0"/>
    <xf numFmtId="226" fontId="13" fillId="0" borderId="0" applyFont="0" applyFill="0" applyBorder="0" applyAlignment="0" applyProtection="0"/>
    <xf numFmtId="226" fontId="13" fillId="0" borderId="0" applyFont="0" applyFill="0" applyBorder="0" applyAlignment="0" applyProtection="0"/>
    <xf numFmtId="314" fontId="120" fillId="0" borderId="0" applyFont="0" applyFill="0" applyBorder="0" applyProtection="0">
      <alignment horizontal="right"/>
    </xf>
    <xf numFmtId="226" fontId="13" fillId="0" borderId="0" applyFont="0" applyFill="0" applyBorder="0" applyAlignment="0" applyProtection="0"/>
    <xf numFmtId="314" fontId="13" fillId="0" borderId="0" applyFont="0" applyFill="0" applyBorder="0" applyProtection="0">
      <alignment horizontal="right"/>
    </xf>
    <xf numFmtId="314" fontId="13" fillId="0" borderId="0" applyFont="0" applyFill="0" applyBorder="0" applyProtection="0">
      <alignment horizontal="right"/>
    </xf>
    <xf numFmtId="314" fontId="120" fillId="0" borderId="0" applyFont="0" applyFill="0" applyBorder="0" applyProtection="0">
      <alignment horizontal="right"/>
    </xf>
    <xf numFmtId="314" fontId="120" fillId="0" borderId="0" applyFont="0" applyFill="0" applyBorder="0" applyProtection="0">
      <alignment horizontal="right"/>
    </xf>
    <xf numFmtId="314" fontId="120" fillId="0" borderId="0" applyFont="0" applyFill="0" applyBorder="0" applyProtection="0">
      <alignment horizontal="right"/>
    </xf>
    <xf numFmtId="226" fontId="13" fillId="0" borderId="0" applyFont="0" applyFill="0" applyBorder="0" applyAlignment="0" applyProtection="0"/>
    <xf numFmtId="314" fontId="120" fillId="0" borderId="0" applyFont="0" applyFill="0" applyBorder="0" applyProtection="0">
      <alignment horizontal="right"/>
    </xf>
    <xf numFmtId="226" fontId="13" fillId="0" borderId="0" applyFont="0" applyFill="0" applyBorder="0" applyAlignment="0" applyProtection="0"/>
    <xf numFmtId="314" fontId="120" fillId="0" borderId="0" applyFont="0" applyFill="0" applyBorder="0" applyProtection="0">
      <alignment horizontal="right"/>
    </xf>
    <xf numFmtId="226" fontId="13" fillId="0" borderId="0" applyFont="0" applyFill="0" applyBorder="0" applyAlignment="0" applyProtection="0"/>
    <xf numFmtId="314" fontId="13" fillId="0" borderId="0" applyFont="0" applyFill="0" applyBorder="0" applyProtection="0">
      <alignment horizontal="right"/>
    </xf>
    <xf numFmtId="314" fontId="13" fillId="0" borderId="0" applyFont="0" applyFill="0" applyBorder="0" applyProtection="0">
      <alignment horizontal="right"/>
    </xf>
    <xf numFmtId="314" fontId="13" fillId="0" borderId="0" applyFont="0" applyFill="0" applyBorder="0" applyProtection="0">
      <alignment horizontal="right"/>
    </xf>
    <xf numFmtId="213" fontId="13" fillId="0" borderId="0" applyFont="0" applyFill="0" applyBorder="0" applyProtection="0">
      <alignment horizontal="right"/>
    </xf>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Protection="0">
      <alignment horizontal="right"/>
    </xf>
    <xf numFmtId="214" fontId="13" fillId="0" borderId="0" applyFont="0" applyFill="0" applyBorder="0" applyProtection="0">
      <alignment horizontal="right"/>
    </xf>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106" fillId="0" borderId="0" applyNumberFormat="0" applyFill="0" applyBorder="0" applyProtection="0">
      <alignment vertical="top"/>
    </xf>
    <xf numFmtId="0" fontId="106" fillId="0" borderId="0" applyNumberFormat="0" applyFill="0" applyBorder="0" applyAlignment="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106" fillId="0" borderId="0" applyNumberFormat="0" applyFill="0" applyBorder="0" applyProtection="0">
      <alignment vertical="top"/>
    </xf>
    <xf numFmtId="0" fontId="94" fillId="0" borderId="28" applyNumberFormat="0" applyFill="0" applyAlignment="0" applyProtection="0"/>
    <xf numFmtId="0" fontId="94" fillId="0" borderId="45"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07" fillId="0" borderId="0" applyNumberFormat="0" applyFill="0" applyBorder="0" applyProtection="0">
      <alignment horizontal="centerContinuous"/>
    </xf>
    <xf numFmtId="0" fontId="107" fillId="0" borderId="0" applyNumberFormat="0" applyFill="0" applyProtection="0">
      <alignment horizontal="centerContinuous"/>
    </xf>
    <xf numFmtId="0" fontId="107" fillId="0" borderId="0" applyNumberFormat="0" applyFill="0" applyBorder="0" applyProtection="0">
      <alignment horizontal="centerContinuous"/>
    </xf>
    <xf numFmtId="0" fontId="107" fillId="0" borderId="0" applyNumberFormat="0" applyFill="0" applyBorder="0" applyProtection="0">
      <alignment horizontal="centerContinuous"/>
    </xf>
    <xf numFmtId="2" fontId="14" fillId="0" borderId="0" applyNumberFormat="0" applyBorder="0" applyAlignment="0"/>
    <xf numFmtId="171" fontId="213" fillId="0" borderId="0"/>
    <xf numFmtId="0" fontId="23" fillId="77" borderId="46">
      <alignment horizontal="center"/>
    </xf>
    <xf numFmtId="275" fontId="18" fillId="81" borderId="0" applyNumberFormat="0" applyFont="0" applyBorder="0" applyAlignment="0">
      <protection locked="0"/>
    </xf>
    <xf numFmtId="0" fontId="18" fillId="0" borderId="0" applyNumberFormat="0" applyFill="0" applyBorder="0" applyAlignment="0" applyProtection="0"/>
    <xf numFmtId="0" fontId="214" fillId="0" borderId="0" applyNumberFormat="0" applyFill="0" applyBorder="0" applyAlignment="0" applyProtection="0"/>
    <xf numFmtId="0" fontId="18" fillId="0" borderId="0" applyNumberFormat="0" applyFill="0" applyBorder="0" applyAlignment="0" applyProtection="0"/>
    <xf numFmtId="275" fontId="215" fillId="0" borderId="0" applyNumberFormat="0" applyFill="0" applyBorder="0" applyProtection="0">
      <alignment horizontal="right"/>
    </xf>
    <xf numFmtId="316" fontId="13" fillId="0" borderId="0">
      <protection locked="0"/>
    </xf>
    <xf numFmtId="38" fontId="216" fillId="0" borderId="0" applyNumberFormat="0" applyFill="0" applyBorder="0">
      <alignment vertical="center"/>
    </xf>
    <xf numFmtId="8" fontId="217" fillId="0" borderId="47">
      <protection locked="0"/>
    </xf>
    <xf numFmtId="316" fontId="13" fillId="0" borderId="0">
      <protection locked="0"/>
    </xf>
    <xf numFmtId="0" fontId="17" fillId="0" borderId="0"/>
    <xf numFmtId="0" fontId="14" fillId="0" borderId="0" applyNumberFormat="0" applyAlignment="0"/>
    <xf numFmtId="169" fontId="218" fillId="0" borderId="0" applyNumberFormat="0" applyFont="0" applyAlignment="0">
      <alignment vertical="center"/>
    </xf>
    <xf numFmtId="0" fontId="124" fillId="0" borderId="0" applyNumberFormat="0" applyFill="0" applyBorder="0" applyAlignment="0" applyProtection="0"/>
    <xf numFmtId="169" fontId="219" fillId="0" borderId="0" applyNumberFormat="0" applyFill="0" applyBorder="0">
      <alignment horizontal="left" vertical="center"/>
    </xf>
    <xf numFmtId="317" fontId="13" fillId="0" borderId="0" applyNumberFormat="0" applyFill="0" applyBorder="0" applyAlignment="0" applyProtection="0"/>
    <xf numFmtId="0" fontId="220" fillId="0" borderId="0"/>
    <xf numFmtId="38" fontId="221" fillId="0" borderId="0" applyNumberFormat="0" applyFill="0" applyBorder="0">
      <alignment horizontal="left" vertical="center"/>
    </xf>
    <xf numFmtId="169" fontId="222" fillId="0" borderId="0" applyFill="0" applyBorder="0">
      <alignment vertical="center"/>
    </xf>
    <xf numFmtId="0" fontId="223" fillId="79" borderId="0"/>
    <xf numFmtId="0" fontId="18" fillId="0" borderId="0" applyNumberFormat="0" applyFill="0" applyBorder="0" applyAlignment="0" applyProtection="0"/>
    <xf numFmtId="0" fontId="25" fillId="0" borderId="0" applyNumberFormat="0" applyFill="0" applyBorder="0" applyAlignment="0" applyProtection="0"/>
    <xf numFmtId="317" fontId="13" fillId="0" borderId="0" applyNumberFormat="0" applyFill="0" applyBorder="0" applyAlignment="0" applyProtection="0"/>
    <xf numFmtId="0" fontId="25" fillId="0" borderId="0" applyNumberFormat="0" applyFill="0" applyBorder="0" applyAlignment="0" applyProtection="0"/>
    <xf numFmtId="0" fontId="221" fillId="0" borderId="0" applyNumberFormat="0" applyFill="0" applyBorder="0" applyAlignment="0" applyProtection="0"/>
    <xf numFmtId="0" fontId="18" fillId="0" borderId="0" applyNumberFormat="0" applyFill="0" applyBorder="0" applyAlignment="0" applyProtection="0"/>
    <xf numFmtId="0" fontId="224" fillId="0" borderId="0">
      <alignment horizontal="left" vertical="top"/>
      <protection locked="0"/>
    </xf>
    <xf numFmtId="318" fontId="13" fillId="0" borderId="0" applyFill="0">
      <alignment horizontal="center" vertical="center"/>
    </xf>
    <xf numFmtId="319" fontId="13" fillId="0" borderId="0"/>
    <xf numFmtId="0" fontId="32" fillId="0" borderId="0" applyNumberFormat="0" applyAlignment="0"/>
    <xf numFmtId="171" fontId="13" fillId="0" borderId="0" applyFill="0" applyBorder="0" applyAlignment="0" applyProtection="0"/>
    <xf numFmtId="174" fontId="98" fillId="0" borderId="0">
      <alignment vertical="top"/>
    </xf>
    <xf numFmtId="1" fontId="13" fillId="0" borderId="0"/>
    <xf numFmtId="6" fontId="221" fillId="0" borderId="48" applyFill="0">
      <alignment vertical="center"/>
    </xf>
    <xf numFmtId="320" fontId="18" fillId="0" borderId="0"/>
    <xf numFmtId="39" fontId="12" fillId="0" borderId="21" applyNumberFormat="0" applyBorder="0">
      <alignment horizontal="right"/>
    </xf>
    <xf numFmtId="14" fontId="13" fillId="0" borderId="0" applyFill="0" applyBorder="0">
      <alignment vertical="center"/>
    </xf>
    <xf numFmtId="0" fontId="20" fillId="0" borderId="0" applyNumberFormat="0" applyFill="0" applyBorder="0" applyAlignment="0" applyProtection="0"/>
    <xf numFmtId="0" fontId="22" fillId="0" borderId="0" applyNumberFormat="0" applyFill="0" applyBorder="0" applyAlignment="0" applyProtection="0"/>
    <xf numFmtId="38" fontId="225" fillId="0" borderId="0" applyNumberFormat="0" applyFill="0" applyBorder="0">
      <alignment horizontal="left" vertical="center"/>
    </xf>
    <xf numFmtId="38" fontId="226" fillId="0" borderId="0" applyNumberFormat="0" applyFill="0" applyBorder="0">
      <alignment horizontal="centerContinuous" vertical="center"/>
    </xf>
    <xf numFmtId="0" fontId="227" fillId="0" borderId="0" applyNumberFormat="0" applyFill="0" applyBorder="0" applyAlignment="0" applyProtection="0"/>
    <xf numFmtId="0" fontId="19" fillId="0" borderId="0" applyNumberFormat="0" applyFill="0" applyBorder="0" applyAlignment="0" applyProtection="0"/>
    <xf numFmtId="170" fontId="14" fillId="0" borderId="0" applyNumberFormat="0" applyBorder="0" applyAlignment="0"/>
    <xf numFmtId="321" fontId="13" fillId="0" borderId="0" applyFill="0" applyBorder="0">
      <alignment vertical="center"/>
    </xf>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58"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xf numFmtId="43" fontId="13" fillId="0" borderId="0" applyFont="0" applyFill="0" applyBorder="0" applyAlignment="0" applyProtection="0"/>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alignment vertical="center"/>
    </xf>
    <xf numFmtId="43" fontId="58" fillId="0" borderId="0" applyFont="0" applyFill="0" applyBorder="0" applyAlignment="0" applyProtection="0"/>
    <xf numFmtId="0" fontId="9" fillId="0" borderId="0"/>
    <xf numFmtId="0" fontId="9" fillId="0" borderId="0"/>
    <xf numFmtId="0" fontId="13" fillId="0" borderId="0"/>
    <xf numFmtId="0" fontId="8" fillId="0" borderId="0"/>
    <xf numFmtId="0" fontId="7" fillId="0" borderId="0"/>
    <xf numFmtId="0" fontId="118" fillId="0" borderId="49" applyNumberFormat="0" applyFill="0" applyAlignment="0" applyProtection="0"/>
    <xf numFmtId="168" fontId="232" fillId="0" borderId="0" applyFont="0" applyFill="0" applyBorder="0" applyAlignment="0" applyProtection="0">
      <alignment vertical="center"/>
    </xf>
    <xf numFmtId="168" fontId="232" fillId="0" borderId="0" applyFont="0" applyFill="0" applyBorder="0" applyAlignment="0" applyProtection="0">
      <alignment vertical="center"/>
    </xf>
    <xf numFmtId="168" fontId="232" fillId="0" borderId="0" applyFont="0" applyFill="0" applyBorder="0" applyAlignment="0" applyProtection="0">
      <alignment vertical="center"/>
    </xf>
    <xf numFmtId="168" fontId="232" fillId="0" borderId="0" applyFont="0" applyFill="0" applyBorder="0" applyAlignment="0" applyProtection="0">
      <alignment vertical="center"/>
    </xf>
    <xf numFmtId="285" fontId="13" fillId="0" borderId="0" applyFont="0" applyFill="0" applyBorder="0" applyAlignment="0" applyProtection="0"/>
    <xf numFmtId="28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9" fillId="0" borderId="49" applyNumberFormat="0" applyFill="0" applyProtection="0"/>
    <xf numFmtId="285" fontId="58" fillId="0" borderId="0" applyFont="0" applyFill="0" applyBorder="0" applyAlignment="0" applyProtection="0"/>
    <xf numFmtId="0" fontId="233" fillId="0" borderId="0"/>
    <xf numFmtId="0" fontId="233" fillId="0" borderId="0"/>
    <xf numFmtId="0" fontId="234" fillId="0" borderId="0"/>
    <xf numFmtId="0" fontId="234" fillId="0" borderId="0"/>
    <xf numFmtId="188" fontId="164" fillId="0" borderId="49" applyFont="0" applyFill="0" applyAlignment="0" applyProtection="0">
      <alignment vertical="center"/>
    </xf>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88" fontId="164" fillId="0" borderId="49" applyFont="0" applyFill="0" applyAlignment="0" applyProtection="0">
      <alignment vertical="center"/>
    </xf>
    <xf numFmtId="188" fontId="164" fillId="0" borderId="49" applyFont="0" applyFill="0" applyAlignment="0" applyProtection="0">
      <alignment vertical="center"/>
    </xf>
    <xf numFmtId="174" fontId="120" fillId="0" borderId="50" applyFont="0" applyFill="0" applyBorder="0" applyProtection="0">
      <alignment horizontal="right"/>
    </xf>
    <xf numFmtId="43" fontId="13" fillId="0" borderId="0" applyFont="0" applyFill="0" applyBorder="0" applyAlignment="0" applyProtection="0"/>
    <xf numFmtId="43" fontId="13" fillId="0" borderId="0" applyFont="0" applyFill="0" applyBorder="0" applyAlignment="0" applyProtection="0"/>
    <xf numFmtId="188" fontId="164" fillId="0" borderId="49" applyFont="0" applyFill="0" applyAlignment="0" applyProtection="0">
      <alignment vertical="center"/>
    </xf>
    <xf numFmtId="43" fontId="13" fillId="0" borderId="0" applyFont="0" applyFill="0" applyBorder="0" applyAlignment="0" applyProtection="0"/>
    <xf numFmtId="296" fontId="206" fillId="0" borderId="49" applyBorder="0" applyProtection="0">
      <alignment horizontal="right" vertical="center"/>
    </xf>
    <xf numFmtId="0" fontId="207" fillId="79" borderId="49" applyBorder="0" applyProtection="0">
      <alignment horizontal="centerContinuous" vertical="center"/>
    </xf>
    <xf numFmtId="38" fontId="205" fillId="80" borderId="49" applyAlignment="0"/>
    <xf numFmtId="0" fontId="210" fillId="0" borderId="49" applyNumberFormat="0" applyFill="0" applyProtection="0"/>
    <xf numFmtId="0" fontId="7" fillId="0" borderId="0"/>
    <xf numFmtId="0" fontId="234" fillId="0" borderId="0"/>
    <xf numFmtId="0" fontId="234" fillId="0" borderId="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0" fontId="94" fillId="0" borderId="51" applyNumberFormat="0" applyFill="0" applyAlignment="0" applyProtection="0"/>
    <xf numFmtId="285" fontId="13" fillId="0" borderId="0" applyFont="0" applyFill="0" applyBorder="0" applyAlignment="0" applyProtection="0"/>
    <xf numFmtId="1" fontId="127" fillId="0" borderId="0" applyNumberFormat="0">
      <alignment horizontal="right"/>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6" fillId="0" borderId="0"/>
    <xf numFmtId="0" fontId="236" fillId="0" borderId="0" applyNumberFormat="0" applyFill="0" applyBorder="0" applyAlignment="0" applyProtection="0"/>
    <xf numFmtId="0" fontId="40" fillId="0" borderId="0"/>
    <xf numFmtId="242" fontId="100" fillId="0" borderId="7" applyFont="0" applyFill="0" applyBorder="0" applyAlignment="0" applyProtection="0">
      <alignment vertical="center"/>
    </xf>
    <xf numFmtId="242" fontId="100" fillId="0" borderId="7" applyFont="0" applyFill="0" applyBorder="0" applyAlignment="0" applyProtection="0">
      <alignment vertical="center"/>
    </xf>
    <xf numFmtId="242" fontId="100" fillId="0" borderId="7" applyFont="0" applyFill="0" applyBorder="0" applyAlignment="0" applyProtection="0">
      <alignment vertical="center"/>
    </xf>
    <xf numFmtId="324" fontId="13" fillId="0" borderId="0" applyFont="0" applyFill="0" applyBorder="0" applyAlignment="0" applyProtection="0"/>
    <xf numFmtId="325" fontId="13" fillId="0" borderId="0" applyFont="0" applyFill="0" applyBorder="0" applyAlignment="0" applyProtection="0"/>
    <xf numFmtId="314" fontId="13" fillId="0" borderId="0" applyFont="0" applyFill="0" applyBorder="0" applyProtection="0">
      <alignment horizontal="right"/>
    </xf>
    <xf numFmtId="0" fontId="94" fillId="0" borderId="45" applyNumberFormat="0" applyFill="0" applyAlignment="0" applyProtection="0"/>
    <xf numFmtId="0" fontId="94" fillId="0" borderId="45" applyNumberFormat="0" applyFill="0" applyAlignment="0" applyProtection="0"/>
    <xf numFmtId="0" fontId="94" fillId="0" borderId="45" applyNumberFormat="0" applyFill="0" applyAlignment="0" applyProtection="0"/>
    <xf numFmtId="174" fontId="13" fillId="0" borderId="0" applyFill="0" applyBorder="0"/>
    <xf numFmtId="0" fontId="73" fillId="3"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8" borderId="0" applyNumberFormat="0" applyBorder="0" applyAlignment="0" applyProtection="0"/>
    <xf numFmtId="0" fontId="73" fillId="4"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8"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4" fillId="2"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265" fontId="31" fillId="69" borderId="21" applyFont="0">
      <alignment horizontal="right"/>
    </xf>
    <xf numFmtId="265" fontId="31" fillId="69" borderId="21" applyFont="0">
      <alignment horizontal="right"/>
    </xf>
    <xf numFmtId="289" fontId="13" fillId="69" borderId="21" applyFont="0">
      <alignment horizontal="right"/>
    </xf>
    <xf numFmtId="289" fontId="13" fillId="69" borderId="21" applyFont="0">
      <alignment horizontal="right"/>
    </xf>
    <xf numFmtId="326" fontId="13" fillId="69" borderId="21" applyFont="0">
      <alignment horizontal="right"/>
    </xf>
    <xf numFmtId="326" fontId="13" fillId="69" borderId="21" applyFont="0">
      <alignment horizontal="right"/>
    </xf>
    <xf numFmtId="326" fontId="13" fillId="69" borderId="21" applyFont="0">
      <alignment horizontal="right"/>
    </xf>
    <xf numFmtId="229" fontId="113" fillId="69" borderId="21" applyFont="0">
      <alignment horizontal="right"/>
    </xf>
    <xf numFmtId="229" fontId="113" fillId="69" borderId="21" applyFont="0">
      <alignment horizontal="right"/>
    </xf>
    <xf numFmtId="229" fontId="113" fillId="69" borderId="21" applyFont="0">
      <alignment horizontal="right"/>
    </xf>
    <xf numFmtId="0" fontId="237" fillId="84" borderId="0" applyNumberFormat="0" applyBorder="0" applyAlignment="0" applyProtection="0"/>
    <xf numFmtId="0" fontId="238" fillId="5" borderId="0" applyNumberFormat="0" applyBorder="0" applyAlignment="0" applyProtection="0"/>
    <xf numFmtId="318" fontId="133" fillId="0" borderId="0" applyFont="0" applyFill="0" applyBorder="0" applyAlignment="0" applyProtection="0"/>
    <xf numFmtId="38" fontId="133" fillId="0" borderId="0" applyFill="0" applyBorder="0" applyAlignment="0" applyProtection="0">
      <alignment horizontal="left"/>
      <protection locked="0"/>
    </xf>
    <xf numFmtId="38" fontId="133" fillId="0" borderId="0" applyFill="0" applyBorder="0" applyAlignment="0" applyProtection="0">
      <alignment horizontal="left"/>
      <protection locked="0"/>
    </xf>
    <xf numFmtId="318" fontId="133" fillId="0" borderId="0" applyFill="0" applyBorder="0" applyAlignment="0" applyProtection="0">
      <protection locked="0"/>
    </xf>
    <xf numFmtId="0" fontId="41" fillId="40" borderId="1" applyNumberFormat="0" applyAlignment="0" applyProtection="0">
      <alignment vertical="center"/>
    </xf>
    <xf numFmtId="0" fontId="41" fillId="40" borderId="1" applyNumberFormat="0" applyAlignment="0" applyProtection="0">
      <alignment vertical="center"/>
    </xf>
    <xf numFmtId="0" fontId="41" fillId="40" borderId="1" applyNumberFormat="0" applyAlignment="0" applyProtection="0">
      <alignment vertical="center"/>
    </xf>
    <xf numFmtId="0" fontId="161" fillId="40" borderId="1" applyNumberFormat="0" applyAlignment="0" applyProtection="0">
      <alignment vertical="center"/>
    </xf>
    <xf numFmtId="0" fontId="161" fillId="40" borderId="1" applyNumberFormat="0" applyAlignment="0" applyProtection="0">
      <alignment vertical="center"/>
    </xf>
    <xf numFmtId="0" fontId="161" fillId="40" borderId="1" applyNumberFormat="0" applyAlignment="0" applyProtection="0">
      <alignment vertical="center"/>
    </xf>
    <xf numFmtId="0" fontId="239" fillId="40" borderId="1" applyNumberFormat="0" applyAlignment="0" applyProtection="0"/>
    <xf numFmtId="0" fontId="239" fillId="40" borderId="1" applyNumberFormat="0" applyAlignment="0" applyProtection="0"/>
    <xf numFmtId="0" fontId="239" fillId="40" borderId="1" applyNumberFormat="0" applyAlignment="0" applyProtection="0"/>
    <xf numFmtId="0" fontId="239" fillId="40" borderId="1" applyNumberFormat="0" applyAlignment="0" applyProtection="0"/>
    <xf numFmtId="318" fontId="133" fillId="0" borderId="0" applyFont="0" applyFill="0" applyBorder="0" applyAlignment="0" applyProtection="0">
      <protection locked="0"/>
    </xf>
    <xf numFmtId="318" fontId="133" fillId="0" borderId="53" applyFont="0" applyFill="0" applyAlignment="0" applyProtection="0"/>
    <xf numFmtId="0" fontId="86" fillId="41" borderId="2" applyNumberFormat="0" applyAlignment="0" applyProtection="0"/>
    <xf numFmtId="0" fontId="240" fillId="0" borderId="49" applyNumberFormat="0" applyFill="0" applyBorder="0" applyProtection="0">
      <alignment horizontal="left" vertical="center"/>
    </xf>
    <xf numFmtId="0" fontId="240" fillId="0" borderId="49" applyNumberFormat="0" applyFill="0" applyBorder="0" applyProtection="0">
      <alignment horizontal="right" vertical="center"/>
    </xf>
    <xf numFmtId="0" fontId="13" fillId="0" borderId="21" applyNumberFormat="0" applyFill="0" applyProtection="0">
      <alignment horizontal="right"/>
    </xf>
    <xf numFmtId="0" fontId="13" fillId="0" borderId="21" applyNumberFormat="0" applyFill="0" applyProtection="0">
      <alignment horizontal="right"/>
    </xf>
    <xf numFmtId="8" fontId="217" fillId="0" borderId="47">
      <protection locked="0"/>
    </xf>
    <xf numFmtId="8" fontId="217" fillId="0" borderId="47">
      <protection locked="0"/>
    </xf>
    <xf numFmtId="8" fontId="217" fillId="0" borderId="47">
      <protection locked="0"/>
    </xf>
    <xf numFmtId="17" fontId="25" fillId="0" borderId="0" applyFill="0" applyBorder="0">
      <alignment horizontal="right"/>
    </xf>
    <xf numFmtId="0" fontId="19" fillId="0" borderId="0" applyNumberFormat="0" applyBorder="0">
      <alignment vertical="center"/>
    </xf>
    <xf numFmtId="327" fontId="196" fillId="0" borderId="0" applyAlignment="0">
      <alignment horizontal="left"/>
      <protection locked="0"/>
    </xf>
    <xf numFmtId="14" fontId="196" fillId="0" borderId="0" applyFont="0" applyFill="0" applyBorder="0" applyAlignment="0" applyProtection="0">
      <alignment horizontal="center"/>
    </xf>
    <xf numFmtId="328" fontId="196" fillId="0" borderId="0" applyFont="0" applyFill="0" applyBorder="0" applyAlignment="0" applyProtection="0">
      <alignment horizontal="center"/>
    </xf>
    <xf numFmtId="328" fontId="196" fillId="0" borderId="0" applyFont="0" applyFill="0" applyBorder="0" applyAlignment="0" applyProtection="0">
      <alignment horizontal="center"/>
    </xf>
    <xf numFmtId="329" fontId="13" fillId="0" borderId="0" applyFont="0" applyFill="0" applyBorder="0" applyAlignment="0" applyProtection="0">
      <alignment horizontal="right"/>
    </xf>
    <xf numFmtId="329" fontId="13" fillId="0" borderId="0" applyFont="0" applyFill="0" applyBorder="0" applyAlignment="0" applyProtection="0">
      <alignment horizontal="right"/>
    </xf>
    <xf numFmtId="329" fontId="13" fillId="0" borderId="0" applyFont="0" applyFill="0" applyBorder="0" applyAlignment="0" applyProtection="0">
      <alignment horizontal="right"/>
    </xf>
    <xf numFmtId="329" fontId="13" fillId="0" borderId="0" applyFont="0" applyFill="0" applyBorder="0" applyAlignment="0" applyProtection="0">
      <alignment horizontal="right"/>
    </xf>
    <xf numFmtId="329" fontId="13" fillId="0" borderId="0" applyFont="0" applyFill="0" applyBorder="0" applyAlignment="0" applyProtection="0">
      <alignment horizontal="right"/>
    </xf>
    <xf numFmtId="329" fontId="13" fillId="0" borderId="0" applyFont="0" applyFill="0" applyBorder="0" applyAlignment="0" applyProtection="0">
      <alignment horizontal="right"/>
    </xf>
    <xf numFmtId="6" fontId="133" fillId="0" borderId="0" applyFont="0" applyFill="0" applyBorder="0" applyAlignment="0" applyProtection="0">
      <alignment horizontal="right"/>
    </xf>
    <xf numFmtId="6" fontId="133" fillId="0" borderId="0" applyFont="0" applyFill="0" applyBorder="0" applyAlignment="0" applyProtection="0"/>
    <xf numFmtId="38" fontId="13" fillId="0" borderId="21" applyBorder="0" applyAlignment="0" applyProtection="0"/>
    <xf numFmtId="38" fontId="13" fillId="0" borderId="21" applyBorder="0" applyAlignment="0" applyProtection="0"/>
    <xf numFmtId="8" fontId="133" fillId="0" borderId="0" applyFont="0" applyFill="0" applyBorder="0" applyAlignment="0" applyProtection="0">
      <alignment horizontal="right"/>
    </xf>
    <xf numFmtId="330" fontId="98" fillId="0" borderId="0" applyFont="0" applyFill="0" applyBorder="0" applyProtection="0">
      <alignment horizontal="left"/>
      <protection locked="0"/>
    </xf>
    <xf numFmtId="331" fontId="98" fillId="0" borderId="0" applyFont="0" applyFill="0" applyBorder="0" applyProtection="0">
      <alignment horizontal="left"/>
      <protection locked="0"/>
    </xf>
    <xf numFmtId="0" fontId="241" fillId="0" borderId="0" applyNumberFormat="0" applyFill="0" applyBorder="0" applyAlignment="0" applyProtection="0"/>
    <xf numFmtId="273" fontId="31" fillId="71" borderId="24" applyNumberFormat="0" applyFont="0" applyBorder="0" applyAlignment="0" applyProtection="0">
      <alignment horizontal="right"/>
    </xf>
    <xf numFmtId="273" fontId="31" fillId="71" borderId="24" applyNumberFormat="0" applyFont="0" applyBorder="0" applyAlignment="0" applyProtection="0">
      <alignment horizontal="right"/>
    </xf>
    <xf numFmtId="297" fontId="13" fillId="71" borderId="24" applyNumberFormat="0" applyFont="0" applyBorder="0" applyAlignment="0" applyProtection="0">
      <alignment horizontal="right"/>
    </xf>
    <xf numFmtId="297" fontId="13" fillId="71" borderId="24" applyNumberFormat="0" applyFont="0" applyBorder="0" applyAlignment="0" applyProtection="0">
      <alignment horizontal="right"/>
    </xf>
    <xf numFmtId="332" fontId="13" fillId="71" borderId="24" applyNumberFormat="0" applyFont="0" applyBorder="0" applyAlignment="0" applyProtection="0">
      <alignment horizontal="right"/>
    </xf>
    <xf numFmtId="332" fontId="13" fillId="71" borderId="24" applyNumberFormat="0" applyFont="0" applyBorder="0" applyAlignment="0" applyProtection="0">
      <alignment horizontal="right"/>
    </xf>
    <xf numFmtId="332" fontId="13" fillId="71" borderId="24" applyNumberFormat="0" applyFont="0" applyBorder="0" applyAlignment="0" applyProtection="0">
      <alignment horizontal="right"/>
    </xf>
    <xf numFmtId="232" fontId="18" fillId="71" borderId="24" applyNumberFormat="0" applyFont="0" applyBorder="0" applyAlignment="0" applyProtection="0">
      <alignment horizontal="right"/>
    </xf>
    <xf numFmtId="232" fontId="18" fillId="71" borderId="24" applyNumberFormat="0" applyFont="0" applyBorder="0" applyAlignment="0" applyProtection="0">
      <alignment horizontal="right"/>
    </xf>
    <xf numFmtId="0" fontId="242" fillId="83" borderId="0" applyNumberFormat="0" applyBorder="0" applyAlignment="0" applyProtection="0"/>
    <xf numFmtId="0" fontId="91" fillId="6" borderId="0" applyNumberFormat="0" applyBorder="0" applyAlignment="0" applyProtection="0"/>
    <xf numFmtId="0" fontId="242" fillId="83" borderId="0" applyNumberFormat="0" applyBorder="0" applyAlignment="0" applyProtection="0"/>
    <xf numFmtId="333" fontId="243" fillId="0" borderId="0" applyFill="0" applyBorder="0" applyAlignment="0" applyProtection="0"/>
    <xf numFmtId="284" fontId="244" fillId="0" borderId="0" applyAlignment="0">
      <alignment horizontal="left"/>
      <protection locked="0"/>
    </xf>
    <xf numFmtId="0" fontId="20" fillId="0" borderId="21">
      <alignment horizontal="left" vertical="center"/>
    </xf>
    <xf numFmtId="0" fontId="20" fillId="0" borderId="21">
      <alignment horizontal="left" vertical="center"/>
    </xf>
    <xf numFmtId="0" fontId="245" fillId="0" borderId="3" applyNumberFormat="0" applyFill="0" applyAlignment="0" applyProtection="0"/>
    <xf numFmtId="0" fontId="246" fillId="0" borderId="4" applyNumberFormat="0" applyFill="0" applyAlignment="0" applyProtection="0"/>
    <xf numFmtId="0" fontId="247" fillId="0" borderId="5" applyNumberFormat="0" applyFill="0" applyAlignment="0" applyProtection="0"/>
    <xf numFmtId="0" fontId="247" fillId="0" borderId="0" applyNumberFormat="0" applyFill="0" applyBorder="0" applyAlignment="0" applyProtection="0"/>
    <xf numFmtId="0" fontId="34" fillId="0" borderId="0" applyNumberFormat="0" applyFill="0" applyBorder="0" applyAlignment="0" applyProtection="0">
      <alignment vertical="top"/>
      <protection locked="0"/>
    </xf>
    <xf numFmtId="318" fontId="133" fillId="0" borderId="0" applyFont="0" applyFill="0" applyBorder="0" applyAlignment="0" applyProtection="0"/>
    <xf numFmtId="188" fontId="133" fillId="0" borderId="0" applyFill="0" applyBorder="0" applyAlignment="0" applyProtection="0">
      <alignment horizontal="right"/>
      <protection locked="0"/>
    </xf>
    <xf numFmtId="40" fontId="133" fillId="0" borderId="0" applyFont="0" applyFill="0" applyBorder="0" applyAlignment="0" applyProtection="0">
      <alignment horizontal="right"/>
    </xf>
    <xf numFmtId="0" fontId="69" fillId="9" borderId="1" applyNumberFormat="0" applyAlignment="0" applyProtection="0">
      <alignment vertical="center"/>
    </xf>
    <xf numFmtId="0" fontId="69" fillId="9" borderId="1" applyNumberFormat="0" applyAlignment="0" applyProtection="0">
      <alignment vertical="center"/>
    </xf>
    <xf numFmtId="0" fontId="69" fillId="9" borderId="1" applyNumberFormat="0" applyAlignment="0" applyProtection="0">
      <alignment vertical="center"/>
    </xf>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248" fillId="9" borderId="1" applyNumberFormat="0" applyAlignment="0" applyProtection="0"/>
    <xf numFmtId="0" fontId="129" fillId="73" borderId="11">
      <alignment horizontal="left" vertical="center" wrapText="1"/>
    </xf>
    <xf numFmtId="0" fontId="129" fillId="73" borderId="11">
      <alignment horizontal="left" vertical="center" wrapText="1"/>
    </xf>
    <xf numFmtId="0" fontId="129" fillId="73" borderId="11">
      <alignment horizontal="left" vertical="center" wrapText="1"/>
    </xf>
    <xf numFmtId="0" fontId="249" fillId="0" borderId="6" applyNumberFormat="0" applyFill="0" applyAlignment="0" applyProtection="0"/>
    <xf numFmtId="169" fontId="133" fillId="0" borderId="0" applyFont="0" applyFill="0" applyBorder="0" applyAlignment="0" applyProtection="0">
      <alignment horizontal="right"/>
    </xf>
    <xf numFmtId="333" fontId="250" fillId="0" borderId="0" applyFill="0" applyBorder="0" applyAlignment="0" applyProtection="0">
      <alignment horizontal="right"/>
    </xf>
    <xf numFmtId="333" fontId="250" fillId="0" borderId="0" applyFill="0" applyBorder="0" applyAlignment="0" applyProtection="0"/>
    <xf numFmtId="0" fontId="251" fillId="85" borderId="0" applyNumberFormat="0" applyBorder="0" applyAlignment="0" applyProtection="0"/>
    <xf numFmtId="0" fontId="252" fillId="47" borderId="0" applyNumberFormat="0" applyBorder="0" applyAlignment="0" applyProtection="0"/>
    <xf numFmtId="0" fontId="92" fillId="0" borderId="0"/>
    <xf numFmtId="0" fontId="92" fillId="0" borderId="0"/>
    <xf numFmtId="0" fontId="13" fillId="0" borderId="0"/>
    <xf numFmtId="0" fontId="7" fillId="0" borderId="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58" fillId="14" borderId="7" applyNumberFormat="0" applyFont="0" applyAlignment="0" applyProtection="0">
      <alignment vertical="center"/>
    </xf>
    <xf numFmtId="0" fontId="13" fillId="14" borderId="7" applyNumberFormat="0" applyFont="0" applyAlignment="0" applyProtection="0"/>
    <xf numFmtId="0" fontId="13" fillId="14" borderId="7" applyNumberFormat="0" applyFont="0" applyAlignment="0" applyProtection="0"/>
    <xf numFmtId="0" fontId="13" fillId="14" borderId="7" applyNumberFormat="0" applyFont="0" applyAlignment="0" applyProtection="0"/>
    <xf numFmtId="0" fontId="13" fillId="14" borderId="7" applyNumberFormat="0" applyFont="0" applyAlignment="0" applyProtection="0"/>
    <xf numFmtId="0" fontId="71" fillId="40" borderId="8" applyNumberFormat="0" applyAlignment="0" applyProtection="0">
      <alignment vertical="center"/>
    </xf>
    <xf numFmtId="0" fontId="71" fillId="40" borderId="8" applyNumberFormat="0" applyAlignment="0" applyProtection="0">
      <alignment vertical="center"/>
    </xf>
    <xf numFmtId="0" fontId="71" fillId="40" borderId="8" applyNumberFormat="0" applyAlignment="0" applyProtection="0">
      <alignment vertical="center"/>
    </xf>
    <xf numFmtId="0" fontId="179" fillId="40" borderId="8" applyNumberFormat="0" applyAlignment="0" applyProtection="0">
      <alignment vertical="center"/>
    </xf>
    <xf numFmtId="0" fontId="179" fillId="40" borderId="8" applyNumberFormat="0" applyAlignment="0" applyProtection="0">
      <alignment vertical="center"/>
    </xf>
    <xf numFmtId="0" fontId="179" fillId="40" borderId="8" applyNumberFormat="0" applyAlignment="0" applyProtection="0">
      <alignment vertical="center"/>
    </xf>
    <xf numFmtId="0" fontId="253" fillId="86" borderId="52" applyNumberFormat="0" applyAlignment="0" applyProtection="0"/>
    <xf numFmtId="0" fontId="90" fillId="40" borderId="8" applyNumberFormat="0" applyAlignment="0" applyProtection="0"/>
    <xf numFmtId="0" fontId="90" fillId="40" borderId="8" applyNumberFormat="0" applyAlignment="0" applyProtection="0"/>
    <xf numFmtId="0" fontId="90" fillId="40" borderId="8" applyNumberFormat="0" applyAlignment="0" applyProtection="0"/>
    <xf numFmtId="0" fontId="90" fillId="40" borderId="8" applyNumberFormat="0" applyAlignment="0" applyProtection="0"/>
    <xf numFmtId="0" fontId="133" fillId="0" borderId="0" applyFont="0" applyFill="0" applyBorder="0" applyAlignment="0" applyProtection="0">
      <alignment horizontal="right"/>
    </xf>
    <xf numFmtId="295" fontId="18" fillId="0" borderId="0"/>
    <xf numFmtId="295" fontId="18" fillId="0" borderId="0"/>
    <xf numFmtId="186" fontId="133" fillId="0" borderId="0" applyFont="0" applyFill="0" applyBorder="0" applyAlignment="0" applyProtection="0">
      <alignment horizontal="right"/>
    </xf>
    <xf numFmtId="9" fontId="133" fillId="0" borderId="0" applyFont="0" applyFill="0" applyBorder="0" applyAlignment="0" applyProtection="0">
      <alignment horizontal="right"/>
    </xf>
    <xf numFmtId="9" fontId="13" fillId="0" borderId="0" applyFont="0" applyFill="0" applyBorder="0" applyAlignment="0" applyProtection="0"/>
    <xf numFmtId="333" fontId="133" fillId="0" borderId="0" applyFont="0" applyFill="0" applyBorder="0" applyAlignment="0" applyProtection="0"/>
    <xf numFmtId="8" fontId="133" fillId="0" borderId="0" applyFont="0" applyFill="0" applyBorder="0" applyAlignment="0" applyProtection="0"/>
    <xf numFmtId="318" fontId="133" fillId="0" borderId="0" applyFont="0" applyFill="0" applyBorder="0" applyAlignment="0" applyProtection="0">
      <protection locked="0"/>
    </xf>
    <xf numFmtId="38" fontId="133" fillId="0" borderId="0" applyFont="0" applyFill="0" applyBorder="0" applyAlignment="0" applyProtection="0"/>
    <xf numFmtId="318" fontId="133" fillId="0" borderId="0" applyFont="0" applyFill="0" applyBorder="0" applyAlignment="0" applyProtection="0">
      <alignment horizontal="right"/>
    </xf>
    <xf numFmtId="188" fontId="196" fillId="0" borderId="0" applyFont="0" applyFill="0" applyBorder="0" applyAlignment="0" applyProtection="0"/>
    <xf numFmtId="188" fontId="196" fillId="0" borderId="0" applyFont="0" applyFill="0" applyBorder="0" applyAlignment="0" applyProtection="0"/>
    <xf numFmtId="170" fontId="128" fillId="30" borderId="32" applyNumberFormat="0" applyFont="0" applyBorder="0" applyAlignment="0" applyProtection="0">
      <alignment horizontal="center"/>
    </xf>
    <xf numFmtId="0" fontId="254" fillId="0" borderId="0" applyNumberFormat="0" applyFill="0" applyBorder="0" applyProtection="0">
      <alignment horizontal="righ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18" fillId="47"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76" fillId="48" borderId="9" applyNumberFormat="0" applyProtection="0">
      <alignment vertical="center"/>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4" fontId="18" fillId="48" borderId="9" applyNumberFormat="0" applyProtection="0">
      <alignment horizontal="left" vertical="center"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0" fontId="77" fillId="47" borderId="10" applyNumberFormat="0" applyProtection="0">
      <alignment horizontal="left" vertical="top"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5"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49" borderId="9"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30" borderId="11"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3"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17"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9"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35"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50"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12" borderId="9" applyNumberFormat="0" applyProtection="0">
      <alignment horizontal="right" vertical="center"/>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8" fillId="51"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3" fillId="52" borderId="11" applyNumberFormat="0" applyProtection="0">
      <alignment horizontal="left" vertical="center" indent="1"/>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3" borderId="9" applyNumberFormat="0" applyProtection="0">
      <alignment horizontal="right" vertical="center"/>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4"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4" fontId="18" fillId="53" borderId="11"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40" borderId="9" applyNumberFormat="0" applyProtection="0">
      <alignment horizontal="left" vertical="center"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2" borderId="10" applyNumberFormat="0" applyProtection="0">
      <alignment horizontal="left" vertical="top"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5" borderId="9" applyNumberFormat="0" applyProtection="0">
      <alignment horizontal="left" vertical="center"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53" borderId="10" applyNumberFormat="0" applyProtection="0">
      <alignment horizontal="left" vertical="top"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9" applyNumberFormat="0" applyProtection="0">
      <alignment horizontal="left" vertical="center"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10" borderId="10" applyNumberFormat="0" applyProtection="0">
      <alignment horizontal="left" vertical="top"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9" applyNumberFormat="0" applyProtection="0">
      <alignment horizontal="left" vertical="center"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18" fillId="54" borderId="10" applyNumberFormat="0" applyProtection="0">
      <alignment horizontal="left" vertical="top" indent="1"/>
    </xf>
    <xf numFmtId="0" fontId="25" fillId="52" borderId="13" applyBorder="0"/>
    <xf numFmtId="0" fontId="25" fillId="52" borderId="13" applyBorder="0"/>
    <xf numFmtId="0" fontId="25" fillId="52" borderId="13" applyBorder="0"/>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14" borderId="10" applyNumberFormat="0" applyProtection="0">
      <alignment vertical="center"/>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4" fontId="43" fillId="40" borderId="10" applyNumberFormat="0" applyProtection="0">
      <alignment horizontal="left" vertical="center"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0" fontId="43" fillId="14" borderId="10" applyNumberFormat="0" applyProtection="0">
      <alignment horizontal="left" vertical="top" indent="1"/>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18" fillId="0"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76" fillId="57" borderId="9" applyNumberFormat="0" applyProtection="0">
      <alignment horizontal="right" vertical="center"/>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4" fontId="18" fillId="16" borderId="9" applyNumberFormat="0" applyProtection="0">
      <alignment horizontal="left" vertical="center"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0" fontId="43" fillId="53" borderId="10" applyNumberFormat="0" applyProtection="0">
      <alignment horizontal="left" vertical="top"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79" fillId="58" borderId="11" applyNumberFormat="0" applyProtection="0">
      <alignment horizontal="left" vertical="center" indent="1"/>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4" fontId="80" fillId="7" borderId="9" applyNumberFormat="0" applyProtection="0">
      <alignment horizontal="right" vertical="center"/>
    </xf>
    <xf numFmtId="188" fontId="133" fillId="0" borderId="0" applyFill="0" applyBorder="0" applyAlignment="0" applyProtection="0">
      <protection locked="0"/>
    </xf>
    <xf numFmtId="3" fontId="13" fillId="68" borderId="43" applyFont="0" applyFill="0" applyBorder="0" applyAlignment="0" applyProtection="0"/>
    <xf numFmtId="3" fontId="13" fillId="68" borderId="43" applyFont="0" applyFill="0" applyBorder="0" applyAlignment="0" applyProtection="0"/>
    <xf numFmtId="3" fontId="13" fillId="68" borderId="43" applyFont="0" applyFill="0" applyBorder="0" applyAlignment="0" applyProtection="0"/>
    <xf numFmtId="4" fontId="13" fillId="68" borderId="43" applyFont="0" applyFill="0" applyBorder="0" applyAlignment="0" applyProtection="0"/>
    <xf numFmtId="4" fontId="13" fillId="68" borderId="43" applyFont="0" applyFill="0" applyBorder="0" applyAlignment="0" applyProtection="0"/>
    <xf numFmtId="4" fontId="13" fillId="68" borderId="43" applyFont="0" applyFill="0" applyBorder="0" applyAlignment="0" applyProtection="0"/>
    <xf numFmtId="0" fontId="105" fillId="68" borderId="43" applyFont="0" applyFill="0" applyBorder="0" applyAlignment="0" applyProtection="0"/>
    <xf numFmtId="0" fontId="105" fillId="68" borderId="43" applyFont="0" applyFill="0" applyBorder="0" applyAlignment="0" applyProtection="0"/>
    <xf numFmtId="0" fontId="105" fillId="68" borderId="43" applyFont="0" applyFill="0" applyBorder="0" applyAlignment="0" applyProtection="0"/>
    <xf numFmtId="10" fontId="13" fillId="68" borderId="43" applyFont="0" applyFill="0" applyBorder="0" applyAlignment="0" applyProtection="0"/>
    <xf numFmtId="10" fontId="13" fillId="68" borderId="43" applyFont="0" applyFill="0" applyBorder="0" applyAlignment="0" applyProtection="0"/>
    <xf numFmtId="10" fontId="13" fillId="68" borderId="43" applyFont="0" applyFill="0" applyBorder="0" applyAlignment="0" applyProtection="0"/>
    <xf numFmtId="9" fontId="13" fillId="68" borderId="43" applyFont="0" applyFill="0" applyBorder="0" applyAlignment="0" applyProtection="0"/>
    <xf numFmtId="9" fontId="13" fillId="68" borderId="43" applyFont="0" applyFill="0" applyBorder="0" applyAlignment="0" applyProtection="0"/>
    <xf numFmtId="9" fontId="13" fillId="68" borderId="43" applyFont="0" applyFill="0" applyBorder="0" applyAlignment="0" applyProtection="0"/>
    <xf numFmtId="2" fontId="13" fillId="68" borderId="43" applyFont="0" applyFill="0" applyBorder="0" applyAlignment="0" applyProtection="0"/>
    <xf numFmtId="2" fontId="13" fillId="68" borderId="43" applyFont="0" applyFill="0" applyBorder="0" applyAlignment="0" applyProtection="0"/>
    <xf numFmtId="2" fontId="13" fillId="68" borderId="43" applyFont="0" applyFill="0" applyBorder="0" applyAlignment="0" applyProtection="0"/>
    <xf numFmtId="0" fontId="5" fillId="0" borderId="0"/>
    <xf numFmtId="9" fontId="255" fillId="0" borderId="0">
      <alignment horizontal="right"/>
    </xf>
    <xf numFmtId="0" fontId="129" fillId="0" borderId="0" applyNumberFormat="0" applyFill="0" applyBorder="0" applyAlignment="0" applyProtection="0"/>
    <xf numFmtId="8" fontId="128" fillId="0" borderId="0" applyFont="0" applyFill="0" applyBorder="0" applyAlignment="0" applyProtection="0"/>
    <xf numFmtId="40" fontId="128" fillId="0" borderId="0" applyFont="0" applyFill="0" applyBorder="0" applyAlignment="0" applyProtection="0"/>
    <xf numFmtId="0" fontId="31" fillId="0" borderId="0"/>
    <xf numFmtId="0" fontId="31" fillId="0" borderId="0"/>
    <xf numFmtId="0" fontId="31" fillId="0" borderId="0"/>
    <xf numFmtId="241" fontId="31" fillId="0" borderId="0"/>
    <xf numFmtId="241" fontId="31" fillId="0" borderId="0"/>
    <xf numFmtId="0" fontId="31" fillId="0" borderId="0"/>
    <xf numFmtId="0" fontId="31" fillId="0" borderId="0"/>
    <xf numFmtId="241" fontId="31" fillId="0" borderId="0"/>
    <xf numFmtId="241"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39" fontId="31" fillId="0" borderId="0"/>
    <xf numFmtId="0" fontId="13" fillId="0" borderId="0"/>
    <xf numFmtId="239"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34" fontId="256" fillId="0" borderId="0"/>
    <xf numFmtId="0" fontId="13" fillId="0" borderId="0"/>
    <xf numFmtId="0" fontId="13" fillId="0" borderId="0"/>
    <xf numFmtId="0" fontId="13" fillId="0" borderId="0"/>
    <xf numFmtId="0" fontId="13" fillId="0" borderId="0"/>
    <xf numFmtId="0" fontId="13" fillId="0" borderId="0"/>
    <xf numFmtId="0" fontId="13" fillId="0" borderId="0"/>
    <xf numFmtId="213" fontId="13" fillId="0" borderId="0" applyFont="0" applyFill="0" applyBorder="0" applyAlignment="0" applyProtection="0"/>
    <xf numFmtId="213" fontId="13" fillId="0" borderId="0" applyFont="0" applyFill="0" applyBorder="0" applyAlignment="0" applyProtection="0"/>
    <xf numFmtId="21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20" fontId="17" fillId="0" borderId="0"/>
    <xf numFmtId="220" fontId="17" fillId="0" borderId="0"/>
    <xf numFmtId="335" fontId="17" fillId="0" borderId="0"/>
    <xf numFmtId="0" fontId="13" fillId="0" borderId="0"/>
    <xf numFmtId="3" fontId="17" fillId="0" borderId="0"/>
    <xf numFmtId="0" fontId="260" fillId="0" borderId="0" applyNumberFormat="0" applyFill="0" applyBorder="0" applyAlignment="0" applyProtection="0"/>
    <xf numFmtId="43" fontId="31" fillId="0" borderId="0" applyFont="0" applyFill="0" applyBorder="0" applyAlignment="0" applyProtection="0"/>
    <xf numFmtId="0" fontId="13" fillId="0" borderId="0"/>
    <xf numFmtId="336" fontId="128" fillId="0" borderId="0" applyFont="0" applyFill="0" applyBorder="0" applyAlignment="0" applyProtection="0"/>
    <xf numFmtId="193" fontId="261" fillId="0" borderId="0" applyNumberFormat="0" applyFont="0" applyFill="0" applyBorder="0" applyAlignment="0" applyProtection="0"/>
    <xf numFmtId="193" fontId="261" fillId="0" borderId="0" applyNumberFormat="0" applyFont="0" applyFill="0" applyBorder="0" applyAlignment="0" applyProtection="0"/>
    <xf numFmtId="337" fontId="261" fillId="0" borderId="0" applyNumberFormat="0" applyFont="0" applyFill="0" applyBorder="0" applyAlignment="0" applyProtection="0"/>
    <xf numFmtId="0" fontId="17" fillId="0" borderId="0"/>
    <xf numFmtId="0" fontId="13" fillId="0" borderId="0"/>
    <xf numFmtId="41" fontId="13" fillId="0" borderId="0" applyFont="0" applyFill="0" applyBorder="0" applyAlignment="0" applyProtection="0"/>
    <xf numFmtId="0" fontId="262" fillId="0" borderId="0"/>
    <xf numFmtId="0" fontId="262" fillId="0" borderId="0"/>
    <xf numFmtId="43" fontId="13" fillId="0" borderId="0" applyFont="0" applyFill="0" applyBorder="0" applyAlignment="0" applyProtection="0"/>
    <xf numFmtId="0" fontId="13" fillId="0" borderId="0"/>
    <xf numFmtId="0" fontId="129"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NumberFormat="0" applyFill="0" applyBorder="0" applyAlignment="0" applyProtection="0"/>
    <xf numFmtId="0" fontId="13" fillId="0" borderId="0"/>
    <xf numFmtId="0" fontId="31" fillId="0" borderId="0"/>
    <xf numFmtId="0" fontId="31" fillId="0" borderId="0"/>
    <xf numFmtId="0" fontId="31" fillId="0" borderId="0"/>
    <xf numFmtId="0" fontId="31" fillId="0" borderId="0"/>
    <xf numFmtId="0" fontId="13"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3" fontId="17" fillId="0" borderId="0"/>
    <xf numFmtId="3" fontId="17"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7" fillId="0" borderId="0"/>
    <xf numFmtId="0" fontId="13" fillId="0" borderId="0"/>
    <xf numFmtId="9" fontId="5" fillId="0" borderId="0" applyFont="0" applyFill="0" applyBorder="0" applyAlignment="0" applyProtection="0"/>
    <xf numFmtId="3" fontId="1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265" fillId="0" borderId="0" applyNumberFormat="0" applyFill="0" applyBorder="0" applyAlignment="0" applyProtection="0"/>
    <xf numFmtId="0" fontId="266" fillId="0" borderId="0"/>
    <xf numFmtId="41" fontId="99" fillId="0" borderId="0" applyFont="0" applyFill="0" applyBorder="0" applyAlignment="0" applyProtection="0">
      <alignment vertical="center"/>
    </xf>
    <xf numFmtId="37" fontId="3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2" fillId="0" borderId="0"/>
    <xf numFmtId="0" fontId="12" fillId="0" borderId="21" applyNumberFormat="0" applyBorder="0" applyAlignment="0">
      <alignment horizontal="left"/>
    </xf>
    <xf numFmtId="239"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239" fontId="31" fillId="0" borderId="0"/>
    <xf numFmtId="0" fontId="72" fillId="0" borderId="0" applyFont="0" applyFill="0" applyBorder="0" applyAlignment="0" applyProtection="0"/>
    <xf numFmtId="0" fontId="72" fillId="0" borderId="0" applyFont="0" applyFill="0" applyBorder="0" applyAlignment="0" applyProtection="0"/>
    <xf numFmtId="0" fontId="13" fillId="0" borderId="0"/>
    <xf numFmtId="0" fontId="100" fillId="0" borderId="0" applyFont="0" applyFill="0" applyBorder="0" applyAlignment="0" applyProtection="0">
      <alignment vertical="center"/>
    </xf>
    <xf numFmtId="283" fontId="100" fillId="0" borderId="0" applyFont="0" applyFill="0" applyBorder="0" applyAlignment="0" applyProtection="0">
      <alignment vertical="center"/>
    </xf>
    <xf numFmtId="43" fontId="31" fillId="0" borderId="0" applyFont="0" applyFill="0" applyBorder="0" applyAlignment="0" applyProtection="0"/>
    <xf numFmtId="43" fontId="267" fillId="0" borderId="0" applyFont="0" applyFill="0" applyBorder="0" applyAlignment="0" applyProtection="0"/>
    <xf numFmtId="49" fontId="24" fillId="0" borderId="0">
      <alignment vertical="center"/>
    </xf>
    <xf numFmtId="3" fontId="268" fillId="0" borderId="0">
      <alignment vertical="center"/>
    </xf>
    <xf numFmtId="3" fontId="268" fillId="0" borderId="0">
      <alignment vertical="center"/>
    </xf>
    <xf numFmtId="0" fontId="268" fillId="0" borderId="55" applyNumberFormat="0" applyFont="0" applyFill="0" applyAlignment="0" applyProtection="0">
      <alignment vertical="center"/>
    </xf>
    <xf numFmtId="0" fontId="191" fillId="0" borderId="0"/>
    <xf numFmtId="9" fontId="267" fillId="0" borderId="0" applyFont="0" applyFill="0" applyBorder="0" applyAlignment="0" applyProtection="0"/>
    <xf numFmtId="49" fontId="269" fillId="0" borderId="0">
      <alignment vertical="center"/>
    </xf>
    <xf numFmtId="3" fontId="268" fillId="88" borderId="0" applyNumberFormat="0" applyFont="0" applyBorder="0" applyAlignment="0">
      <alignment vertical="center"/>
    </xf>
    <xf numFmtId="0" fontId="268" fillId="89" borderId="0" applyNumberFormat="0" applyFont="0" applyBorder="0" applyAlignment="0">
      <alignment vertical="center"/>
    </xf>
    <xf numFmtId="0" fontId="268" fillId="89" borderId="0" applyNumberFormat="0" applyFont="0" applyBorder="0" applyAlignment="0">
      <alignment vertical="center"/>
    </xf>
    <xf numFmtId="49" fontId="270" fillId="0" borderId="0">
      <alignment vertical="center"/>
    </xf>
    <xf numFmtId="0" fontId="268" fillId="0" borderId="56" applyNumberFormat="0" applyFont="0" applyFill="0" applyAlignment="0" applyProtection="0">
      <alignment vertical="center"/>
    </xf>
    <xf numFmtId="0" fontId="264" fillId="0" borderId="54" applyNumberFormat="0" applyFill="0" applyAlignment="0" applyProtection="0"/>
    <xf numFmtId="0" fontId="271" fillId="0" borderId="0"/>
    <xf numFmtId="0" fontId="13" fillId="0" borderId="0"/>
    <xf numFmtId="0" fontId="4" fillId="0" borderId="0"/>
    <xf numFmtId="9" fontId="281" fillId="0" borderId="0" applyFont="0" applyFill="0" applyBorder="0" applyAlignment="0" applyProtection="0"/>
    <xf numFmtId="285" fontId="13" fillId="0" borderId="0" applyFont="0" applyFill="0" applyBorder="0" applyAlignment="0" applyProtection="0"/>
    <xf numFmtId="43" fontId="281" fillId="0" borderId="0" applyFont="0" applyFill="0" applyBorder="0" applyAlignment="0" applyProtection="0"/>
    <xf numFmtId="0" fontId="281" fillId="0" borderId="0"/>
    <xf numFmtId="339" fontId="99" fillId="0" borderId="0" applyFont="0" applyFill="0" applyBorder="0" applyAlignment="0" applyProtection="0">
      <alignment vertical="center"/>
    </xf>
    <xf numFmtId="340" fontId="99" fillId="0" borderId="0" applyFont="0" applyFill="0" applyBorder="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179" fontId="31" fillId="0" borderId="0"/>
    <xf numFmtId="0" fontId="31" fillId="0" borderId="0"/>
    <xf numFmtId="179" fontId="31" fillId="0" borderId="0"/>
    <xf numFmtId="179" fontId="31" fillId="0" borderId="0"/>
    <xf numFmtId="179" fontId="31" fillId="0" borderId="0"/>
    <xf numFmtId="0" fontId="31" fillId="0" borderId="0"/>
    <xf numFmtId="179" fontId="31" fillId="0" borderId="0"/>
    <xf numFmtId="0" fontId="31" fillId="0" borderId="0"/>
    <xf numFmtId="0" fontId="31" fillId="0" borderId="0"/>
    <xf numFmtId="179" fontId="31" fillId="0" borderId="0"/>
    <xf numFmtId="179" fontId="31" fillId="0" borderId="0"/>
    <xf numFmtId="179" fontId="31" fillId="0" borderId="0"/>
    <xf numFmtId="0" fontId="31" fillId="0" borderId="0"/>
    <xf numFmtId="179" fontId="31" fillId="0" borderId="0"/>
    <xf numFmtId="179" fontId="31" fillId="0" borderId="0"/>
    <xf numFmtId="179"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NumberFormat="0" applyFill="0" applyBorder="0" applyAlignment="0" applyProtection="0"/>
    <xf numFmtId="225" fontId="13" fillId="0" borderId="0" applyFont="0" applyFill="0" applyBorder="0" applyAlignment="0" applyProtection="0"/>
    <xf numFmtId="341" fontId="13" fillId="0" borderId="0" applyFont="0" applyFill="0" applyBorder="0" applyAlignment="0" applyProtection="0"/>
    <xf numFmtId="314" fontId="13" fillId="0" borderId="0" applyFont="0" applyFill="0" applyBorder="0" applyProtection="0">
      <alignment horizontal="right"/>
    </xf>
    <xf numFmtId="342" fontId="13" fillId="0" borderId="0" applyFont="0" applyFill="0" applyBorder="0" applyAlignment="0" applyProtection="0"/>
    <xf numFmtId="343" fontId="13" fillId="0" borderId="0" applyFont="0" applyFill="0" applyBorder="0" applyAlignment="0" applyProtection="0"/>
    <xf numFmtId="342" fontId="13" fillId="0" borderId="0" applyFont="0" applyFill="0" applyBorder="0" applyAlignment="0" applyProtection="0"/>
    <xf numFmtId="343" fontId="13" fillId="0" borderId="0" applyFont="0" applyFill="0" applyBorder="0" applyAlignment="0" applyProtection="0"/>
    <xf numFmtId="342" fontId="13" fillId="0" borderId="0" applyFont="0" applyFill="0" applyBorder="0" applyAlignment="0" applyProtection="0"/>
    <xf numFmtId="343" fontId="13" fillId="0" borderId="0" applyFont="0" applyFill="0" applyBorder="0" applyAlignment="0" applyProtection="0"/>
    <xf numFmtId="342" fontId="13" fillId="0" borderId="0" applyFont="0" applyFill="0" applyBorder="0" applyAlignment="0" applyProtection="0"/>
    <xf numFmtId="343" fontId="13" fillId="0" borderId="0" applyFont="0" applyFill="0" applyBorder="0" applyAlignment="0" applyProtection="0"/>
    <xf numFmtId="342" fontId="13" fillId="0" borderId="0" applyFont="0" applyFill="0" applyBorder="0" applyAlignment="0" applyProtection="0"/>
    <xf numFmtId="343" fontId="13" fillId="0" borderId="0" applyFont="0" applyFill="0" applyBorder="0" applyAlignment="0" applyProtection="0"/>
    <xf numFmtId="342" fontId="13" fillId="0" borderId="0" applyFont="0" applyFill="0" applyBorder="0" applyAlignment="0" applyProtection="0"/>
    <xf numFmtId="343" fontId="13" fillId="0" borderId="0" applyFont="0" applyFill="0" applyBorder="0" applyAlignment="0" applyProtection="0"/>
    <xf numFmtId="249" fontId="13" fillId="0" borderId="0" applyFont="0" applyFill="0" applyBorder="0" applyAlignment="0" applyProtection="0"/>
    <xf numFmtId="179" fontId="31" fillId="0" borderId="0"/>
    <xf numFmtId="0" fontId="31" fillId="0" borderId="0"/>
    <xf numFmtId="344" fontId="13" fillId="0" borderId="0" applyFont="0" applyFill="0" applyBorder="0" applyAlignment="0" applyProtection="0"/>
    <xf numFmtId="195"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3" fontId="17" fillId="0" borderId="0"/>
    <xf numFmtId="0" fontId="13" fillId="0" borderId="0"/>
    <xf numFmtId="0" fontId="13" fillId="0" borderId="0"/>
    <xf numFmtId="0" fontId="17" fillId="0" borderId="0"/>
    <xf numFmtId="345" fontId="18" fillId="0" borderId="0" applyFont="0" applyFill="0" applyBorder="0" applyAlignment="0" applyProtection="0">
      <protection hidden="1"/>
    </xf>
    <xf numFmtId="345" fontId="133" fillId="93" borderId="0" applyFont="0" applyFill="0" applyBorder="0" applyAlignment="0" applyProtection="0">
      <protection hidden="1"/>
    </xf>
    <xf numFmtId="346" fontId="18" fillId="0" borderId="0" applyFont="0" applyFill="0" applyBorder="0" applyAlignment="0" applyProtection="0">
      <protection hidden="1"/>
    </xf>
    <xf numFmtId="0" fontId="282" fillId="68" borderId="0" applyFont="0" applyFill="0" applyBorder="0" applyAlignment="0" applyProtection="0">
      <protection locked="0"/>
    </xf>
    <xf numFmtId="169" fontId="13" fillId="0" borderId="0" applyFont="0" applyFill="0" applyBorder="0" applyAlignment="0" applyProtection="0"/>
    <xf numFmtId="173" fontId="13" fillId="0" borderId="0" applyFont="0" applyFill="0" applyBorder="0" applyAlignment="0" applyProtection="0"/>
    <xf numFmtId="0" fontId="18" fillId="0" borderId="57" applyNumberFormat="0" applyFill="0" applyAlignment="0" applyProtection="0"/>
    <xf numFmtId="188" fontId="13" fillId="0" borderId="0" applyFont="0" applyFill="0" applyBorder="0" applyAlignment="0" applyProtection="0"/>
    <xf numFmtId="290" fontId="13" fillId="0" borderId="0" applyFont="0" applyFill="0" applyBorder="0" applyAlignment="0" applyProtection="0"/>
    <xf numFmtId="347" fontId="283" fillId="0" borderId="0" applyFont="0" applyFill="0" applyBorder="0" applyAlignment="0" applyProtection="0">
      <protection hidden="1"/>
    </xf>
    <xf numFmtId="0" fontId="36" fillId="0" borderId="0"/>
    <xf numFmtId="38" fontId="77" fillId="94" borderId="58">
      <alignment horizontal="right"/>
    </xf>
    <xf numFmtId="348" fontId="13" fillId="0" borderId="0" applyFont="0" applyFill="0" applyBorder="0" applyAlignment="0" applyProtection="0"/>
    <xf numFmtId="349" fontId="195" fillId="0" borderId="0" applyFill="0" applyBorder="0" applyProtection="0"/>
    <xf numFmtId="174" fontId="18" fillId="0" borderId="0"/>
    <xf numFmtId="0" fontId="284" fillId="0" borderId="0">
      <alignment horizontal="left"/>
    </xf>
    <xf numFmtId="0" fontId="285" fillId="0" borderId="0"/>
    <xf numFmtId="0" fontId="286" fillId="0" borderId="0">
      <alignment horizontal="left"/>
    </xf>
    <xf numFmtId="44" fontId="13" fillId="0" borderId="0" applyFont="0" applyFill="0" applyBorder="0" applyAlignment="0" applyProtection="0"/>
    <xf numFmtId="294" fontId="13" fillId="0" borderId="0" applyFill="0" applyBorder="0" applyProtection="0">
      <alignment vertical="center"/>
    </xf>
    <xf numFmtId="38" fontId="43" fillId="92" borderId="58">
      <protection locked="0"/>
    </xf>
    <xf numFmtId="2" fontId="77" fillId="95" borderId="0">
      <alignment horizontal="left"/>
      <protection hidden="1"/>
    </xf>
    <xf numFmtId="15" fontId="287" fillId="0" borderId="59" applyFont="0" applyFill="0" applyBorder="0" applyAlignment="0" applyProtection="0">
      <alignment horizontal="center"/>
      <protection hidden="1"/>
    </xf>
    <xf numFmtId="0" fontId="282" fillId="0" borderId="0" applyFont="0" applyFill="0" applyBorder="0" applyProtection="0">
      <alignment horizontal="left"/>
      <protection locked="0"/>
    </xf>
    <xf numFmtId="350" fontId="283" fillId="0" borderId="0" applyFont="0" applyFill="0" applyBorder="0" applyAlignment="0" applyProtection="0">
      <alignment horizontal="center"/>
      <protection hidden="1"/>
    </xf>
    <xf numFmtId="351" fontId="287" fillId="0" borderId="59" applyFont="0" applyFill="0" applyBorder="0" applyAlignment="0" applyProtection="0">
      <alignment horizontal="right"/>
      <protection hidden="1"/>
    </xf>
    <xf numFmtId="0" fontId="288" fillId="0" borderId="0">
      <alignment horizontal="left"/>
    </xf>
    <xf numFmtId="0" fontId="289" fillId="0" borderId="0">
      <alignment horizontal="left"/>
    </xf>
    <xf numFmtId="0" fontId="197" fillId="0" borderId="0" applyNumberFormat="0" applyFill="0" applyBorder="0" applyProtection="0">
      <alignment horizontal="left"/>
    </xf>
    <xf numFmtId="0" fontId="197" fillId="0" borderId="0" applyFill="0" applyBorder="0" applyProtection="0">
      <alignment vertical="center"/>
    </xf>
    <xf numFmtId="37" fontId="290" fillId="0" borderId="0"/>
    <xf numFmtId="0" fontId="291" fillId="0" borderId="0">
      <alignment horizontal="left"/>
    </xf>
    <xf numFmtId="0" fontId="292" fillId="0" borderId="0">
      <alignment horizontal="right"/>
    </xf>
    <xf numFmtId="0" fontId="293" fillId="0" borderId="0">
      <alignment horizontal="left"/>
    </xf>
    <xf numFmtId="0" fontId="294" fillId="0" borderId="22">
      <alignment horizontal="left" vertical="top"/>
    </xf>
    <xf numFmtId="0" fontId="201" fillId="0" borderId="0">
      <alignment horizontal="left"/>
    </xf>
    <xf numFmtId="0" fontId="295" fillId="0" borderId="22">
      <alignment horizontal="left" vertical="top"/>
    </xf>
    <xf numFmtId="0" fontId="296" fillId="0" borderId="0">
      <alignment horizontal="left"/>
    </xf>
    <xf numFmtId="0" fontId="141" fillId="0" borderId="0"/>
    <xf numFmtId="291" fontId="297" fillId="0" borderId="0" applyFill="0" applyBorder="0" applyProtection="0">
      <alignment horizontal="right"/>
    </xf>
    <xf numFmtId="352" fontId="297" fillId="0" borderId="0" applyFill="0" applyBorder="0" applyProtection="0">
      <alignment horizontal="right"/>
    </xf>
    <xf numFmtId="353" fontId="297" fillId="0" borderId="0" applyFill="0" applyBorder="0" applyProtection="0">
      <alignment horizontal="right"/>
    </xf>
    <xf numFmtId="293" fontId="297" fillId="0" borderId="0" applyFill="0" applyBorder="0" applyProtection="0">
      <alignment horizontal="right"/>
    </xf>
    <xf numFmtId="354" fontId="297" fillId="0" borderId="0" applyFill="0" applyBorder="0" applyProtection="0"/>
    <xf numFmtId="304" fontId="297" fillId="0" borderId="0" applyFill="0" applyBorder="0" applyProtection="0">
      <alignment horizontal="right"/>
    </xf>
    <xf numFmtId="296" fontId="297" fillId="0" borderId="0" applyFill="0" applyBorder="0" applyProtection="0"/>
    <xf numFmtId="355" fontId="297" fillId="0" borderId="0" applyFill="0" applyBorder="0" applyProtection="0">
      <alignment horizontal="right"/>
    </xf>
    <xf numFmtId="355" fontId="13" fillId="0" borderId="0" applyFill="0" applyBorder="0" applyProtection="0">
      <alignment vertical="center"/>
    </xf>
    <xf numFmtId="294" fontId="13" fillId="0" borderId="0" applyFill="0" applyBorder="0" applyProtection="0">
      <alignment vertical="center"/>
    </xf>
    <xf numFmtId="356" fontId="14" fillId="0" borderId="0" applyFont="0" applyFill="0" applyBorder="0" applyAlignment="0">
      <protection locked="0"/>
    </xf>
    <xf numFmtId="357" fontId="13" fillId="0" borderId="0" applyFont="0" applyFill="0" applyBorder="0" applyAlignment="0">
      <protection locked="0"/>
    </xf>
    <xf numFmtId="358" fontId="13" fillId="0" borderId="0" applyFill="0" applyBorder="0" applyProtection="0">
      <alignment vertical="center"/>
    </xf>
    <xf numFmtId="0" fontId="301" fillId="0" borderId="0"/>
    <xf numFmtId="0" fontId="3" fillId="0" borderId="0"/>
    <xf numFmtId="9" fontId="3" fillId="0" borderId="0" applyFont="0" applyFill="0" applyBorder="0" applyAlignment="0" applyProtection="0"/>
    <xf numFmtId="0" fontId="17" fillId="0" borderId="0"/>
    <xf numFmtId="359" fontId="17" fillId="0" borderId="0"/>
    <xf numFmtId="0" fontId="302" fillId="0" borderId="0"/>
    <xf numFmtId="360" fontId="133" fillId="0" borderId="0"/>
    <xf numFmtId="8" fontId="114" fillId="0" borderId="0"/>
    <xf numFmtId="188" fontId="17" fillId="0" borderId="0"/>
    <xf numFmtId="361" fontId="190" fillId="0" borderId="0"/>
    <xf numFmtId="362" fontId="302" fillId="0" borderId="0">
      <alignment horizontal="right"/>
    </xf>
    <xf numFmtId="363" fontId="302" fillId="68" borderId="0"/>
    <xf numFmtId="364" fontId="302" fillId="68" borderId="0"/>
    <xf numFmtId="365" fontId="302" fillId="68" borderId="0"/>
    <xf numFmtId="0" fontId="302" fillId="68" borderId="0">
      <alignment horizontal="right"/>
    </xf>
    <xf numFmtId="169" fontId="128" fillId="0" borderId="0"/>
    <xf numFmtId="169" fontId="128" fillId="0" borderId="0"/>
    <xf numFmtId="0" fontId="303" fillId="0" borderId="0" applyNumberFormat="0" applyFill="0" applyBorder="0" applyAlignment="0" applyProtection="0">
      <alignment horizontal="center" vertical="top"/>
    </xf>
    <xf numFmtId="0" fontId="13" fillId="0" borderId="0" applyFont="0" applyFill="0" applyBorder="0" applyAlignment="0" applyProtection="0"/>
    <xf numFmtId="0" fontId="13" fillId="0" borderId="0" applyNumberFormat="0" applyFill="0" applyBorder="0" applyAlignment="0" applyProtection="0"/>
    <xf numFmtId="0"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1" fontId="18"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20" fontId="17" fillId="0" borderId="0"/>
    <xf numFmtId="216" fontId="31" fillId="0" borderId="0"/>
    <xf numFmtId="216" fontId="31" fillId="0" borderId="0"/>
    <xf numFmtId="216"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66"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0" fontId="13" fillId="0" borderId="0"/>
    <xf numFmtId="0" fontId="13" fillId="0" borderId="0"/>
    <xf numFmtId="0" fontId="13" fillId="0" borderId="0"/>
    <xf numFmtId="0" fontId="13" fillId="0" borderId="0"/>
    <xf numFmtId="367" fontId="13" fillId="0" borderId="0" applyFont="0" applyFill="0" applyBorder="0" applyAlignment="0" applyProtection="0"/>
    <xf numFmtId="243" fontId="13" fillId="0" borderId="0" applyFont="0" applyFill="0" applyBorder="0" applyAlignment="0" applyProtection="0"/>
    <xf numFmtId="367" fontId="13" fillId="0" borderId="0" applyFont="0" applyFill="0" applyBorder="0" applyAlignment="0" applyProtection="0"/>
    <xf numFmtId="367" fontId="13" fillId="0" borderId="0" applyFont="0" applyFill="0" applyBorder="0" applyAlignment="0" applyProtection="0"/>
    <xf numFmtId="367"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324"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367" fontId="13" fillId="0" borderId="0" applyFont="0" applyFill="0" applyBorder="0" applyAlignment="0" applyProtection="0"/>
    <xf numFmtId="0" fontId="93" fillId="0" borderId="0"/>
    <xf numFmtId="9" fontId="93" fillId="0" borderId="0" applyFont="0" applyFill="0" applyBorder="0" applyAlignment="0" applyProtection="0"/>
    <xf numFmtId="285" fontId="93" fillId="0" borderId="0" applyFont="0" applyFill="0" applyBorder="0" applyAlignment="0" applyProtection="0"/>
    <xf numFmtId="14" fontId="99" fillId="0" borderId="0" applyFont="0" applyFill="0" applyBorder="0" applyAlignment="0" applyProtection="0">
      <alignment vertical="center"/>
    </xf>
    <xf numFmtId="0" fontId="13"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216" fontId="31" fillId="0" borderId="0"/>
    <xf numFmtId="216" fontId="31" fillId="0" borderId="0"/>
    <xf numFmtId="216" fontId="31" fillId="0" borderId="0"/>
    <xf numFmtId="216" fontId="31" fillId="0" borderId="0"/>
    <xf numFmtId="216" fontId="31" fillId="0" borderId="0"/>
    <xf numFmtId="216" fontId="31"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 fontId="17" fillId="0" borderId="0"/>
    <xf numFmtId="3" fontId="17" fillId="0" borderId="0"/>
    <xf numFmtId="0" fontId="13" fillId="0" borderId="0" applyNumberFormat="0" applyFill="0" applyBorder="0" applyAlignment="0" applyProtection="0"/>
    <xf numFmtId="0" fontId="110" fillId="0" borderId="0">
      <alignment vertical="center"/>
    </xf>
    <xf numFmtId="0" fontId="13" fillId="0" borderId="0" applyNumberFormat="0" applyFill="0" applyBorder="0" applyAlignment="0" applyProtection="0"/>
    <xf numFmtId="0" fontId="13" fillId="0" borderId="0" applyNumberFormat="0" applyFill="0" applyBorder="0" applyAlignment="0" applyProtection="0"/>
    <xf numFmtId="3" fontId="17" fillId="0" borderId="0"/>
    <xf numFmtId="3" fontId="17" fillId="0" borderId="0"/>
    <xf numFmtId="3" fontId="17" fillId="0" borderId="0"/>
    <xf numFmtId="3" fontId="17" fillId="0" borderId="0"/>
    <xf numFmtId="3" fontId="17" fillId="0" borderId="0"/>
    <xf numFmtId="3" fontId="17" fillId="0" borderId="0"/>
    <xf numFmtId="0" fontId="2" fillId="0" borderId="0"/>
    <xf numFmtId="0" fontId="4"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9" fontId="31" fillId="0" borderId="0" applyFont="0" applyFill="0" applyBorder="0" applyAlignment="0" applyProtection="0"/>
    <xf numFmtId="171" fontId="16" fillId="82" borderId="31">
      <alignment horizontal="right"/>
    </xf>
    <xf numFmtId="0" fontId="355" fillId="0" borderId="0" applyNumberFormat="0" applyFill="0" applyBorder="0" applyAlignment="0" applyProtection="0"/>
    <xf numFmtId="0" fontId="86" fillId="111" borderId="0"/>
  </cellStyleXfs>
  <cellXfs count="1282">
    <xf numFmtId="0" fontId="0" fillId="0" borderId="0" xfId="0"/>
    <xf numFmtId="0" fontId="34" fillId="0" borderId="0" xfId="456" applyFill="1" applyBorder="1" applyAlignment="1" applyProtection="1"/>
    <xf numFmtId="0" fontId="13" fillId="0" borderId="0" xfId="464"/>
    <xf numFmtId="0" fontId="13" fillId="0" borderId="0" xfId="1585" applyNumberFormat="1" applyFont="1"/>
    <xf numFmtId="0" fontId="12" fillId="0" borderId="0" xfId="1585" applyNumberFormat="1" applyFont="1"/>
    <xf numFmtId="0" fontId="12" fillId="0" borderId="0" xfId="0" applyFont="1"/>
    <xf numFmtId="0" fontId="13" fillId="0" borderId="0" xfId="0" applyFont="1" applyAlignment="1">
      <alignment horizontal="left" indent="1"/>
    </xf>
    <xf numFmtId="0" fontId="13" fillId="0" borderId="0" xfId="0" applyFont="1"/>
    <xf numFmtId="9" fontId="13" fillId="0" borderId="0" xfId="0" applyNumberFormat="1" applyFont="1"/>
    <xf numFmtId="9" fontId="13" fillId="0" borderId="0" xfId="464" applyNumberFormat="1" applyAlignment="1">
      <alignment horizontal="left" indent="1"/>
    </xf>
    <xf numFmtId="0" fontId="13" fillId="0" borderId="0" xfId="0" applyFont="1" applyAlignment="1">
      <alignment horizontal="left"/>
    </xf>
    <xf numFmtId="0" fontId="12" fillId="0" borderId="0" xfId="464" applyFont="1"/>
    <xf numFmtId="0" fontId="27" fillId="0" borderId="0" xfId="1585" applyNumberFormat="1" applyFont="1"/>
    <xf numFmtId="0" fontId="27" fillId="0" borderId="0" xfId="464" applyFont="1"/>
    <xf numFmtId="0" fontId="20" fillId="0" borderId="0" xfId="464" applyFont="1"/>
    <xf numFmtId="189" fontId="13" fillId="0" borderId="0" xfId="464" applyNumberFormat="1" applyAlignment="1">
      <alignment horizontal="left" indent="1"/>
    </xf>
    <xf numFmtId="0" fontId="35" fillId="0" borderId="0" xfId="464" applyFont="1" applyAlignment="1">
      <alignment wrapText="1"/>
    </xf>
    <xf numFmtId="0" fontId="35" fillId="0" borderId="0" xfId="464" applyFont="1"/>
    <xf numFmtId="182" fontId="35" fillId="0" borderId="0" xfId="464" applyNumberFormat="1" applyFont="1"/>
    <xf numFmtId="9" fontId="35" fillId="0" borderId="0" xfId="464" applyNumberFormat="1" applyFont="1"/>
    <xf numFmtId="190" fontId="12" fillId="0" borderId="0" xfId="464" applyNumberFormat="1" applyFont="1"/>
    <xf numFmtId="190" fontId="13" fillId="0" borderId="0" xfId="464" applyNumberFormat="1"/>
    <xf numFmtId="190" fontId="13" fillId="0" borderId="24" xfId="464" applyNumberFormat="1" applyBorder="1" applyAlignment="1">
      <alignment horizontal="left" indent="1"/>
    </xf>
    <xf numFmtId="190" fontId="13" fillId="0" borderId="0" xfId="0" applyNumberFormat="1" applyFont="1" applyAlignment="1">
      <alignment horizontal="left" indent="1"/>
    </xf>
    <xf numFmtId="190" fontId="13" fillId="0" borderId="0" xfId="464" applyNumberFormat="1" applyAlignment="1">
      <alignment horizontal="left" indent="1"/>
    </xf>
    <xf numFmtId="190" fontId="12" fillId="0" borderId="24" xfId="464" applyNumberFormat="1" applyFont="1" applyBorder="1"/>
    <xf numFmtId="190" fontId="13" fillId="0" borderId="0" xfId="0" applyNumberFormat="1" applyFont="1"/>
    <xf numFmtId="190" fontId="12" fillId="0" borderId="0" xfId="0" applyNumberFormat="1" applyFont="1"/>
    <xf numFmtId="190" fontId="35" fillId="0" borderId="0" xfId="464" applyNumberFormat="1" applyFont="1"/>
    <xf numFmtId="190" fontId="35" fillId="0" borderId="0" xfId="464" applyNumberFormat="1" applyFont="1" applyAlignment="1">
      <alignment wrapText="1"/>
    </xf>
    <xf numFmtId="190" fontId="13" fillId="0" borderId="0" xfId="464" applyNumberFormat="1" applyAlignment="1">
      <alignment horizontal="left"/>
    </xf>
    <xf numFmtId="190" fontId="13" fillId="0" borderId="0" xfId="0" applyNumberFormat="1" applyFont="1" applyAlignment="1">
      <alignment horizontal="left"/>
    </xf>
    <xf numFmtId="190" fontId="33" fillId="0" borderId="0" xfId="464" applyNumberFormat="1" applyFont="1"/>
    <xf numFmtId="190" fontId="23" fillId="0" borderId="0" xfId="464" applyNumberFormat="1" applyFont="1"/>
    <xf numFmtId="190" fontId="12" fillId="0" borderId="24" xfId="0" applyNumberFormat="1" applyFont="1" applyBorder="1"/>
    <xf numFmtId="192" fontId="35" fillId="0" borderId="0" xfId="464" applyNumberFormat="1" applyFont="1"/>
    <xf numFmtId="192" fontId="13" fillId="0" borderId="0" xfId="464" applyNumberFormat="1"/>
    <xf numFmtId="190" fontId="26" fillId="0" borderId="0" xfId="464" applyNumberFormat="1" applyFont="1" applyAlignment="1">
      <alignment horizontal="right"/>
    </xf>
    <xf numFmtId="184" fontId="13" fillId="0" borderId="0" xfId="464" applyNumberFormat="1"/>
    <xf numFmtId="184" fontId="33" fillId="0" borderId="0" xfId="464" applyNumberFormat="1" applyFont="1"/>
    <xf numFmtId="311" fontId="26" fillId="0" borderId="0" xfId="464" applyNumberFormat="1" applyFont="1" applyAlignment="1">
      <alignment horizontal="right"/>
    </xf>
    <xf numFmtId="323" fontId="13" fillId="0" borderId="0" xfId="464" applyNumberFormat="1"/>
    <xf numFmtId="9" fontId="13" fillId="0" borderId="0" xfId="464" applyNumberFormat="1"/>
    <xf numFmtId="190" fontId="37" fillId="0" borderId="0" xfId="464" applyNumberFormat="1" applyFont="1"/>
    <xf numFmtId="190" fontId="39" fillId="0" borderId="0" xfId="464" applyNumberFormat="1" applyFont="1"/>
    <xf numFmtId="190" fontId="38" fillId="0" borderId="0" xfId="464" applyNumberFormat="1" applyFont="1"/>
    <xf numFmtId="190" fontId="235" fillId="0" borderId="0" xfId="464" applyNumberFormat="1" applyFont="1"/>
    <xf numFmtId="192" fontId="12" fillId="0" borderId="0" xfId="464" applyNumberFormat="1" applyFont="1"/>
    <xf numFmtId="180" fontId="13" fillId="0" borderId="0" xfId="464" applyNumberFormat="1"/>
    <xf numFmtId="9" fontId="33" fillId="0" borderId="0" xfId="464" applyNumberFormat="1" applyFont="1"/>
    <xf numFmtId="0" fontId="13" fillId="0" borderId="0" xfId="464" applyAlignment="1">
      <alignment horizontal="left"/>
    </xf>
    <xf numFmtId="190" fontId="27" fillId="0" borderId="0" xfId="464" applyNumberFormat="1" applyFont="1"/>
    <xf numFmtId="0" fontId="13" fillId="0" borderId="0" xfId="464" applyAlignment="1">
      <alignment horizontal="left" indent="1"/>
    </xf>
    <xf numFmtId="0" fontId="257" fillId="0" borderId="0" xfId="464" applyFont="1"/>
    <xf numFmtId="169" fontId="13" fillId="0" borderId="0" xfId="464" applyNumberFormat="1"/>
    <xf numFmtId="190" fontId="13" fillId="0" borderId="24" xfId="464" applyNumberFormat="1" applyBorder="1"/>
    <xf numFmtId="190" fontId="13" fillId="0" borderId="23" xfId="464" applyNumberFormat="1" applyBorder="1"/>
    <xf numFmtId="282" fontId="258" fillId="0" borderId="0" xfId="464" applyNumberFormat="1" applyFont="1"/>
    <xf numFmtId="190" fontId="258" fillId="87" borderId="0" xfId="464" applyNumberFormat="1" applyFont="1" applyFill="1"/>
    <xf numFmtId="0" fontId="259" fillId="0" borderId="0" xfId="464" applyFont="1" applyAlignment="1">
      <alignment wrapText="1"/>
    </xf>
    <xf numFmtId="0" fontId="259" fillId="0" borderId="0" xfId="468" applyNumberFormat="1" applyFont="1" applyFill="1" applyBorder="1"/>
    <xf numFmtId="184" fontId="13" fillId="0" borderId="0" xfId="468" applyNumberFormat="1" applyFont="1" applyFill="1" applyBorder="1"/>
    <xf numFmtId="9" fontId="37" fillId="0" borderId="0" xfId="468" applyFont="1" applyFill="1" applyBorder="1"/>
    <xf numFmtId="180" fontId="13" fillId="0" borderId="0" xfId="468" applyNumberFormat="1" applyFont="1" applyFill="1" applyBorder="1"/>
    <xf numFmtId="169" fontId="24" fillId="0" borderId="0" xfId="468" applyNumberFormat="1" applyFont="1" applyFill="1" applyBorder="1"/>
    <xf numFmtId="190" fontId="13" fillId="0" borderId="0" xfId="468" applyNumberFormat="1" applyFont="1" applyFill="1" applyBorder="1"/>
    <xf numFmtId="190" fontId="38" fillId="0" borderId="0" xfId="468" applyNumberFormat="1" applyFont="1" applyFill="1" applyBorder="1"/>
    <xf numFmtId="176" fontId="30" fillId="0" borderId="0" xfId="464" applyNumberFormat="1" applyFont="1" applyAlignment="1">
      <alignment horizontal="right"/>
    </xf>
    <xf numFmtId="9" fontId="26" fillId="0" borderId="0" xfId="464" applyNumberFormat="1" applyFont="1" applyAlignment="1">
      <alignment horizontal="right"/>
    </xf>
    <xf numFmtId="191" fontId="13" fillId="0" borderId="0" xfId="464" applyNumberFormat="1"/>
    <xf numFmtId="192" fontId="39" fillId="0" borderId="0" xfId="464" applyNumberFormat="1" applyFont="1"/>
    <xf numFmtId="192" fontId="37" fillId="0" borderId="0" xfId="464" applyNumberFormat="1" applyFont="1"/>
    <xf numFmtId="9" fontId="30" fillId="0" borderId="0" xfId="464" applyNumberFormat="1" applyFont="1" applyAlignment="1">
      <alignment horizontal="right"/>
    </xf>
    <xf numFmtId="0" fontId="271" fillId="0" borderId="0" xfId="10832" applyAlignment="1">
      <alignment vertical="center"/>
    </xf>
    <xf numFmtId="0" fontId="231" fillId="0" borderId="0" xfId="10832" applyFont="1" applyAlignment="1">
      <alignment vertical="center"/>
    </xf>
    <xf numFmtId="0" fontId="273" fillId="0" borderId="0" xfId="10832" applyFont="1" applyAlignment="1">
      <alignment horizontal="left" vertical="center" indent="2"/>
    </xf>
    <xf numFmtId="0" fontId="271" fillId="0" borderId="0" xfId="10832" applyAlignment="1">
      <alignment horizontal="left" vertical="center"/>
    </xf>
    <xf numFmtId="3" fontId="271" fillId="0" borderId="0" xfId="10832" applyNumberFormat="1" applyAlignment="1">
      <alignment horizontal="left" vertical="center"/>
    </xf>
    <xf numFmtId="15" fontId="271" fillId="0" borderId="0" xfId="10832" applyNumberFormat="1" applyAlignment="1">
      <alignment horizontal="left" vertical="center"/>
    </xf>
    <xf numFmtId="0" fontId="273" fillId="0" borderId="0" xfId="10832" applyFont="1" applyAlignment="1">
      <alignment horizontal="left" vertical="center" indent="1"/>
    </xf>
    <xf numFmtId="0" fontId="271" fillId="0" borderId="0" xfId="10832" applyAlignment="1">
      <alignment horizontal="left" vertical="center" indent="3"/>
    </xf>
    <xf numFmtId="3" fontId="0" fillId="0" borderId="0" xfId="0" applyNumberFormat="1"/>
    <xf numFmtId="43" fontId="229" fillId="0" borderId="0" xfId="401" applyFont="1" applyFill="1" applyBorder="1"/>
    <xf numFmtId="190" fontId="13" fillId="0" borderId="0" xfId="464" applyNumberFormat="1" applyAlignment="1">
      <alignment horizontal="left" indent="2"/>
    </xf>
    <xf numFmtId="190" fontId="13" fillId="0" borderId="0" xfId="464" applyNumberFormat="1" applyAlignment="1">
      <alignment horizontal="left" indent="4"/>
    </xf>
    <xf numFmtId="180" fontId="258" fillId="87" borderId="0" xfId="464" applyNumberFormat="1" applyFont="1" applyFill="1"/>
    <xf numFmtId="9" fontId="12" fillId="0" borderId="0" xfId="0" applyNumberFormat="1" applyFont="1"/>
    <xf numFmtId="0" fontId="13" fillId="0" borderId="0" xfId="1585" applyNumberFormat="1" applyFont="1" applyAlignment="1">
      <alignment horizontal="left" indent="2"/>
    </xf>
    <xf numFmtId="9" fontId="258" fillId="87" borderId="0" xfId="464" applyNumberFormat="1" applyFont="1" applyFill="1"/>
    <xf numFmtId="184" fontId="258" fillId="87" borderId="0" xfId="464" applyNumberFormat="1" applyFont="1" applyFill="1"/>
    <xf numFmtId="190" fontId="300" fillId="0" borderId="0" xfId="464" applyNumberFormat="1" applyFont="1"/>
    <xf numFmtId="190" fontId="13" fillId="0" borderId="49" xfId="464" applyNumberFormat="1" applyBorder="1"/>
    <xf numFmtId="190" fontId="304" fillId="87" borderId="0" xfId="464" applyNumberFormat="1" applyFont="1" applyFill="1"/>
    <xf numFmtId="190" fontId="39" fillId="0" borderId="49" xfId="464" applyNumberFormat="1" applyFont="1" applyBorder="1"/>
    <xf numFmtId="0" fontId="277" fillId="98" borderId="0" xfId="464" applyFont="1" applyFill="1" applyAlignment="1">
      <alignment horizontal="right"/>
    </xf>
    <xf numFmtId="0" fontId="278" fillId="98" borderId="0" xfId="464" quotePrefix="1" applyFont="1" applyFill="1" applyAlignment="1">
      <alignment horizontal="right"/>
    </xf>
    <xf numFmtId="0" fontId="278" fillId="98" borderId="0" xfId="464" applyFont="1" applyFill="1"/>
    <xf numFmtId="181" fontId="278" fillId="98" borderId="0" xfId="464" quotePrefix="1" applyNumberFormat="1" applyFont="1" applyFill="1" applyAlignment="1">
      <alignment horizontal="right"/>
    </xf>
    <xf numFmtId="338" fontId="278" fillId="98" borderId="0" xfId="464" quotePrefix="1" applyNumberFormat="1" applyFont="1" applyFill="1" applyAlignment="1">
      <alignment horizontal="right"/>
    </xf>
    <xf numFmtId="0" fontId="305" fillId="0" borderId="0" xfId="0" applyFont="1"/>
    <xf numFmtId="190" fontId="39" fillId="0" borderId="0" xfId="464" applyNumberFormat="1" applyFont="1" applyAlignment="1">
      <alignment horizontal="right"/>
    </xf>
    <xf numFmtId="190" fontId="306" fillId="0" borderId="0" xfId="464" applyNumberFormat="1" applyFont="1"/>
    <xf numFmtId="190" fontId="304" fillId="0" borderId="0" xfId="464" applyNumberFormat="1" applyFont="1"/>
    <xf numFmtId="190" fontId="304" fillId="0" borderId="0" xfId="464" applyNumberFormat="1" applyFont="1" applyAlignment="1">
      <alignment horizontal="right"/>
    </xf>
    <xf numFmtId="190" fontId="307" fillId="87" borderId="0" xfId="464" applyNumberFormat="1" applyFont="1" applyFill="1"/>
    <xf numFmtId="190" fontId="307" fillId="87" borderId="49" xfId="464" applyNumberFormat="1" applyFont="1" applyFill="1" applyBorder="1"/>
    <xf numFmtId="0" fontId="13" fillId="0" borderId="0" xfId="11355"/>
    <xf numFmtId="0" fontId="20" fillId="0" borderId="0" xfId="11355" applyFont="1" applyAlignment="1">
      <alignment horizontal="left"/>
    </xf>
    <xf numFmtId="0" fontId="18" fillId="0" borderId="0" xfId="11355" applyFont="1"/>
    <xf numFmtId="0" fontId="18" fillId="0" borderId="0" xfId="11355" applyFont="1" applyAlignment="1">
      <alignment horizontal="centerContinuous"/>
    </xf>
    <xf numFmtId="3" fontId="18" fillId="0" borderId="0" xfId="11355" applyNumberFormat="1" applyFont="1"/>
    <xf numFmtId="9" fontId="18" fillId="0" borderId="0" xfId="11355" applyNumberFormat="1" applyFont="1"/>
    <xf numFmtId="0" fontId="308" fillId="0" borderId="14" xfId="11355" applyFont="1" applyBorder="1"/>
    <xf numFmtId="0" fontId="18" fillId="0" borderId="14" xfId="11355" applyFont="1" applyBorder="1" applyAlignment="1">
      <alignment horizontal="center"/>
    </xf>
    <xf numFmtId="0" fontId="18" fillId="0" borderId="14" xfId="11355" applyFont="1" applyBorder="1"/>
    <xf numFmtId="3" fontId="18" fillId="0" borderId="14" xfId="11355" applyNumberFormat="1" applyFont="1" applyBorder="1"/>
    <xf numFmtId="323" fontId="18" fillId="0" borderId="14" xfId="11355" applyNumberFormat="1" applyFont="1" applyBorder="1"/>
    <xf numFmtId="3" fontId="18" fillId="0" borderId="31" xfId="11355" applyNumberFormat="1" applyFont="1" applyBorder="1"/>
    <xf numFmtId="3" fontId="18" fillId="0" borderId="22" xfId="11355" applyNumberFormat="1" applyFont="1" applyBorder="1"/>
    <xf numFmtId="0" fontId="18" fillId="0" borderId="32" xfId="11355" applyFont="1" applyBorder="1"/>
    <xf numFmtId="0" fontId="309" fillId="0" borderId="0" xfId="11355" applyFont="1"/>
    <xf numFmtId="3" fontId="18" fillId="0" borderId="0" xfId="11355" applyNumberFormat="1" applyFont="1" applyAlignment="1">
      <alignment horizontal="right"/>
    </xf>
    <xf numFmtId="323" fontId="18" fillId="0" borderId="0" xfId="11355" applyNumberFormat="1" applyFont="1"/>
    <xf numFmtId="3" fontId="18" fillId="0" borderId="14" xfId="11355" applyNumberFormat="1" applyFont="1" applyBorder="1" applyAlignment="1">
      <alignment horizontal="right"/>
    </xf>
    <xf numFmtId="9" fontId="18" fillId="57" borderId="32" xfId="11355" applyNumberFormat="1" applyFont="1" applyFill="1" applyBorder="1"/>
    <xf numFmtId="9" fontId="18" fillId="57" borderId="32" xfId="11355" applyNumberFormat="1" applyFont="1" applyFill="1" applyBorder="1" applyAlignment="1">
      <alignment horizontal="right"/>
    </xf>
    <xf numFmtId="169" fontId="18" fillId="57" borderId="32" xfId="11355" applyNumberFormat="1" applyFont="1" applyFill="1" applyBorder="1"/>
    <xf numFmtId="169" fontId="18" fillId="0" borderId="32" xfId="11355" applyNumberFormat="1" applyFont="1" applyBorder="1"/>
    <xf numFmtId="190" fontId="39" fillId="97" borderId="0" xfId="464" applyNumberFormat="1" applyFont="1" applyFill="1"/>
    <xf numFmtId="180" fontId="307" fillId="87" borderId="0" xfId="464" applyNumberFormat="1" applyFont="1" applyFill="1"/>
    <xf numFmtId="190" fontId="35" fillId="0" borderId="0" xfId="464" applyNumberFormat="1" applyFont="1" applyAlignment="1">
      <alignment horizontal="right"/>
    </xf>
    <xf numFmtId="190" fontId="13" fillId="0" borderId="0" xfId="464" applyNumberFormat="1" applyAlignment="1">
      <alignment horizontal="right"/>
    </xf>
    <xf numFmtId="323" fontId="304" fillId="0" borderId="0" xfId="464" applyNumberFormat="1" applyFont="1"/>
    <xf numFmtId="169" fontId="235" fillId="0" borderId="0" xfId="11356" applyNumberFormat="1" applyFont="1" applyFill="1" applyBorder="1"/>
    <xf numFmtId="0" fontId="276" fillId="101" borderId="0" xfId="464" applyFont="1" applyFill="1"/>
    <xf numFmtId="0" fontId="278" fillId="101" borderId="0" xfId="464" applyFont="1" applyFill="1" applyAlignment="1">
      <alignment horizontal="right"/>
    </xf>
    <xf numFmtId="181" fontId="278" fillId="101" borderId="0" xfId="464" quotePrefix="1" applyNumberFormat="1" applyFont="1" applyFill="1" applyAlignment="1">
      <alignment horizontal="right"/>
    </xf>
    <xf numFmtId="0" fontId="278" fillId="101" borderId="0" xfId="464" quotePrefix="1" applyFont="1" applyFill="1" applyAlignment="1">
      <alignment horizontal="right"/>
    </xf>
    <xf numFmtId="338" fontId="278" fillId="101" borderId="0" xfId="464" quotePrefix="1" applyNumberFormat="1" applyFont="1" applyFill="1" applyAlignment="1">
      <alignment horizontal="right"/>
    </xf>
    <xf numFmtId="181" fontId="278" fillId="0" borderId="0" xfId="464" quotePrefix="1" applyNumberFormat="1" applyFont="1" applyAlignment="1">
      <alignment horizontal="right"/>
    </xf>
    <xf numFmtId="180" fontId="307" fillId="0" borderId="0" xfId="464" applyNumberFormat="1" applyFont="1"/>
    <xf numFmtId="190" fontId="307" fillId="0" borderId="0" xfId="464" applyNumberFormat="1" applyFont="1"/>
    <xf numFmtId="184" fontId="258" fillId="0" borderId="0" xfId="464" applyNumberFormat="1" applyFont="1"/>
    <xf numFmtId="190" fontId="307" fillId="0" borderId="49" xfId="464" applyNumberFormat="1" applyFont="1" applyBorder="1"/>
    <xf numFmtId="169" fontId="258" fillId="0" borderId="0" xfId="464" applyNumberFormat="1" applyFont="1"/>
    <xf numFmtId="0" fontId="278" fillId="0" borderId="0" xfId="464" quotePrefix="1" applyFont="1" applyAlignment="1">
      <alignment horizontal="right"/>
    </xf>
    <xf numFmtId="338" fontId="278" fillId="0" borderId="0" xfId="464" quotePrefix="1" applyNumberFormat="1" applyFont="1" applyAlignment="1">
      <alignment horizontal="right"/>
    </xf>
    <xf numFmtId="190" fontId="258" fillId="0" borderId="0" xfId="464" applyNumberFormat="1" applyFont="1"/>
    <xf numFmtId="190" fontId="263" fillId="0" borderId="0" xfId="464" applyNumberFormat="1" applyFont="1"/>
    <xf numFmtId="195" fontId="229" fillId="0" borderId="0" xfId="11356" applyNumberFormat="1" applyFont="1" applyFill="1" applyBorder="1"/>
    <xf numFmtId="323" fontId="13" fillId="97" borderId="0" xfId="464" applyNumberFormat="1" applyFill="1"/>
    <xf numFmtId="190" fontId="229" fillId="0" borderId="0" xfId="464" applyNumberFormat="1" applyFont="1"/>
    <xf numFmtId="9" fontId="12" fillId="0" borderId="0" xfId="11356" applyFont="1" applyFill="1" applyBorder="1"/>
    <xf numFmtId="169" fontId="13" fillId="0" borderId="0" xfId="11356" applyNumberFormat="1" applyFont="1" applyFill="1" applyBorder="1"/>
    <xf numFmtId="190" fontId="39" fillId="102" borderId="0" xfId="464" applyNumberFormat="1" applyFont="1" applyFill="1"/>
    <xf numFmtId="190" fontId="13" fillId="102" borderId="0" xfId="464" applyNumberFormat="1" applyFill="1"/>
    <xf numFmtId="0" fontId="13" fillId="102" borderId="0" xfId="464" applyFill="1"/>
    <xf numFmtId="190" fontId="13" fillId="102" borderId="0" xfId="11356" applyNumberFormat="1" applyFont="1" applyFill="1" applyBorder="1"/>
    <xf numFmtId="190" fontId="13" fillId="104" borderId="0" xfId="464" applyNumberFormat="1" applyFill="1"/>
    <xf numFmtId="190" fontId="39" fillId="104" borderId="0" xfId="464" applyNumberFormat="1" applyFont="1" applyFill="1"/>
    <xf numFmtId="190" fontId="12" fillId="104" borderId="24" xfId="464" applyNumberFormat="1" applyFont="1" applyFill="1" applyBorder="1"/>
    <xf numFmtId="9" fontId="312" fillId="0" borderId="64" xfId="11356" applyFont="1" applyFill="1" applyBorder="1" applyAlignment="1">
      <alignment horizontal="right"/>
    </xf>
    <xf numFmtId="3" fontId="312" fillId="0" borderId="64" xfId="401" applyNumberFormat="1" applyFont="1" applyFill="1" applyBorder="1" applyAlignment="1">
      <alignment horizontal="right"/>
    </xf>
    <xf numFmtId="0" fontId="317" fillId="0" borderId="0" xfId="0" applyFont="1"/>
    <xf numFmtId="0" fontId="259" fillId="0" borderId="0" xfId="0" applyFont="1"/>
    <xf numFmtId="0" fontId="235" fillId="0" borderId="0" xfId="0" applyFont="1"/>
    <xf numFmtId="9" fontId="13" fillId="0" borderId="0" xfId="468" applyFont="1" applyFill="1" applyBorder="1"/>
    <xf numFmtId="9" fontId="13" fillId="0" borderId="0" xfId="11356" applyFont="1" applyFill="1" applyBorder="1"/>
    <xf numFmtId="184" fontId="13" fillId="0" borderId="0" xfId="0" applyNumberFormat="1" applyFont="1"/>
    <xf numFmtId="190" fontId="13" fillId="0" borderId="0" xfId="0" applyNumberFormat="1" applyFont="1" applyAlignment="1">
      <alignment horizontal="right"/>
    </xf>
    <xf numFmtId="190" fontId="12" fillId="0" borderId="23" xfId="0" applyNumberFormat="1" applyFont="1" applyBorder="1"/>
    <xf numFmtId="190" fontId="35" fillId="0" borderId="0" xfId="0" applyNumberFormat="1" applyFont="1"/>
    <xf numFmtId="192" fontId="13" fillId="0" borderId="0" xfId="0" applyNumberFormat="1" applyFont="1"/>
    <xf numFmtId="311" fontId="13" fillId="0" borderId="0" xfId="464" applyNumberFormat="1"/>
    <xf numFmtId="180" fontId="4" fillId="0" borderId="0" xfId="464" applyNumberFormat="1" applyFont="1"/>
    <xf numFmtId="43" fontId="13" fillId="0" borderId="0" xfId="464" applyNumberFormat="1"/>
    <xf numFmtId="168" fontId="13" fillId="0" borderId="0" xfId="464" applyNumberFormat="1"/>
    <xf numFmtId="190" fontId="13" fillId="0" borderId="0" xfId="465" applyNumberFormat="1"/>
    <xf numFmtId="9" fontId="13" fillId="0" borderId="0" xfId="468" applyFont="1" applyFill="1"/>
    <xf numFmtId="190" fontId="300" fillId="0" borderId="0" xfId="0" applyNumberFormat="1" applyFont="1"/>
    <xf numFmtId="0" fontId="35" fillId="0" borderId="0" xfId="0" applyFont="1"/>
    <xf numFmtId="0" fontId="24" fillId="0" borderId="0" xfId="0" applyFont="1"/>
    <xf numFmtId="0" fontId="318" fillId="0" borderId="0" xfId="456" applyFont="1" applyFill="1" applyBorder="1" applyAlignment="1" applyProtection="1"/>
    <xf numFmtId="190" fontId="319" fillId="0" borderId="0" xfId="468" applyNumberFormat="1" applyFont="1" applyFill="1" applyBorder="1" applyAlignment="1">
      <alignment horizontal="right"/>
    </xf>
    <xf numFmtId="0" fontId="320" fillId="0" borderId="0" xfId="0" applyFont="1"/>
    <xf numFmtId="0" fontId="316" fillId="90" borderId="0" xfId="10833" quotePrefix="1" applyFont="1" applyFill="1" applyAlignment="1">
      <alignment vertical="center"/>
    </xf>
    <xf numFmtId="0" fontId="321" fillId="98" borderId="0" xfId="464" applyFont="1" applyFill="1" applyAlignment="1">
      <alignment horizontal="right"/>
    </xf>
    <xf numFmtId="0" fontId="321" fillId="0" borderId="0" xfId="464" applyFont="1" applyAlignment="1">
      <alignment horizontal="right"/>
    </xf>
    <xf numFmtId="0" fontId="321" fillId="98" borderId="0" xfId="0" applyFont="1" applyFill="1"/>
    <xf numFmtId="0" fontId="36" fillId="0" borderId="0" xfId="0" applyFont="1"/>
    <xf numFmtId="0" fontId="276" fillId="98" borderId="0" xfId="464" applyFont="1" applyFill="1"/>
    <xf numFmtId="0" fontId="323" fillId="98" borderId="0" xfId="464" applyFont="1" applyFill="1" applyAlignment="1">
      <alignment horizontal="right"/>
    </xf>
    <xf numFmtId="0" fontId="324" fillId="98" borderId="0" xfId="0" applyFont="1" applyFill="1"/>
    <xf numFmtId="14" fontId="319" fillId="0" borderId="0" xfId="456" applyNumberFormat="1" applyFont="1" applyFill="1" applyBorder="1" applyAlignment="1" applyProtection="1">
      <alignment horizontal="left"/>
    </xf>
    <xf numFmtId="190" fontId="319" fillId="0" borderId="0" xfId="468" applyNumberFormat="1" applyFont="1" applyFill="1" applyBorder="1" applyAlignment="1">
      <alignment horizontal="center"/>
    </xf>
    <xf numFmtId="190" fontId="319" fillId="0" borderId="0" xfId="468" applyNumberFormat="1" applyFont="1" applyFill="1" applyBorder="1" applyAlignment="1">
      <alignment horizontal="left"/>
    </xf>
    <xf numFmtId="190" fontId="305" fillId="0" borderId="0" xfId="0" applyNumberFormat="1" applyFont="1"/>
    <xf numFmtId="192" fontId="305" fillId="0" borderId="0" xfId="0" applyNumberFormat="1" applyFont="1"/>
    <xf numFmtId="9" fontId="305" fillId="0" borderId="0" xfId="11356" applyFont="1" applyBorder="1"/>
    <xf numFmtId="169" fontId="305" fillId="0" borderId="0" xfId="11356" applyNumberFormat="1" applyFont="1" applyBorder="1"/>
    <xf numFmtId="190" fontId="325" fillId="0" borderId="0" xfId="464" applyNumberFormat="1" applyFont="1"/>
    <xf numFmtId="190" fontId="305" fillId="0" borderId="0" xfId="464" applyNumberFormat="1" applyFont="1"/>
    <xf numFmtId="0" fontId="305" fillId="0" borderId="0" xfId="1585" applyNumberFormat="1" applyFont="1"/>
    <xf numFmtId="9" fontId="312" fillId="0" borderId="0" xfId="11356" applyFont="1" applyFill="1" applyBorder="1" applyAlignment="1">
      <alignment horizontal="right"/>
    </xf>
    <xf numFmtId="0" fontId="326" fillId="0" borderId="22" xfId="6886" applyFont="1" applyBorder="1"/>
    <xf numFmtId="169" fontId="327" fillId="0" borderId="0" xfId="11356" applyNumberFormat="1" applyFont="1" applyBorder="1"/>
    <xf numFmtId="169" fontId="327" fillId="0" borderId="64" xfId="11356" applyNumberFormat="1" applyFont="1" applyBorder="1"/>
    <xf numFmtId="0" fontId="327" fillId="0" borderId="31" xfId="6886" applyFont="1" applyBorder="1"/>
    <xf numFmtId="0" fontId="326" fillId="0" borderId="0" xfId="6886" applyFont="1"/>
    <xf numFmtId="169" fontId="326" fillId="0" borderId="0" xfId="11356" applyNumberFormat="1" applyFont="1" applyBorder="1"/>
    <xf numFmtId="169" fontId="326" fillId="0" borderId="64" xfId="11356" applyNumberFormat="1" applyFont="1" applyBorder="1"/>
    <xf numFmtId="0" fontId="326" fillId="0" borderId="31" xfId="6886" applyFont="1" applyBorder="1" applyAlignment="1">
      <alignment horizontal="left" indent="1"/>
    </xf>
    <xf numFmtId="323" fontId="327" fillId="0" borderId="0" xfId="6886" applyNumberFormat="1" applyFont="1"/>
    <xf numFmtId="323" fontId="327" fillId="0" borderId="64" xfId="6886" applyNumberFormat="1" applyFont="1" applyBorder="1"/>
    <xf numFmtId="190" fontId="326" fillId="0" borderId="0" xfId="6886" applyNumberFormat="1" applyFont="1"/>
    <xf numFmtId="323" fontId="326" fillId="0" borderId="0" xfId="6886" applyNumberFormat="1" applyFont="1"/>
    <xf numFmtId="323" fontId="326" fillId="0" borderId="64" xfId="6886" applyNumberFormat="1" applyFont="1" applyBorder="1"/>
    <xf numFmtId="0" fontId="326" fillId="0" borderId="60" xfId="6886" applyFont="1" applyBorder="1"/>
    <xf numFmtId="169" fontId="327" fillId="0" borderId="49" xfId="11356" applyNumberFormat="1" applyFont="1" applyBorder="1"/>
    <xf numFmtId="169" fontId="327" fillId="0" borderId="66" xfId="11356" applyNumberFormat="1" applyFont="1" applyBorder="1"/>
    <xf numFmtId="0" fontId="327" fillId="0" borderId="32" xfId="6886" applyFont="1" applyBorder="1"/>
    <xf numFmtId="0" fontId="327" fillId="0" borderId="0" xfId="6886" applyFont="1"/>
    <xf numFmtId="9" fontId="327" fillId="0" borderId="0" xfId="11356" applyFont="1" applyBorder="1"/>
    <xf numFmtId="9" fontId="312" fillId="0" borderId="49" xfId="11356" applyFont="1" applyBorder="1"/>
    <xf numFmtId="169" fontId="312" fillId="0" borderId="0" xfId="11356" applyNumberFormat="1" applyFont="1" applyFill="1" applyBorder="1"/>
    <xf numFmtId="169" fontId="312" fillId="0" borderId="64" xfId="11356" applyNumberFormat="1" applyFont="1" applyFill="1" applyBorder="1"/>
    <xf numFmtId="0" fontId="311" fillId="0" borderId="67" xfId="0" applyFont="1" applyBorder="1"/>
    <xf numFmtId="0" fontId="312" fillId="0" borderId="31" xfId="0" applyFont="1" applyBorder="1"/>
    <xf numFmtId="0" fontId="312" fillId="0" borderId="32" xfId="0" applyFont="1" applyBorder="1"/>
    <xf numFmtId="0" fontId="311" fillId="0" borderId="32" xfId="0" applyFont="1" applyBorder="1"/>
    <xf numFmtId="0" fontId="311" fillId="0" borderId="31" xfId="0" applyFont="1" applyBorder="1"/>
    <xf numFmtId="9" fontId="326" fillId="0" borderId="0" xfId="11356" applyFont="1" applyBorder="1"/>
    <xf numFmtId="0" fontId="326" fillId="0" borderId="64" xfId="6886" applyFont="1" applyBorder="1"/>
    <xf numFmtId="0" fontId="315" fillId="101" borderId="31" xfId="464" quotePrefix="1" applyFont="1" applyFill="1" applyBorder="1" applyAlignment="1">
      <alignment horizontal="left"/>
    </xf>
    <xf numFmtId="0" fontId="315" fillId="101" borderId="0" xfId="464" quotePrefix="1" applyFont="1" applyFill="1" applyAlignment="1">
      <alignment horizontal="right"/>
    </xf>
    <xf numFmtId="0" fontId="315" fillId="101" borderId="64" xfId="464" quotePrefix="1" applyFont="1" applyFill="1" applyBorder="1" applyAlignment="1">
      <alignment horizontal="right"/>
    </xf>
    <xf numFmtId="0" fontId="315" fillId="101" borderId="22" xfId="464" quotePrefix="1" applyFont="1" applyFill="1" applyBorder="1" applyAlignment="1">
      <alignment horizontal="right"/>
    </xf>
    <xf numFmtId="338" fontId="315" fillId="101" borderId="0" xfId="464" applyNumberFormat="1" applyFont="1" applyFill="1" applyAlignment="1">
      <alignment horizontal="right"/>
    </xf>
    <xf numFmtId="338" fontId="315" fillId="101" borderId="64" xfId="464" applyNumberFormat="1" applyFont="1" applyFill="1" applyBorder="1" applyAlignment="1">
      <alignment horizontal="right"/>
    </xf>
    <xf numFmtId="181" fontId="315" fillId="101" borderId="0" xfId="464" quotePrefix="1" applyNumberFormat="1" applyFont="1" applyFill="1" applyAlignment="1">
      <alignment horizontal="right"/>
    </xf>
    <xf numFmtId="2" fontId="311" fillId="0" borderId="31" xfId="464" applyNumberFormat="1" applyFont="1" applyBorder="1"/>
    <xf numFmtId="0" fontId="311" fillId="0" borderId="0" xfId="464" quotePrefix="1" applyFont="1" applyAlignment="1">
      <alignment horizontal="right"/>
    </xf>
    <xf numFmtId="3" fontId="311" fillId="0" borderId="22" xfId="464" quotePrefix="1" applyNumberFormat="1" applyFont="1" applyBorder="1" applyAlignment="1">
      <alignment horizontal="right"/>
    </xf>
    <xf numFmtId="3" fontId="311" fillId="0" borderId="0" xfId="464" quotePrefix="1" applyNumberFormat="1" applyFont="1" applyAlignment="1">
      <alignment horizontal="right"/>
    </xf>
    <xf numFmtId="3" fontId="311" fillId="0" borderId="64" xfId="464" quotePrefix="1" applyNumberFormat="1" applyFont="1" applyBorder="1" applyAlignment="1">
      <alignment horizontal="right"/>
    </xf>
    <xf numFmtId="338" fontId="311" fillId="0" borderId="0" xfId="464" quotePrefix="1" applyNumberFormat="1" applyFont="1" applyAlignment="1">
      <alignment horizontal="right"/>
    </xf>
    <xf numFmtId="338" fontId="311" fillId="0" borderId="0" xfId="464" applyNumberFormat="1" applyFont="1" applyAlignment="1">
      <alignment horizontal="right"/>
    </xf>
    <xf numFmtId="338" fontId="311" fillId="0" borderId="64" xfId="464" applyNumberFormat="1" applyFont="1" applyBorder="1" applyAlignment="1">
      <alignment horizontal="right"/>
    </xf>
    <xf numFmtId="0" fontId="312" fillId="0" borderId="64" xfId="6886" applyFont="1" applyBorder="1"/>
    <xf numFmtId="0" fontId="312" fillId="0" borderId="0" xfId="6886" applyFont="1"/>
    <xf numFmtId="2" fontId="315" fillId="0" borderId="0" xfId="464" quotePrefix="1" applyNumberFormat="1" applyFont="1" applyAlignment="1">
      <alignment horizontal="left"/>
    </xf>
    <xf numFmtId="2" fontId="311" fillId="0" borderId="22" xfId="464" quotePrefix="1" applyNumberFormat="1" applyFont="1" applyBorder="1" applyAlignment="1">
      <alignment horizontal="right"/>
    </xf>
    <xf numFmtId="2" fontId="311" fillId="0" borderId="0" xfId="464" quotePrefix="1" applyNumberFormat="1" applyFont="1" applyAlignment="1">
      <alignment horizontal="right"/>
    </xf>
    <xf numFmtId="2" fontId="311" fillId="0" borderId="64" xfId="464" quotePrefix="1" applyNumberFormat="1" applyFont="1" applyBorder="1" applyAlignment="1">
      <alignment horizontal="right"/>
    </xf>
    <xf numFmtId="2" fontId="311" fillId="0" borderId="0" xfId="464" applyNumberFormat="1" applyFont="1" applyAlignment="1">
      <alignment horizontal="right"/>
    </xf>
    <xf numFmtId="2" fontId="311" fillId="0" borderId="64" xfId="464" applyNumberFormat="1" applyFont="1" applyBorder="1" applyAlignment="1">
      <alignment horizontal="right"/>
    </xf>
    <xf numFmtId="2" fontId="326" fillId="0" borderId="64" xfId="6886" applyNumberFormat="1" applyFont="1" applyBorder="1"/>
    <xf numFmtId="2" fontId="326" fillId="0" borderId="0" xfId="6886" applyNumberFormat="1" applyFont="1"/>
    <xf numFmtId="9" fontId="312" fillId="0" borderId="31" xfId="11356" applyFont="1" applyFill="1" applyBorder="1"/>
    <xf numFmtId="9" fontId="328" fillId="0" borderId="0" xfId="11356" quotePrefix="1" applyFont="1" applyFill="1" applyBorder="1" applyAlignment="1">
      <alignment horizontal="left"/>
    </xf>
    <xf numFmtId="9" fontId="328" fillId="0" borderId="64" xfId="11356" quotePrefix="1" applyFont="1" applyFill="1" applyBorder="1" applyAlignment="1">
      <alignment horizontal="left"/>
    </xf>
    <xf numFmtId="9" fontId="312" fillId="0" borderId="22" xfId="11356" quotePrefix="1" applyFont="1" applyFill="1" applyBorder="1" applyAlignment="1">
      <alignment horizontal="right"/>
    </xf>
    <xf numFmtId="9" fontId="312" fillId="0" borderId="0" xfId="11356" quotePrefix="1" applyFont="1" applyFill="1" applyBorder="1" applyAlignment="1">
      <alignment horizontal="right"/>
    </xf>
    <xf numFmtId="9" fontId="312" fillId="0" borderId="64" xfId="11356" quotePrefix="1" applyFont="1" applyFill="1" applyBorder="1" applyAlignment="1">
      <alignment horizontal="right"/>
    </xf>
    <xf numFmtId="9" fontId="326" fillId="0" borderId="0" xfId="11356" applyFont="1" applyFill="1" applyBorder="1"/>
    <xf numFmtId="9" fontId="326" fillId="0" borderId="0" xfId="11356" applyFont="1" applyFill="1"/>
    <xf numFmtId="169" fontId="311" fillId="0" borderId="31" xfId="11356" applyNumberFormat="1" applyFont="1" applyFill="1" applyBorder="1"/>
    <xf numFmtId="169" fontId="315" fillId="0" borderId="0" xfId="11356" quotePrefix="1" applyNumberFormat="1" applyFont="1" applyFill="1" applyBorder="1" applyAlignment="1">
      <alignment horizontal="left"/>
    </xf>
    <xf numFmtId="169" fontId="315" fillId="0" borderId="64" xfId="11356" quotePrefix="1" applyNumberFormat="1" applyFont="1" applyFill="1" applyBorder="1" applyAlignment="1">
      <alignment horizontal="left"/>
    </xf>
    <xf numFmtId="169" fontId="311" fillId="0" borderId="22" xfId="11356" quotePrefix="1" applyNumberFormat="1" applyFont="1" applyFill="1" applyBorder="1" applyAlignment="1">
      <alignment horizontal="right"/>
    </xf>
    <xf numFmtId="169" fontId="311" fillId="0" borderId="0" xfId="11356" quotePrefix="1" applyNumberFormat="1" applyFont="1" applyFill="1" applyBorder="1" applyAlignment="1">
      <alignment horizontal="right"/>
    </xf>
    <xf numFmtId="169" fontId="311" fillId="0" borderId="64" xfId="11356" quotePrefix="1" applyNumberFormat="1" applyFont="1" applyFill="1" applyBorder="1" applyAlignment="1">
      <alignment horizontal="right"/>
    </xf>
    <xf numFmtId="169" fontId="311" fillId="0" borderId="0" xfId="11356" applyNumberFormat="1" applyFont="1" applyFill="1" applyBorder="1" applyAlignment="1">
      <alignment horizontal="right"/>
    </xf>
    <xf numFmtId="169" fontId="311" fillId="0" borderId="64" xfId="11356" applyNumberFormat="1" applyFont="1" applyFill="1" applyBorder="1" applyAlignment="1">
      <alignment horizontal="right"/>
    </xf>
    <xf numFmtId="169" fontId="326" fillId="0" borderId="0" xfId="11356" applyNumberFormat="1" applyFont="1" applyFill="1" applyBorder="1"/>
    <xf numFmtId="169" fontId="326" fillId="0" borderId="0" xfId="11356" applyNumberFormat="1" applyFont="1" applyFill="1"/>
    <xf numFmtId="0" fontId="311" fillId="0" borderId="31" xfId="464" applyFont="1" applyBorder="1"/>
    <xf numFmtId="0" fontId="315" fillId="0" borderId="0" xfId="464" quotePrefix="1" applyFont="1" applyAlignment="1">
      <alignment horizontal="left"/>
    </xf>
    <xf numFmtId="0" fontId="315" fillId="0" borderId="64" xfId="464" quotePrefix="1" applyFont="1" applyBorder="1" applyAlignment="1">
      <alignment horizontal="left"/>
    </xf>
    <xf numFmtId="338" fontId="311" fillId="0" borderId="64" xfId="464" quotePrefix="1" applyNumberFormat="1" applyFont="1" applyBorder="1" applyAlignment="1">
      <alignment horizontal="right"/>
    </xf>
    <xf numFmtId="9" fontId="327" fillId="0" borderId="22" xfId="6886" applyNumberFormat="1" applyFont="1" applyBorder="1"/>
    <xf numFmtId="9" fontId="327" fillId="0" borderId="0" xfId="6886" applyNumberFormat="1" applyFont="1"/>
    <xf numFmtId="9" fontId="311" fillId="0" borderId="0" xfId="11356" quotePrefix="1" applyFont="1" applyFill="1" applyBorder="1" applyAlignment="1">
      <alignment horizontal="right"/>
    </xf>
    <xf numFmtId="41" fontId="327" fillId="96" borderId="31" xfId="6886" applyNumberFormat="1" applyFont="1" applyFill="1" applyBorder="1"/>
    <xf numFmtId="41" fontId="329" fillId="96" borderId="0" xfId="6886" applyNumberFormat="1" applyFont="1" applyFill="1"/>
    <xf numFmtId="41" fontId="329" fillId="96" borderId="64" xfId="6886" applyNumberFormat="1" applyFont="1" applyFill="1" applyBorder="1"/>
    <xf numFmtId="41" fontId="311" fillId="96" borderId="0" xfId="6886" applyNumberFormat="1" applyFont="1" applyFill="1"/>
    <xf numFmtId="41" fontId="311" fillId="96" borderId="64" xfId="6886" applyNumberFormat="1" applyFont="1" applyFill="1" applyBorder="1"/>
    <xf numFmtId="41" fontId="327" fillId="96" borderId="22" xfId="6886" applyNumberFormat="1" applyFont="1" applyFill="1" applyBorder="1"/>
    <xf numFmtId="41" fontId="327" fillId="96" borderId="0" xfId="6886" applyNumberFormat="1" applyFont="1" applyFill="1"/>
    <xf numFmtId="0" fontId="326" fillId="0" borderId="31" xfId="0" applyFont="1" applyBorder="1"/>
    <xf numFmtId="9" fontId="326" fillId="0" borderId="64" xfId="11356" applyFont="1" applyFill="1" applyBorder="1"/>
    <xf numFmtId="9" fontId="326" fillId="0" borderId="60" xfId="11356" applyFont="1" applyFill="1" applyBorder="1"/>
    <xf numFmtId="9" fontId="326" fillId="0" borderId="49" xfId="11356" applyFont="1" applyFill="1" applyBorder="1"/>
    <xf numFmtId="9" fontId="326" fillId="0" borderId="66" xfId="11356" applyFont="1" applyFill="1" applyBorder="1"/>
    <xf numFmtId="9" fontId="326" fillId="0" borderId="22" xfId="11356" applyFont="1" applyFill="1" applyBorder="1"/>
    <xf numFmtId="0" fontId="326" fillId="0" borderId="49" xfId="6886" applyFont="1" applyBorder="1"/>
    <xf numFmtId="0" fontId="327" fillId="0" borderId="67" xfId="0" applyFont="1" applyBorder="1"/>
    <xf numFmtId="0" fontId="326" fillId="0" borderId="24" xfId="6886" applyFont="1" applyBorder="1"/>
    <xf numFmtId="0" fontId="326" fillId="0" borderId="65" xfId="6886" applyFont="1" applyBorder="1"/>
    <xf numFmtId="323" fontId="326" fillId="0" borderId="24" xfId="6886" applyNumberFormat="1" applyFont="1" applyBorder="1"/>
    <xf numFmtId="323" fontId="326" fillId="0" borderId="65" xfId="6886" applyNumberFormat="1" applyFont="1" applyBorder="1"/>
    <xf numFmtId="169" fontId="314" fillId="0" borderId="0" xfId="6886" applyNumberFormat="1" applyFont="1"/>
    <xf numFmtId="169" fontId="314" fillId="0" borderId="64" xfId="6886" applyNumberFormat="1" applyFont="1" applyBorder="1"/>
    <xf numFmtId="0" fontId="326" fillId="0" borderId="32" xfId="0" applyFont="1" applyBorder="1"/>
    <xf numFmtId="169" fontId="326" fillId="0" borderId="49" xfId="6886" applyNumberFormat="1" applyFont="1" applyBorder="1"/>
    <xf numFmtId="169" fontId="326" fillId="0" borderId="66" xfId="6886" applyNumberFormat="1" applyFont="1" applyBorder="1"/>
    <xf numFmtId="169" fontId="326" fillId="0" borderId="49" xfId="11356" applyNumberFormat="1" applyFont="1" applyFill="1" applyBorder="1"/>
    <xf numFmtId="169" fontId="326" fillId="0" borderId="66" xfId="11356" applyNumberFormat="1" applyFont="1" applyFill="1" applyBorder="1"/>
    <xf numFmtId="169" fontId="326" fillId="0" borderId="60" xfId="11356" applyNumberFormat="1" applyFont="1" applyFill="1" applyBorder="1"/>
    <xf numFmtId="9" fontId="330" fillId="0" borderId="49" xfId="11356" applyFont="1" applyFill="1" applyBorder="1"/>
    <xf numFmtId="190" fontId="312" fillId="0" borderId="0" xfId="464" applyNumberFormat="1" applyFont="1"/>
    <xf numFmtId="190" fontId="312" fillId="0" borderId="64" xfId="464" applyNumberFormat="1" applyFont="1" applyBorder="1"/>
    <xf numFmtId="190" fontId="313" fillId="87" borderId="0" xfId="464" applyNumberFormat="1" applyFont="1" applyFill="1"/>
    <xf numFmtId="190" fontId="313" fillId="87" borderId="64" xfId="464" applyNumberFormat="1" applyFont="1" applyFill="1" applyBorder="1"/>
    <xf numFmtId="190" fontId="312" fillId="0" borderId="49" xfId="464" applyNumberFormat="1" applyFont="1" applyBorder="1"/>
    <xf numFmtId="190" fontId="312" fillId="0" borderId="66" xfId="464" applyNumberFormat="1" applyFont="1" applyBorder="1"/>
    <xf numFmtId="0" fontId="314" fillId="0" borderId="49" xfId="0" applyFont="1" applyBorder="1"/>
    <xf numFmtId="190" fontId="326" fillId="0" borderId="49" xfId="6886" applyNumberFormat="1" applyFont="1" applyBorder="1"/>
    <xf numFmtId="0" fontId="327" fillId="0" borderId="31" xfId="0" applyFont="1" applyBorder="1"/>
    <xf numFmtId="190" fontId="329" fillId="0" borderId="0" xfId="464" applyNumberFormat="1" applyFont="1"/>
    <xf numFmtId="190" fontId="329" fillId="0" borderId="64" xfId="464" applyNumberFormat="1" applyFont="1" applyBorder="1"/>
    <xf numFmtId="190" fontId="311" fillId="0" borderId="0" xfId="464" applyNumberFormat="1" applyFont="1"/>
    <xf numFmtId="190" fontId="311" fillId="0" borderId="64" xfId="464" applyNumberFormat="1" applyFont="1" applyBorder="1"/>
    <xf numFmtId="190" fontId="327" fillId="0" borderId="22" xfId="6886" applyNumberFormat="1" applyFont="1" applyBorder="1"/>
    <xf numFmtId="169" fontId="327" fillId="0" borderId="0" xfId="11356" applyNumberFormat="1" applyFont="1" applyFill="1" applyBorder="1"/>
    <xf numFmtId="169" fontId="327" fillId="0" borderId="64" xfId="11356" applyNumberFormat="1" applyFont="1" applyFill="1" applyBorder="1"/>
    <xf numFmtId="169" fontId="327" fillId="0" borderId="22" xfId="11356" applyNumberFormat="1" applyFont="1" applyFill="1" applyBorder="1"/>
    <xf numFmtId="169" fontId="326" fillId="0" borderId="0" xfId="6886" applyNumberFormat="1" applyFont="1"/>
    <xf numFmtId="1" fontId="314" fillId="0" borderId="0" xfId="0" applyNumberFormat="1" applyFont="1"/>
    <xf numFmtId="1" fontId="314" fillId="0" borderId="64" xfId="0" applyNumberFormat="1" applyFont="1" applyBorder="1"/>
    <xf numFmtId="1" fontId="326" fillId="0" borderId="0" xfId="6886" applyNumberFormat="1" applyFont="1"/>
    <xf numFmtId="1" fontId="326" fillId="0" borderId="64" xfId="6886" applyNumberFormat="1" applyFont="1" applyBorder="1"/>
    <xf numFmtId="323" fontId="326" fillId="0" borderId="22" xfId="6886" applyNumberFormat="1" applyFont="1" applyBorder="1"/>
    <xf numFmtId="190" fontId="326" fillId="0" borderId="64" xfId="6886" applyNumberFormat="1" applyFont="1" applyBorder="1"/>
    <xf numFmtId="190" fontId="326" fillId="0" borderId="22" xfId="6886" applyNumberFormat="1" applyFont="1" applyBorder="1"/>
    <xf numFmtId="0" fontId="327" fillId="0" borderId="32" xfId="0" applyFont="1" applyBorder="1"/>
    <xf numFmtId="41" fontId="327" fillId="0" borderId="49" xfId="6886" applyNumberFormat="1" applyFont="1" applyBorder="1"/>
    <xf numFmtId="41" fontId="327" fillId="0" borderId="66" xfId="6886" applyNumberFormat="1" applyFont="1" applyBorder="1"/>
    <xf numFmtId="190" fontId="327" fillId="0" borderId="49" xfId="468" applyNumberFormat="1" applyFont="1" applyFill="1" applyBorder="1"/>
    <xf numFmtId="190" fontId="327" fillId="0" borderId="66" xfId="468" applyNumberFormat="1" applyFont="1" applyFill="1" applyBorder="1"/>
    <xf numFmtId="190" fontId="327" fillId="0" borderId="60" xfId="6886" applyNumberFormat="1" applyFont="1" applyBorder="1"/>
    <xf numFmtId="190" fontId="327" fillId="0" borderId="49" xfId="6886" applyNumberFormat="1" applyFont="1" applyBorder="1"/>
    <xf numFmtId="323" fontId="327" fillId="0" borderId="49" xfId="6886" applyNumberFormat="1" applyFont="1" applyBorder="1"/>
    <xf numFmtId="323" fontId="327" fillId="0" borderId="66" xfId="6886" applyNumberFormat="1" applyFont="1" applyBorder="1"/>
    <xf numFmtId="169" fontId="326" fillId="0" borderId="64" xfId="11356" applyNumberFormat="1" applyFont="1" applyFill="1" applyBorder="1"/>
    <xf numFmtId="169" fontId="326" fillId="0" borderId="22" xfId="11356" applyNumberFormat="1" applyFont="1" applyFill="1" applyBorder="1"/>
    <xf numFmtId="190" fontId="326" fillId="102" borderId="0" xfId="6886" applyNumberFormat="1" applyFont="1" applyFill="1"/>
    <xf numFmtId="9" fontId="331" fillId="0" borderId="49" xfId="6886" applyNumberFormat="1" applyFont="1" applyBorder="1"/>
    <xf numFmtId="9" fontId="331" fillId="0" borderId="66" xfId="6886" applyNumberFormat="1" applyFont="1" applyBorder="1"/>
    <xf numFmtId="9" fontId="326" fillId="0" borderId="0" xfId="468" applyFont="1" applyFill="1" applyBorder="1"/>
    <xf numFmtId="9" fontId="326" fillId="0" borderId="64" xfId="468" applyFont="1" applyFill="1" applyBorder="1"/>
    <xf numFmtId="41" fontId="332" fillId="96" borderId="0" xfId="6886" applyNumberFormat="1" applyFont="1" applyFill="1"/>
    <xf numFmtId="41" fontId="332" fillId="96" borderId="64" xfId="6886" applyNumberFormat="1" applyFont="1" applyFill="1" applyBorder="1"/>
    <xf numFmtId="0" fontId="327" fillId="0" borderId="64" xfId="6886" applyFont="1" applyBorder="1"/>
    <xf numFmtId="9" fontId="327" fillId="0" borderId="0" xfId="468" applyFont="1" applyFill="1" applyBorder="1"/>
    <xf numFmtId="9" fontId="327" fillId="0" borderId="64" xfId="468" applyFont="1" applyFill="1" applyBorder="1"/>
    <xf numFmtId="169" fontId="327" fillId="0" borderId="49" xfId="6886" applyNumberFormat="1" applyFont="1" applyBorder="1"/>
    <xf numFmtId="169" fontId="327" fillId="0" borderId="66" xfId="6886" applyNumberFormat="1" applyFont="1" applyBorder="1"/>
    <xf numFmtId="169" fontId="327" fillId="0" borderId="60" xfId="6886" applyNumberFormat="1" applyFont="1" applyBorder="1"/>
    <xf numFmtId="323" fontId="326" fillId="0" borderId="49" xfId="6886" applyNumberFormat="1" applyFont="1" applyBorder="1"/>
    <xf numFmtId="323" fontId="326" fillId="0" borderId="66" xfId="6886" applyNumberFormat="1" applyFont="1" applyBorder="1"/>
    <xf numFmtId="323" fontId="326" fillId="0" borderId="60" xfId="6886" applyNumberFormat="1" applyFont="1" applyBorder="1"/>
    <xf numFmtId="9" fontId="327" fillId="0" borderId="49" xfId="11356" applyFont="1" applyFill="1" applyBorder="1"/>
    <xf numFmtId="9" fontId="327" fillId="0" borderId="66" xfId="11356" applyFont="1" applyFill="1" applyBorder="1"/>
    <xf numFmtId="9" fontId="327" fillId="0" borderId="60" xfId="11356" applyFont="1" applyFill="1" applyBorder="1"/>
    <xf numFmtId="1" fontId="314" fillId="0" borderId="0" xfId="6886" applyNumberFormat="1" applyFont="1"/>
    <xf numFmtId="1" fontId="314" fillId="0" borderId="64" xfId="6886" applyNumberFormat="1" applyFont="1" applyBorder="1"/>
    <xf numFmtId="3" fontId="313" fillId="0" borderId="0" xfId="6886" applyNumberFormat="1" applyFont="1"/>
    <xf numFmtId="3" fontId="313" fillId="0" borderId="64" xfId="6886" applyNumberFormat="1" applyFont="1" applyBorder="1"/>
    <xf numFmtId="3" fontId="313" fillId="87" borderId="0" xfId="6886" applyNumberFormat="1" applyFont="1" applyFill="1"/>
    <xf numFmtId="3" fontId="313" fillId="87" borderId="64" xfId="6886" applyNumberFormat="1" applyFont="1" applyFill="1" applyBorder="1"/>
    <xf numFmtId="3" fontId="331" fillId="0" borderId="0" xfId="6886" applyNumberFormat="1" applyFont="1"/>
    <xf numFmtId="3" fontId="331" fillId="0" borderId="64" xfId="6886" applyNumberFormat="1" applyFont="1" applyBorder="1"/>
    <xf numFmtId="3" fontId="327" fillId="0" borderId="49" xfId="6886" applyNumberFormat="1" applyFont="1" applyBorder="1"/>
    <xf numFmtId="3" fontId="327" fillId="0" borderId="66" xfId="6886" applyNumberFormat="1" applyFont="1" applyBorder="1"/>
    <xf numFmtId="3" fontId="326" fillId="0" borderId="49" xfId="6886" applyNumberFormat="1" applyFont="1" applyBorder="1"/>
    <xf numFmtId="3" fontId="326" fillId="0" borderId="66" xfId="6886" applyNumberFormat="1" applyFont="1" applyBorder="1"/>
    <xf numFmtId="0" fontId="311" fillId="0" borderId="0" xfId="464" quotePrefix="1" applyFont="1" applyAlignment="1">
      <alignment horizontal="left"/>
    </xf>
    <xf numFmtId="0" fontId="311" fillId="0" borderId="64" xfId="464" quotePrefix="1" applyFont="1" applyBorder="1" applyAlignment="1">
      <alignment horizontal="left"/>
    </xf>
    <xf numFmtId="0" fontId="312" fillId="0" borderId="22" xfId="6886" applyFont="1" applyBorder="1"/>
    <xf numFmtId="1" fontId="312" fillId="0" borderId="0" xfId="6886" applyNumberFormat="1" applyFont="1"/>
    <xf numFmtId="0" fontId="333" fillId="0" borderId="0" xfId="6886" applyFont="1"/>
    <xf numFmtId="0" fontId="333" fillId="0" borderId="64" xfId="6886" applyFont="1" applyBorder="1"/>
    <xf numFmtId="3" fontId="326" fillId="0" borderId="0" xfId="6886" applyNumberFormat="1" applyFont="1"/>
    <xf numFmtId="3" fontId="326" fillId="0" borderId="64" xfId="6886" applyNumberFormat="1" applyFont="1" applyBorder="1"/>
    <xf numFmtId="3" fontId="326" fillId="0" borderId="22" xfId="6886" applyNumberFormat="1" applyFont="1" applyBorder="1"/>
    <xf numFmtId="1" fontId="334" fillId="0" borderId="0" xfId="6886" applyNumberFormat="1" applyFont="1"/>
    <xf numFmtId="1" fontId="334" fillId="0" borderId="64" xfId="6886" applyNumberFormat="1" applyFont="1" applyBorder="1"/>
    <xf numFmtId="169" fontId="313" fillId="87" borderId="0" xfId="11356" applyNumberFormat="1" applyFont="1" applyFill="1" applyBorder="1"/>
    <xf numFmtId="9" fontId="313" fillId="87" borderId="0" xfId="11356" applyFont="1" applyFill="1" applyBorder="1"/>
    <xf numFmtId="9" fontId="313" fillId="87" borderId="64" xfId="11356" applyFont="1" applyFill="1" applyBorder="1"/>
    <xf numFmtId="10" fontId="326" fillId="0" borderId="0" xfId="6886" applyNumberFormat="1" applyFont="1"/>
    <xf numFmtId="9" fontId="313" fillId="87" borderId="49" xfId="11356" applyFont="1" applyFill="1" applyBorder="1"/>
    <xf numFmtId="9" fontId="334" fillId="0" borderId="0" xfId="468" applyFont="1" applyFill="1" applyBorder="1"/>
    <xf numFmtId="9" fontId="334" fillId="0" borderId="64" xfId="468" applyFont="1" applyFill="1" applyBorder="1"/>
    <xf numFmtId="9" fontId="313" fillId="0" borderId="0" xfId="468" applyFont="1" applyFill="1" applyBorder="1"/>
    <xf numFmtId="9" fontId="313" fillId="0" borderId="64" xfId="468" applyFont="1" applyFill="1" applyBorder="1"/>
    <xf numFmtId="9" fontId="314" fillId="0" borderId="0" xfId="11356" applyFont="1" applyFill="1" applyBorder="1"/>
    <xf numFmtId="9" fontId="314" fillId="0" borderId="64" xfId="11356" applyFont="1" applyFill="1" applyBorder="1"/>
    <xf numFmtId="9" fontId="333" fillId="0" borderId="0" xfId="11356" applyFont="1" applyFill="1" applyBorder="1"/>
    <xf numFmtId="9" fontId="333" fillId="0" borderId="64" xfId="11356" applyFont="1" applyFill="1" applyBorder="1"/>
    <xf numFmtId="9" fontId="313" fillId="0" borderId="0" xfId="11356" applyFont="1" applyFill="1" applyBorder="1"/>
    <xf numFmtId="9" fontId="313" fillId="0" borderId="64" xfId="11356" applyFont="1" applyFill="1" applyBorder="1"/>
    <xf numFmtId="9" fontId="333" fillId="0" borderId="49" xfId="11356" applyFont="1" applyFill="1" applyBorder="1"/>
    <xf numFmtId="9" fontId="333" fillId="0" borderId="66" xfId="11356" applyFont="1" applyFill="1" applyBorder="1"/>
    <xf numFmtId="9" fontId="313" fillId="0" borderId="49" xfId="11356" applyFont="1" applyFill="1" applyBorder="1"/>
    <xf numFmtId="9" fontId="313" fillId="0" borderId="66" xfId="11356" applyFont="1" applyFill="1" applyBorder="1"/>
    <xf numFmtId="0" fontId="335" fillId="0" borderId="0" xfId="6886" applyFont="1"/>
    <xf numFmtId="0" fontId="335" fillId="0" borderId="64" xfId="6886" applyFont="1" applyBorder="1"/>
    <xf numFmtId="0" fontId="326" fillId="0" borderId="61" xfId="6886" applyFont="1" applyBorder="1"/>
    <xf numFmtId="1" fontId="326" fillId="102" borderId="0" xfId="6886" applyNumberFormat="1" applyFont="1" applyFill="1"/>
    <xf numFmtId="1" fontId="326" fillId="102" borderId="64" xfId="6886" applyNumberFormat="1" applyFont="1" applyFill="1" applyBorder="1"/>
    <xf numFmtId="190" fontId="327" fillId="0" borderId="66" xfId="6886" applyNumberFormat="1" applyFont="1" applyBorder="1"/>
    <xf numFmtId="368" fontId="327" fillId="0" borderId="49" xfId="6886" applyNumberFormat="1" applyFont="1" applyBorder="1"/>
    <xf numFmtId="368" fontId="327" fillId="0" borderId="66" xfId="6886" applyNumberFormat="1" applyFont="1" applyBorder="1"/>
    <xf numFmtId="170" fontId="327" fillId="0" borderId="22" xfId="6886" applyNumberFormat="1" applyFont="1" applyBorder="1"/>
    <xf numFmtId="170" fontId="327" fillId="0" borderId="0" xfId="6886" applyNumberFormat="1" applyFont="1"/>
    <xf numFmtId="2" fontId="326" fillId="0" borderId="31" xfId="0" applyNumberFormat="1" applyFont="1" applyBorder="1"/>
    <xf numFmtId="3" fontId="326" fillId="102" borderId="0" xfId="6886" applyNumberFormat="1" applyFont="1" applyFill="1"/>
    <xf numFmtId="3" fontId="326" fillId="102" borderId="64" xfId="6886" applyNumberFormat="1" applyFont="1" applyFill="1" applyBorder="1"/>
    <xf numFmtId="190" fontId="327" fillId="0" borderId="49" xfId="11356" applyNumberFormat="1" applyFont="1" applyFill="1" applyBorder="1"/>
    <xf numFmtId="190" fontId="327" fillId="0" borderId="66" xfId="11356" applyNumberFormat="1" applyFont="1" applyFill="1" applyBorder="1"/>
    <xf numFmtId="3" fontId="327" fillId="0" borderId="0" xfId="6886" applyNumberFormat="1" applyFont="1"/>
    <xf numFmtId="170" fontId="334" fillId="0" borderId="0" xfId="6886" applyNumberFormat="1" applyFont="1"/>
    <xf numFmtId="170" fontId="334" fillId="0" borderId="64" xfId="6886" applyNumberFormat="1" applyFont="1" applyBorder="1"/>
    <xf numFmtId="170" fontId="326" fillId="0" borderId="0" xfId="6886" applyNumberFormat="1" applyFont="1"/>
    <xf numFmtId="170" fontId="326" fillId="0" borderId="64" xfId="6886" applyNumberFormat="1" applyFont="1" applyBorder="1"/>
    <xf numFmtId="169" fontId="314" fillId="0" borderId="0" xfId="11356" applyNumberFormat="1" applyFont="1" applyFill="1" applyBorder="1"/>
    <xf numFmtId="169" fontId="314" fillId="0" borderId="64" xfId="11356" applyNumberFormat="1" applyFont="1" applyFill="1" applyBorder="1"/>
    <xf numFmtId="169" fontId="313" fillId="87" borderId="64" xfId="11356" applyNumberFormat="1" applyFont="1" applyFill="1" applyBorder="1"/>
    <xf numFmtId="169" fontId="333" fillId="0" borderId="0" xfId="11356" applyNumberFormat="1" applyFont="1" applyFill="1" applyBorder="1"/>
    <xf numFmtId="169" fontId="333" fillId="0" borderId="64" xfId="11356" applyNumberFormat="1" applyFont="1" applyFill="1" applyBorder="1"/>
    <xf numFmtId="169" fontId="327" fillId="0" borderId="49" xfId="11356" applyNumberFormat="1" applyFont="1" applyFill="1" applyBorder="1"/>
    <xf numFmtId="169" fontId="327" fillId="0" borderId="66" xfId="11356" applyNumberFormat="1" applyFont="1" applyFill="1" applyBorder="1"/>
    <xf numFmtId="169" fontId="327" fillId="0" borderId="60" xfId="11356" applyNumberFormat="1" applyFont="1" applyFill="1" applyBorder="1"/>
    <xf numFmtId="0" fontId="336" fillId="0" borderId="31" xfId="0" applyFont="1" applyBorder="1"/>
    <xf numFmtId="338" fontId="315" fillId="0" borderId="0" xfId="464" quotePrefix="1" applyNumberFormat="1" applyFont="1" applyAlignment="1">
      <alignment horizontal="right"/>
    </xf>
    <xf numFmtId="338" fontId="315" fillId="0" borderId="64" xfId="464" quotePrefix="1" applyNumberFormat="1" applyFont="1" applyBorder="1" applyAlignment="1">
      <alignment horizontal="right"/>
    </xf>
    <xf numFmtId="338" fontId="315" fillId="0" borderId="0" xfId="464" applyNumberFormat="1" applyFont="1" applyAlignment="1">
      <alignment horizontal="right"/>
    </xf>
    <xf numFmtId="338" fontId="315" fillId="0" borderId="64" xfId="464" applyNumberFormat="1" applyFont="1" applyBorder="1" applyAlignment="1">
      <alignment horizontal="right"/>
    </xf>
    <xf numFmtId="0" fontId="330" fillId="0" borderId="31" xfId="0" applyFont="1" applyBorder="1"/>
    <xf numFmtId="3" fontId="337" fillId="0" borderId="64" xfId="402" applyNumberFormat="1" applyFont="1" applyFill="1" applyBorder="1"/>
    <xf numFmtId="3" fontId="337" fillId="0" borderId="0" xfId="402" applyNumberFormat="1" applyFont="1" applyFill="1" applyBorder="1"/>
    <xf numFmtId="3" fontId="337" fillId="0" borderId="22" xfId="402" applyNumberFormat="1" applyFont="1" applyFill="1" applyBorder="1"/>
    <xf numFmtId="169" fontId="326" fillId="0" borderId="64" xfId="6886" applyNumberFormat="1" applyFont="1" applyBorder="1"/>
    <xf numFmtId="0" fontId="327" fillId="0" borderId="22" xfId="6886" applyFont="1" applyBorder="1"/>
    <xf numFmtId="169" fontId="326" fillId="0" borderId="65" xfId="11356" applyNumberFormat="1" applyFont="1" applyFill="1" applyBorder="1"/>
    <xf numFmtId="0" fontId="335" fillId="0" borderId="0" xfId="6886" applyFont="1" applyAlignment="1">
      <alignment horizontal="right"/>
    </xf>
    <xf numFmtId="0" fontId="335" fillId="0" borderId="64" xfId="6886" applyFont="1" applyBorder="1" applyAlignment="1">
      <alignment horizontal="right"/>
    </xf>
    <xf numFmtId="3" fontId="331" fillId="103" borderId="0" xfId="6886" applyNumberFormat="1" applyFont="1" applyFill="1"/>
    <xf numFmtId="3" fontId="331" fillId="103" borderId="64" xfId="6886" applyNumberFormat="1" applyFont="1" applyFill="1" applyBorder="1"/>
    <xf numFmtId="0" fontId="326" fillId="0" borderId="68" xfId="6886" applyFont="1" applyBorder="1"/>
    <xf numFmtId="323" fontId="327" fillId="0" borderId="21" xfId="6886" applyNumberFormat="1" applyFont="1" applyBorder="1"/>
    <xf numFmtId="9" fontId="326" fillId="0" borderId="64" xfId="11356" applyFont="1" applyBorder="1"/>
    <xf numFmtId="169" fontId="313" fillId="0" borderId="0" xfId="11356" applyNumberFormat="1" applyFont="1" applyFill="1" applyBorder="1"/>
    <xf numFmtId="9" fontId="327" fillId="0" borderId="49" xfId="11356" applyFont="1" applyBorder="1"/>
    <xf numFmtId="9" fontId="327" fillId="0" borderId="66" xfId="11356" applyFont="1" applyBorder="1"/>
    <xf numFmtId="9" fontId="338" fillId="0" borderId="49" xfId="11356" applyFont="1" applyFill="1" applyBorder="1"/>
    <xf numFmtId="9" fontId="327" fillId="0" borderId="64" xfId="11356" applyFont="1" applyBorder="1"/>
    <xf numFmtId="41" fontId="311" fillId="96" borderId="65" xfId="6886" applyNumberFormat="1" applyFont="1" applyFill="1" applyBorder="1"/>
    <xf numFmtId="41" fontId="329" fillId="0" borderId="0" xfId="6886" applyNumberFormat="1" applyFont="1"/>
    <xf numFmtId="41" fontId="329" fillId="0" borderId="64" xfId="6886" applyNumberFormat="1" applyFont="1" applyBorder="1"/>
    <xf numFmtId="41" fontId="311" fillId="0" borderId="65" xfId="6886" applyNumberFormat="1" applyFont="1" applyBorder="1"/>
    <xf numFmtId="41" fontId="311" fillId="0" borderId="22" xfId="6886" applyNumberFormat="1" applyFont="1" applyBorder="1"/>
    <xf numFmtId="41" fontId="311" fillId="0" borderId="0" xfId="6886" applyNumberFormat="1" applyFont="1"/>
    <xf numFmtId="41" fontId="311" fillId="0" borderId="64" xfId="6886" applyNumberFormat="1" applyFont="1" applyBorder="1"/>
    <xf numFmtId="169" fontId="327" fillId="0" borderId="22" xfId="11356" applyNumberFormat="1" applyFont="1" applyBorder="1"/>
    <xf numFmtId="323" fontId="314" fillId="0" borderId="0" xfId="6886" applyNumberFormat="1" applyFont="1"/>
    <xf numFmtId="1" fontId="329" fillId="0" borderId="0" xfId="6886" applyNumberFormat="1" applyFont="1"/>
    <xf numFmtId="1" fontId="329" fillId="0" borderId="64" xfId="6886" applyNumberFormat="1" applyFont="1" applyBorder="1"/>
    <xf numFmtId="41" fontId="327" fillId="0" borderId="0" xfId="6886" applyNumberFormat="1" applyFont="1"/>
    <xf numFmtId="1" fontId="313" fillId="87" borderId="0" xfId="6886" applyNumberFormat="1" applyFont="1" applyFill="1"/>
    <xf numFmtId="1" fontId="313" fillId="87" borderId="64" xfId="6886" applyNumberFormat="1" applyFont="1" applyFill="1" applyBorder="1"/>
    <xf numFmtId="323" fontId="326" fillId="0" borderId="0" xfId="11356" applyNumberFormat="1" applyFont="1" applyBorder="1"/>
    <xf numFmtId="169" fontId="339" fillId="0" borderId="0" xfId="11356" applyNumberFormat="1" applyFont="1" applyBorder="1"/>
    <xf numFmtId="323" fontId="327" fillId="0" borderId="0" xfId="11356" applyNumberFormat="1" applyFont="1" applyBorder="1"/>
    <xf numFmtId="169" fontId="339" fillId="0" borderId="64" xfId="11356" applyNumberFormat="1" applyFont="1" applyBorder="1"/>
    <xf numFmtId="9" fontId="13" fillId="0" borderId="0" xfId="11356" applyFont="1" applyBorder="1"/>
    <xf numFmtId="169" fontId="325" fillId="0" borderId="0" xfId="11356" applyNumberFormat="1" applyFont="1" applyFill="1" applyBorder="1"/>
    <xf numFmtId="43" fontId="26" fillId="0" borderId="0" xfId="464" applyNumberFormat="1" applyFont="1" applyAlignment="1">
      <alignment horizontal="right"/>
    </xf>
    <xf numFmtId="0" fontId="341" fillId="105" borderId="68" xfId="0" applyFont="1" applyFill="1" applyBorder="1"/>
    <xf numFmtId="9" fontId="342" fillId="105" borderId="0" xfId="11356" applyFont="1" applyFill="1"/>
    <xf numFmtId="0" fontId="342" fillId="105" borderId="22" xfId="0" applyFont="1" applyFill="1" applyBorder="1"/>
    <xf numFmtId="1" fontId="342" fillId="105" borderId="64" xfId="0" applyNumberFormat="1" applyFont="1" applyFill="1" applyBorder="1"/>
    <xf numFmtId="323" fontId="342" fillId="105" borderId="64" xfId="0" applyNumberFormat="1" applyFont="1" applyFill="1" applyBorder="1"/>
    <xf numFmtId="3" fontId="342" fillId="105" borderId="0" xfId="0" applyNumberFormat="1" applyFont="1" applyFill="1"/>
    <xf numFmtId="3" fontId="341" fillId="105" borderId="0" xfId="0" applyNumberFormat="1" applyFont="1" applyFill="1"/>
    <xf numFmtId="3" fontId="343" fillId="105" borderId="0" xfId="11356" applyNumberFormat="1" applyFont="1" applyFill="1"/>
    <xf numFmtId="3" fontId="340" fillId="98" borderId="61" xfId="0" applyNumberFormat="1" applyFont="1" applyFill="1" applyBorder="1"/>
    <xf numFmtId="3" fontId="340" fillId="98" borderId="65" xfId="0" applyNumberFormat="1" applyFont="1" applyFill="1" applyBorder="1"/>
    <xf numFmtId="3" fontId="342" fillId="105" borderId="22" xfId="0" applyNumberFormat="1" applyFont="1" applyFill="1" applyBorder="1"/>
    <xf numFmtId="3" fontId="342" fillId="105" borderId="64" xfId="0" applyNumberFormat="1" applyFont="1" applyFill="1" applyBorder="1"/>
    <xf numFmtId="3" fontId="342" fillId="105" borderId="60" xfId="0" applyNumberFormat="1" applyFont="1" applyFill="1" applyBorder="1"/>
    <xf numFmtId="3" fontId="341" fillId="105" borderId="68" xfId="0" applyNumberFormat="1" applyFont="1" applyFill="1" applyBorder="1"/>
    <xf numFmtId="171" fontId="342" fillId="105" borderId="0" xfId="0" applyNumberFormat="1" applyFont="1" applyFill="1"/>
    <xf numFmtId="9" fontId="342" fillId="105" borderId="64" xfId="11356" applyFont="1" applyFill="1" applyBorder="1"/>
    <xf numFmtId="169" fontId="342" fillId="105" borderId="0" xfId="11356" applyNumberFormat="1" applyFont="1" applyFill="1" applyBorder="1"/>
    <xf numFmtId="169" fontId="342" fillId="105" borderId="64" xfId="11356" applyNumberFormat="1" applyFont="1" applyFill="1" applyBorder="1"/>
    <xf numFmtId="169" fontId="342" fillId="105" borderId="66" xfId="11356" applyNumberFormat="1" applyFont="1" applyFill="1" applyBorder="1"/>
    <xf numFmtId="4" fontId="342" fillId="105" borderId="0" xfId="0" applyNumberFormat="1" applyFont="1" applyFill="1"/>
    <xf numFmtId="3" fontId="342" fillId="105" borderId="21" xfId="0" applyNumberFormat="1" applyFont="1" applyFill="1" applyBorder="1" applyAlignment="1">
      <alignment horizontal="right"/>
    </xf>
    <xf numFmtId="3" fontId="342" fillId="107" borderId="21" xfId="0" applyNumberFormat="1" applyFont="1" applyFill="1" applyBorder="1" applyAlignment="1">
      <alignment horizontal="right"/>
    </xf>
    <xf numFmtId="190" fontId="314" fillId="0" borderId="0" xfId="464" applyNumberFormat="1" applyFont="1"/>
    <xf numFmtId="190" fontId="314" fillId="0" borderId="64" xfId="464" applyNumberFormat="1" applyFont="1" applyBorder="1"/>
    <xf numFmtId="41" fontId="327" fillId="96" borderId="67" xfId="6886" applyNumberFormat="1" applyFont="1" applyFill="1" applyBorder="1"/>
    <xf numFmtId="41" fontId="332" fillId="96" borderId="24" xfId="6886" applyNumberFormat="1" applyFont="1" applyFill="1" applyBorder="1"/>
    <xf numFmtId="41" fontId="332" fillId="96" borderId="65" xfId="6886" applyNumberFormat="1" applyFont="1" applyFill="1" applyBorder="1"/>
    <xf numFmtId="1" fontId="327" fillId="0" borderId="49" xfId="6886" applyNumberFormat="1" applyFont="1" applyBorder="1"/>
    <xf numFmtId="1" fontId="327" fillId="0" borderId="66" xfId="6886" applyNumberFormat="1" applyFont="1" applyBorder="1"/>
    <xf numFmtId="190" fontId="13" fillId="87" borderId="0" xfId="464" applyNumberFormat="1" applyFill="1"/>
    <xf numFmtId="10" fontId="313" fillId="0" borderId="0" xfId="468" applyNumberFormat="1" applyFont="1" applyFill="1" applyBorder="1"/>
    <xf numFmtId="9" fontId="312" fillId="0" borderId="0" xfId="11356" applyFont="1" applyFill="1" applyBorder="1"/>
    <xf numFmtId="9" fontId="18" fillId="0" borderId="0" xfId="11356" applyFont="1"/>
    <xf numFmtId="9" fontId="312" fillId="0" borderId="49" xfId="11356" applyFont="1" applyFill="1" applyBorder="1"/>
    <xf numFmtId="9" fontId="312" fillId="0" borderId="64" xfId="11356" applyFont="1" applyFill="1" applyBorder="1"/>
    <xf numFmtId="169" fontId="18" fillId="0" borderId="0" xfId="11355" applyNumberFormat="1" applyFont="1"/>
    <xf numFmtId="9" fontId="311" fillId="96" borderId="0" xfId="11356" applyFont="1" applyFill="1" applyBorder="1"/>
    <xf numFmtId="9" fontId="39" fillId="0" borderId="0" xfId="11356" applyFont="1" applyFill="1" applyBorder="1"/>
    <xf numFmtId="190" fontId="12" fillId="87" borderId="0" xfId="464" applyNumberFormat="1" applyFont="1" applyFill="1"/>
    <xf numFmtId="323" fontId="13" fillId="87" borderId="0" xfId="464" applyNumberFormat="1" applyFill="1"/>
    <xf numFmtId="190" fontId="229" fillId="87" borderId="49" xfId="464" applyNumberFormat="1" applyFont="1" applyFill="1" applyBorder="1"/>
    <xf numFmtId="0" fontId="35" fillId="87" borderId="0" xfId="464" applyFont="1" applyFill="1"/>
    <xf numFmtId="0" fontId="13" fillId="87" borderId="0" xfId="464" applyFill="1"/>
    <xf numFmtId="190" fontId="13" fillId="87" borderId="0" xfId="0" applyNumberFormat="1" applyFont="1" applyFill="1"/>
    <xf numFmtId="9" fontId="37" fillId="0" borderId="0" xfId="11356" applyFont="1" applyFill="1" applyBorder="1"/>
    <xf numFmtId="190" fontId="304" fillId="96" borderId="0" xfId="464" applyNumberFormat="1" applyFont="1" applyFill="1"/>
    <xf numFmtId="323" fontId="342" fillId="105" borderId="0" xfId="0" applyNumberFormat="1" applyFont="1" applyFill="1"/>
    <xf numFmtId="3" fontId="340" fillId="98" borderId="65" xfId="0" applyNumberFormat="1" applyFont="1" applyFill="1" applyBorder="1" applyAlignment="1">
      <alignment horizontal="right"/>
    </xf>
    <xf numFmtId="3" fontId="342" fillId="106" borderId="21" xfId="0" applyNumberFormat="1" applyFont="1" applyFill="1" applyBorder="1" applyAlignment="1">
      <alignment horizontal="right"/>
    </xf>
    <xf numFmtId="3" fontId="340" fillId="98" borderId="70" xfId="0" applyNumberFormat="1" applyFont="1" applyFill="1" applyBorder="1" applyAlignment="1">
      <alignment horizontal="right"/>
    </xf>
    <xf numFmtId="43" fontId="39" fillId="0" borderId="0" xfId="464" applyNumberFormat="1" applyFont="1"/>
    <xf numFmtId="0" fontId="346" fillId="0" borderId="0" xfId="464" applyFont="1"/>
    <xf numFmtId="190" fontId="346" fillId="0" borderId="0" xfId="468" applyNumberFormat="1" applyFont="1" applyFill="1" applyBorder="1"/>
    <xf numFmtId="169" fontId="346" fillId="0" borderId="0" xfId="11356" applyNumberFormat="1" applyFont="1" applyFill="1" applyBorder="1"/>
    <xf numFmtId="0" fontId="346" fillId="0" borderId="0" xfId="0" applyFont="1"/>
    <xf numFmtId="190" fontId="346" fillId="0" borderId="0" xfId="464" applyNumberFormat="1" applyFont="1"/>
    <xf numFmtId="190" fontId="346" fillId="0" borderId="0" xfId="0" applyNumberFormat="1" applyFont="1"/>
    <xf numFmtId="43" fontId="326" fillId="0" borderId="64" xfId="401" applyFont="1" applyFill="1" applyBorder="1"/>
    <xf numFmtId="43" fontId="326" fillId="0" borderId="0" xfId="401" applyFont="1" applyFill="1" applyBorder="1"/>
    <xf numFmtId="43" fontId="326" fillId="0" borderId="22" xfId="401" applyFont="1" applyFill="1" applyBorder="1"/>
    <xf numFmtId="9" fontId="346" fillId="0" borderId="0" xfId="0" applyNumberFormat="1" applyFont="1"/>
    <xf numFmtId="180" fontId="346" fillId="0" borderId="0" xfId="464" applyNumberFormat="1" applyFont="1"/>
    <xf numFmtId="180" fontId="13" fillId="99" borderId="0" xfId="464" applyNumberFormat="1" applyFill="1"/>
    <xf numFmtId="190" fontId="13" fillId="99" borderId="0" xfId="464" applyNumberFormat="1" applyFill="1"/>
    <xf numFmtId="190" fontId="229" fillId="99" borderId="49" xfId="464" applyNumberFormat="1" applyFont="1" applyFill="1" applyBorder="1"/>
    <xf numFmtId="323" fontId="326" fillId="0" borderId="70" xfId="6886" applyNumberFormat="1" applyFont="1" applyBorder="1"/>
    <xf numFmtId="190" fontId="326" fillId="0" borderId="61" xfId="6886" applyNumberFormat="1" applyFont="1" applyBorder="1"/>
    <xf numFmtId="190" fontId="326" fillId="0" borderId="60" xfId="6886" applyNumberFormat="1" applyFont="1" applyBorder="1"/>
    <xf numFmtId="190" fontId="327" fillId="0" borderId="61" xfId="6886" applyNumberFormat="1" applyFont="1" applyBorder="1"/>
    <xf numFmtId="323" fontId="327" fillId="0" borderId="70" xfId="6886" applyNumberFormat="1" applyFont="1" applyBorder="1"/>
    <xf numFmtId="3" fontId="327" fillId="0" borderId="22" xfId="6886" applyNumberFormat="1" applyFont="1" applyBorder="1"/>
    <xf numFmtId="170" fontId="326" fillId="0" borderId="70" xfId="6886" applyNumberFormat="1" applyFont="1" applyBorder="1"/>
    <xf numFmtId="0" fontId="315" fillId="0" borderId="70" xfId="464" quotePrefix="1" applyFont="1" applyBorder="1" applyAlignment="1">
      <alignment horizontal="right"/>
    </xf>
    <xf numFmtId="0" fontId="326" fillId="0" borderId="70" xfId="6886" applyFont="1" applyBorder="1"/>
    <xf numFmtId="323" fontId="327" fillId="0" borderId="68" xfId="6886" applyNumberFormat="1" applyFont="1" applyBorder="1"/>
    <xf numFmtId="169" fontId="326" fillId="0" borderId="22" xfId="11356" applyNumberFormat="1" applyFont="1" applyBorder="1"/>
    <xf numFmtId="169" fontId="327" fillId="0" borderId="60" xfId="11356" applyNumberFormat="1" applyFont="1" applyBorder="1"/>
    <xf numFmtId="41" fontId="327" fillId="0" borderId="64" xfId="6886" applyNumberFormat="1" applyFont="1" applyBorder="1"/>
    <xf numFmtId="190" fontId="39" fillId="99" borderId="0" xfId="464" applyNumberFormat="1" applyFont="1" applyFill="1"/>
    <xf numFmtId="3" fontId="18" fillId="99" borderId="14" xfId="11355" applyNumberFormat="1" applyFont="1" applyFill="1" applyBorder="1"/>
    <xf numFmtId="190" fontId="320" fillId="0" borderId="64" xfId="0" applyNumberFormat="1" applyFont="1" applyBorder="1"/>
    <xf numFmtId="0" fontId="322" fillId="98" borderId="64" xfId="0" applyFont="1" applyFill="1" applyBorder="1"/>
    <xf numFmtId="0" fontId="324" fillId="98" borderId="64" xfId="0" applyFont="1" applyFill="1" applyBorder="1"/>
    <xf numFmtId="0" fontId="278" fillId="98" borderId="64" xfId="464" quotePrefix="1" applyFont="1" applyFill="1" applyBorder="1" applyAlignment="1">
      <alignment horizontal="right"/>
    </xf>
    <xf numFmtId="0" fontId="259" fillId="0" borderId="64" xfId="0" applyFont="1" applyBorder="1"/>
    <xf numFmtId="0" fontId="278" fillId="101" borderId="64" xfId="464" quotePrefix="1" applyFont="1" applyFill="1" applyBorder="1" applyAlignment="1">
      <alignment horizontal="right"/>
    </xf>
    <xf numFmtId="9" fontId="13" fillId="0" borderId="64" xfId="11356" applyFont="1" applyFill="1" applyBorder="1"/>
    <xf numFmtId="190" fontId="37" fillId="0" borderId="64" xfId="464" applyNumberFormat="1" applyFont="1" applyBorder="1"/>
    <xf numFmtId="184" fontId="13" fillId="0" borderId="64" xfId="468" applyNumberFormat="1" applyFont="1" applyFill="1" applyBorder="1"/>
    <xf numFmtId="190" fontId="39" fillId="0" borderId="64" xfId="464" applyNumberFormat="1" applyFont="1" applyBorder="1"/>
    <xf numFmtId="190" fontId="12" fillId="0" borderId="64" xfId="464" applyNumberFormat="1" applyFont="1" applyBorder="1"/>
    <xf numFmtId="190" fontId="12" fillId="0" borderId="65" xfId="464" applyNumberFormat="1" applyFont="1" applyBorder="1"/>
    <xf numFmtId="180" fontId="13" fillId="0" borderId="64" xfId="468" applyNumberFormat="1" applyFont="1" applyFill="1" applyBorder="1"/>
    <xf numFmtId="169" fontId="24" fillId="0" borderId="64" xfId="468" applyNumberFormat="1" applyFont="1" applyFill="1" applyBorder="1"/>
    <xf numFmtId="190" fontId="13" fillId="0" borderId="64" xfId="464" applyNumberFormat="1" applyBorder="1"/>
    <xf numFmtId="190" fontId="13" fillId="0" borderId="64" xfId="468" applyNumberFormat="1" applyFont="1" applyFill="1" applyBorder="1"/>
    <xf numFmtId="190" fontId="39" fillId="97" borderId="64" xfId="464" applyNumberFormat="1" applyFont="1" applyFill="1" applyBorder="1"/>
    <xf numFmtId="190" fontId="304" fillId="96" borderId="64" xfId="464" applyNumberFormat="1" applyFont="1" applyFill="1" applyBorder="1"/>
    <xf numFmtId="190" fontId="235" fillId="0" borderId="64" xfId="464" applyNumberFormat="1" applyFont="1" applyBorder="1"/>
    <xf numFmtId="192" fontId="13" fillId="0" borderId="64" xfId="464" applyNumberFormat="1" applyBorder="1"/>
    <xf numFmtId="190" fontId="38" fillId="0" borderId="64" xfId="464" applyNumberFormat="1" applyFont="1" applyBorder="1"/>
    <xf numFmtId="184" fontId="13" fillId="0" borderId="64" xfId="464" applyNumberFormat="1" applyBorder="1"/>
    <xf numFmtId="180" fontId="13" fillId="0" borderId="64" xfId="464" applyNumberFormat="1" applyBorder="1"/>
    <xf numFmtId="190" fontId="13" fillId="0" borderId="64" xfId="0" applyNumberFormat="1" applyFont="1" applyBorder="1"/>
    <xf numFmtId="184" fontId="13" fillId="0" borderId="64" xfId="0" applyNumberFormat="1" applyFont="1" applyBorder="1"/>
    <xf numFmtId="190" fontId="346" fillId="0" borderId="64" xfId="464" applyNumberFormat="1" applyFont="1" applyBorder="1"/>
    <xf numFmtId="180" fontId="346" fillId="0" borderId="64" xfId="464" applyNumberFormat="1" applyFont="1" applyBorder="1"/>
    <xf numFmtId="0" fontId="278" fillId="0" borderId="64" xfId="464" quotePrefix="1" applyFont="1" applyBorder="1" applyAlignment="1">
      <alignment horizontal="right"/>
    </xf>
    <xf numFmtId="43" fontId="39" fillId="0" borderId="64" xfId="464" applyNumberFormat="1" applyFont="1" applyBorder="1"/>
    <xf numFmtId="190" fontId="263" fillId="0" borderId="64" xfId="464" applyNumberFormat="1" applyFont="1" applyBorder="1"/>
    <xf numFmtId="9" fontId="12" fillId="0" borderId="64" xfId="11356" applyFont="1" applyFill="1" applyBorder="1"/>
    <xf numFmtId="9" fontId="13" fillId="0" borderId="64" xfId="464" applyNumberFormat="1" applyBorder="1"/>
    <xf numFmtId="43" fontId="229" fillId="0" borderId="64" xfId="401" applyFont="1" applyFill="1" applyBorder="1"/>
    <xf numFmtId="191" fontId="13" fillId="0" borderId="64" xfId="464" applyNumberFormat="1" applyBorder="1"/>
    <xf numFmtId="190" fontId="13" fillId="0" borderId="64" xfId="465" applyNumberFormat="1" applyBorder="1"/>
    <xf numFmtId="190" fontId="13" fillId="87" borderId="64" xfId="464" applyNumberFormat="1" applyFill="1" applyBorder="1"/>
    <xf numFmtId="9" fontId="13" fillId="0" borderId="64" xfId="468" applyFont="1" applyFill="1" applyBorder="1"/>
    <xf numFmtId="190" fontId="304" fillId="0" borderId="64" xfId="464" applyNumberFormat="1" applyFont="1" applyBorder="1"/>
    <xf numFmtId="190" fontId="300" fillId="0" borderId="64" xfId="464" applyNumberFormat="1" applyFont="1" applyBorder="1"/>
    <xf numFmtId="181" fontId="278" fillId="98" borderId="64" xfId="464" quotePrefix="1" applyNumberFormat="1" applyFont="1" applyFill="1" applyBorder="1" applyAlignment="1">
      <alignment horizontal="right"/>
    </xf>
    <xf numFmtId="9" fontId="13" fillId="0" borderId="64" xfId="11356" applyFont="1" applyBorder="1"/>
    <xf numFmtId="0" fontId="320" fillId="0" borderId="64" xfId="0" applyFont="1" applyBorder="1"/>
    <xf numFmtId="190" fontId="39" fillId="0" borderId="66" xfId="464" applyNumberFormat="1" applyFont="1" applyBorder="1"/>
    <xf numFmtId="338" fontId="278" fillId="101" borderId="64" xfId="464" quotePrefix="1" applyNumberFormat="1" applyFont="1" applyFill="1" applyBorder="1" applyAlignment="1">
      <alignment horizontal="right"/>
    </xf>
    <xf numFmtId="0" fontId="13" fillId="0" borderId="64" xfId="0" applyFont="1" applyBorder="1"/>
    <xf numFmtId="338" fontId="278" fillId="0" borderId="64" xfId="464" quotePrefix="1" applyNumberFormat="1" applyFont="1" applyBorder="1" applyAlignment="1">
      <alignment horizontal="right"/>
    </xf>
    <xf numFmtId="323" fontId="13" fillId="0" borderId="64" xfId="464" applyNumberFormat="1" applyBorder="1"/>
    <xf numFmtId="190" fontId="258" fillId="0" borderId="64" xfId="464" applyNumberFormat="1" applyFont="1" applyBorder="1"/>
    <xf numFmtId="190" fontId="33" fillId="0" borderId="64" xfId="464" applyNumberFormat="1" applyFont="1" applyBorder="1"/>
    <xf numFmtId="338" fontId="278" fillId="98" borderId="64" xfId="464" quotePrefix="1" applyNumberFormat="1" applyFont="1" applyFill="1" applyBorder="1" applyAlignment="1">
      <alignment horizontal="right"/>
    </xf>
    <xf numFmtId="190" fontId="12" fillId="0" borderId="64" xfId="0" applyNumberFormat="1" applyFont="1" applyBorder="1"/>
    <xf numFmtId="169" fontId="13" fillId="0" borderId="64" xfId="11356" applyNumberFormat="1" applyFont="1" applyFill="1" applyBorder="1"/>
    <xf numFmtId="190" fontId="12" fillId="0" borderId="66" xfId="0" applyNumberFormat="1" applyFont="1" applyBorder="1"/>
    <xf numFmtId="190" fontId="229" fillId="0" borderId="64" xfId="464" applyNumberFormat="1" applyFont="1" applyBorder="1"/>
    <xf numFmtId="190" fontId="258" fillId="87" borderId="64" xfId="464" applyNumberFormat="1" applyFont="1" applyFill="1" applyBorder="1"/>
    <xf numFmtId="282" fontId="258" fillId="0" borderId="64" xfId="464" applyNumberFormat="1" applyFont="1" applyBorder="1"/>
    <xf numFmtId="9" fontId="258" fillId="87" borderId="64" xfId="464" applyNumberFormat="1" applyFont="1" applyFill="1" applyBorder="1"/>
    <xf numFmtId="190" fontId="346" fillId="0" borderId="64" xfId="0" applyNumberFormat="1" applyFont="1" applyBorder="1"/>
    <xf numFmtId="190" fontId="300" fillId="0" borderId="64" xfId="0" applyNumberFormat="1" applyFont="1" applyBorder="1"/>
    <xf numFmtId="180" fontId="4" fillId="0" borderId="64" xfId="464" applyNumberFormat="1" applyFont="1" applyBorder="1"/>
    <xf numFmtId="169" fontId="258" fillId="0" borderId="64" xfId="464" applyNumberFormat="1" applyFont="1" applyBorder="1"/>
    <xf numFmtId="43" fontId="13" fillId="0" borderId="0" xfId="401" applyFont="1" applyFill="1" applyBorder="1"/>
    <xf numFmtId="43" fontId="235" fillId="0" borderId="0" xfId="401" applyFont="1" applyFill="1" applyBorder="1"/>
    <xf numFmtId="169" fontId="39" fillId="0" borderId="0" xfId="11356" applyNumberFormat="1" applyFont="1" applyFill="1" applyBorder="1"/>
    <xf numFmtId="0" fontId="327" fillId="0" borderId="60" xfId="6886" applyFont="1" applyBorder="1"/>
    <xf numFmtId="0" fontId="311" fillId="0" borderId="0" xfId="6886" applyFont="1"/>
    <xf numFmtId="3" fontId="311" fillId="0" borderId="0" xfId="464" quotePrefix="1" applyNumberFormat="1" applyFont="1" applyAlignment="1">
      <alignment horizontal="left"/>
    </xf>
    <xf numFmtId="3" fontId="311" fillId="0" borderId="64" xfId="464" quotePrefix="1" applyNumberFormat="1" applyFont="1" applyBorder="1" applyAlignment="1">
      <alignment horizontal="left"/>
    </xf>
    <xf numFmtId="3" fontId="312" fillId="0" borderId="0" xfId="6886" applyNumberFormat="1" applyFont="1"/>
    <xf numFmtId="3" fontId="312" fillId="0" borderId="22" xfId="6886" applyNumberFormat="1" applyFont="1" applyBorder="1"/>
    <xf numFmtId="41" fontId="311" fillId="96" borderId="70" xfId="6886" applyNumberFormat="1" applyFont="1" applyFill="1" applyBorder="1"/>
    <xf numFmtId="41" fontId="332" fillId="96" borderId="70" xfId="6886" applyNumberFormat="1" applyFont="1" applyFill="1" applyBorder="1"/>
    <xf numFmtId="41" fontId="311" fillId="0" borderId="70" xfId="6886" applyNumberFormat="1" applyFont="1" applyBorder="1"/>
    <xf numFmtId="0" fontId="311" fillId="0" borderId="64" xfId="464" quotePrefix="1" applyFont="1" applyBorder="1" applyAlignment="1">
      <alignment horizontal="right"/>
    </xf>
    <xf numFmtId="2" fontId="315" fillId="0" borderId="64" xfId="464" quotePrefix="1" applyNumberFormat="1" applyFont="1" applyBorder="1" applyAlignment="1">
      <alignment horizontal="left"/>
    </xf>
    <xf numFmtId="323" fontId="314" fillId="0" borderId="64" xfId="6886" applyNumberFormat="1" applyFont="1" applyBorder="1"/>
    <xf numFmtId="323" fontId="326" fillId="0" borderId="64" xfId="11356" applyNumberFormat="1" applyFont="1" applyBorder="1"/>
    <xf numFmtId="43" fontId="311" fillId="0" borderId="64" xfId="464" quotePrefix="1" applyNumberFormat="1" applyFont="1" applyBorder="1" applyAlignment="1">
      <alignment horizontal="right"/>
    </xf>
    <xf numFmtId="9" fontId="311" fillId="96" borderId="64" xfId="11356" applyFont="1" applyFill="1" applyBorder="1"/>
    <xf numFmtId="10" fontId="313" fillId="0" borderId="64" xfId="468" applyNumberFormat="1" applyFont="1" applyFill="1" applyBorder="1"/>
    <xf numFmtId="0" fontId="327" fillId="0" borderId="14" xfId="6886" applyFont="1" applyBorder="1"/>
    <xf numFmtId="41" fontId="327" fillId="0" borderId="22" xfId="6886" applyNumberFormat="1" applyFont="1" applyBorder="1"/>
    <xf numFmtId="41" fontId="332" fillId="0" borderId="0" xfId="6886" applyNumberFormat="1" applyFont="1"/>
    <xf numFmtId="41" fontId="332" fillId="0" borderId="64" xfId="6886" applyNumberFormat="1" applyFont="1" applyBorder="1"/>
    <xf numFmtId="43" fontId="312" fillId="0" borderId="22" xfId="6886" applyNumberFormat="1" applyFont="1" applyBorder="1"/>
    <xf numFmtId="43" fontId="311" fillId="0" borderId="0" xfId="464" quotePrefix="1" applyNumberFormat="1" applyFont="1" applyAlignment="1">
      <alignment horizontal="left"/>
    </xf>
    <xf numFmtId="43" fontId="18" fillId="0" borderId="0" xfId="11355" applyNumberFormat="1" applyFont="1"/>
    <xf numFmtId="1" fontId="314" fillId="0" borderId="49" xfId="0" applyNumberFormat="1" applyFont="1" applyBorder="1"/>
    <xf numFmtId="190" fontId="13" fillId="0" borderId="64" xfId="464" applyNumberFormat="1" applyBorder="1" applyAlignment="1">
      <alignment horizontal="right"/>
    </xf>
    <xf numFmtId="3" fontId="18" fillId="0" borderId="67" xfId="11355" applyNumberFormat="1" applyFont="1" applyBorder="1"/>
    <xf numFmtId="323" fontId="18" fillId="0" borderId="67" xfId="11355" applyNumberFormat="1" applyFont="1" applyBorder="1"/>
    <xf numFmtId="0" fontId="18" fillId="109" borderId="14" xfId="11355" applyFont="1" applyFill="1" applyBorder="1"/>
    <xf numFmtId="3" fontId="18" fillId="109" borderId="31" xfId="11355" applyNumberFormat="1" applyFont="1" applyFill="1" applyBorder="1"/>
    <xf numFmtId="3" fontId="18" fillId="109" borderId="22" xfId="11355" applyNumberFormat="1" applyFont="1" applyFill="1" applyBorder="1"/>
    <xf numFmtId="3" fontId="18" fillId="109" borderId="62" xfId="11355" applyNumberFormat="1" applyFont="1" applyFill="1" applyBorder="1"/>
    <xf numFmtId="323" fontId="18" fillId="109" borderId="62" xfId="11355" applyNumberFormat="1" applyFont="1" applyFill="1" applyBorder="1"/>
    <xf numFmtId="0" fontId="340" fillId="98" borderId="61" xfId="0" applyFont="1" applyFill="1" applyBorder="1"/>
    <xf numFmtId="0" fontId="340" fillId="98" borderId="65" xfId="0" applyFont="1" applyFill="1" applyBorder="1"/>
    <xf numFmtId="169" fontId="313" fillId="87" borderId="49" xfId="11356" applyNumberFormat="1" applyFont="1" applyFill="1" applyBorder="1"/>
    <xf numFmtId="192" fontId="23" fillId="0" borderId="0" xfId="464" applyNumberFormat="1" applyFont="1"/>
    <xf numFmtId="192" fontId="12" fillId="0" borderId="0" xfId="0" applyNumberFormat="1" applyFont="1"/>
    <xf numFmtId="192" fontId="37" fillId="0" borderId="64" xfId="464" applyNumberFormat="1" applyFont="1" applyBorder="1"/>
    <xf numFmtId="192" fontId="12" fillId="0" borderId="64" xfId="464" applyNumberFormat="1" applyFont="1" applyBorder="1"/>
    <xf numFmtId="192" fontId="39" fillId="0" borderId="64" xfId="464" applyNumberFormat="1" applyFont="1" applyBorder="1"/>
    <xf numFmtId="169" fontId="313" fillId="87" borderId="66" xfId="11356" applyNumberFormat="1" applyFont="1" applyFill="1" applyBorder="1"/>
    <xf numFmtId="3" fontId="342" fillId="105" borderId="0" xfId="402" applyNumberFormat="1" applyFont="1" applyFill="1" applyBorder="1"/>
    <xf numFmtId="0" fontId="326" fillId="0" borderId="32" xfId="6886" applyFont="1" applyBorder="1" applyAlignment="1">
      <alignment horizontal="left" indent="1"/>
    </xf>
    <xf numFmtId="323" fontId="314" fillId="0" borderId="49" xfId="6886" applyNumberFormat="1" applyFont="1" applyBorder="1"/>
    <xf numFmtId="323" fontId="314" fillId="0" borderId="66" xfId="6886" applyNumberFormat="1" applyFont="1" applyBorder="1"/>
    <xf numFmtId="9" fontId="326" fillId="0" borderId="49" xfId="11356" applyFont="1" applyBorder="1"/>
    <xf numFmtId="9" fontId="326" fillId="0" borderId="22" xfId="11356" applyFont="1" applyBorder="1"/>
    <xf numFmtId="9" fontId="326" fillId="0" borderId="60" xfId="11356" applyFont="1" applyBorder="1"/>
    <xf numFmtId="169" fontId="313" fillId="0" borderId="64" xfId="11356" applyNumberFormat="1" applyFont="1" applyFill="1" applyBorder="1"/>
    <xf numFmtId="9" fontId="326" fillId="0" borderId="66" xfId="11356" applyFont="1" applyBorder="1"/>
    <xf numFmtId="0" fontId="326" fillId="0" borderId="14" xfId="6886" applyFont="1" applyBorder="1"/>
    <xf numFmtId="0" fontId="326" fillId="0" borderId="21" xfId="6886" applyFont="1" applyBorder="1"/>
    <xf numFmtId="9" fontId="327" fillId="0" borderId="21" xfId="11356" applyFont="1" applyBorder="1"/>
    <xf numFmtId="9" fontId="327" fillId="0" borderId="69" xfId="11356" applyFont="1" applyBorder="1"/>
    <xf numFmtId="0" fontId="327" fillId="96" borderId="14" xfId="6886" applyFont="1" applyFill="1" applyBorder="1"/>
    <xf numFmtId="41" fontId="329" fillId="96" borderId="21" xfId="6886" applyNumberFormat="1" applyFont="1" applyFill="1" applyBorder="1"/>
    <xf numFmtId="41" fontId="329" fillId="96" borderId="69" xfId="6886" applyNumberFormat="1" applyFont="1" applyFill="1" applyBorder="1"/>
    <xf numFmtId="187" fontId="311" fillId="96" borderId="21" xfId="6886" applyNumberFormat="1" applyFont="1" applyFill="1" applyBorder="1"/>
    <xf numFmtId="187" fontId="311" fillId="96" borderId="69" xfId="6886" applyNumberFormat="1" applyFont="1" applyFill="1" applyBorder="1"/>
    <xf numFmtId="41" fontId="326" fillId="0" borderId="0" xfId="6886" applyNumberFormat="1" applyFont="1"/>
    <xf numFmtId="323" fontId="312" fillId="0" borderId="0" xfId="6886" applyNumberFormat="1" applyFont="1"/>
    <xf numFmtId="9" fontId="327" fillId="0" borderId="0" xfId="11356" applyFont="1" applyFill="1" applyBorder="1"/>
    <xf numFmtId="0" fontId="347" fillId="101" borderId="0" xfId="464" applyFont="1" applyFill="1"/>
    <xf numFmtId="0" fontId="301" fillId="101" borderId="0" xfId="10960" applyFill="1"/>
    <xf numFmtId="0" fontId="347" fillId="101" borderId="0" xfId="464" applyFont="1" applyFill="1" applyAlignment="1">
      <alignment horizontal="right"/>
    </xf>
    <xf numFmtId="338" fontId="347" fillId="101" borderId="0" xfId="464" applyNumberFormat="1" applyFont="1" applyFill="1" applyAlignment="1">
      <alignment horizontal="right"/>
    </xf>
    <xf numFmtId="0" fontId="310" fillId="0" borderId="0" xfId="10960" applyFont="1"/>
    <xf numFmtId="190" fontId="348" fillId="0" borderId="0" xfId="464" applyNumberFormat="1" applyFont="1" applyAlignment="1">
      <alignment horizontal="center"/>
    </xf>
    <xf numFmtId="3" fontId="301" fillId="0" borderId="0" xfId="402" applyNumberFormat="1" applyFont="1"/>
    <xf numFmtId="0" fontId="301" fillId="0" borderId="0" xfId="10960"/>
    <xf numFmtId="1" fontId="17" fillId="0" borderId="0" xfId="464" applyNumberFormat="1" applyFont="1" applyAlignment="1">
      <alignment horizontal="right"/>
    </xf>
    <xf numFmtId="9" fontId="301" fillId="0" borderId="0" xfId="11356" applyFont="1" applyFill="1"/>
    <xf numFmtId="3" fontId="301" fillId="0" borderId="0" xfId="10960" applyNumberFormat="1"/>
    <xf numFmtId="190" fontId="301" fillId="0" borderId="0" xfId="10960" applyNumberFormat="1"/>
    <xf numFmtId="9" fontId="301" fillId="0" borderId="0" xfId="11356" applyFont="1"/>
    <xf numFmtId="191" fontId="301" fillId="100" borderId="0" xfId="10960" applyNumberFormat="1" applyFill="1"/>
    <xf numFmtId="0" fontId="350" fillId="0" borderId="0" xfId="10960" applyFont="1"/>
    <xf numFmtId="190" fontId="350" fillId="0" borderId="0" xfId="10960" applyNumberFormat="1" applyFont="1"/>
    <xf numFmtId="1" fontId="351" fillId="0" borderId="0" xfId="10960" applyNumberFormat="1" applyFont="1"/>
    <xf numFmtId="1" fontId="301" fillId="0" borderId="0" xfId="10960" applyNumberFormat="1"/>
    <xf numFmtId="3" fontId="352" fillId="0" borderId="0" xfId="464" applyNumberFormat="1" applyFont="1" applyAlignment="1">
      <alignment horizontal="center"/>
    </xf>
    <xf numFmtId="3" fontId="353" fillId="87" borderId="0" xfId="10960" applyNumberFormat="1" applyFont="1" applyFill="1"/>
    <xf numFmtId="190" fontId="352" fillId="0" borderId="0" xfId="464" applyNumberFormat="1" applyFont="1" applyAlignment="1">
      <alignment horizontal="center"/>
    </xf>
    <xf numFmtId="9" fontId="354" fillId="0" borderId="0" xfId="11356" applyFont="1" applyFill="1"/>
    <xf numFmtId="0" fontId="353" fillId="0" borderId="0" xfId="10960" applyFont="1"/>
    <xf numFmtId="9" fontId="354" fillId="87" borderId="0" xfId="11356" applyFont="1" applyFill="1"/>
    <xf numFmtId="191" fontId="301" fillId="0" borderId="0" xfId="10960" applyNumberFormat="1"/>
    <xf numFmtId="0" fontId="354" fillId="87" borderId="0" xfId="10960" applyFont="1" applyFill="1"/>
    <xf numFmtId="0" fontId="354" fillId="0" borderId="0" xfId="10960" applyFont="1"/>
    <xf numFmtId="191" fontId="350" fillId="0" borderId="0" xfId="10960" applyNumberFormat="1" applyFont="1"/>
    <xf numFmtId="43" fontId="301" fillId="0" borderId="0" xfId="10960" applyNumberFormat="1"/>
    <xf numFmtId="169" fontId="342" fillId="105" borderId="0" xfId="11356" applyNumberFormat="1" applyFont="1" applyFill="1"/>
    <xf numFmtId="170" fontId="342" fillId="105" borderId="64" xfId="402" applyNumberFormat="1" applyFont="1" applyFill="1" applyBorder="1"/>
    <xf numFmtId="169" fontId="341" fillId="105" borderId="69" xfId="11356" applyNumberFormat="1" applyFont="1" applyFill="1" applyBorder="1"/>
    <xf numFmtId="190" fontId="13" fillId="0" borderId="66" xfId="464" applyNumberFormat="1" applyBorder="1"/>
    <xf numFmtId="190" fontId="13" fillId="0" borderId="0" xfId="11356" applyNumberFormat="1" applyFont="1" applyFill="1" applyBorder="1"/>
    <xf numFmtId="43" fontId="38" fillId="0" borderId="0" xfId="401" applyFont="1" applyBorder="1"/>
    <xf numFmtId="323" fontId="327" fillId="0" borderId="60" xfId="6886" applyNumberFormat="1" applyFont="1" applyBorder="1"/>
    <xf numFmtId="169" fontId="332" fillId="96" borderId="64" xfId="11356" applyNumberFormat="1" applyFont="1" applyFill="1" applyBorder="1"/>
    <xf numFmtId="3" fontId="340" fillId="98" borderId="21" xfId="0" applyNumberFormat="1" applyFont="1" applyFill="1" applyBorder="1" applyAlignment="1">
      <alignment horizontal="right"/>
    </xf>
    <xf numFmtId="3" fontId="340" fillId="98" borderId="69" xfId="0" applyNumberFormat="1" applyFont="1" applyFill="1" applyBorder="1" applyAlignment="1">
      <alignment horizontal="right"/>
    </xf>
    <xf numFmtId="43" fontId="13" fillId="0" borderId="0" xfId="401" applyFont="1" applyBorder="1"/>
    <xf numFmtId="3" fontId="342" fillId="99" borderId="0" xfId="0" applyNumberFormat="1" applyFont="1" applyFill="1"/>
    <xf numFmtId="3" fontId="342" fillId="105" borderId="0" xfId="0" applyNumberFormat="1" applyFont="1" applyFill="1" applyAlignment="1">
      <alignment horizontal="right"/>
    </xf>
    <xf numFmtId="9" fontId="342" fillId="105" borderId="0" xfId="11356" applyFont="1" applyFill="1" applyBorder="1" applyAlignment="1">
      <alignment horizontal="right"/>
    </xf>
    <xf numFmtId="3" fontId="342" fillId="105" borderId="49" xfId="0" applyNumberFormat="1" applyFont="1" applyFill="1" applyBorder="1"/>
    <xf numFmtId="3" fontId="342" fillId="105" borderId="49" xfId="0" applyNumberFormat="1" applyFont="1" applyFill="1" applyBorder="1" applyAlignment="1">
      <alignment horizontal="right"/>
    </xf>
    <xf numFmtId="9" fontId="342" fillId="105" borderId="49" xfId="11356" applyFont="1" applyFill="1" applyBorder="1" applyAlignment="1">
      <alignment horizontal="right"/>
    </xf>
    <xf numFmtId="169" fontId="342" fillId="105" borderId="49" xfId="11356" applyNumberFormat="1" applyFont="1" applyFill="1" applyBorder="1" applyAlignment="1">
      <alignment horizontal="right"/>
    </xf>
    <xf numFmtId="3" fontId="342" fillId="105" borderId="70" xfId="0" applyNumberFormat="1" applyFont="1" applyFill="1" applyBorder="1"/>
    <xf numFmtId="9" fontId="342" fillId="105" borderId="49" xfId="11356" applyFont="1" applyFill="1" applyBorder="1"/>
    <xf numFmtId="3" fontId="342" fillId="105" borderId="70" xfId="0" applyNumberFormat="1" applyFont="1" applyFill="1" applyBorder="1" applyAlignment="1">
      <alignment horizontal="right"/>
    </xf>
    <xf numFmtId="43" fontId="342" fillId="105" borderId="70" xfId="401" applyFont="1" applyFill="1" applyBorder="1"/>
    <xf numFmtId="9" fontId="342" fillId="105" borderId="0" xfId="11356" applyFont="1" applyFill="1" applyBorder="1"/>
    <xf numFmtId="3" fontId="342" fillId="105" borderId="67" xfId="0" applyNumberFormat="1" applyFont="1" applyFill="1" applyBorder="1" applyAlignment="1">
      <alignment horizontal="right"/>
    </xf>
    <xf numFmtId="9" fontId="342" fillId="105" borderId="31" xfId="11356" applyFont="1" applyFill="1" applyBorder="1" applyAlignment="1">
      <alignment horizontal="right"/>
    </xf>
    <xf numFmtId="3" fontId="342" fillId="105" borderId="31" xfId="0" applyNumberFormat="1" applyFont="1" applyFill="1" applyBorder="1" applyAlignment="1">
      <alignment horizontal="right"/>
    </xf>
    <xf numFmtId="169" fontId="342" fillId="105" borderId="32" xfId="11356" applyNumberFormat="1" applyFont="1" applyFill="1" applyBorder="1" applyAlignment="1">
      <alignment horizontal="right"/>
    </xf>
    <xf numFmtId="3" fontId="342" fillId="105" borderId="67" xfId="0" applyNumberFormat="1" applyFont="1" applyFill="1" applyBorder="1"/>
    <xf numFmtId="3" fontId="342" fillId="105" borderId="31" xfId="0" applyNumberFormat="1" applyFont="1" applyFill="1" applyBorder="1"/>
    <xf numFmtId="9" fontId="342" fillId="105" borderId="32" xfId="11356" applyFont="1" applyFill="1" applyBorder="1"/>
    <xf numFmtId="43" fontId="342" fillId="105" borderId="67" xfId="401" applyFont="1" applyFill="1" applyBorder="1"/>
    <xf numFmtId="9" fontId="342" fillId="105" borderId="31" xfId="11356" applyFont="1" applyFill="1" applyBorder="1"/>
    <xf numFmtId="3" fontId="342" fillId="105" borderId="32" xfId="0" applyNumberFormat="1" applyFont="1" applyFill="1" applyBorder="1"/>
    <xf numFmtId="3" fontId="342" fillId="99" borderId="31" xfId="0" applyNumberFormat="1" applyFont="1" applyFill="1" applyBorder="1"/>
    <xf numFmtId="1" fontId="344" fillId="105" borderId="69" xfId="0" applyNumberFormat="1" applyFont="1" applyFill="1" applyBorder="1"/>
    <xf numFmtId="170" fontId="341" fillId="105" borderId="0" xfId="0" applyNumberFormat="1" applyFont="1" applyFill="1"/>
    <xf numFmtId="3" fontId="343" fillId="105" borderId="0" xfId="11356" applyNumberFormat="1" applyFont="1" applyFill="1" applyBorder="1"/>
    <xf numFmtId="0" fontId="342" fillId="105" borderId="60" xfId="0" applyFont="1" applyFill="1" applyBorder="1"/>
    <xf numFmtId="170" fontId="341" fillId="105" borderId="49" xfId="0" applyNumberFormat="1" applyFont="1" applyFill="1" applyBorder="1"/>
    <xf numFmtId="3" fontId="343" fillId="105" borderId="49" xfId="11356" applyNumberFormat="1" applyFont="1" applyFill="1" applyBorder="1"/>
    <xf numFmtId="3" fontId="343" fillId="105" borderId="66" xfId="11356" applyNumberFormat="1" applyFont="1" applyFill="1" applyBorder="1"/>
    <xf numFmtId="3" fontId="342" fillId="105" borderId="0" xfId="11356" applyNumberFormat="1" applyFont="1" applyFill="1" applyBorder="1"/>
    <xf numFmtId="3" fontId="343" fillId="105" borderId="64" xfId="11356" applyNumberFormat="1" applyFont="1" applyFill="1" applyBorder="1"/>
    <xf numFmtId="171" fontId="342" fillId="105" borderId="49" xfId="11356" applyNumberFormat="1" applyFont="1" applyFill="1" applyBorder="1"/>
    <xf numFmtId="3" fontId="342" fillId="105" borderId="64" xfId="402" applyNumberFormat="1" applyFont="1" applyFill="1" applyBorder="1"/>
    <xf numFmtId="3" fontId="340" fillId="98" borderId="70" xfId="0" quotePrefix="1" applyNumberFormat="1" applyFont="1" applyFill="1" applyBorder="1" applyAlignment="1">
      <alignment horizontal="right"/>
    </xf>
    <xf numFmtId="10" fontId="301" fillId="0" borderId="0" xfId="10960" applyNumberFormat="1"/>
    <xf numFmtId="3" fontId="341" fillId="105" borderId="61" xfId="0" applyNumberFormat="1" applyFont="1" applyFill="1" applyBorder="1"/>
    <xf numFmtId="4" fontId="341" fillId="105" borderId="70" xfId="0" applyNumberFormat="1" applyFont="1" applyFill="1" applyBorder="1"/>
    <xf numFmtId="4" fontId="341" fillId="105" borderId="65" xfId="0" applyNumberFormat="1" applyFont="1" applyFill="1" applyBorder="1"/>
    <xf numFmtId="3" fontId="345" fillId="105" borderId="60" xfId="0" applyNumberFormat="1" applyFont="1" applyFill="1" applyBorder="1"/>
    <xf numFmtId="9" fontId="345" fillId="105" borderId="49" xfId="11356" applyFont="1" applyFill="1" applyBorder="1"/>
    <xf numFmtId="9" fontId="345" fillId="105" borderId="66" xfId="11356" applyFont="1" applyFill="1" applyBorder="1"/>
    <xf numFmtId="9" fontId="345" fillId="105" borderId="70" xfId="11356" applyFont="1" applyFill="1" applyBorder="1"/>
    <xf numFmtId="9" fontId="345" fillId="105" borderId="65" xfId="11356" applyFont="1" applyFill="1" applyBorder="1"/>
    <xf numFmtId="0" fontId="341" fillId="105" borderId="60" xfId="0" applyFont="1" applyFill="1" applyBorder="1"/>
    <xf numFmtId="0" fontId="342" fillId="105" borderId="49" xfId="0" applyFont="1" applyFill="1" applyBorder="1"/>
    <xf numFmtId="0" fontId="342" fillId="105" borderId="66" xfId="0" applyFont="1" applyFill="1" applyBorder="1"/>
    <xf numFmtId="3" fontId="342" fillId="106" borderId="69" xfId="0" applyNumberFormat="1" applyFont="1" applyFill="1" applyBorder="1" applyAlignment="1">
      <alignment horizontal="right"/>
    </xf>
    <xf numFmtId="9" fontId="356" fillId="105" borderId="70" xfId="11356" applyFont="1" applyFill="1" applyBorder="1"/>
    <xf numFmtId="43" fontId="24" fillId="0" borderId="0" xfId="401" applyFont="1" applyFill="1" applyBorder="1"/>
    <xf numFmtId="43" fontId="13" fillId="0" borderId="0" xfId="0" applyNumberFormat="1" applyFont="1"/>
    <xf numFmtId="255" fontId="13" fillId="0" borderId="0" xfId="464" applyNumberFormat="1"/>
    <xf numFmtId="190" fontId="37" fillId="0" borderId="0" xfId="468" applyNumberFormat="1" applyFont="1" applyFill="1" applyBorder="1"/>
    <xf numFmtId="0" fontId="18" fillId="99" borderId="32" xfId="11355" applyFont="1" applyFill="1" applyBorder="1"/>
    <xf numFmtId="3" fontId="18" fillId="99" borderId="32" xfId="11355" applyNumberFormat="1" applyFont="1" applyFill="1" applyBorder="1"/>
    <xf numFmtId="3" fontId="18" fillId="99" borderId="32" xfId="11355" applyNumberFormat="1" applyFont="1" applyFill="1" applyBorder="1" applyAlignment="1">
      <alignment horizontal="right"/>
    </xf>
    <xf numFmtId="3" fontId="18" fillId="99" borderId="63" xfId="11355" applyNumberFormat="1" applyFont="1" applyFill="1" applyBorder="1"/>
    <xf numFmtId="323" fontId="18" fillId="99" borderId="32" xfId="11355" applyNumberFormat="1" applyFont="1" applyFill="1" applyBorder="1"/>
    <xf numFmtId="0" fontId="18" fillId="99" borderId="0" xfId="11355" applyFont="1" applyFill="1"/>
    <xf numFmtId="9" fontId="13" fillId="0" borderId="0" xfId="11356" applyFont="1" applyFill="1"/>
    <xf numFmtId="9" fontId="326" fillId="0" borderId="70" xfId="11356" applyFont="1" applyFill="1" applyBorder="1"/>
    <xf numFmtId="169" fontId="331" fillId="0" borderId="0" xfId="11356" applyNumberFormat="1" applyFont="1" applyFill="1" applyBorder="1"/>
    <xf numFmtId="37" fontId="333" fillId="0" borderId="64" xfId="401" applyNumberFormat="1" applyFont="1" applyFill="1" applyBorder="1"/>
    <xf numFmtId="37" fontId="326" fillId="102" borderId="0" xfId="401" applyNumberFormat="1" applyFont="1" applyFill="1" applyBorder="1"/>
    <xf numFmtId="0" fontId="326" fillId="110" borderId="31" xfId="0" applyFont="1" applyFill="1" applyBorder="1"/>
    <xf numFmtId="1" fontId="314" fillId="110" borderId="0" xfId="6886" applyNumberFormat="1" applyFont="1" applyFill="1"/>
    <xf numFmtId="1" fontId="314" fillId="110" borderId="64" xfId="6886" applyNumberFormat="1" applyFont="1" applyFill="1" applyBorder="1"/>
    <xf numFmtId="3" fontId="314" fillId="110" borderId="0" xfId="6886" applyNumberFormat="1" applyFont="1" applyFill="1"/>
    <xf numFmtId="3" fontId="313" fillId="110" borderId="64" xfId="6886" applyNumberFormat="1" applyFont="1" applyFill="1" applyBorder="1"/>
    <xf numFmtId="3" fontId="313" fillId="110" borderId="0" xfId="6886" applyNumberFormat="1" applyFont="1" applyFill="1"/>
    <xf numFmtId="37" fontId="341" fillId="105" borderId="70" xfId="402" applyNumberFormat="1" applyFont="1" applyFill="1" applyBorder="1"/>
    <xf numFmtId="174" fontId="342" fillId="105" borderId="0" xfId="402" applyNumberFormat="1" applyFont="1" applyFill="1" applyBorder="1"/>
    <xf numFmtId="9" fontId="343" fillId="105" borderId="0" xfId="11356" applyFont="1" applyFill="1"/>
    <xf numFmtId="170" fontId="341" fillId="99" borderId="71" xfId="402" applyNumberFormat="1" applyFont="1" applyFill="1" applyBorder="1"/>
    <xf numFmtId="3" fontId="340" fillId="91" borderId="21" xfId="0" applyNumberFormat="1" applyFont="1" applyFill="1" applyBorder="1" applyAlignment="1">
      <alignment horizontal="right"/>
    </xf>
    <xf numFmtId="3" fontId="342" fillId="108" borderId="21" xfId="0" applyNumberFormat="1" applyFont="1" applyFill="1" applyBorder="1" applyAlignment="1">
      <alignment horizontal="right"/>
    </xf>
    <xf numFmtId="3" fontId="342" fillId="105" borderId="49" xfId="402" applyNumberFormat="1" applyFont="1" applyFill="1" applyBorder="1"/>
    <xf numFmtId="3" fontId="342" fillId="105" borderId="66" xfId="402" applyNumberFormat="1" applyFont="1" applyFill="1" applyBorder="1"/>
    <xf numFmtId="3" fontId="341" fillId="105" borderId="60" xfId="0" applyNumberFormat="1" applyFont="1" applyFill="1" applyBorder="1"/>
    <xf numFmtId="3" fontId="341" fillId="105" borderId="49" xfId="0" applyNumberFormat="1" applyFont="1" applyFill="1" applyBorder="1"/>
    <xf numFmtId="3" fontId="341" fillId="105" borderId="66" xfId="0" applyNumberFormat="1" applyFont="1" applyFill="1" applyBorder="1"/>
    <xf numFmtId="3" fontId="357" fillId="0" borderId="14" xfId="11355" applyNumberFormat="1" applyFont="1" applyBorder="1"/>
    <xf numFmtId="3" fontId="357" fillId="109" borderId="62" xfId="11355" applyNumberFormat="1" applyFont="1" applyFill="1" applyBorder="1"/>
    <xf numFmtId="169" fontId="18" fillId="0" borderId="14" xfId="11355" applyNumberFormat="1" applyFont="1" applyBorder="1"/>
    <xf numFmtId="1" fontId="331" fillId="0" borderId="0" xfId="6886" applyNumberFormat="1" applyFont="1"/>
    <xf numFmtId="3" fontId="331" fillId="110" borderId="0" xfId="6886" applyNumberFormat="1" applyFont="1" applyFill="1"/>
    <xf numFmtId="41" fontId="329" fillId="0" borderId="61" xfId="6886" applyNumberFormat="1" applyFont="1" applyBorder="1"/>
    <xf numFmtId="41" fontId="329" fillId="0" borderId="70" xfId="6886" applyNumberFormat="1" applyFont="1" applyBorder="1"/>
    <xf numFmtId="323" fontId="327" fillId="0" borderId="22" xfId="6886" applyNumberFormat="1" applyFont="1" applyBorder="1"/>
    <xf numFmtId="323" fontId="314" fillId="0" borderId="22" xfId="6886" applyNumberFormat="1" applyFont="1" applyBorder="1"/>
    <xf numFmtId="41" fontId="329" fillId="0" borderId="22" xfId="6886" applyNumberFormat="1" applyFont="1" applyBorder="1"/>
    <xf numFmtId="1" fontId="314" fillId="0" borderId="22" xfId="6886" applyNumberFormat="1" applyFont="1" applyBorder="1"/>
    <xf numFmtId="1" fontId="326" fillId="0" borderId="22" xfId="6886" applyNumberFormat="1" applyFont="1" applyBorder="1"/>
    <xf numFmtId="9" fontId="327" fillId="0" borderId="61" xfId="11356" applyFont="1" applyBorder="1"/>
    <xf numFmtId="9" fontId="327" fillId="0" borderId="70" xfId="11356" applyFont="1" applyBorder="1"/>
    <xf numFmtId="190" fontId="336" fillId="0" borderId="0" xfId="6886" applyNumberFormat="1" applyFont="1"/>
    <xf numFmtId="190" fontId="336" fillId="0" borderId="64" xfId="6886" applyNumberFormat="1" applyFont="1" applyBorder="1"/>
    <xf numFmtId="190" fontId="336" fillId="0" borderId="70" xfId="6886" applyNumberFormat="1" applyFont="1" applyBorder="1"/>
    <xf numFmtId="190" fontId="336" fillId="0" borderId="24" xfId="6886" applyNumberFormat="1" applyFont="1" applyBorder="1"/>
    <xf numFmtId="190" fontId="336" fillId="0" borderId="65" xfId="6886" applyNumberFormat="1" applyFont="1" applyBorder="1"/>
    <xf numFmtId="3" fontId="336" fillId="0" borderId="0" xfId="6886" applyNumberFormat="1" applyFont="1"/>
    <xf numFmtId="3" fontId="336" fillId="0" borderId="64" xfId="6886" applyNumberFormat="1" applyFont="1" applyBorder="1"/>
    <xf numFmtId="9" fontId="330" fillId="0" borderId="64" xfId="11356" applyFont="1" applyFill="1" applyBorder="1"/>
    <xf numFmtId="9" fontId="330" fillId="0" borderId="0" xfId="11356" applyFont="1" applyFill="1" applyBorder="1"/>
    <xf numFmtId="3" fontId="344" fillId="105" borderId="0" xfId="0" applyNumberFormat="1" applyFont="1" applyFill="1"/>
    <xf numFmtId="43" fontId="342" fillId="105" borderId="0" xfId="401" applyFont="1" applyFill="1"/>
    <xf numFmtId="3" fontId="340" fillId="91" borderId="69" xfId="0" applyNumberFormat="1" applyFont="1" applyFill="1" applyBorder="1" applyAlignment="1">
      <alignment horizontal="right"/>
    </xf>
    <xf numFmtId="190" fontId="229" fillId="87" borderId="0" xfId="464" applyNumberFormat="1" applyFont="1" applyFill="1"/>
    <xf numFmtId="190" fontId="24" fillId="0" borderId="0" xfId="0" applyNumberFormat="1" applyFont="1"/>
    <xf numFmtId="43" fontId="326" fillId="0" borderId="65" xfId="401" applyFont="1" applyFill="1" applyBorder="1"/>
    <xf numFmtId="190" fontId="13" fillId="0" borderId="0" xfId="468" applyNumberFormat="1" applyFont="1" applyFill="1"/>
    <xf numFmtId="190" fontId="229" fillId="87" borderId="64" xfId="464" applyNumberFormat="1" applyFont="1" applyFill="1" applyBorder="1"/>
    <xf numFmtId="1" fontId="333" fillId="0" borderId="64" xfId="6886" applyNumberFormat="1" applyFont="1" applyBorder="1"/>
    <xf numFmtId="1" fontId="333" fillId="0" borderId="0" xfId="6886" applyNumberFormat="1" applyFont="1"/>
    <xf numFmtId="9" fontId="12" fillId="0" borderId="0" xfId="468" applyFont="1" applyFill="1" applyBorder="1"/>
    <xf numFmtId="9" fontId="12" fillId="0" borderId="64" xfId="468" applyFont="1" applyFill="1" applyBorder="1"/>
    <xf numFmtId="180" fontId="299" fillId="0" borderId="0" xfId="468" applyNumberFormat="1" applyFont="1" applyFill="1" applyBorder="1"/>
    <xf numFmtId="180" fontId="299" fillId="0" borderId="64" xfId="468" applyNumberFormat="1" applyFont="1" applyFill="1" applyBorder="1"/>
    <xf numFmtId="43" fontId="13" fillId="0" borderId="64" xfId="401" applyFont="1" applyFill="1" applyBorder="1"/>
    <xf numFmtId="282" fontId="13" fillId="0" borderId="0" xfId="464" applyNumberFormat="1"/>
    <xf numFmtId="282" fontId="13" fillId="0" borderId="64" xfId="464" applyNumberFormat="1" applyBorder="1"/>
    <xf numFmtId="0" fontId="273" fillId="0" borderId="0" xfId="10832" applyFont="1" applyAlignment="1">
      <alignment vertical="center"/>
    </xf>
    <xf numFmtId="0" fontId="273" fillId="0" borderId="0" xfId="10832" applyFont="1" applyAlignment="1">
      <alignment vertical="center" wrapText="1"/>
    </xf>
    <xf numFmtId="43" fontId="18" fillId="0" borderId="0" xfId="401" applyFont="1" applyFill="1"/>
    <xf numFmtId="9" fontId="17" fillId="0" borderId="0" xfId="11356" applyFont="1"/>
    <xf numFmtId="0" fontId="340" fillId="98" borderId="70" xfId="0" applyFont="1" applyFill="1" applyBorder="1" applyAlignment="1">
      <alignment horizontal="right"/>
    </xf>
    <xf numFmtId="171" fontId="18" fillId="0" borderId="0" xfId="11355" applyNumberFormat="1" applyFont="1"/>
    <xf numFmtId="41" fontId="13" fillId="0" borderId="0" xfId="11356" applyNumberFormat="1" applyFont="1" applyBorder="1"/>
    <xf numFmtId="1" fontId="351" fillId="0" borderId="64" xfId="10960" applyNumberFormat="1" applyFont="1" applyBorder="1"/>
    <xf numFmtId="169" fontId="331" fillId="0" borderId="64" xfId="11356" applyNumberFormat="1" applyFont="1" applyFill="1" applyBorder="1"/>
    <xf numFmtId="1" fontId="331" fillId="0" borderId="64" xfId="6886" applyNumberFormat="1" applyFont="1" applyBorder="1"/>
    <xf numFmtId="3" fontId="331" fillId="110" borderId="64" xfId="6886" applyNumberFormat="1" applyFont="1" applyFill="1" applyBorder="1"/>
    <xf numFmtId="41" fontId="329" fillId="0" borderId="65" xfId="6886" applyNumberFormat="1" applyFont="1" applyBorder="1"/>
    <xf numFmtId="9" fontId="327" fillId="0" borderId="65" xfId="11356" applyFont="1" applyBorder="1"/>
    <xf numFmtId="9" fontId="313" fillId="87" borderId="66" xfId="11356" applyFont="1" applyFill="1" applyBorder="1"/>
    <xf numFmtId="0" fontId="311" fillId="96" borderId="0" xfId="464" quotePrefix="1" applyFont="1" applyFill="1" applyAlignment="1">
      <alignment horizontal="right"/>
    </xf>
    <xf numFmtId="338" fontId="311" fillId="96" borderId="0" xfId="464" applyNumberFormat="1" applyFont="1" applyFill="1" applyAlignment="1">
      <alignment horizontal="right"/>
    </xf>
    <xf numFmtId="338" fontId="311" fillId="96" borderId="64" xfId="464" applyNumberFormat="1" applyFont="1" applyFill="1" applyBorder="1" applyAlignment="1">
      <alignment horizontal="right"/>
    </xf>
    <xf numFmtId="0" fontId="312" fillId="96" borderId="0" xfId="6886" applyFont="1" applyFill="1"/>
    <xf numFmtId="0" fontId="311" fillId="96" borderId="22" xfId="464" quotePrefix="1" applyFont="1" applyFill="1" applyBorder="1" applyAlignment="1">
      <alignment horizontal="right"/>
    </xf>
    <xf numFmtId="0" fontId="311" fillId="96" borderId="70" xfId="464" quotePrefix="1" applyFont="1" applyFill="1" applyBorder="1" applyAlignment="1">
      <alignment horizontal="right"/>
    </xf>
    <xf numFmtId="338" fontId="311" fillId="96" borderId="70" xfId="464" applyNumberFormat="1" applyFont="1" applyFill="1" applyBorder="1" applyAlignment="1">
      <alignment horizontal="right"/>
    </xf>
    <xf numFmtId="0" fontId="311" fillId="96" borderId="65" xfId="464" quotePrefix="1" applyFont="1" applyFill="1" applyBorder="1" applyAlignment="1">
      <alignment horizontal="right"/>
    </xf>
    <xf numFmtId="338" fontId="311" fillId="96" borderId="65" xfId="464" applyNumberFormat="1" applyFont="1" applyFill="1" applyBorder="1" applyAlignment="1">
      <alignment horizontal="right"/>
    </xf>
    <xf numFmtId="181" fontId="311" fillId="96" borderId="70" xfId="464" quotePrefix="1" applyNumberFormat="1" applyFont="1" applyFill="1" applyBorder="1" applyAlignment="1">
      <alignment horizontal="right"/>
    </xf>
    <xf numFmtId="169" fontId="326" fillId="104" borderId="0" xfId="11356" applyNumberFormat="1" applyFont="1" applyFill="1" applyBorder="1"/>
    <xf numFmtId="169" fontId="326" fillId="104" borderId="64" xfId="11356" applyNumberFormat="1" applyFont="1" applyFill="1" applyBorder="1"/>
    <xf numFmtId="169" fontId="327" fillId="104" borderId="49" xfId="11356" applyNumberFormat="1" applyFont="1" applyFill="1" applyBorder="1"/>
    <xf numFmtId="9" fontId="326" fillId="104" borderId="0" xfId="11356" applyFont="1" applyFill="1" applyBorder="1"/>
    <xf numFmtId="9" fontId="326" fillId="104" borderId="64" xfId="11356" applyFont="1" applyFill="1" applyBorder="1"/>
    <xf numFmtId="9" fontId="327" fillId="104" borderId="49" xfId="11356" applyFont="1" applyFill="1" applyBorder="1"/>
    <xf numFmtId="9" fontId="326" fillId="104" borderId="49" xfId="11356" applyFont="1" applyFill="1" applyBorder="1"/>
    <xf numFmtId="9" fontId="326" fillId="104" borderId="66" xfId="11356" applyFont="1" applyFill="1" applyBorder="1"/>
    <xf numFmtId="0" fontId="326" fillId="104" borderId="31" xfId="0" applyFont="1" applyFill="1" applyBorder="1"/>
    <xf numFmtId="0" fontId="326" fillId="104" borderId="32" xfId="0" applyFont="1" applyFill="1" applyBorder="1"/>
    <xf numFmtId="169" fontId="326" fillId="104" borderId="49" xfId="11356" applyNumberFormat="1" applyFont="1" applyFill="1" applyBorder="1"/>
    <xf numFmtId="169" fontId="327" fillId="104" borderId="0" xfId="11356" applyNumberFormat="1" applyFont="1" applyFill="1" applyBorder="1"/>
    <xf numFmtId="169" fontId="327" fillId="104" borderId="64" xfId="11356" applyNumberFormat="1" applyFont="1" applyFill="1" applyBorder="1"/>
    <xf numFmtId="0" fontId="327" fillId="104" borderId="31" xfId="0" applyFont="1" applyFill="1" applyBorder="1"/>
    <xf numFmtId="0" fontId="326" fillId="104" borderId="0" xfId="6886" applyFont="1" applyFill="1"/>
    <xf numFmtId="9" fontId="327" fillId="0" borderId="64" xfId="11356" applyFont="1" applyFill="1" applyBorder="1"/>
    <xf numFmtId="9" fontId="327" fillId="0" borderId="22" xfId="11356" applyFont="1" applyFill="1" applyBorder="1"/>
    <xf numFmtId="9" fontId="327" fillId="104" borderId="0" xfId="11356" applyFont="1" applyFill="1" applyBorder="1"/>
    <xf numFmtId="14" fontId="358" fillId="0" borderId="0" xfId="6886" applyNumberFormat="1" applyFont="1" applyAlignment="1">
      <alignment horizontal="left"/>
    </xf>
    <xf numFmtId="0" fontId="359" fillId="0" borderId="0" xfId="6886" applyFont="1"/>
    <xf numFmtId="0" fontId="359" fillId="0" borderId="64" xfId="6886" applyFont="1" applyBorder="1"/>
    <xf numFmtId="0" fontId="358" fillId="0" borderId="0" xfId="6886" applyFont="1"/>
    <xf numFmtId="0" fontId="360" fillId="101" borderId="67" xfId="464" quotePrefix="1" applyFont="1" applyFill="1" applyBorder="1" applyAlignment="1">
      <alignment horizontal="left"/>
    </xf>
    <xf numFmtId="0" fontId="360" fillId="101" borderId="24" xfId="464" quotePrefix="1" applyFont="1" applyFill="1" applyBorder="1" applyAlignment="1">
      <alignment horizontal="right"/>
    </xf>
    <xf numFmtId="0" fontId="360" fillId="101" borderId="65" xfId="464" quotePrefix="1" applyFont="1" applyFill="1" applyBorder="1" applyAlignment="1">
      <alignment horizontal="right"/>
    </xf>
    <xf numFmtId="0" fontId="360" fillId="101" borderId="70" xfId="464" quotePrefix="1" applyFont="1" applyFill="1" applyBorder="1" applyAlignment="1">
      <alignment horizontal="right"/>
    </xf>
    <xf numFmtId="338" fontId="360" fillId="101" borderId="70" xfId="464" quotePrefix="1" applyNumberFormat="1" applyFont="1" applyFill="1" applyBorder="1" applyAlignment="1">
      <alignment horizontal="right"/>
    </xf>
    <xf numFmtId="338" fontId="360" fillId="101" borderId="65" xfId="464" quotePrefix="1" applyNumberFormat="1" applyFont="1" applyFill="1" applyBorder="1" applyAlignment="1">
      <alignment horizontal="right"/>
    </xf>
    <xf numFmtId="338" fontId="360" fillId="101" borderId="70" xfId="464" applyNumberFormat="1" applyFont="1" applyFill="1" applyBorder="1" applyAlignment="1">
      <alignment horizontal="right"/>
    </xf>
    <xf numFmtId="338" fontId="360" fillId="101" borderId="65" xfId="464" applyNumberFormat="1" applyFont="1" applyFill="1" applyBorder="1" applyAlignment="1">
      <alignment horizontal="right"/>
    </xf>
    <xf numFmtId="338" fontId="360" fillId="101" borderId="61" xfId="464" applyNumberFormat="1" applyFont="1" applyFill="1" applyBorder="1" applyAlignment="1">
      <alignment horizontal="right"/>
    </xf>
    <xf numFmtId="0" fontId="358" fillId="0" borderId="64" xfId="6886" applyFont="1" applyBorder="1"/>
    <xf numFmtId="0" fontId="311" fillId="96" borderId="61" xfId="464" quotePrefix="1" applyFont="1" applyFill="1" applyBorder="1" applyAlignment="1">
      <alignment horizontal="right"/>
    </xf>
    <xf numFmtId="3" fontId="311" fillId="0" borderId="22" xfId="464" quotePrefix="1" applyNumberFormat="1" applyFont="1" applyBorder="1" applyAlignment="1">
      <alignment horizontal="left"/>
    </xf>
    <xf numFmtId="41" fontId="311" fillId="96" borderId="61" xfId="6886" applyNumberFormat="1" applyFont="1" applyFill="1" applyBorder="1"/>
    <xf numFmtId="9" fontId="311" fillId="96" borderId="70" xfId="11356" applyFont="1" applyFill="1" applyBorder="1"/>
    <xf numFmtId="9" fontId="311" fillId="96" borderId="65" xfId="11356" applyFont="1" applyFill="1" applyBorder="1"/>
    <xf numFmtId="41" fontId="311" fillId="96" borderId="22" xfId="6886" applyNumberFormat="1" applyFont="1" applyFill="1" applyBorder="1"/>
    <xf numFmtId="41" fontId="311" fillId="96" borderId="31" xfId="6886" applyNumberFormat="1" applyFont="1" applyFill="1" applyBorder="1"/>
    <xf numFmtId="1" fontId="312" fillId="0" borderId="22" xfId="6886" applyNumberFormat="1" applyFont="1" applyBorder="1"/>
    <xf numFmtId="1" fontId="312" fillId="0" borderId="64" xfId="6886" applyNumberFormat="1" applyFont="1" applyBorder="1"/>
    <xf numFmtId="3" fontId="312" fillId="0" borderId="64" xfId="6886" applyNumberFormat="1" applyFont="1" applyBorder="1"/>
    <xf numFmtId="190" fontId="312" fillId="0" borderId="22" xfId="6886" applyNumberFormat="1" applyFont="1" applyBorder="1"/>
    <xf numFmtId="1" fontId="311" fillId="0" borderId="60" xfId="6886" applyNumberFormat="1" applyFont="1" applyBorder="1"/>
    <xf numFmtId="1" fontId="311" fillId="0" borderId="49" xfId="6886" applyNumberFormat="1" applyFont="1" applyBorder="1"/>
    <xf numFmtId="1" fontId="311" fillId="0" borderId="66" xfId="6886" applyNumberFormat="1" applyFont="1" applyBorder="1"/>
    <xf numFmtId="190" fontId="311" fillId="0" borderId="60" xfId="6886" applyNumberFormat="1" applyFont="1" applyBorder="1"/>
    <xf numFmtId="323" fontId="311" fillId="0" borderId="49" xfId="6886" applyNumberFormat="1" applyFont="1" applyBorder="1"/>
    <xf numFmtId="1" fontId="312" fillId="0" borderId="61" xfId="6886" applyNumberFormat="1" applyFont="1" applyBorder="1"/>
    <xf numFmtId="1" fontId="312" fillId="0" borderId="70" xfId="6886" applyNumberFormat="1" applyFont="1" applyBorder="1"/>
    <xf numFmtId="1" fontId="312" fillId="0" borderId="65" xfId="6886" applyNumberFormat="1" applyFont="1" applyBorder="1"/>
    <xf numFmtId="323" fontId="312" fillId="99" borderId="0" xfId="6886" applyNumberFormat="1" applyFont="1" applyFill="1"/>
    <xf numFmtId="3" fontId="312" fillId="0" borderId="60" xfId="6886" applyNumberFormat="1" applyFont="1" applyBorder="1"/>
    <xf numFmtId="3" fontId="312" fillId="0" borderId="49" xfId="6886" applyNumberFormat="1" applyFont="1" applyBorder="1"/>
    <xf numFmtId="3" fontId="312" fillId="0" borderId="66" xfId="6886" applyNumberFormat="1" applyFont="1" applyBorder="1"/>
    <xf numFmtId="190" fontId="312" fillId="0" borderId="60" xfId="6886" applyNumberFormat="1" applyFont="1" applyBorder="1"/>
    <xf numFmtId="323" fontId="312" fillId="0" borderId="49" xfId="6886" applyNumberFormat="1" applyFont="1" applyBorder="1"/>
    <xf numFmtId="323" fontId="312" fillId="99" borderId="49" xfId="6886" applyNumberFormat="1" applyFont="1" applyFill="1" applyBorder="1"/>
    <xf numFmtId="3" fontId="311" fillId="0" borderId="61" xfId="464" quotePrefix="1" applyNumberFormat="1" applyFont="1" applyBorder="1" applyAlignment="1">
      <alignment horizontal="left"/>
    </xf>
    <xf numFmtId="3" fontId="311" fillId="0" borderId="70" xfId="464" quotePrefix="1" applyNumberFormat="1" applyFont="1" applyBorder="1" applyAlignment="1">
      <alignment horizontal="left"/>
    </xf>
    <xf numFmtId="3" fontId="311" fillId="0" borderId="65" xfId="464" quotePrefix="1" applyNumberFormat="1" applyFont="1" applyBorder="1" applyAlignment="1">
      <alignment horizontal="left"/>
    </xf>
    <xf numFmtId="3" fontId="312" fillId="0" borderId="64" xfId="401" applyNumberFormat="1" applyFont="1" applyFill="1" applyBorder="1"/>
    <xf numFmtId="3" fontId="312" fillId="99" borderId="0" xfId="6886" applyNumberFormat="1" applyFont="1" applyFill="1"/>
    <xf numFmtId="3" fontId="312" fillId="0" borderId="22" xfId="401" applyNumberFormat="1" applyFont="1" applyFill="1" applyBorder="1"/>
    <xf numFmtId="3" fontId="312" fillId="0" borderId="0" xfId="401" applyNumberFormat="1" applyFont="1" applyFill="1" applyBorder="1"/>
    <xf numFmtId="3" fontId="312" fillId="0" borderId="0" xfId="11356" applyNumberFormat="1" applyFont="1" applyFill="1" applyBorder="1"/>
    <xf numFmtId="3" fontId="311" fillId="0" borderId="60" xfId="401" applyNumberFormat="1" applyFont="1" applyFill="1" applyBorder="1"/>
    <xf numFmtId="3" fontId="311" fillId="0" borderId="49" xfId="401" applyNumberFormat="1" applyFont="1" applyFill="1" applyBorder="1"/>
    <xf numFmtId="3" fontId="311" fillId="0" borderId="66" xfId="401" applyNumberFormat="1" applyFont="1" applyFill="1" applyBorder="1"/>
    <xf numFmtId="3" fontId="311" fillId="0" borderId="60" xfId="6886" applyNumberFormat="1" applyFont="1" applyBorder="1"/>
    <xf numFmtId="3" fontId="311" fillId="0" borderId="49" xfId="6886" applyNumberFormat="1" applyFont="1" applyBorder="1"/>
    <xf numFmtId="0" fontId="330" fillId="0" borderId="32" xfId="0" applyFont="1" applyBorder="1"/>
    <xf numFmtId="3" fontId="337" fillId="0" borderId="49" xfId="402" applyNumberFormat="1" applyFont="1" applyFill="1" applyBorder="1"/>
    <xf numFmtId="3" fontId="337" fillId="0" borderId="66" xfId="402" applyNumberFormat="1" applyFont="1" applyFill="1" applyBorder="1"/>
    <xf numFmtId="190" fontId="12" fillId="0" borderId="70" xfId="464" applyNumberFormat="1" applyFont="1" applyBorder="1"/>
    <xf numFmtId="190" fontId="12" fillId="0" borderId="49" xfId="0" applyNumberFormat="1" applyFont="1" applyBorder="1"/>
    <xf numFmtId="9" fontId="321" fillId="98" borderId="0" xfId="11356" applyFont="1" applyFill="1" applyBorder="1" applyAlignment="1">
      <alignment horizontal="right"/>
    </xf>
    <xf numFmtId="3" fontId="361" fillId="0" borderId="14" xfId="11355" applyNumberFormat="1" applyFont="1" applyBorder="1"/>
    <xf numFmtId="3" fontId="357" fillId="0" borderId="67" xfId="11355" applyNumberFormat="1" applyFont="1" applyBorder="1"/>
    <xf numFmtId="0" fontId="362" fillId="0" borderId="14" xfId="11355" applyFont="1" applyBorder="1"/>
    <xf numFmtId="3" fontId="362" fillId="0" borderId="67" xfId="11355" applyNumberFormat="1" applyFont="1" applyBorder="1"/>
    <xf numFmtId="190" fontId="306" fillId="0" borderId="70" xfId="464" applyNumberFormat="1" applyFont="1" applyBorder="1"/>
    <xf numFmtId="9" fontId="18" fillId="0" borderId="14" xfId="11355" applyNumberFormat="1" applyFont="1" applyBorder="1"/>
    <xf numFmtId="190" fontId="353" fillId="0" borderId="0" xfId="10960" quotePrefix="1" applyNumberFormat="1" applyFont="1"/>
    <xf numFmtId="323" fontId="311" fillId="0" borderId="0" xfId="464" quotePrefix="1" applyNumberFormat="1" applyFont="1" applyAlignment="1">
      <alignment horizontal="left"/>
    </xf>
    <xf numFmtId="323" fontId="326" fillId="112" borderId="0" xfId="6886" applyNumberFormat="1" applyFont="1" applyFill="1"/>
    <xf numFmtId="1" fontId="326" fillId="113" borderId="0" xfId="6886" applyNumberFormat="1" applyFont="1" applyFill="1"/>
    <xf numFmtId="3" fontId="326" fillId="113" borderId="0" xfId="6886" applyNumberFormat="1" applyFont="1" applyFill="1"/>
    <xf numFmtId="3" fontId="313" fillId="113" borderId="0" xfId="6886" applyNumberFormat="1" applyFont="1" applyFill="1"/>
    <xf numFmtId="1" fontId="331" fillId="113" borderId="0" xfId="6886" applyNumberFormat="1" applyFont="1" applyFill="1"/>
    <xf numFmtId="3" fontId="311" fillId="112" borderId="49" xfId="6886" applyNumberFormat="1" applyFont="1" applyFill="1" applyBorder="1"/>
    <xf numFmtId="0" fontId="326" fillId="114" borderId="31" xfId="0" applyFont="1" applyFill="1" applyBorder="1"/>
    <xf numFmtId="1" fontId="312" fillId="114" borderId="22" xfId="6886" applyNumberFormat="1" applyFont="1" applyFill="1" applyBorder="1"/>
    <xf numFmtId="3" fontId="312" fillId="114" borderId="0" xfId="6886" applyNumberFormat="1" applyFont="1" applyFill="1"/>
    <xf numFmtId="3" fontId="312" fillId="114" borderId="64" xfId="6886" applyNumberFormat="1" applyFont="1" applyFill="1" applyBorder="1"/>
    <xf numFmtId="0" fontId="312" fillId="114" borderId="0" xfId="6886" applyFont="1" applyFill="1"/>
    <xf numFmtId="190" fontId="312" fillId="114" borderId="22" xfId="6886" applyNumberFormat="1" applyFont="1" applyFill="1" applyBorder="1"/>
    <xf numFmtId="323" fontId="312" fillId="114" borderId="0" xfId="6886" applyNumberFormat="1" applyFont="1" applyFill="1"/>
    <xf numFmtId="3" fontId="331" fillId="114" borderId="0" xfId="6886" applyNumberFormat="1" applyFont="1" applyFill="1"/>
    <xf numFmtId="3" fontId="331" fillId="114" borderId="64" xfId="6886" applyNumberFormat="1" applyFont="1" applyFill="1" applyBorder="1"/>
    <xf numFmtId="1" fontId="314" fillId="114" borderId="64" xfId="6886" applyNumberFormat="1" applyFont="1" applyFill="1" applyBorder="1"/>
    <xf numFmtId="1" fontId="314" fillId="114" borderId="0" xfId="6886" applyNumberFormat="1" applyFont="1" applyFill="1"/>
    <xf numFmtId="3" fontId="313" fillId="114" borderId="64" xfId="6886" applyNumberFormat="1" applyFont="1" applyFill="1" applyBorder="1"/>
    <xf numFmtId="3" fontId="313" fillId="114" borderId="0" xfId="6886" applyNumberFormat="1" applyFont="1" applyFill="1"/>
    <xf numFmtId="0" fontId="326" fillId="114" borderId="0" xfId="6886" applyFont="1" applyFill="1"/>
    <xf numFmtId="9" fontId="13" fillId="112" borderId="0" xfId="11356" applyFont="1" applyFill="1" applyBorder="1"/>
    <xf numFmtId="180" fontId="258" fillId="87" borderId="64" xfId="464" applyNumberFormat="1" applyFont="1" applyFill="1" applyBorder="1"/>
    <xf numFmtId="190" fontId="321" fillId="98" borderId="0" xfId="464" applyNumberFormat="1" applyFont="1" applyFill="1" applyAlignment="1">
      <alignment horizontal="right"/>
    </xf>
    <xf numFmtId="9" fontId="320" fillId="0" borderId="0" xfId="0" applyNumberFormat="1" applyFont="1"/>
    <xf numFmtId="190" fontId="12" fillId="99" borderId="24" xfId="464" applyNumberFormat="1" applyFont="1" applyFill="1" applyBorder="1"/>
    <xf numFmtId="9" fontId="359" fillId="0" borderId="0" xfId="6886" applyNumberFormat="1" applyFont="1"/>
    <xf numFmtId="9" fontId="319" fillId="0" borderId="0" xfId="11356" applyFont="1" applyFill="1" applyBorder="1" applyAlignment="1">
      <alignment horizontal="right"/>
    </xf>
    <xf numFmtId="9" fontId="359" fillId="0" borderId="64" xfId="6886" applyNumberFormat="1" applyFont="1" applyBorder="1"/>
    <xf numFmtId="169" fontId="326" fillId="99" borderId="0" xfId="11356" applyNumberFormat="1" applyFont="1" applyFill="1" applyBorder="1"/>
    <xf numFmtId="180" fontId="13" fillId="99" borderId="0" xfId="468" applyNumberFormat="1" applyFont="1" applyFill="1" applyBorder="1"/>
    <xf numFmtId="43" fontId="343" fillId="105" borderId="0" xfId="401" applyFont="1" applyFill="1" applyAlignment="1">
      <alignment horizontal="left"/>
    </xf>
    <xf numFmtId="190" fontId="306" fillId="0" borderId="64" xfId="464" applyNumberFormat="1" applyFont="1" applyBorder="1"/>
    <xf numFmtId="190" fontId="304" fillId="0" borderId="64" xfId="464" applyNumberFormat="1" applyFont="1" applyBorder="1" applyAlignment="1">
      <alignment horizontal="right"/>
    </xf>
    <xf numFmtId="190" fontId="306" fillId="0" borderId="65" xfId="464" applyNumberFormat="1" applyFont="1" applyBorder="1"/>
    <xf numFmtId="1" fontId="331" fillId="113" borderId="64" xfId="6886" applyNumberFormat="1" applyFont="1" applyFill="1" applyBorder="1"/>
    <xf numFmtId="3" fontId="326" fillId="113" borderId="64" xfId="6886" applyNumberFormat="1" applyFont="1" applyFill="1" applyBorder="1"/>
    <xf numFmtId="3" fontId="313" fillId="113" borderId="64" xfId="6886" applyNumberFormat="1" applyFont="1" applyFill="1" applyBorder="1"/>
    <xf numFmtId="1" fontId="326" fillId="113" borderId="64" xfId="6886" applyNumberFormat="1" applyFont="1" applyFill="1" applyBorder="1"/>
    <xf numFmtId="9" fontId="342" fillId="0" borderId="0" xfId="11356" applyFont="1" applyFill="1" applyBorder="1"/>
    <xf numFmtId="190" fontId="306" fillId="0" borderId="24" xfId="464" applyNumberFormat="1" applyFont="1" applyBorder="1"/>
    <xf numFmtId="41" fontId="17" fillId="0" borderId="0" xfId="401" applyNumberFormat="1" applyFont="1"/>
    <xf numFmtId="3" fontId="340" fillId="98" borderId="0" xfId="0" applyNumberFormat="1" applyFont="1" applyFill="1" applyAlignment="1">
      <alignment horizontal="right"/>
    </xf>
    <xf numFmtId="4" fontId="341" fillId="105" borderId="0" xfId="0" applyNumberFormat="1" applyFont="1" applyFill="1"/>
    <xf numFmtId="9" fontId="345" fillId="105" borderId="0" xfId="11356" applyFont="1" applyFill="1" applyBorder="1"/>
    <xf numFmtId="0" fontId="342" fillId="105" borderId="0" xfId="0" applyFont="1" applyFill="1"/>
    <xf numFmtId="3" fontId="342" fillId="106" borderId="0" xfId="0" applyNumberFormat="1" applyFont="1" applyFill="1" applyAlignment="1">
      <alignment horizontal="right"/>
    </xf>
    <xf numFmtId="169" fontId="342" fillId="105" borderId="0" xfId="11356" applyNumberFormat="1" applyFont="1" applyFill="1" applyBorder="1" applyAlignment="1">
      <alignment horizontal="right"/>
    </xf>
    <xf numFmtId="43" fontId="342" fillId="105" borderId="0" xfId="401" applyFont="1" applyFill="1" applyBorder="1"/>
    <xf numFmtId="9" fontId="345" fillId="0" borderId="49" xfId="11356" applyFont="1" applyFill="1" applyBorder="1"/>
    <xf numFmtId="190" fontId="329" fillId="0" borderId="70" xfId="464" applyNumberFormat="1" applyFont="1" applyBorder="1"/>
    <xf numFmtId="43" fontId="18" fillId="0" borderId="0" xfId="401" applyFont="1"/>
    <xf numFmtId="41" fontId="311" fillId="96" borderId="67" xfId="6886" applyNumberFormat="1" applyFont="1" applyFill="1" applyBorder="1"/>
    <xf numFmtId="0" fontId="312" fillId="0" borderId="67" xfId="0" applyFont="1" applyBorder="1"/>
    <xf numFmtId="0" fontId="18" fillId="87" borderId="0" xfId="11355" applyFont="1" applyFill="1"/>
    <xf numFmtId="43" fontId="18" fillId="87" borderId="0" xfId="401" applyFont="1" applyFill="1"/>
    <xf numFmtId="43" fontId="301" fillId="0" borderId="0" xfId="401" applyFont="1"/>
    <xf numFmtId="9" fontId="301" fillId="112" borderId="0" xfId="11356" applyFont="1" applyFill="1"/>
    <xf numFmtId="338" fontId="363" fillId="0" borderId="0" xfId="464" quotePrefix="1" applyNumberFormat="1" applyFont="1" applyAlignment="1">
      <alignment horizontal="right"/>
    </xf>
    <xf numFmtId="9" fontId="304" fillId="0" borderId="0" xfId="464" applyNumberFormat="1" applyFont="1"/>
    <xf numFmtId="9" fontId="311" fillId="0" borderId="0" xfId="11356" applyFont="1" applyFill="1" applyBorder="1" applyAlignment="1">
      <alignment horizontal="right"/>
    </xf>
    <xf numFmtId="43" fontId="312" fillId="0" borderId="49" xfId="401" applyFont="1" applyFill="1" applyBorder="1"/>
    <xf numFmtId="190" fontId="19" fillId="0" borderId="0" xfId="10960" applyNumberFormat="1" applyFont="1"/>
    <xf numFmtId="0" fontId="19" fillId="0" borderId="0" xfId="464" applyFont="1" applyAlignment="1">
      <alignment horizontal="right"/>
    </xf>
    <xf numFmtId="0" fontId="301" fillId="0" borderId="0" xfId="401" applyNumberFormat="1" applyFont="1"/>
    <xf numFmtId="2" fontId="301" fillId="0" borderId="0" xfId="401" applyNumberFormat="1" applyFont="1"/>
    <xf numFmtId="190" fontId="301" fillId="0" borderId="49" xfId="10960" applyNumberFormat="1" applyBorder="1"/>
    <xf numFmtId="0" fontId="301" fillId="0" borderId="49" xfId="10960" applyBorder="1"/>
    <xf numFmtId="3" fontId="301" fillId="0" borderId="49" xfId="10960" applyNumberFormat="1" applyBorder="1"/>
    <xf numFmtId="3" fontId="301" fillId="0" borderId="0" xfId="401" applyNumberFormat="1" applyFont="1"/>
    <xf numFmtId="3" fontId="301" fillId="0" borderId="49" xfId="401" applyNumberFormat="1" applyFont="1" applyBorder="1"/>
    <xf numFmtId="0" fontId="351" fillId="0" borderId="0" xfId="401" applyNumberFormat="1" applyFont="1"/>
    <xf numFmtId="289" fontId="301" fillId="0" borderId="0" xfId="10960" applyNumberFormat="1"/>
    <xf numFmtId="169" fontId="359" fillId="0" borderId="0" xfId="11356" applyNumberFormat="1" applyFont="1"/>
    <xf numFmtId="190" fontId="312" fillId="104" borderId="49" xfId="464" applyNumberFormat="1" applyFont="1" applyFill="1" applyBorder="1"/>
    <xf numFmtId="190" fontId="312" fillId="104" borderId="66" xfId="464" applyNumberFormat="1" applyFont="1" applyFill="1" applyBorder="1"/>
    <xf numFmtId="169" fontId="364" fillId="0" borderId="64" xfId="401" applyNumberFormat="1" applyFont="1" applyBorder="1"/>
    <xf numFmtId="311" fontId="12" fillId="0" borderId="65" xfId="464" applyNumberFormat="1" applyFont="1" applyBorder="1"/>
    <xf numFmtId="190" fontId="329" fillId="0" borderId="65" xfId="464" applyNumberFormat="1" applyFont="1" applyBorder="1"/>
    <xf numFmtId="9" fontId="38" fillId="0" borderId="64" xfId="11356" applyFont="1" applyBorder="1"/>
    <xf numFmtId="3" fontId="362" fillId="0" borderId="14" xfId="11355" applyNumberFormat="1" applyFont="1" applyBorder="1"/>
    <xf numFmtId="3" fontId="357" fillId="109" borderId="14" xfId="11355" applyNumberFormat="1" applyFont="1" applyFill="1" applyBorder="1"/>
    <xf numFmtId="9" fontId="314" fillId="0" borderId="65" xfId="11356" applyFont="1" applyFill="1" applyBorder="1"/>
    <xf numFmtId="10" fontId="326" fillId="0" borderId="22" xfId="6886" applyNumberFormat="1" applyFont="1" applyBorder="1"/>
    <xf numFmtId="323" fontId="326" fillId="112" borderId="49" xfId="6886" applyNumberFormat="1" applyFont="1" applyFill="1" applyBorder="1"/>
    <xf numFmtId="37" fontId="341" fillId="105" borderId="65" xfId="402" applyNumberFormat="1" applyFont="1" applyFill="1" applyBorder="1"/>
    <xf numFmtId="174" fontId="342" fillId="105" borderId="64" xfId="402" applyNumberFormat="1" applyFont="1" applyFill="1" applyBorder="1"/>
    <xf numFmtId="37" fontId="365" fillId="105" borderId="70" xfId="402" applyNumberFormat="1" applyFont="1" applyFill="1" applyBorder="1"/>
    <xf numFmtId="170" fontId="342" fillId="105" borderId="0" xfId="401" applyNumberFormat="1" applyFont="1" applyFill="1"/>
    <xf numFmtId="9" fontId="38" fillId="0" borderId="0" xfId="11356" applyFont="1" applyBorder="1"/>
    <xf numFmtId="3" fontId="362" fillId="0" borderId="0" xfId="11355" applyNumberFormat="1" applyFont="1"/>
    <xf numFmtId="3" fontId="326" fillId="0" borderId="70" xfId="6886" applyNumberFormat="1" applyFont="1" applyBorder="1"/>
    <xf numFmtId="311" fontId="12" fillId="0" borderId="70" xfId="464" applyNumberFormat="1" applyFont="1" applyBorder="1"/>
    <xf numFmtId="311" fontId="12" fillId="0" borderId="23" xfId="0" applyNumberFormat="1" applyFont="1" applyBorder="1"/>
    <xf numFmtId="3" fontId="357" fillId="109" borderId="0" xfId="11355" applyNumberFormat="1" applyFont="1" applyFill="1"/>
    <xf numFmtId="190" fontId="326" fillId="0" borderId="0" xfId="468" applyNumberFormat="1" applyFont="1" applyFill="1" applyBorder="1"/>
    <xf numFmtId="43" fontId="366" fillId="0" borderId="0" xfId="401" applyFont="1"/>
    <xf numFmtId="0" fontId="326" fillId="0" borderId="31" xfId="6886" applyFont="1" applyBorder="1"/>
    <xf numFmtId="0" fontId="326" fillId="0" borderId="32" xfId="6886" applyFont="1" applyBorder="1"/>
    <xf numFmtId="0" fontId="312" fillId="0" borderId="31" xfId="6886" applyFont="1" applyBorder="1"/>
    <xf numFmtId="0" fontId="312" fillId="114" borderId="31" xfId="6886" applyFont="1" applyFill="1" applyBorder="1"/>
    <xf numFmtId="0" fontId="312" fillId="0" borderId="32" xfId="6886" applyFont="1" applyBorder="1"/>
    <xf numFmtId="3" fontId="312" fillId="0" borderId="31" xfId="6886" applyNumberFormat="1" applyFont="1" applyBorder="1"/>
    <xf numFmtId="3" fontId="312" fillId="0" borderId="31" xfId="401" applyNumberFormat="1" applyFont="1" applyFill="1" applyBorder="1"/>
    <xf numFmtId="190" fontId="304" fillId="0" borderId="0" xfId="0" applyNumberFormat="1" applyFont="1"/>
    <xf numFmtId="174" fontId="341" fillId="105" borderId="70" xfId="402" applyNumberFormat="1" applyFont="1" applyFill="1" applyBorder="1"/>
    <xf numFmtId="171" fontId="340" fillId="105" borderId="0" xfId="0" applyNumberFormat="1" applyFont="1" applyFill="1"/>
    <xf numFmtId="3" fontId="342" fillId="105" borderId="64" xfId="11356" applyNumberFormat="1" applyFont="1" applyFill="1" applyBorder="1"/>
    <xf numFmtId="41" fontId="342" fillId="105" borderId="49" xfId="401" applyNumberFormat="1" applyFont="1" applyFill="1" applyBorder="1"/>
    <xf numFmtId="41" fontId="342" fillId="105" borderId="66" xfId="401" applyNumberFormat="1" applyFont="1" applyFill="1" applyBorder="1"/>
    <xf numFmtId="43" fontId="343" fillId="105" borderId="0" xfId="401" applyFont="1" applyFill="1"/>
    <xf numFmtId="0" fontId="367" fillId="0" borderId="0" xfId="11355" applyFont="1"/>
    <xf numFmtId="3" fontId="368" fillId="0" borderId="0" xfId="11355" applyNumberFormat="1" applyFont="1"/>
    <xf numFmtId="3" fontId="368" fillId="0" borderId="0" xfId="11355" applyNumberFormat="1" applyFont="1" applyAlignment="1">
      <alignment horizontal="right"/>
    </xf>
    <xf numFmtId="0" fontId="368" fillId="0" borderId="0" xfId="11355" applyFont="1"/>
    <xf numFmtId="323" fontId="368" fillId="0" borderId="0" xfId="11355" applyNumberFormat="1" applyFont="1"/>
    <xf numFmtId="43" fontId="368" fillId="0" borderId="0" xfId="401" applyFont="1" applyFill="1"/>
    <xf numFmtId="43" fontId="368" fillId="0" borderId="0" xfId="401" applyFont="1"/>
    <xf numFmtId="169" fontId="314" fillId="104" borderId="0" xfId="11356" applyNumberFormat="1" applyFont="1" applyFill="1" applyBorder="1"/>
    <xf numFmtId="169" fontId="314" fillId="104" borderId="64" xfId="11356" applyNumberFormat="1" applyFont="1" applyFill="1" applyBorder="1"/>
    <xf numFmtId="338" fontId="311" fillId="96" borderId="69" xfId="464" applyNumberFormat="1" applyFont="1" applyFill="1" applyBorder="1" applyAlignment="1">
      <alignment horizontal="right"/>
    </xf>
    <xf numFmtId="338" fontId="311" fillId="96" borderId="21" xfId="464" applyNumberFormat="1" applyFont="1" applyFill="1" applyBorder="1" applyAlignment="1">
      <alignment horizontal="right"/>
    </xf>
    <xf numFmtId="169" fontId="369" fillId="0" borderId="0" xfId="11356" applyNumberFormat="1" applyFont="1"/>
    <xf numFmtId="43" fontId="13" fillId="0" borderId="0" xfId="401" applyFont="1"/>
    <xf numFmtId="181" fontId="311" fillId="96" borderId="0" xfId="464" quotePrefix="1" applyNumberFormat="1" applyFont="1" applyFill="1" applyAlignment="1">
      <alignment horizontal="right"/>
    </xf>
    <xf numFmtId="0" fontId="315" fillId="0" borderId="0" xfId="464" quotePrefix="1" applyFont="1" applyAlignment="1">
      <alignment horizontal="right"/>
    </xf>
    <xf numFmtId="323" fontId="326" fillId="112" borderId="66" xfId="6886" applyNumberFormat="1" applyFont="1" applyFill="1" applyBorder="1"/>
    <xf numFmtId="0" fontId="349" fillId="0" borderId="0" xfId="10960" applyFont="1"/>
    <xf numFmtId="311" fontId="12" fillId="0" borderId="49" xfId="0" applyNumberFormat="1" applyFont="1" applyBorder="1"/>
    <xf numFmtId="311" fontId="13" fillId="0" borderId="64" xfId="464" applyNumberFormat="1" applyBorder="1"/>
    <xf numFmtId="190" fontId="312" fillId="0" borderId="65" xfId="464" applyNumberFormat="1" applyFont="1" applyBorder="1"/>
    <xf numFmtId="9" fontId="347" fillId="101" borderId="0" xfId="11356" applyFont="1" applyFill="1"/>
    <xf numFmtId="3" fontId="312" fillId="0" borderId="0" xfId="464" quotePrefix="1" applyNumberFormat="1" applyFont="1" applyAlignment="1">
      <alignment horizontal="right"/>
    </xf>
    <xf numFmtId="3" fontId="312" fillId="0" borderId="64" xfId="464" quotePrefix="1" applyNumberFormat="1" applyFont="1" applyBorder="1" applyAlignment="1">
      <alignment horizontal="right"/>
    </xf>
    <xf numFmtId="41" fontId="301" fillId="0" borderId="0" xfId="401" applyNumberFormat="1" applyFont="1"/>
    <xf numFmtId="1" fontId="301" fillId="100" borderId="0" xfId="10960" applyNumberFormat="1" applyFill="1"/>
    <xf numFmtId="1" fontId="301" fillId="0" borderId="0" xfId="401" applyNumberFormat="1" applyFont="1"/>
    <xf numFmtId="3" fontId="301" fillId="0" borderId="0" xfId="402" applyNumberFormat="1" applyFont="1" applyFill="1"/>
    <xf numFmtId="41" fontId="348" fillId="0" borderId="0" xfId="401" applyNumberFormat="1" applyFont="1" applyAlignment="1">
      <alignment horizontal="center"/>
    </xf>
    <xf numFmtId="41" fontId="348" fillId="0" borderId="0" xfId="401" applyNumberFormat="1" applyFont="1"/>
    <xf numFmtId="41" fontId="349" fillId="87" borderId="0" xfId="401" applyNumberFormat="1" applyFont="1" applyFill="1"/>
    <xf numFmtId="323" fontId="326" fillId="104" borderId="49" xfId="6886" applyNumberFormat="1" applyFont="1" applyFill="1" applyBorder="1"/>
    <xf numFmtId="9" fontId="333" fillId="0" borderId="0" xfId="468" applyFont="1" applyFill="1" applyBorder="1"/>
    <xf numFmtId="41" fontId="326" fillId="0" borderId="0" xfId="401" applyNumberFormat="1" applyFont="1" applyBorder="1"/>
    <xf numFmtId="41" fontId="326" fillId="0" borderId="0" xfId="401" applyNumberFormat="1" applyFont="1" applyFill="1" applyBorder="1"/>
    <xf numFmtId="41" fontId="326" fillId="0" borderId="64" xfId="401" applyNumberFormat="1" applyFont="1" applyFill="1" applyBorder="1"/>
    <xf numFmtId="41" fontId="326" fillId="0" borderId="64" xfId="401" applyNumberFormat="1" applyFont="1" applyBorder="1"/>
    <xf numFmtId="41" fontId="326" fillId="0" borderId="0" xfId="401" applyNumberFormat="1" applyFont="1"/>
    <xf numFmtId="41" fontId="326" fillId="102" borderId="0" xfId="401" applyNumberFormat="1" applyFont="1" applyFill="1"/>
    <xf numFmtId="41" fontId="326" fillId="102" borderId="64" xfId="401" applyNumberFormat="1" applyFont="1" applyFill="1" applyBorder="1"/>
    <xf numFmtId="41" fontId="326" fillId="0" borderId="22" xfId="6886" applyNumberFormat="1" applyFont="1" applyBorder="1"/>
    <xf numFmtId="43" fontId="326" fillId="87" borderId="0" xfId="6886" applyNumberFormat="1" applyFont="1" applyFill="1"/>
    <xf numFmtId="0" fontId="326" fillId="0" borderId="14" xfId="0" applyFont="1" applyBorder="1"/>
    <xf numFmtId="0" fontId="326" fillId="0" borderId="69" xfId="6886" applyFont="1" applyBorder="1"/>
    <xf numFmtId="9" fontId="326" fillId="0" borderId="21" xfId="468" applyFont="1" applyFill="1" applyBorder="1"/>
    <xf numFmtId="9" fontId="326" fillId="0" borderId="69" xfId="468" applyFont="1" applyFill="1" applyBorder="1"/>
    <xf numFmtId="9" fontId="326" fillId="0" borderId="21" xfId="11356" applyFont="1" applyFill="1" applyBorder="1"/>
    <xf numFmtId="43" fontId="326" fillId="0" borderId="21" xfId="401" applyFont="1" applyFill="1" applyBorder="1"/>
    <xf numFmtId="0" fontId="311" fillId="96" borderId="64" xfId="464" quotePrefix="1" applyFont="1" applyFill="1" applyBorder="1" applyAlignment="1">
      <alignment horizontal="right"/>
    </xf>
    <xf numFmtId="41" fontId="311" fillId="96" borderId="0" xfId="6886" applyNumberFormat="1" applyFont="1" applyFill="1" applyAlignment="1">
      <alignment horizontal="right"/>
    </xf>
    <xf numFmtId="41" fontId="311" fillId="96" borderId="64" xfId="6886" applyNumberFormat="1" applyFont="1" applyFill="1" applyBorder="1" applyAlignment="1">
      <alignment horizontal="right"/>
    </xf>
    <xf numFmtId="9" fontId="326" fillId="0" borderId="68" xfId="468" applyFont="1" applyFill="1" applyBorder="1"/>
    <xf numFmtId="41" fontId="332" fillId="96" borderId="22" xfId="6886" applyNumberFormat="1" applyFont="1" applyFill="1" applyBorder="1" applyAlignment="1">
      <alignment horizontal="right"/>
    </xf>
    <xf numFmtId="41" fontId="332" fillId="96" borderId="0" xfId="6886" applyNumberFormat="1" applyFont="1" applyFill="1" applyAlignment="1">
      <alignment horizontal="right"/>
    </xf>
    <xf numFmtId="41" fontId="332" fillId="96" borderId="64" xfId="6886" applyNumberFormat="1" applyFont="1" applyFill="1" applyBorder="1" applyAlignment="1">
      <alignment horizontal="right"/>
    </xf>
    <xf numFmtId="9" fontId="327" fillId="0" borderId="70" xfId="11356" applyFont="1" applyFill="1" applyBorder="1"/>
    <xf numFmtId="169" fontId="331" fillId="0" borderId="22" xfId="11356" applyNumberFormat="1" applyFont="1" applyFill="1" applyBorder="1"/>
    <xf numFmtId="9" fontId="326" fillId="87" borderId="0" xfId="11356" applyFont="1" applyFill="1" applyBorder="1"/>
    <xf numFmtId="9" fontId="326" fillId="87" borderId="64" xfId="11356" applyFont="1" applyFill="1" applyBorder="1"/>
    <xf numFmtId="41" fontId="326" fillId="102" borderId="0" xfId="401" applyNumberFormat="1" applyFont="1" applyFill="1" applyBorder="1"/>
    <xf numFmtId="169" fontId="332" fillId="96" borderId="0" xfId="11356" applyNumberFormat="1" applyFont="1" applyFill="1" applyBorder="1" applyAlignment="1">
      <alignment horizontal="right"/>
    </xf>
    <xf numFmtId="169" fontId="332" fillId="96" borderId="64" xfId="11356" applyNumberFormat="1" applyFont="1" applyFill="1" applyBorder="1" applyAlignment="1">
      <alignment horizontal="right"/>
    </xf>
    <xf numFmtId="41" fontId="370" fillId="0" borderId="0" xfId="6886" applyNumberFormat="1" applyFont="1"/>
    <xf numFmtId="169" fontId="333" fillId="87" borderId="0" xfId="11356" applyNumberFormat="1" applyFont="1" applyFill="1" applyBorder="1"/>
    <xf numFmtId="169" fontId="333" fillId="87" borderId="64" xfId="11356" applyNumberFormat="1" applyFont="1" applyFill="1" applyBorder="1"/>
    <xf numFmtId="41" fontId="326" fillId="0" borderId="64" xfId="6886" applyNumberFormat="1" applyFont="1" applyBorder="1"/>
    <xf numFmtId="41" fontId="326" fillId="102" borderId="0" xfId="6886" applyNumberFormat="1" applyFont="1" applyFill="1"/>
    <xf numFmtId="41" fontId="326" fillId="102" borderId="64" xfId="6886" applyNumberFormat="1" applyFont="1" applyFill="1" applyBorder="1"/>
    <xf numFmtId="0" fontId="326" fillId="0" borderId="66" xfId="6886" applyFont="1" applyBorder="1"/>
    <xf numFmtId="43" fontId="359" fillId="0" borderId="0" xfId="6886" applyNumberFormat="1" applyFont="1"/>
    <xf numFmtId="1" fontId="301" fillId="87" borderId="0" xfId="401" applyNumberFormat="1" applyFont="1" applyFill="1"/>
    <xf numFmtId="9" fontId="301" fillId="87" borderId="0" xfId="11356" applyFont="1" applyFill="1"/>
    <xf numFmtId="41" fontId="348" fillId="0" borderId="0" xfId="401" applyNumberFormat="1" applyFont="1" applyFill="1"/>
    <xf numFmtId="323" fontId="13" fillId="112" borderId="0" xfId="464" applyNumberFormat="1" applyFill="1"/>
    <xf numFmtId="3" fontId="301" fillId="112" borderId="0" xfId="402" applyNumberFormat="1" applyFont="1" applyFill="1"/>
    <xf numFmtId="3" fontId="311" fillId="99" borderId="0" xfId="464" quotePrefix="1" applyNumberFormat="1" applyFont="1" applyFill="1" applyAlignment="1">
      <alignment horizontal="left"/>
    </xf>
    <xf numFmtId="311" fontId="306" fillId="0" borderId="70" xfId="464" applyNumberFormat="1" applyFont="1" applyBorder="1"/>
    <xf numFmtId="311" fontId="306" fillId="0" borderId="65" xfId="464" applyNumberFormat="1" applyFont="1" applyBorder="1"/>
    <xf numFmtId="9" fontId="13" fillId="0" borderId="0" xfId="11356" applyFont="1" applyFill="1" applyBorder="1" applyAlignment="1">
      <alignment horizontal="right"/>
    </xf>
    <xf numFmtId="171" fontId="326" fillId="0" borderId="0" xfId="6886" applyNumberFormat="1" applyFont="1"/>
    <xf numFmtId="171" fontId="326" fillId="0" borderId="64" xfId="6886" applyNumberFormat="1" applyFont="1" applyBorder="1"/>
    <xf numFmtId="0" fontId="272" fillId="90" borderId="0" xfId="10833" quotePrefix="1" applyFont="1" applyFill="1" applyAlignment="1">
      <alignment horizontal="left" vertical="center"/>
    </xf>
    <xf numFmtId="0" fontId="0" fillId="0" borderId="0" xfId="0" applyFill="1"/>
    <xf numFmtId="3" fontId="315" fillId="0" borderId="0" xfId="401" applyNumberFormat="1" applyFont="1" applyFill="1" applyBorder="1"/>
    <xf numFmtId="3" fontId="328" fillId="0" borderId="0" xfId="401" applyNumberFormat="1" applyFont="1" applyFill="1" applyBorder="1"/>
    <xf numFmtId="9" fontId="315" fillId="0" borderId="0" xfId="11356" applyFont="1" applyFill="1" applyBorder="1"/>
    <xf numFmtId="9" fontId="328" fillId="0" borderId="0" xfId="11356" applyFont="1" applyFill="1" applyBorder="1"/>
    <xf numFmtId="43" fontId="328" fillId="0" borderId="0" xfId="401" applyFont="1" applyFill="1" applyBorder="1"/>
    <xf numFmtId="323" fontId="372" fillId="0" borderId="0" xfId="402" applyNumberFormat="1" applyFont="1" applyFill="1" applyBorder="1"/>
    <xf numFmtId="323" fontId="230" fillId="0" borderId="0" xfId="402" applyNumberFormat="1" applyFont="1" applyFill="1" applyBorder="1"/>
    <xf numFmtId="323" fontId="373" fillId="0" borderId="0" xfId="402" applyNumberFormat="1" applyFont="1" applyFill="1" applyBorder="1"/>
    <xf numFmtId="9" fontId="372" fillId="0" borderId="0" xfId="11356" applyFont="1" applyFill="1" applyBorder="1"/>
    <xf numFmtId="9" fontId="230" fillId="0" borderId="0" xfId="11356" applyFont="1" applyFill="1" applyBorder="1"/>
    <xf numFmtId="9" fontId="373" fillId="0" borderId="0" xfId="11356" applyFont="1" applyFill="1" applyBorder="1"/>
    <xf numFmtId="323" fontId="372" fillId="0" borderId="0" xfId="402" applyNumberFormat="1" applyFont="1" applyFill="1" applyBorder="1" applyAlignment="1">
      <alignment horizontal="right"/>
    </xf>
    <xf numFmtId="169" fontId="328" fillId="0" borderId="0" xfId="11356" applyNumberFormat="1" applyFont="1" applyFill="1" applyBorder="1"/>
    <xf numFmtId="169" fontId="328" fillId="0" borderId="0" xfId="11356" applyNumberFormat="1" applyFont="1" applyFill="1" applyBorder="1" applyAlignment="1">
      <alignment horizontal="right"/>
    </xf>
    <xf numFmtId="10" fontId="328" fillId="0" borderId="0" xfId="11356" applyNumberFormat="1" applyFont="1" applyFill="1" applyBorder="1"/>
    <xf numFmtId="3" fontId="374" fillId="0" borderId="0" xfId="11358" applyNumberFormat="1" applyFont="1" applyFill="1" applyBorder="1"/>
    <xf numFmtId="0" fontId="230" fillId="0" borderId="0" xfId="0" applyFont="1" applyFill="1" applyBorder="1"/>
    <xf numFmtId="3" fontId="328" fillId="0" borderId="0" xfId="0" applyNumberFormat="1" applyFont="1" applyFill="1" applyBorder="1"/>
    <xf numFmtId="3" fontId="328" fillId="0" borderId="0" xfId="0" applyNumberFormat="1" applyFont="1" applyFill="1" applyBorder="1" applyAlignment="1">
      <alignment horizontal="right"/>
    </xf>
    <xf numFmtId="49" fontId="328" fillId="0" borderId="0" xfId="0" applyNumberFormat="1" applyFont="1" applyFill="1" applyBorder="1" applyAlignment="1">
      <alignment horizontal="right"/>
    </xf>
    <xf numFmtId="3" fontId="328" fillId="0" borderId="0" xfId="0" quotePrefix="1" applyNumberFormat="1" applyFont="1" applyFill="1" applyBorder="1" applyAlignment="1">
      <alignment horizontal="right"/>
    </xf>
    <xf numFmtId="3" fontId="315" fillId="0" borderId="0" xfId="0" applyNumberFormat="1" applyFont="1" applyFill="1" applyBorder="1"/>
    <xf numFmtId="3" fontId="328" fillId="0" borderId="0" xfId="0" applyNumberFormat="1" applyFont="1" applyFill="1" applyBorder="1" applyAlignment="1">
      <alignment horizontal="left"/>
    </xf>
    <xf numFmtId="3" fontId="315" fillId="0" borderId="0" xfId="0" applyNumberFormat="1" applyFont="1" applyFill="1" applyBorder="1" applyAlignment="1">
      <alignment horizontal="left"/>
    </xf>
    <xf numFmtId="3" fontId="371" fillId="0" borderId="0" xfId="0" applyNumberFormat="1" applyFont="1" applyFill="1" applyBorder="1"/>
    <xf numFmtId="9" fontId="371" fillId="0" borderId="0" xfId="11356" applyFont="1" applyFill="1" applyBorder="1"/>
    <xf numFmtId="0" fontId="372" fillId="0" borderId="0" xfId="0" applyFont="1" applyFill="1" applyBorder="1"/>
    <xf numFmtId="3" fontId="315" fillId="0" borderId="0" xfId="0" applyNumberFormat="1" applyFont="1" applyFill="1" applyBorder="1" applyAlignment="1">
      <alignment horizontal="right"/>
    </xf>
    <xf numFmtId="49" fontId="315" fillId="0" borderId="0" xfId="0" applyNumberFormat="1" applyFont="1" applyFill="1" applyBorder="1" applyAlignment="1">
      <alignment horizontal="right"/>
    </xf>
    <xf numFmtId="0" fontId="372" fillId="0" borderId="0" xfId="0" applyFont="1" applyFill="1" applyBorder="1" applyAlignment="1">
      <alignment horizontal="right"/>
    </xf>
    <xf numFmtId="4" fontId="328" fillId="0" borderId="0" xfId="0" applyNumberFormat="1" applyFont="1" applyFill="1" applyBorder="1"/>
    <xf numFmtId="171" fontId="328" fillId="0" borderId="0" xfId="0" applyNumberFormat="1" applyFont="1" applyFill="1" applyBorder="1"/>
    <xf numFmtId="169" fontId="315" fillId="0" borderId="0" xfId="11356" applyNumberFormat="1" applyFont="1" applyFill="1" applyBorder="1"/>
    <xf numFmtId="0" fontId="328" fillId="0" borderId="0" xfId="0" applyFont="1" applyFill="1" applyBorder="1" applyAlignment="1">
      <alignment horizontal="left"/>
    </xf>
    <xf numFmtId="171" fontId="315" fillId="0" borderId="0" xfId="0" applyNumberFormat="1" applyFont="1" applyFill="1" applyBorder="1"/>
    <xf numFmtId="369" fontId="328" fillId="0" borderId="0" xfId="0" applyNumberFormat="1" applyFont="1" applyFill="1" applyBorder="1"/>
    <xf numFmtId="3" fontId="230" fillId="0" borderId="0" xfId="0" applyNumberFormat="1" applyFont="1" applyFill="1" applyBorder="1"/>
    <xf numFmtId="4" fontId="315" fillId="0" borderId="0" xfId="0" applyNumberFormat="1" applyFont="1" applyFill="1" applyBorder="1"/>
    <xf numFmtId="3" fontId="328" fillId="0" borderId="0" xfId="11356" applyNumberFormat="1" applyFont="1" applyFill="1" applyBorder="1"/>
    <xf numFmtId="0" fontId="328" fillId="0" borderId="0" xfId="0" applyFont="1" applyFill="1" applyBorder="1"/>
    <xf numFmtId="323" fontId="328" fillId="0" borderId="0" xfId="0" applyNumberFormat="1" applyFont="1" applyFill="1" applyBorder="1"/>
    <xf numFmtId="174" fontId="315" fillId="0" borderId="0" xfId="401" applyNumberFormat="1" applyFont="1" applyFill="1" applyBorder="1"/>
    <xf numFmtId="0" fontId="315" fillId="0" borderId="0" xfId="0" applyFont="1" applyFill="1" applyBorder="1"/>
    <xf numFmtId="170" fontId="315" fillId="0" borderId="0" xfId="0" applyNumberFormat="1" applyFont="1" applyFill="1" applyBorder="1"/>
    <xf numFmtId="323" fontId="315" fillId="0" borderId="0" xfId="0" applyNumberFormat="1" applyFont="1" applyFill="1" applyBorder="1"/>
    <xf numFmtId="170" fontId="328" fillId="0" borderId="0" xfId="402" applyNumberFormat="1" applyFont="1" applyFill="1" applyBorder="1"/>
    <xf numFmtId="3" fontId="328" fillId="0" borderId="0" xfId="0" quotePrefix="1" applyNumberFormat="1" applyFont="1" applyFill="1" applyBorder="1"/>
    <xf numFmtId="1" fontId="328" fillId="0" borderId="0" xfId="0" applyNumberFormat="1" applyFont="1" applyFill="1" applyBorder="1"/>
    <xf numFmtId="1" fontId="375" fillId="0" borderId="0" xfId="0" applyNumberFormat="1" applyFont="1" applyFill="1" applyBorder="1"/>
    <xf numFmtId="171" fontId="328" fillId="0" borderId="0" xfId="401" applyNumberFormat="1" applyFont="1" applyFill="1" applyBorder="1"/>
    <xf numFmtId="37" fontId="315" fillId="0" borderId="0" xfId="401" applyNumberFormat="1" applyFont="1" applyFill="1" applyBorder="1"/>
    <xf numFmtId="37" fontId="328" fillId="0" borderId="0" xfId="401" applyNumberFormat="1" applyFont="1" applyFill="1" applyBorder="1"/>
    <xf numFmtId="0" fontId="376" fillId="0" borderId="0" xfId="0" applyFont="1" applyFill="1" applyBorder="1"/>
    <xf numFmtId="0" fontId="377" fillId="0" borderId="0" xfId="0" applyFont="1" applyFill="1" applyBorder="1"/>
    <xf numFmtId="0" fontId="376" fillId="0" borderId="0" xfId="11171" applyFont="1" applyFill="1" applyBorder="1" applyAlignment="1">
      <alignment horizontal="left" indent="2"/>
    </xf>
    <xf numFmtId="3" fontId="376" fillId="0" borderId="0" xfId="0" applyNumberFormat="1" applyFont="1" applyFill="1" applyBorder="1"/>
    <xf numFmtId="0" fontId="377" fillId="0" borderId="0" xfId="11171" applyFont="1" applyFill="1" applyBorder="1" applyAlignment="1">
      <alignment horizontal="left" indent="1"/>
    </xf>
    <xf numFmtId="0" fontId="377" fillId="0" borderId="0" xfId="11171" applyFont="1" applyFill="1" applyBorder="1"/>
    <xf numFmtId="0" fontId="377" fillId="0" borderId="0" xfId="11171" applyFont="1" applyFill="1" applyBorder="1" applyAlignment="1">
      <alignment horizontal="left"/>
    </xf>
    <xf numFmtId="0" fontId="376" fillId="0" borderId="0" xfId="11171" applyFont="1" applyFill="1" applyBorder="1" applyAlignment="1">
      <alignment horizontal="left" indent="3"/>
    </xf>
    <xf numFmtId="0" fontId="376" fillId="0" borderId="0" xfId="11171" applyFont="1" applyFill="1" applyBorder="1" applyAlignment="1">
      <alignment horizontal="left" indent="1"/>
    </xf>
    <xf numFmtId="369" fontId="376" fillId="0" borderId="0" xfId="0" applyNumberFormat="1" applyFont="1" applyFill="1" applyBorder="1"/>
    <xf numFmtId="0" fontId="378" fillId="0" borderId="0" xfId="456" applyFont="1" applyFill="1" applyBorder="1" applyAlignment="1" applyProtection="1"/>
    <xf numFmtId="323" fontId="230" fillId="0" borderId="0" xfId="401" applyNumberFormat="1" applyFont="1" applyFill="1" applyBorder="1"/>
    <xf numFmtId="43" fontId="380" fillId="0" borderId="0" xfId="401" applyFont="1" applyFill="1" applyBorder="1"/>
    <xf numFmtId="43" fontId="230" fillId="0" borderId="0" xfId="401" applyFont="1" applyFill="1" applyBorder="1"/>
    <xf numFmtId="323" fontId="380" fillId="0" borderId="0" xfId="401" applyNumberFormat="1" applyFont="1" applyFill="1" applyBorder="1"/>
    <xf numFmtId="37" fontId="230" fillId="0" borderId="0" xfId="0" applyNumberFormat="1" applyFont="1" applyFill="1" applyBorder="1"/>
    <xf numFmtId="0" fontId="276" fillId="0" borderId="0" xfId="464" applyFont="1" applyFill="1" applyBorder="1" applyAlignment="1">
      <alignment horizontal="right"/>
    </xf>
    <xf numFmtId="2" fontId="276" fillId="0" borderId="0" xfId="464" applyNumberFormat="1" applyFont="1" applyFill="1" applyBorder="1" applyAlignment="1">
      <alignment horizontal="right"/>
    </xf>
    <xf numFmtId="0" fontId="279" fillId="0" borderId="0" xfId="464" applyFont="1" applyFill="1" applyBorder="1"/>
    <xf numFmtId="0" fontId="277" fillId="0" borderId="0" xfId="464" applyFont="1" applyFill="1" applyBorder="1" applyAlignment="1">
      <alignment horizontal="right"/>
    </xf>
    <xf numFmtId="0" fontId="230" fillId="0" borderId="0" xfId="0" applyFont="1" applyFill="1" applyBorder="1" applyAlignment="1">
      <alignment horizontal="center"/>
    </xf>
    <xf numFmtId="0" fontId="275" fillId="0" borderId="0" xfId="464" applyFont="1" applyFill="1" applyBorder="1"/>
    <xf numFmtId="0" fontId="275" fillId="0" borderId="0" xfId="464" applyFont="1" applyFill="1" applyBorder="1" applyAlignment="1">
      <alignment horizontal="center"/>
    </xf>
    <xf numFmtId="183" fontId="230" fillId="0" borderId="0" xfId="0" applyNumberFormat="1" applyFont="1" applyFill="1" applyBorder="1"/>
    <xf numFmtId="0" fontId="278" fillId="0" borderId="0" xfId="464" applyFont="1" applyFill="1" applyBorder="1"/>
    <xf numFmtId="0" fontId="278" fillId="0" borderId="0" xfId="464" applyFont="1" applyFill="1" applyBorder="1" applyAlignment="1">
      <alignment horizontal="center"/>
    </xf>
    <xf numFmtId="0" fontId="280" fillId="0" borderId="0" xfId="0" applyFont="1" applyFill="1" applyBorder="1"/>
    <xf numFmtId="0" fontId="276" fillId="0" borderId="0" xfId="464" applyFont="1" applyFill="1" applyBorder="1"/>
    <xf numFmtId="183" fontId="379" fillId="0" borderId="0" xfId="0" applyNumberFormat="1" applyFont="1" applyFill="1" applyBorder="1"/>
    <xf numFmtId="0" fontId="379" fillId="0" borderId="0" xfId="0" applyFont="1" applyFill="1" applyBorder="1"/>
    <xf numFmtId="190" fontId="379" fillId="0" borderId="0" xfId="0" applyNumberFormat="1" applyFont="1" applyFill="1" applyBorder="1"/>
    <xf numFmtId="190" fontId="275" fillId="0" borderId="0" xfId="464" applyNumberFormat="1" applyFont="1" applyFill="1" applyBorder="1"/>
    <xf numFmtId="183" fontId="380" fillId="0" borderId="0" xfId="0" applyNumberFormat="1" applyFont="1" applyFill="1" applyBorder="1"/>
    <xf numFmtId="185" fontId="380" fillId="0" borderId="0" xfId="0" applyNumberFormat="1" applyFont="1" applyFill="1" applyBorder="1"/>
    <xf numFmtId="190" fontId="380" fillId="0" borderId="0" xfId="0" applyNumberFormat="1" applyFont="1" applyFill="1" applyBorder="1"/>
    <xf numFmtId="190" fontId="230" fillId="0" borderId="0" xfId="0" applyNumberFormat="1" applyFont="1" applyFill="1" applyBorder="1"/>
    <xf numFmtId="185" fontId="230" fillId="0" borderId="0" xfId="0" applyNumberFormat="1" applyFont="1" applyFill="1" applyBorder="1"/>
    <xf numFmtId="190" fontId="259" fillId="0" borderId="0" xfId="464" applyNumberFormat="1" applyFont="1" applyFill="1" applyBorder="1"/>
    <xf numFmtId="0" fontId="381" fillId="0" borderId="0" xfId="11170" quotePrefix="1" applyFont="1" applyFill="1" applyBorder="1"/>
    <xf numFmtId="10" fontId="230" fillId="0" borderId="0" xfId="0" applyNumberFormat="1" applyFont="1" applyFill="1" applyBorder="1"/>
    <xf numFmtId="43" fontId="230" fillId="0" borderId="0" xfId="0" applyNumberFormat="1" applyFont="1" applyFill="1" applyBorder="1"/>
    <xf numFmtId="190" fontId="259" fillId="0" borderId="0" xfId="464" applyNumberFormat="1" applyFont="1" applyFill="1" applyBorder="1" applyAlignment="1">
      <alignment horizontal="right"/>
    </xf>
    <xf numFmtId="43" fontId="380" fillId="0" borderId="0" xfId="0" applyNumberFormat="1" applyFont="1" applyFill="1" applyBorder="1"/>
    <xf numFmtId="185" fontId="379" fillId="0" borderId="0" xfId="0" applyNumberFormat="1" applyFont="1" applyFill="1" applyBorder="1"/>
    <xf numFmtId="191" fontId="376" fillId="0" borderId="0" xfId="11171" applyNumberFormat="1" applyFont="1" applyFill="1" applyBorder="1" applyAlignment="1">
      <alignment horizontal="left" indent="2"/>
    </xf>
    <xf numFmtId="191" fontId="230" fillId="0" borderId="0" xfId="0" applyNumberFormat="1" applyFont="1" applyFill="1" applyBorder="1"/>
    <xf numFmtId="191" fontId="379" fillId="0" borderId="0" xfId="0" applyNumberFormat="1" applyFont="1" applyFill="1" applyBorder="1"/>
    <xf numFmtId="191" fontId="259" fillId="0" borderId="0" xfId="464" applyNumberFormat="1" applyFont="1" applyFill="1" applyBorder="1"/>
    <xf numFmtId="0" fontId="230" fillId="0" borderId="0" xfId="0" applyFont="1" applyFill="1" applyBorder="1" applyAlignment="1">
      <alignment horizontal="left" indent="1"/>
    </xf>
    <xf numFmtId="0" fontId="382" fillId="0" borderId="0" xfId="0" applyFont="1" applyFill="1" applyBorder="1"/>
    <xf numFmtId="192" fontId="379" fillId="0" borderId="0" xfId="0" applyNumberFormat="1" applyFont="1" applyFill="1" applyBorder="1"/>
    <xf numFmtId="192" fontId="275" fillId="0" borderId="0" xfId="464" applyNumberFormat="1" applyFont="1" applyFill="1" applyBorder="1"/>
    <xf numFmtId="192" fontId="230" fillId="0" borderId="0" xfId="0" applyNumberFormat="1" applyFont="1" applyFill="1" applyBorder="1"/>
    <xf numFmtId="4" fontId="230" fillId="0" borderId="0" xfId="0" applyNumberFormat="1" applyFont="1" applyFill="1" applyBorder="1"/>
    <xf numFmtId="323" fontId="379" fillId="0" borderId="0" xfId="0" applyNumberFormat="1" applyFont="1" applyFill="1" applyBorder="1"/>
    <xf numFmtId="323" fontId="230" fillId="0" borderId="0" xfId="0" applyNumberFormat="1" applyFont="1" applyFill="1" applyBorder="1"/>
    <xf numFmtId="311" fontId="230" fillId="0" borderId="0" xfId="0" applyNumberFormat="1" applyFont="1" applyFill="1" applyBorder="1"/>
    <xf numFmtId="170" fontId="230" fillId="0" borderId="0" xfId="0" applyNumberFormat="1" applyFont="1" applyFill="1" applyBorder="1"/>
    <xf numFmtId="183" fontId="372" fillId="0" borderId="0" xfId="0" applyNumberFormat="1" applyFont="1" applyFill="1" applyBorder="1"/>
    <xf numFmtId="0" fontId="298" fillId="0" borderId="0" xfId="464" applyFont="1" applyFill="1" applyBorder="1"/>
    <xf numFmtId="0" fontId="380" fillId="0" borderId="0" xfId="0" applyFont="1" applyFill="1" applyBorder="1"/>
    <xf numFmtId="3" fontId="340" fillId="0" borderId="0" xfId="0" applyNumberFormat="1" applyFont="1" applyFill="1" applyBorder="1"/>
    <xf numFmtId="43" fontId="340" fillId="0" borderId="0" xfId="401" applyFont="1" applyFill="1" applyBorder="1"/>
    <xf numFmtId="3" fontId="365" fillId="0" borderId="0" xfId="0" applyNumberFormat="1" applyFont="1" applyFill="1" applyBorder="1"/>
    <xf numFmtId="43" fontId="365" fillId="0" borderId="0" xfId="401" applyFont="1" applyFill="1" applyBorder="1"/>
    <xf numFmtId="171" fontId="340" fillId="0" borderId="0" xfId="0" applyNumberFormat="1" applyFont="1" applyFill="1" applyBorder="1"/>
    <xf numFmtId="169" fontId="340" fillId="0" borderId="0" xfId="11356" applyNumberFormat="1" applyFont="1" applyFill="1" applyBorder="1"/>
    <xf numFmtId="9" fontId="340" fillId="0" borderId="0" xfId="11356" applyFont="1" applyFill="1" applyBorder="1"/>
    <xf numFmtId="3" fontId="340" fillId="0" borderId="0" xfId="0" applyNumberFormat="1" applyFont="1" applyFill="1" applyBorder="1" applyAlignment="1">
      <alignment horizontal="right"/>
    </xf>
    <xf numFmtId="3" fontId="365" fillId="0" borderId="0" xfId="0" applyNumberFormat="1" applyFont="1" applyFill="1" applyBorder="1" applyAlignment="1">
      <alignment horizontal="right"/>
    </xf>
    <xf numFmtId="323" fontId="340" fillId="0" borderId="0" xfId="402" applyNumberFormat="1" applyFont="1" applyFill="1" applyBorder="1"/>
    <xf numFmtId="43" fontId="340" fillId="0" borderId="0" xfId="402" applyFont="1" applyFill="1" applyBorder="1" applyAlignment="1">
      <alignment horizontal="right"/>
    </xf>
    <xf numFmtId="43" fontId="340" fillId="0" borderId="0" xfId="402" applyFont="1" applyFill="1" applyBorder="1"/>
    <xf numFmtId="4" fontId="340" fillId="0" borderId="0" xfId="0" applyNumberFormat="1" applyFont="1" applyFill="1" applyBorder="1"/>
    <xf numFmtId="4" fontId="340" fillId="0" borderId="0" xfId="0" applyNumberFormat="1" applyFont="1" applyFill="1" applyBorder="1" applyAlignment="1">
      <alignment horizontal="right"/>
    </xf>
    <xf numFmtId="9" fontId="340" fillId="0" borderId="0" xfId="11356" applyFont="1" applyFill="1" applyBorder="1" applyAlignment="1">
      <alignment horizontal="right"/>
    </xf>
    <xf numFmtId="0" fontId="18" fillId="0" borderId="0" xfId="11355" applyFont="1" applyBorder="1"/>
    <xf numFmtId="1" fontId="18" fillId="0" borderId="0" xfId="11355" applyNumberFormat="1" applyFont="1" applyBorder="1"/>
    <xf numFmtId="0" fontId="361" fillId="0" borderId="0" xfId="11355" applyFont="1" applyBorder="1"/>
    <xf numFmtId="0" fontId="362" fillId="0" borderId="0" xfId="11355" applyFont="1" applyBorder="1"/>
    <xf numFmtId="0" fontId="271" fillId="105" borderId="0" xfId="10832" applyFill="1" applyAlignment="1">
      <alignment horizontal="left" vertical="center" indent="3"/>
    </xf>
  </cellXfs>
  <cellStyles count="11360">
    <cellStyle name="-" xfId="10281" xr:uid="{00000000-0005-0000-0000-000000000000}"/>
    <cellStyle name="—" xfId="2544" xr:uid="{00000000-0005-0000-0000-000001000000}"/>
    <cellStyle name=" 1" xfId="10481" xr:uid="{00000000-0005-0000-0000-000002000000}"/>
    <cellStyle name=" 1 2" xfId="11175" xr:uid="{00000000-0005-0000-0000-000003000000}"/>
    <cellStyle name=" 10" xfId="10482" xr:uid="{00000000-0005-0000-0000-000004000000}"/>
    <cellStyle name=" 10 2" xfId="11176" xr:uid="{00000000-0005-0000-0000-000005000000}"/>
    <cellStyle name=" 100" xfId="10483" xr:uid="{00000000-0005-0000-0000-000006000000}"/>
    <cellStyle name=" 100 2" xfId="11177" xr:uid="{00000000-0005-0000-0000-000007000000}"/>
    <cellStyle name=" 101" xfId="10484" xr:uid="{00000000-0005-0000-0000-000008000000}"/>
    <cellStyle name=" 101 2" xfId="11178" xr:uid="{00000000-0005-0000-0000-000009000000}"/>
    <cellStyle name=" 102" xfId="10485" xr:uid="{00000000-0005-0000-0000-00000A000000}"/>
    <cellStyle name=" 102 2" xfId="11179" xr:uid="{00000000-0005-0000-0000-00000B000000}"/>
    <cellStyle name=" 103" xfId="10486" xr:uid="{00000000-0005-0000-0000-00000C000000}"/>
    <cellStyle name=" 103 2" xfId="11180" xr:uid="{00000000-0005-0000-0000-00000D000000}"/>
    <cellStyle name=" 104" xfId="10487" xr:uid="{00000000-0005-0000-0000-00000E000000}"/>
    <cellStyle name=" 104 2" xfId="11181" xr:uid="{00000000-0005-0000-0000-00000F000000}"/>
    <cellStyle name=" 105" xfId="10488" xr:uid="{00000000-0005-0000-0000-000010000000}"/>
    <cellStyle name=" 105 2" xfId="11182" xr:uid="{00000000-0005-0000-0000-000011000000}"/>
    <cellStyle name=" 106" xfId="10489" xr:uid="{00000000-0005-0000-0000-000012000000}"/>
    <cellStyle name=" 106 2" xfId="11183" xr:uid="{00000000-0005-0000-0000-000013000000}"/>
    <cellStyle name=" 107" xfId="10490" xr:uid="{00000000-0005-0000-0000-000014000000}"/>
    <cellStyle name=" 107 2" xfId="11184" xr:uid="{00000000-0005-0000-0000-000015000000}"/>
    <cellStyle name=" 108" xfId="10491" xr:uid="{00000000-0005-0000-0000-000016000000}"/>
    <cellStyle name=" 108 2" xfId="11185" xr:uid="{00000000-0005-0000-0000-000017000000}"/>
    <cellStyle name=" 109" xfId="10492" xr:uid="{00000000-0005-0000-0000-000018000000}"/>
    <cellStyle name=" 109 2" xfId="11186" xr:uid="{00000000-0005-0000-0000-000019000000}"/>
    <cellStyle name=" 11" xfId="10493" xr:uid="{00000000-0005-0000-0000-00001A000000}"/>
    <cellStyle name=" 11 2" xfId="11187" xr:uid="{00000000-0005-0000-0000-00001B000000}"/>
    <cellStyle name=" 110" xfId="10494" xr:uid="{00000000-0005-0000-0000-00001C000000}"/>
    <cellStyle name=" 110 2" xfId="11188" xr:uid="{00000000-0005-0000-0000-00001D000000}"/>
    <cellStyle name=" 111" xfId="10495" xr:uid="{00000000-0005-0000-0000-00001E000000}"/>
    <cellStyle name=" 111 2" xfId="11189" xr:uid="{00000000-0005-0000-0000-00001F000000}"/>
    <cellStyle name=" 112" xfId="10496" xr:uid="{00000000-0005-0000-0000-000020000000}"/>
    <cellStyle name=" 112 2" xfId="11190" xr:uid="{00000000-0005-0000-0000-000021000000}"/>
    <cellStyle name=" 113" xfId="10497" xr:uid="{00000000-0005-0000-0000-000022000000}"/>
    <cellStyle name=" 113 2" xfId="11191" xr:uid="{00000000-0005-0000-0000-000023000000}"/>
    <cellStyle name=" 114" xfId="10498" xr:uid="{00000000-0005-0000-0000-000024000000}"/>
    <cellStyle name=" 114 2" xfId="11192" xr:uid="{00000000-0005-0000-0000-000025000000}"/>
    <cellStyle name=" 115" xfId="10499" xr:uid="{00000000-0005-0000-0000-000026000000}"/>
    <cellStyle name=" 115 2" xfId="11193" xr:uid="{00000000-0005-0000-0000-000027000000}"/>
    <cellStyle name=" 116" xfId="10500" xr:uid="{00000000-0005-0000-0000-000028000000}"/>
    <cellStyle name=" 116 2" xfId="11194" xr:uid="{00000000-0005-0000-0000-000029000000}"/>
    <cellStyle name=" 117" xfId="10501" xr:uid="{00000000-0005-0000-0000-00002A000000}"/>
    <cellStyle name=" 117 2" xfId="11195" xr:uid="{00000000-0005-0000-0000-00002B000000}"/>
    <cellStyle name=" 118" xfId="10502" xr:uid="{00000000-0005-0000-0000-00002C000000}"/>
    <cellStyle name=" 118 2" xfId="11196" xr:uid="{00000000-0005-0000-0000-00002D000000}"/>
    <cellStyle name=" 119" xfId="10503" xr:uid="{00000000-0005-0000-0000-00002E000000}"/>
    <cellStyle name=" 119 2" xfId="11197" xr:uid="{00000000-0005-0000-0000-00002F000000}"/>
    <cellStyle name=" 12" xfId="10504" xr:uid="{00000000-0005-0000-0000-000030000000}"/>
    <cellStyle name=" 12 2" xfId="11198" xr:uid="{00000000-0005-0000-0000-000031000000}"/>
    <cellStyle name=" 120" xfId="10505" xr:uid="{00000000-0005-0000-0000-000032000000}"/>
    <cellStyle name=" 120 2" xfId="11199" xr:uid="{00000000-0005-0000-0000-000033000000}"/>
    <cellStyle name=" 121" xfId="10506" xr:uid="{00000000-0005-0000-0000-000034000000}"/>
    <cellStyle name=" 121 2" xfId="11200" xr:uid="{00000000-0005-0000-0000-000035000000}"/>
    <cellStyle name=" 122" xfId="10507" xr:uid="{00000000-0005-0000-0000-000036000000}"/>
    <cellStyle name=" 122 2" xfId="11201" xr:uid="{00000000-0005-0000-0000-000037000000}"/>
    <cellStyle name=" 123" xfId="10508" xr:uid="{00000000-0005-0000-0000-000038000000}"/>
    <cellStyle name=" 123 2" xfId="11202" xr:uid="{00000000-0005-0000-0000-000039000000}"/>
    <cellStyle name=" 124" xfId="10509" xr:uid="{00000000-0005-0000-0000-00003A000000}"/>
    <cellStyle name=" 124 2" xfId="11203" xr:uid="{00000000-0005-0000-0000-00003B000000}"/>
    <cellStyle name=" 125" xfId="10510" xr:uid="{00000000-0005-0000-0000-00003C000000}"/>
    <cellStyle name=" 125 2" xfId="11204" xr:uid="{00000000-0005-0000-0000-00003D000000}"/>
    <cellStyle name=" 126" xfId="10511" xr:uid="{00000000-0005-0000-0000-00003E000000}"/>
    <cellStyle name=" 126 2" xfId="11205" xr:uid="{00000000-0005-0000-0000-00003F000000}"/>
    <cellStyle name=" 127" xfId="10512" xr:uid="{00000000-0005-0000-0000-000040000000}"/>
    <cellStyle name=" 127 2" xfId="11206" xr:uid="{00000000-0005-0000-0000-000041000000}"/>
    <cellStyle name=" 128" xfId="10513" xr:uid="{00000000-0005-0000-0000-000042000000}"/>
    <cellStyle name=" 128 2" xfId="11207" xr:uid="{00000000-0005-0000-0000-000043000000}"/>
    <cellStyle name=" 129" xfId="10514" xr:uid="{00000000-0005-0000-0000-000044000000}"/>
    <cellStyle name=" 129 2" xfId="11208" xr:uid="{00000000-0005-0000-0000-000045000000}"/>
    <cellStyle name=" 13" xfId="10515" xr:uid="{00000000-0005-0000-0000-000046000000}"/>
    <cellStyle name=" 13 2" xfId="11209" xr:uid="{00000000-0005-0000-0000-000047000000}"/>
    <cellStyle name=" 130" xfId="10516" xr:uid="{00000000-0005-0000-0000-000048000000}"/>
    <cellStyle name=" 130 2" xfId="11210" xr:uid="{00000000-0005-0000-0000-000049000000}"/>
    <cellStyle name=" 131" xfId="10517" xr:uid="{00000000-0005-0000-0000-00004A000000}"/>
    <cellStyle name=" 131 2" xfId="11211" xr:uid="{00000000-0005-0000-0000-00004B000000}"/>
    <cellStyle name=" 132" xfId="10518" xr:uid="{00000000-0005-0000-0000-00004C000000}"/>
    <cellStyle name=" 132 2" xfId="11212" xr:uid="{00000000-0005-0000-0000-00004D000000}"/>
    <cellStyle name=" 133" xfId="10519" xr:uid="{00000000-0005-0000-0000-00004E000000}"/>
    <cellStyle name=" 133 2" xfId="11213" xr:uid="{00000000-0005-0000-0000-00004F000000}"/>
    <cellStyle name=" 134" xfId="10520" xr:uid="{00000000-0005-0000-0000-000050000000}"/>
    <cellStyle name=" 134 2" xfId="11214" xr:uid="{00000000-0005-0000-0000-000051000000}"/>
    <cellStyle name=" 135" xfId="10521" xr:uid="{00000000-0005-0000-0000-000052000000}"/>
    <cellStyle name=" 135 2" xfId="11215" xr:uid="{00000000-0005-0000-0000-000053000000}"/>
    <cellStyle name=" 136" xfId="10522" xr:uid="{00000000-0005-0000-0000-000054000000}"/>
    <cellStyle name=" 136 2" xfId="11216" xr:uid="{00000000-0005-0000-0000-000055000000}"/>
    <cellStyle name=" 137" xfId="10523" xr:uid="{00000000-0005-0000-0000-000056000000}"/>
    <cellStyle name=" 137 2" xfId="11217" xr:uid="{00000000-0005-0000-0000-000057000000}"/>
    <cellStyle name=" 138" xfId="10524" xr:uid="{00000000-0005-0000-0000-000058000000}"/>
    <cellStyle name=" 138 2" xfId="11218" xr:uid="{00000000-0005-0000-0000-000059000000}"/>
    <cellStyle name=" 139" xfId="10525" xr:uid="{00000000-0005-0000-0000-00005A000000}"/>
    <cellStyle name=" 139 2" xfId="11219" xr:uid="{00000000-0005-0000-0000-00005B000000}"/>
    <cellStyle name=" 14" xfId="10526" xr:uid="{00000000-0005-0000-0000-00005C000000}"/>
    <cellStyle name=" 14 2" xfId="11220" xr:uid="{00000000-0005-0000-0000-00005D000000}"/>
    <cellStyle name=" 140" xfId="10527" xr:uid="{00000000-0005-0000-0000-00005E000000}"/>
    <cellStyle name=" 140 2" xfId="11221" xr:uid="{00000000-0005-0000-0000-00005F000000}"/>
    <cellStyle name=" 141" xfId="10528" xr:uid="{00000000-0005-0000-0000-000060000000}"/>
    <cellStyle name=" 141 2" xfId="11222" xr:uid="{00000000-0005-0000-0000-000061000000}"/>
    <cellStyle name=" 142" xfId="10529" xr:uid="{00000000-0005-0000-0000-000062000000}"/>
    <cellStyle name=" 142 2" xfId="11223" xr:uid="{00000000-0005-0000-0000-000063000000}"/>
    <cellStyle name=" 143" xfId="10530" xr:uid="{00000000-0005-0000-0000-000064000000}"/>
    <cellStyle name=" 143 2" xfId="11224" xr:uid="{00000000-0005-0000-0000-000065000000}"/>
    <cellStyle name=" 144" xfId="10531" xr:uid="{00000000-0005-0000-0000-000066000000}"/>
    <cellStyle name=" 144 2" xfId="11225" xr:uid="{00000000-0005-0000-0000-000067000000}"/>
    <cellStyle name=" 145" xfId="10532" xr:uid="{00000000-0005-0000-0000-000068000000}"/>
    <cellStyle name=" 145 2" xfId="11226" xr:uid="{00000000-0005-0000-0000-000069000000}"/>
    <cellStyle name=" 146" xfId="10533" xr:uid="{00000000-0005-0000-0000-00006A000000}"/>
    <cellStyle name=" 146 2" xfId="11227" xr:uid="{00000000-0005-0000-0000-00006B000000}"/>
    <cellStyle name=" 147" xfId="10534" xr:uid="{00000000-0005-0000-0000-00006C000000}"/>
    <cellStyle name=" 147 2" xfId="11228" xr:uid="{00000000-0005-0000-0000-00006D000000}"/>
    <cellStyle name=" 148" xfId="10535" xr:uid="{00000000-0005-0000-0000-00006E000000}"/>
    <cellStyle name=" 148 2" xfId="11229" xr:uid="{00000000-0005-0000-0000-00006F000000}"/>
    <cellStyle name=" 149" xfId="10536" xr:uid="{00000000-0005-0000-0000-000070000000}"/>
    <cellStyle name=" 149 2" xfId="11230" xr:uid="{00000000-0005-0000-0000-000071000000}"/>
    <cellStyle name=" 15" xfId="10537" xr:uid="{00000000-0005-0000-0000-000072000000}"/>
    <cellStyle name=" 15 2" xfId="11231" xr:uid="{00000000-0005-0000-0000-000073000000}"/>
    <cellStyle name=" 150" xfId="10538" xr:uid="{00000000-0005-0000-0000-000074000000}"/>
    <cellStyle name=" 150 2" xfId="11232" xr:uid="{00000000-0005-0000-0000-000075000000}"/>
    <cellStyle name=" 151" xfId="10539" xr:uid="{00000000-0005-0000-0000-000076000000}"/>
    <cellStyle name=" 151 2" xfId="11233" xr:uid="{00000000-0005-0000-0000-000077000000}"/>
    <cellStyle name=" 152" xfId="10540" xr:uid="{00000000-0005-0000-0000-000078000000}"/>
    <cellStyle name=" 152 2" xfId="11234" xr:uid="{00000000-0005-0000-0000-000079000000}"/>
    <cellStyle name=" 153" xfId="10541" xr:uid="{00000000-0005-0000-0000-00007A000000}"/>
    <cellStyle name=" 153 2" xfId="11235" xr:uid="{00000000-0005-0000-0000-00007B000000}"/>
    <cellStyle name=" 154" xfId="10542" xr:uid="{00000000-0005-0000-0000-00007C000000}"/>
    <cellStyle name=" 154 2" xfId="11236" xr:uid="{00000000-0005-0000-0000-00007D000000}"/>
    <cellStyle name=" 155" xfId="10543" xr:uid="{00000000-0005-0000-0000-00007E000000}"/>
    <cellStyle name=" 155 2" xfId="11237" xr:uid="{00000000-0005-0000-0000-00007F000000}"/>
    <cellStyle name=" 156" xfId="10544" xr:uid="{00000000-0005-0000-0000-000080000000}"/>
    <cellStyle name=" 156 2" xfId="11238" xr:uid="{00000000-0005-0000-0000-000081000000}"/>
    <cellStyle name=" 157" xfId="10545" xr:uid="{00000000-0005-0000-0000-000082000000}"/>
    <cellStyle name=" 157 2" xfId="11239" xr:uid="{00000000-0005-0000-0000-000083000000}"/>
    <cellStyle name=" 158" xfId="10546" xr:uid="{00000000-0005-0000-0000-000084000000}"/>
    <cellStyle name=" 158 2" xfId="11240" xr:uid="{00000000-0005-0000-0000-000085000000}"/>
    <cellStyle name=" 159" xfId="10547" xr:uid="{00000000-0005-0000-0000-000086000000}"/>
    <cellStyle name=" 159 2" xfId="11241" xr:uid="{00000000-0005-0000-0000-000087000000}"/>
    <cellStyle name=" 16" xfId="10548" xr:uid="{00000000-0005-0000-0000-000088000000}"/>
    <cellStyle name=" 16 2" xfId="11242" xr:uid="{00000000-0005-0000-0000-000089000000}"/>
    <cellStyle name=" 160" xfId="10549" xr:uid="{00000000-0005-0000-0000-00008A000000}"/>
    <cellStyle name=" 160 2" xfId="11243" xr:uid="{00000000-0005-0000-0000-00008B000000}"/>
    <cellStyle name=" 161" xfId="10550" xr:uid="{00000000-0005-0000-0000-00008C000000}"/>
    <cellStyle name=" 161 2" xfId="11244" xr:uid="{00000000-0005-0000-0000-00008D000000}"/>
    <cellStyle name=" 162" xfId="10551" xr:uid="{00000000-0005-0000-0000-00008E000000}"/>
    <cellStyle name=" 162 2" xfId="11245" xr:uid="{00000000-0005-0000-0000-00008F000000}"/>
    <cellStyle name=" 163" xfId="10552" xr:uid="{00000000-0005-0000-0000-000090000000}"/>
    <cellStyle name=" 163 2" xfId="11246" xr:uid="{00000000-0005-0000-0000-000091000000}"/>
    <cellStyle name=" 164" xfId="10553" xr:uid="{00000000-0005-0000-0000-000092000000}"/>
    <cellStyle name=" 164 2" xfId="11247" xr:uid="{00000000-0005-0000-0000-000093000000}"/>
    <cellStyle name=" 165" xfId="10554" xr:uid="{00000000-0005-0000-0000-000094000000}"/>
    <cellStyle name=" 165 2" xfId="11248" xr:uid="{00000000-0005-0000-0000-000095000000}"/>
    <cellStyle name=" 166" xfId="10555" xr:uid="{00000000-0005-0000-0000-000096000000}"/>
    <cellStyle name=" 166 2" xfId="11249" xr:uid="{00000000-0005-0000-0000-000097000000}"/>
    <cellStyle name=" 167" xfId="10556" xr:uid="{00000000-0005-0000-0000-000098000000}"/>
    <cellStyle name=" 167 2" xfId="11250" xr:uid="{00000000-0005-0000-0000-000099000000}"/>
    <cellStyle name=" 168" xfId="10557" xr:uid="{00000000-0005-0000-0000-00009A000000}"/>
    <cellStyle name=" 168 2" xfId="11251" xr:uid="{00000000-0005-0000-0000-00009B000000}"/>
    <cellStyle name=" 169" xfId="10558" xr:uid="{00000000-0005-0000-0000-00009C000000}"/>
    <cellStyle name=" 169 2" xfId="11252" xr:uid="{00000000-0005-0000-0000-00009D000000}"/>
    <cellStyle name=" 17" xfId="10559" xr:uid="{00000000-0005-0000-0000-00009E000000}"/>
    <cellStyle name=" 17 2" xfId="11253" xr:uid="{00000000-0005-0000-0000-00009F000000}"/>
    <cellStyle name=" 170" xfId="10560" xr:uid="{00000000-0005-0000-0000-0000A0000000}"/>
    <cellStyle name=" 170 2" xfId="11254" xr:uid="{00000000-0005-0000-0000-0000A1000000}"/>
    <cellStyle name=" 171" xfId="10561" xr:uid="{00000000-0005-0000-0000-0000A2000000}"/>
    <cellStyle name=" 171 2" xfId="11255" xr:uid="{00000000-0005-0000-0000-0000A3000000}"/>
    <cellStyle name=" 172" xfId="10562" xr:uid="{00000000-0005-0000-0000-0000A4000000}"/>
    <cellStyle name=" 172 2" xfId="11256" xr:uid="{00000000-0005-0000-0000-0000A5000000}"/>
    <cellStyle name=" 173" xfId="10563" xr:uid="{00000000-0005-0000-0000-0000A6000000}"/>
    <cellStyle name=" 173 2" xfId="11257" xr:uid="{00000000-0005-0000-0000-0000A7000000}"/>
    <cellStyle name=" 174" xfId="10564" xr:uid="{00000000-0005-0000-0000-0000A8000000}"/>
    <cellStyle name=" 174 2" xfId="11258" xr:uid="{00000000-0005-0000-0000-0000A9000000}"/>
    <cellStyle name=" 175" xfId="10565" xr:uid="{00000000-0005-0000-0000-0000AA000000}"/>
    <cellStyle name=" 175 2" xfId="11259" xr:uid="{00000000-0005-0000-0000-0000AB000000}"/>
    <cellStyle name=" 176" xfId="10566" xr:uid="{00000000-0005-0000-0000-0000AC000000}"/>
    <cellStyle name=" 176 2" xfId="11260" xr:uid="{00000000-0005-0000-0000-0000AD000000}"/>
    <cellStyle name=" 177" xfId="10567" xr:uid="{00000000-0005-0000-0000-0000AE000000}"/>
    <cellStyle name=" 177 2" xfId="11261" xr:uid="{00000000-0005-0000-0000-0000AF000000}"/>
    <cellStyle name=" 178" xfId="10568" xr:uid="{00000000-0005-0000-0000-0000B0000000}"/>
    <cellStyle name=" 178 2" xfId="11262" xr:uid="{00000000-0005-0000-0000-0000B1000000}"/>
    <cellStyle name=" 179" xfId="10569" xr:uid="{00000000-0005-0000-0000-0000B2000000}"/>
    <cellStyle name=" 179 2" xfId="11263" xr:uid="{00000000-0005-0000-0000-0000B3000000}"/>
    <cellStyle name=" 18" xfId="10570" xr:uid="{00000000-0005-0000-0000-0000B4000000}"/>
    <cellStyle name=" 18 2" xfId="11264" xr:uid="{00000000-0005-0000-0000-0000B5000000}"/>
    <cellStyle name=" 180" xfId="10571" xr:uid="{00000000-0005-0000-0000-0000B6000000}"/>
    <cellStyle name=" 180 2" xfId="11265" xr:uid="{00000000-0005-0000-0000-0000B7000000}"/>
    <cellStyle name=" 181" xfId="10572" xr:uid="{00000000-0005-0000-0000-0000B8000000}"/>
    <cellStyle name=" 181 2" xfId="11266" xr:uid="{00000000-0005-0000-0000-0000B9000000}"/>
    <cellStyle name=" 182" xfId="10573" xr:uid="{00000000-0005-0000-0000-0000BA000000}"/>
    <cellStyle name=" 182 2" xfId="11267" xr:uid="{00000000-0005-0000-0000-0000BB000000}"/>
    <cellStyle name=" 183" xfId="10574" xr:uid="{00000000-0005-0000-0000-0000BC000000}"/>
    <cellStyle name=" 183 2" xfId="11268" xr:uid="{00000000-0005-0000-0000-0000BD000000}"/>
    <cellStyle name=" 184" xfId="10575" xr:uid="{00000000-0005-0000-0000-0000BE000000}"/>
    <cellStyle name=" 184 2" xfId="11269" xr:uid="{00000000-0005-0000-0000-0000BF000000}"/>
    <cellStyle name=" 185" xfId="10576" xr:uid="{00000000-0005-0000-0000-0000C0000000}"/>
    <cellStyle name=" 185 2" xfId="11270" xr:uid="{00000000-0005-0000-0000-0000C1000000}"/>
    <cellStyle name=" 186" xfId="10577" xr:uid="{00000000-0005-0000-0000-0000C2000000}"/>
    <cellStyle name=" 186 2" xfId="11271" xr:uid="{00000000-0005-0000-0000-0000C3000000}"/>
    <cellStyle name=" 187" xfId="10578" xr:uid="{00000000-0005-0000-0000-0000C4000000}"/>
    <cellStyle name=" 187 2" xfId="11272" xr:uid="{00000000-0005-0000-0000-0000C5000000}"/>
    <cellStyle name=" 188" xfId="10579" xr:uid="{00000000-0005-0000-0000-0000C6000000}"/>
    <cellStyle name=" 188 2" xfId="11273" xr:uid="{00000000-0005-0000-0000-0000C7000000}"/>
    <cellStyle name=" 189" xfId="10580" xr:uid="{00000000-0005-0000-0000-0000C8000000}"/>
    <cellStyle name=" 189 2" xfId="11274" xr:uid="{00000000-0005-0000-0000-0000C9000000}"/>
    <cellStyle name=" 19" xfId="10581" xr:uid="{00000000-0005-0000-0000-0000CA000000}"/>
    <cellStyle name=" 19 2" xfId="11275" xr:uid="{00000000-0005-0000-0000-0000CB000000}"/>
    <cellStyle name=" 190" xfId="10582" xr:uid="{00000000-0005-0000-0000-0000CC000000}"/>
    <cellStyle name=" 190 2" xfId="11276" xr:uid="{00000000-0005-0000-0000-0000CD000000}"/>
    <cellStyle name=" 191" xfId="10583" xr:uid="{00000000-0005-0000-0000-0000CE000000}"/>
    <cellStyle name=" 191 2" xfId="11277" xr:uid="{00000000-0005-0000-0000-0000CF000000}"/>
    <cellStyle name=" 192" xfId="10584" xr:uid="{00000000-0005-0000-0000-0000D0000000}"/>
    <cellStyle name=" 192 2" xfId="11278" xr:uid="{00000000-0005-0000-0000-0000D1000000}"/>
    <cellStyle name=" 193" xfId="10585" xr:uid="{00000000-0005-0000-0000-0000D2000000}"/>
    <cellStyle name=" 193 2" xfId="11279" xr:uid="{00000000-0005-0000-0000-0000D3000000}"/>
    <cellStyle name=" 194" xfId="10586" xr:uid="{00000000-0005-0000-0000-0000D4000000}"/>
    <cellStyle name=" 194 2" xfId="11280" xr:uid="{00000000-0005-0000-0000-0000D5000000}"/>
    <cellStyle name=" 195" xfId="10587" xr:uid="{00000000-0005-0000-0000-0000D6000000}"/>
    <cellStyle name=" 195 2" xfId="11281" xr:uid="{00000000-0005-0000-0000-0000D7000000}"/>
    <cellStyle name=" 196" xfId="10588" xr:uid="{00000000-0005-0000-0000-0000D8000000}"/>
    <cellStyle name=" 196 2" xfId="11282" xr:uid="{00000000-0005-0000-0000-0000D9000000}"/>
    <cellStyle name=" 197" xfId="10589" xr:uid="{00000000-0005-0000-0000-0000DA000000}"/>
    <cellStyle name=" 197 2" xfId="11283" xr:uid="{00000000-0005-0000-0000-0000DB000000}"/>
    <cellStyle name=" 198" xfId="10590" xr:uid="{00000000-0005-0000-0000-0000DC000000}"/>
    <cellStyle name=" 198 2" xfId="11284" xr:uid="{00000000-0005-0000-0000-0000DD000000}"/>
    <cellStyle name=" 199" xfId="10591" xr:uid="{00000000-0005-0000-0000-0000DE000000}"/>
    <cellStyle name=" 199 2" xfId="11285" xr:uid="{00000000-0005-0000-0000-0000DF000000}"/>
    <cellStyle name=" 2" xfId="10592" xr:uid="{00000000-0005-0000-0000-0000E0000000}"/>
    <cellStyle name="— 2" xfId="4227" xr:uid="{00000000-0005-0000-0000-0000E1000000}"/>
    <cellStyle name=" 2 2" xfId="11286" xr:uid="{00000000-0005-0000-0000-0000E2000000}"/>
    <cellStyle name=" 2 3" xfId="11287" xr:uid="{00000000-0005-0000-0000-0000E3000000}"/>
    <cellStyle name=" 2 4" xfId="11288" xr:uid="{00000000-0005-0000-0000-0000E4000000}"/>
    <cellStyle name=" 20" xfId="10593" xr:uid="{00000000-0005-0000-0000-0000E5000000}"/>
    <cellStyle name=" 20 2" xfId="11289" xr:uid="{00000000-0005-0000-0000-0000E6000000}"/>
    <cellStyle name=" 200" xfId="10594" xr:uid="{00000000-0005-0000-0000-0000E7000000}"/>
    <cellStyle name=" 200 2" xfId="11290" xr:uid="{00000000-0005-0000-0000-0000E8000000}"/>
    <cellStyle name=" 201" xfId="10595" xr:uid="{00000000-0005-0000-0000-0000E9000000}"/>
    <cellStyle name=" 201 2" xfId="11291" xr:uid="{00000000-0005-0000-0000-0000EA000000}"/>
    <cellStyle name=" 202" xfId="10596" xr:uid="{00000000-0005-0000-0000-0000EB000000}"/>
    <cellStyle name=" 202 2" xfId="11292" xr:uid="{00000000-0005-0000-0000-0000EC000000}"/>
    <cellStyle name=" 203" xfId="10597" xr:uid="{00000000-0005-0000-0000-0000ED000000}"/>
    <cellStyle name=" 203 2" xfId="11293" xr:uid="{00000000-0005-0000-0000-0000EE000000}"/>
    <cellStyle name=" 204" xfId="10598" xr:uid="{00000000-0005-0000-0000-0000EF000000}"/>
    <cellStyle name=" 204 2" xfId="11294" xr:uid="{00000000-0005-0000-0000-0000F0000000}"/>
    <cellStyle name=" 205" xfId="10599" xr:uid="{00000000-0005-0000-0000-0000F1000000}"/>
    <cellStyle name=" 205 2" xfId="11295" xr:uid="{00000000-0005-0000-0000-0000F2000000}"/>
    <cellStyle name=" 206" xfId="10600" xr:uid="{00000000-0005-0000-0000-0000F3000000}"/>
    <cellStyle name=" 206 2" xfId="11296" xr:uid="{00000000-0005-0000-0000-0000F4000000}"/>
    <cellStyle name=" 207" xfId="10601" xr:uid="{00000000-0005-0000-0000-0000F5000000}"/>
    <cellStyle name=" 207 2" xfId="11297" xr:uid="{00000000-0005-0000-0000-0000F6000000}"/>
    <cellStyle name=" 208" xfId="10602" xr:uid="{00000000-0005-0000-0000-0000F7000000}"/>
    <cellStyle name=" 208 2" xfId="11298" xr:uid="{00000000-0005-0000-0000-0000F8000000}"/>
    <cellStyle name=" 209" xfId="10603" xr:uid="{00000000-0005-0000-0000-0000F9000000}"/>
    <cellStyle name=" 209 2" xfId="11299" xr:uid="{00000000-0005-0000-0000-0000FA000000}"/>
    <cellStyle name=" 21" xfId="10604" xr:uid="{00000000-0005-0000-0000-0000FB000000}"/>
    <cellStyle name=" 21 2" xfId="11300" xr:uid="{00000000-0005-0000-0000-0000FC000000}"/>
    <cellStyle name=" 210" xfId="10605" xr:uid="{00000000-0005-0000-0000-0000FD000000}"/>
    <cellStyle name=" 210 2" xfId="11301" xr:uid="{00000000-0005-0000-0000-0000FE000000}"/>
    <cellStyle name=" 211" xfId="10606" xr:uid="{00000000-0005-0000-0000-0000FF000000}"/>
    <cellStyle name=" 211 2" xfId="11302" xr:uid="{00000000-0005-0000-0000-000000010000}"/>
    <cellStyle name=" 212" xfId="10607" xr:uid="{00000000-0005-0000-0000-000001010000}"/>
    <cellStyle name=" 212 2" xfId="11303" xr:uid="{00000000-0005-0000-0000-000002010000}"/>
    <cellStyle name=" 213" xfId="10608" xr:uid="{00000000-0005-0000-0000-000003010000}"/>
    <cellStyle name=" 213 2" xfId="11304" xr:uid="{00000000-0005-0000-0000-000004010000}"/>
    <cellStyle name=" 214" xfId="10609" xr:uid="{00000000-0005-0000-0000-000005010000}"/>
    <cellStyle name=" 214 2" xfId="11305" xr:uid="{00000000-0005-0000-0000-000006010000}"/>
    <cellStyle name=" 215" xfId="10610" xr:uid="{00000000-0005-0000-0000-000007010000}"/>
    <cellStyle name=" 215 2" xfId="11306" xr:uid="{00000000-0005-0000-0000-000008010000}"/>
    <cellStyle name=" 216" xfId="10611" xr:uid="{00000000-0005-0000-0000-000009010000}"/>
    <cellStyle name=" 216 2" xfId="11307" xr:uid="{00000000-0005-0000-0000-00000A010000}"/>
    <cellStyle name=" 217" xfId="10612" xr:uid="{00000000-0005-0000-0000-00000B010000}"/>
    <cellStyle name=" 217 2" xfId="11308" xr:uid="{00000000-0005-0000-0000-00000C010000}"/>
    <cellStyle name=" 218" xfId="10613" xr:uid="{00000000-0005-0000-0000-00000D010000}"/>
    <cellStyle name=" 218 2" xfId="11309" xr:uid="{00000000-0005-0000-0000-00000E010000}"/>
    <cellStyle name=" 219" xfId="10614" xr:uid="{00000000-0005-0000-0000-00000F010000}"/>
    <cellStyle name=" 219 2" xfId="11310" xr:uid="{00000000-0005-0000-0000-000010010000}"/>
    <cellStyle name=" 22" xfId="10615" xr:uid="{00000000-0005-0000-0000-000011010000}"/>
    <cellStyle name=" 22 2" xfId="11311" xr:uid="{00000000-0005-0000-0000-000012010000}"/>
    <cellStyle name=" 220" xfId="10616" xr:uid="{00000000-0005-0000-0000-000013010000}"/>
    <cellStyle name=" 220 2" xfId="11312" xr:uid="{00000000-0005-0000-0000-000014010000}"/>
    <cellStyle name=" 221" xfId="10617" xr:uid="{00000000-0005-0000-0000-000015010000}"/>
    <cellStyle name=" 221 2" xfId="11313" xr:uid="{00000000-0005-0000-0000-000016010000}"/>
    <cellStyle name=" 222" xfId="10618" xr:uid="{00000000-0005-0000-0000-000017010000}"/>
    <cellStyle name=" 222 2" xfId="11314" xr:uid="{00000000-0005-0000-0000-000018010000}"/>
    <cellStyle name=" 223" xfId="10619" xr:uid="{00000000-0005-0000-0000-000019010000}"/>
    <cellStyle name=" 223 2" xfId="11315" xr:uid="{00000000-0005-0000-0000-00001A010000}"/>
    <cellStyle name=" 224" xfId="10620" xr:uid="{00000000-0005-0000-0000-00001B010000}"/>
    <cellStyle name=" 224 2" xfId="11316" xr:uid="{00000000-0005-0000-0000-00001C010000}"/>
    <cellStyle name=" 225" xfId="10621" xr:uid="{00000000-0005-0000-0000-00001D010000}"/>
    <cellStyle name=" 225 2" xfId="11317" xr:uid="{00000000-0005-0000-0000-00001E010000}"/>
    <cellStyle name=" 226" xfId="10622" xr:uid="{00000000-0005-0000-0000-00001F010000}"/>
    <cellStyle name=" 226 2" xfId="11318" xr:uid="{00000000-0005-0000-0000-000020010000}"/>
    <cellStyle name=" 227" xfId="10623" xr:uid="{00000000-0005-0000-0000-000021010000}"/>
    <cellStyle name=" 227 2" xfId="11319" xr:uid="{00000000-0005-0000-0000-000022010000}"/>
    <cellStyle name=" 228" xfId="10624" xr:uid="{00000000-0005-0000-0000-000023010000}"/>
    <cellStyle name=" 228 2" xfId="11320" xr:uid="{00000000-0005-0000-0000-000024010000}"/>
    <cellStyle name=" 229" xfId="10625" xr:uid="{00000000-0005-0000-0000-000025010000}"/>
    <cellStyle name=" 229 2" xfId="11321" xr:uid="{00000000-0005-0000-0000-000026010000}"/>
    <cellStyle name=" 23" xfId="10626" xr:uid="{00000000-0005-0000-0000-000027010000}"/>
    <cellStyle name=" 23 2" xfId="11322" xr:uid="{00000000-0005-0000-0000-000028010000}"/>
    <cellStyle name=" 230" xfId="10627" xr:uid="{00000000-0005-0000-0000-000029010000}"/>
    <cellStyle name=" 230 2" xfId="11323" xr:uid="{00000000-0005-0000-0000-00002A010000}"/>
    <cellStyle name=" 231" xfId="10628" xr:uid="{00000000-0005-0000-0000-00002B010000}"/>
    <cellStyle name=" 231 2" xfId="11324" xr:uid="{00000000-0005-0000-0000-00002C010000}"/>
    <cellStyle name=" 232" xfId="10629" xr:uid="{00000000-0005-0000-0000-00002D010000}"/>
    <cellStyle name=" 232 2" xfId="11325" xr:uid="{00000000-0005-0000-0000-00002E010000}"/>
    <cellStyle name=" 233" xfId="10630" xr:uid="{00000000-0005-0000-0000-00002F010000}"/>
    <cellStyle name=" 233 2" xfId="11326" xr:uid="{00000000-0005-0000-0000-000030010000}"/>
    <cellStyle name=" 234" xfId="10631" xr:uid="{00000000-0005-0000-0000-000031010000}"/>
    <cellStyle name=" 234 2" xfId="11327" xr:uid="{00000000-0005-0000-0000-000032010000}"/>
    <cellStyle name=" 235" xfId="10632" xr:uid="{00000000-0005-0000-0000-000033010000}"/>
    <cellStyle name=" 235 2" xfId="11328" xr:uid="{00000000-0005-0000-0000-000034010000}"/>
    <cellStyle name=" 236" xfId="10633" xr:uid="{00000000-0005-0000-0000-000035010000}"/>
    <cellStyle name=" 236 2" xfId="11329" xr:uid="{00000000-0005-0000-0000-000036010000}"/>
    <cellStyle name=" 237" xfId="10634" xr:uid="{00000000-0005-0000-0000-000037010000}"/>
    <cellStyle name=" 237 2" xfId="11330" xr:uid="{00000000-0005-0000-0000-000038010000}"/>
    <cellStyle name=" 238" xfId="10635" xr:uid="{00000000-0005-0000-0000-000039010000}"/>
    <cellStyle name=" 238 2" xfId="11331" xr:uid="{00000000-0005-0000-0000-00003A010000}"/>
    <cellStyle name=" 239" xfId="10636" xr:uid="{00000000-0005-0000-0000-00003B010000}"/>
    <cellStyle name=" 239 2" xfId="11332" xr:uid="{00000000-0005-0000-0000-00003C010000}"/>
    <cellStyle name=" 24" xfId="10637" xr:uid="{00000000-0005-0000-0000-00003D010000}"/>
    <cellStyle name=" 24 2" xfId="11333" xr:uid="{00000000-0005-0000-0000-00003E010000}"/>
    <cellStyle name=" 240" xfId="10638" xr:uid="{00000000-0005-0000-0000-00003F010000}"/>
    <cellStyle name=" 240 2" xfId="11334" xr:uid="{00000000-0005-0000-0000-000040010000}"/>
    <cellStyle name=" 241" xfId="10639" xr:uid="{00000000-0005-0000-0000-000041010000}"/>
    <cellStyle name=" 241 2" xfId="11335" xr:uid="{00000000-0005-0000-0000-000042010000}"/>
    <cellStyle name=" 242" xfId="10640" xr:uid="{00000000-0005-0000-0000-000043010000}"/>
    <cellStyle name=" 242 2" xfId="11336" xr:uid="{00000000-0005-0000-0000-000044010000}"/>
    <cellStyle name=" 243" xfId="10641" xr:uid="{00000000-0005-0000-0000-000045010000}"/>
    <cellStyle name=" 243 2" xfId="11337" xr:uid="{00000000-0005-0000-0000-000046010000}"/>
    <cellStyle name=" 244" xfId="10642" xr:uid="{00000000-0005-0000-0000-000047010000}"/>
    <cellStyle name=" 244 2" xfId="11338" xr:uid="{00000000-0005-0000-0000-000048010000}"/>
    <cellStyle name=" 245" xfId="10643" xr:uid="{00000000-0005-0000-0000-000049010000}"/>
    <cellStyle name=" 245 2" xfId="11339" xr:uid="{00000000-0005-0000-0000-00004A010000}"/>
    <cellStyle name=" 246" xfId="10644" xr:uid="{00000000-0005-0000-0000-00004B010000}"/>
    <cellStyle name=" 246 2" xfId="11340" xr:uid="{00000000-0005-0000-0000-00004C010000}"/>
    <cellStyle name=" 247" xfId="10645" xr:uid="{00000000-0005-0000-0000-00004D010000}"/>
    <cellStyle name=" 247 2" xfId="11341" xr:uid="{00000000-0005-0000-0000-00004E010000}"/>
    <cellStyle name=" 248" xfId="10646" xr:uid="{00000000-0005-0000-0000-00004F010000}"/>
    <cellStyle name=" 248 2" xfId="11342" xr:uid="{00000000-0005-0000-0000-000050010000}"/>
    <cellStyle name=" 249" xfId="10647" xr:uid="{00000000-0005-0000-0000-000051010000}"/>
    <cellStyle name=" 249 2" xfId="11343" xr:uid="{00000000-0005-0000-0000-000052010000}"/>
    <cellStyle name=" 25" xfId="10648" xr:uid="{00000000-0005-0000-0000-000053010000}"/>
    <cellStyle name=" 25 2" xfId="11344" xr:uid="{00000000-0005-0000-0000-000054010000}"/>
    <cellStyle name=" 250" xfId="10649" xr:uid="{00000000-0005-0000-0000-000055010000}"/>
    <cellStyle name=" 250 2" xfId="11345" xr:uid="{00000000-0005-0000-0000-000056010000}"/>
    <cellStyle name=" 251" xfId="10650" xr:uid="{00000000-0005-0000-0000-000057010000}"/>
    <cellStyle name=" 251 2" xfId="11346" xr:uid="{00000000-0005-0000-0000-000058010000}"/>
    <cellStyle name=" 252" xfId="10651" xr:uid="{00000000-0005-0000-0000-000059010000}"/>
    <cellStyle name=" 252 2" xfId="11347" xr:uid="{00000000-0005-0000-0000-00005A010000}"/>
    <cellStyle name=" 253" xfId="10652" xr:uid="{00000000-0005-0000-0000-00005B010000}"/>
    <cellStyle name=" 253 2" xfId="11348" xr:uid="{00000000-0005-0000-0000-00005C010000}"/>
    <cellStyle name=" 254" xfId="10653" xr:uid="{00000000-0005-0000-0000-00005D010000}"/>
    <cellStyle name=" 254 2" xfId="11349" xr:uid="{00000000-0005-0000-0000-00005E010000}"/>
    <cellStyle name=" 255" xfId="10654" xr:uid="{00000000-0005-0000-0000-00005F010000}"/>
    <cellStyle name=" 255 2" xfId="11350" xr:uid="{00000000-0005-0000-0000-000060010000}"/>
    <cellStyle name=" 26" xfId="10655" xr:uid="{00000000-0005-0000-0000-000061010000}"/>
    <cellStyle name=" 26 2" xfId="11351" xr:uid="{00000000-0005-0000-0000-000062010000}"/>
    <cellStyle name=" 27" xfId="10656" xr:uid="{00000000-0005-0000-0000-000063010000}"/>
    <cellStyle name=" 27 2" xfId="11352" xr:uid="{00000000-0005-0000-0000-000064010000}"/>
    <cellStyle name=" 28" xfId="10657" xr:uid="{00000000-0005-0000-0000-000065010000}"/>
    <cellStyle name=" 28 2" xfId="11353" xr:uid="{00000000-0005-0000-0000-000066010000}"/>
    <cellStyle name=" 29" xfId="10658" xr:uid="{00000000-0005-0000-0000-000067010000}"/>
    <cellStyle name=" 29 2" xfId="11354" xr:uid="{00000000-0005-0000-0000-000068010000}"/>
    <cellStyle name=" 3" xfId="10659" xr:uid="{00000000-0005-0000-0000-000069010000}"/>
    <cellStyle name=" 30" xfId="10660" xr:uid="{00000000-0005-0000-0000-00006A010000}"/>
    <cellStyle name=" 31" xfId="10661" xr:uid="{00000000-0005-0000-0000-00006B010000}"/>
    <cellStyle name=" 32" xfId="10662" xr:uid="{00000000-0005-0000-0000-00006C010000}"/>
    <cellStyle name=" 33" xfId="10663" xr:uid="{00000000-0005-0000-0000-00006D010000}"/>
    <cellStyle name=" 34" xfId="10664" xr:uid="{00000000-0005-0000-0000-00006E010000}"/>
    <cellStyle name=" 35" xfId="10665" xr:uid="{00000000-0005-0000-0000-00006F010000}"/>
    <cellStyle name=" 36" xfId="10666" xr:uid="{00000000-0005-0000-0000-000070010000}"/>
    <cellStyle name=" 37" xfId="10667" xr:uid="{00000000-0005-0000-0000-000071010000}"/>
    <cellStyle name=" 38" xfId="10668" xr:uid="{00000000-0005-0000-0000-000072010000}"/>
    <cellStyle name=" 39" xfId="10669" xr:uid="{00000000-0005-0000-0000-000073010000}"/>
    <cellStyle name=" 4" xfId="10670" xr:uid="{00000000-0005-0000-0000-000074010000}"/>
    <cellStyle name=" 40" xfId="10671" xr:uid="{00000000-0005-0000-0000-000075010000}"/>
    <cellStyle name=" 41" xfId="10672" xr:uid="{00000000-0005-0000-0000-000076010000}"/>
    <cellStyle name=" 42" xfId="10673" xr:uid="{00000000-0005-0000-0000-000077010000}"/>
    <cellStyle name=" 43" xfId="10674" xr:uid="{00000000-0005-0000-0000-000078010000}"/>
    <cellStyle name=" 44" xfId="10675" xr:uid="{00000000-0005-0000-0000-000079010000}"/>
    <cellStyle name=" 45" xfId="10676" xr:uid="{00000000-0005-0000-0000-00007A010000}"/>
    <cellStyle name=" 46" xfId="10677" xr:uid="{00000000-0005-0000-0000-00007B010000}"/>
    <cellStyle name=" 47" xfId="10678" xr:uid="{00000000-0005-0000-0000-00007C010000}"/>
    <cellStyle name=" 48" xfId="10679" xr:uid="{00000000-0005-0000-0000-00007D010000}"/>
    <cellStyle name=" 49" xfId="10680" xr:uid="{00000000-0005-0000-0000-00007E010000}"/>
    <cellStyle name=" 5" xfId="10681" xr:uid="{00000000-0005-0000-0000-00007F010000}"/>
    <cellStyle name=" 50" xfId="10682" xr:uid="{00000000-0005-0000-0000-000080010000}"/>
    <cellStyle name=" 51" xfId="10683" xr:uid="{00000000-0005-0000-0000-000081010000}"/>
    <cellStyle name=" 52" xfId="10684" xr:uid="{00000000-0005-0000-0000-000082010000}"/>
    <cellStyle name=" 53" xfId="10685" xr:uid="{00000000-0005-0000-0000-000083010000}"/>
    <cellStyle name=" 54" xfId="10686" xr:uid="{00000000-0005-0000-0000-000084010000}"/>
    <cellStyle name=" 55" xfId="10687" xr:uid="{00000000-0005-0000-0000-000085010000}"/>
    <cellStyle name=" 56" xfId="10688" xr:uid="{00000000-0005-0000-0000-000086010000}"/>
    <cellStyle name=" 57" xfId="10689" xr:uid="{00000000-0005-0000-0000-000087010000}"/>
    <cellStyle name=" 58" xfId="10690" xr:uid="{00000000-0005-0000-0000-000088010000}"/>
    <cellStyle name=" 59" xfId="10691" xr:uid="{00000000-0005-0000-0000-000089010000}"/>
    <cellStyle name=" 6" xfId="10692" xr:uid="{00000000-0005-0000-0000-00008A010000}"/>
    <cellStyle name=" 60" xfId="10693" xr:uid="{00000000-0005-0000-0000-00008B010000}"/>
    <cellStyle name=" 61" xfId="10694" xr:uid="{00000000-0005-0000-0000-00008C010000}"/>
    <cellStyle name=" 62" xfId="10695" xr:uid="{00000000-0005-0000-0000-00008D010000}"/>
    <cellStyle name=" 63" xfId="10696" xr:uid="{00000000-0005-0000-0000-00008E010000}"/>
    <cellStyle name=" 64" xfId="10697" xr:uid="{00000000-0005-0000-0000-00008F010000}"/>
    <cellStyle name=" 65" xfId="10698" xr:uid="{00000000-0005-0000-0000-000090010000}"/>
    <cellStyle name=" 66" xfId="10699" xr:uid="{00000000-0005-0000-0000-000091010000}"/>
    <cellStyle name=" 67" xfId="10700" xr:uid="{00000000-0005-0000-0000-000092010000}"/>
    <cellStyle name=" 68" xfId="10701" xr:uid="{00000000-0005-0000-0000-000093010000}"/>
    <cellStyle name=" 69" xfId="10702" xr:uid="{00000000-0005-0000-0000-000094010000}"/>
    <cellStyle name=" 7" xfId="10703" xr:uid="{00000000-0005-0000-0000-000095010000}"/>
    <cellStyle name=" 70" xfId="10704" xr:uid="{00000000-0005-0000-0000-000096010000}"/>
    <cellStyle name=" 71" xfId="10705" xr:uid="{00000000-0005-0000-0000-000097010000}"/>
    <cellStyle name=" 72" xfId="10706" xr:uid="{00000000-0005-0000-0000-000098010000}"/>
    <cellStyle name=" 73" xfId="10707" xr:uid="{00000000-0005-0000-0000-000099010000}"/>
    <cellStyle name=" 74" xfId="10708" xr:uid="{00000000-0005-0000-0000-00009A010000}"/>
    <cellStyle name=" 75" xfId="10709" xr:uid="{00000000-0005-0000-0000-00009B010000}"/>
    <cellStyle name=" 76" xfId="10710" xr:uid="{00000000-0005-0000-0000-00009C010000}"/>
    <cellStyle name=" 77" xfId="10711" xr:uid="{00000000-0005-0000-0000-00009D010000}"/>
    <cellStyle name=" 78" xfId="10712" xr:uid="{00000000-0005-0000-0000-00009E010000}"/>
    <cellStyle name=" 79" xfId="10713" xr:uid="{00000000-0005-0000-0000-00009F010000}"/>
    <cellStyle name=" 8" xfId="10714" xr:uid="{00000000-0005-0000-0000-0000A0010000}"/>
    <cellStyle name=" 80" xfId="10715" xr:uid="{00000000-0005-0000-0000-0000A1010000}"/>
    <cellStyle name=" 81" xfId="10716" xr:uid="{00000000-0005-0000-0000-0000A2010000}"/>
    <cellStyle name=" 82" xfId="10717" xr:uid="{00000000-0005-0000-0000-0000A3010000}"/>
    <cellStyle name=" 83" xfId="10718" xr:uid="{00000000-0005-0000-0000-0000A4010000}"/>
    <cellStyle name=" 84" xfId="10719" xr:uid="{00000000-0005-0000-0000-0000A5010000}"/>
    <cellStyle name=" 85" xfId="10720" xr:uid="{00000000-0005-0000-0000-0000A6010000}"/>
    <cellStyle name=" 86" xfId="10721" xr:uid="{00000000-0005-0000-0000-0000A7010000}"/>
    <cellStyle name=" 87" xfId="10722" xr:uid="{00000000-0005-0000-0000-0000A8010000}"/>
    <cellStyle name=" 88" xfId="10723" xr:uid="{00000000-0005-0000-0000-0000A9010000}"/>
    <cellStyle name=" 89" xfId="10724" xr:uid="{00000000-0005-0000-0000-0000AA010000}"/>
    <cellStyle name=" 9" xfId="10725" xr:uid="{00000000-0005-0000-0000-0000AB010000}"/>
    <cellStyle name=" 90" xfId="10726" xr:uid="{00000000-0005-0000-0000-0000AC010000}"/>
    <cellStyle name=" 91" xfId="10727" xr:uid="{00000000-0005-0000-0000-0000AD010000}"/>
    <cellStyle name=" 92" xfId="10728" xr:uid="{00000000-0005-0000-0000-0000AE010000}"/>
    <cellStyle name=" 93" xfId="10729" xr:uid="{00000000-0005-0000-0000-0000AF010000}"/>
    <cellStyle name=" 94" xfId="10730" xr:uid="{00000000-0005-0000-0000-0000B0010000}"/>
    <cellStyle name=" 95" xfId="10731" xr:uid="{00000000-0005-0000-0000-0000B1010000}"/>
    <cellStyle name=" 96" xfId="10732" xr:uid="{00000000-0005-0000-0000-0000B2010000}"/>
    <cellStyle name=" 97" xfId="10733" xr:uid="{00000000-0005-0000-0000-0000B3010000}"/>
    <cellStyle name=" 98" xfId="10734" xr:uid="{00000000-0005-0000-0000-0000B4010000}"/>
    <cellStyle name=" 99" xfId="10735" xr:uid="{00000000-0005-0000-0000-0000B5010000}"/>
    <cellStyle name="_x000a_386grabber=M" xfId="10282" xr:uid="{00000000-0005-0000-0000-0000B6010000}"/>
    <cellStyle name="_x000a_386grabber=M 2" xfId="10404" xr:uid="{00000000-0005-0000-0000-0000B7010000}"/>
    <cellStyle name="_x000a_386grabber=M 3" xfId="10736" xr:uid="{00000000-0005-0000-0000-0000B8010000}"/>
    <cellStyle name="_x000a_bidires=100_x000d_" xfId="10963" xr:uid="{00000000-0005-0000-0000-0000B9010000}"/>
    <cellStyle name="_x000a_mouse.drv=lm" xfId="1" xr:uid="{00000000-0005-0000-0000-0000BA010000}"/>
    <cellStyle name="_x000d__x000a_JournalTemplate=C:\COMFO\CTALK\JOURSTD.TPL_x000d__x000a_LbStateAddress=3 3 0 251 1 89 2 311_x000d__x000a_LbStateJou" xfId="7815" xr:uid="{00000000-0005-0000-0000-0000BB010000}"/>
    <cellStyle name="$" xfId="10405" xr:uid="{00000000-0005-0000-0000-0000BC010000}"/>
    <cellStyle name="$ 2" xfId="10964" xr:uid="{00000000-0005-0000-0000-0000BD010000}"/>
    <cellStyle name="$_db진흥" xfId="10406" xr:uid="{00000000-0005-0000-0000-0000BE010000}"/>
    <cellStyle name="$_PCP" xfId="10965" xr:uid="{00000000-0005-0000-0000-0000BF010000}"/>
    <cellStyle name="$_견적2" xfId="10407" xr:uid="{00000000-0005-0000-0000-0000C0010000}"/>
    <cellStyle name="$_기아" xfId="10408" xr:uid="{00000000-0005-0000-0000-0000C1010000}"/>
    <cellStyle name="$0.0" xfId="10966" xr:uid="{00000000-0005-0000-0000-0000C2010000}"/>
    <cellStyle name="$0.00" xfId="10967" xr:uid="{00000000-0005-0000-0000-0000C3010000}"/>
    <cellStyle name="$0.000" xfId="10968" xr:uid="{00000000-0005-0000-0000-0000C4010000}"/>
    <cellStyle name="$3places" xfId="10969" xr:uid="{00000000-0005-0000-0000-0000C5010000}"/>
    <cellStyle name="$m" xfId="10970" xr:uid="{00000000-0005-0000-0000-0000C6010000}"/>
    <cellStyle name="$q" xfId="10971" xr:uid="{00000000-0005-0000-0000-0000C7010000}"/>
    <cellStyle name="$q*" xfId="10972" xr:uid="{00000000-0005-0000-0000-0000C8010000}"/>
    <cellStyle name="$qA" xfId="10973" xr:uid="{00000000-0005-0000-0000-0000C9010000}"/>
    <cellStyle name="$qRange" xfId="10974" xr:uid="{00000000-0005-0000-0000-0000CA010000}"/>
    <cellStyle name="%" xfId="6964" xr:uid="{00000000-0005-0000-0000-0000CB010000}"/>
    <cellStyle name="% inc" xfId="2545" xr:uid="{00000000-0005-0000-0000-0000CC010000}"/>
    <cellStyle name="% XX, X" xfId="10975" xr:uid="{00000000-0005-0000-0000-0000CD010000}"/>
    <cellStyle name="% XX,X" xfId="10976" xr:uid="{00000000-0005-0000-0000-0000CE010000}"/>
    <cellStyle name="(1,000)" xfId="2546" xr:uid="{00000000-0005-0000-0000-0000CF010000}"/>
    <cellStyle name="(1,000) 2" xfId="10739" xr:uid="{00000000-0005-0000-0000-0000D0010000}"/>
    <cellStyle name="(1,000)x" xfId="2547" xr:uid="{00000000-0005-0000-0000-0000D1010000}"/>
    <cellStyle name="(1,000)x 2" xfId="10409" xr:uid="{00000000-0005-0000-0000-0000D2010000}"/>
    <cellStyle name="******************************************" xfId="2548" xr:uid="{00000000-0005-0000-0000-0000D3010000}"/>
    <cellStyle name="_x0002_._x0011__x0002_._x001b__x0002_ _x0015_%_x0018__x0001_" xfId="10740" xr:uid="{00000000-0005-0000-0000-0000D4010000}"/>
    <cellStyle name="_x0002_._x0011__x0002_._x001b__x0002_ _x0015_%_x0018__x0001_ 2" xfId="10741" xr:uid="{00000000-0005-0000-0000-0000D5010000}"/>
    <cellStyle name="_x0002_._x0011__x0002_._x001b__x0002_ _x0015_%_x0018__x0001_ 3" xfId="10742" xr:uid="{00000000-0005-0000-0000-0000D6010000}"/>
    <cellStyle name="?" xfId="2549" xr:uid="{00000000-0005-0000-0000-0000D7010000}"/>
    <cellStyle name="_x001f_?--_x0004_ _x000c__x0009__x0003__x000b__x0001__x000a__x000b__x0002_--_x0008__x0004__x0002__x0002__x0007__x0007__x0007__x0007__x0007__x0007__x0007__x0007__x0007__x0007__x0007__x0007__x0007__x0007__x0002_-_x0004_ _x000c__x0009__x0003__x000b__x0001__x000a__x000b__x0002_--_x0008__x0002_" xfId="10410" xr:uid="{00000000-0005-0000-0000-0000D8010000}"/>
    <cellStyle name="? 2" xfId="4228" xr:uid="{00000000-0005-0000-0000-0000D9010000}"/>
    <cellStyle name="??" xfId="2550" xr:uid="{00000000-0005-0000-0000-0000DA010000}"/>
    <cellStyle name="?? [0.00]_8267BS (J) t" xfId="10283" xr:uid="{00000000-0005-0000-0000-0000DB010000}"/>
    <cellStyle name="?? [0]_% relative perform" xfId="10411" xr:uid="{00000000-0005-0000-0000-0000DC010000}"/>
    <cellStyle name="??&amp;O?&amp;H?_x0008__x000f__x0007_?_x0007__x0001__x0001_" xfId="10412" xr:uid="{00000000-0005-0000-0000-0000DD010000}"/>
    <cellStyle name="??&amp;O?&amp;H?_x0008_??_x0007__x0001__x0001_" xfId="10413" xr:uid="{00000000-0005-0000-0000-0000DE010000}"/>
    <cellStyle name="???? [0.00]_BS (J)P) t" xfId="10284" xr:uid="{00000000-0005-0000-0000-0000DF010000}"/>
    <cellStyle name="?????" xfId="10977" xr:uid="{00000000-0005-0000-0000-0000E0010000}"/>
    <cellStyle name="????_ADSL forecast" xfId="2551" xr:uid="{00000000-0005-0000-0000-0000E1010000}"/>
    <cellStyle name="???[0]_2L-PATIC" xfId="2552" xr:uid="{00000000-0005-0000-0000-0000E2010000}"/>
    <cellStyle name="???_2L-PATIC" xfId="2553" xr:uid="{00000000-0005-0000-0000-0000E3010000}"/>
    <cellStyle name="??[0]_laroux" xfId="2554" xr:uid="{00000000-0005-0000-0000-0000E4010000}"/>
    <cellStyle name="??_% relative perform" xfId="10414" xr:uid="{00000000-0005-0000-0000-0000E5010000}"/>
    <cellStyle name="??í¨_GD Model " xfId="2555" xr:uid="{00000000-0005-0000-0000-0000E6010000}"/>
    <cellStyle name="?@¯e_LOAN (2)" xfId="10743" xr:uid="{00000000-0005-0000-0000-0000E7010000}"/>
    <cellStyle name="?@疾_2332JT3_2313COP2 " xfId="10744" xr:uid="{00000000-0005-0000-0000-0000E8010000}"/>
    <cellStyle name="?_Cheng Shin Model" xfId="2556" xr:uid="{00000000-0005-0000-0000-0000E9010000}"/>
    <cellStyle name="?_Cheng Shin Model 2" xfId="10285" xr:uid="{00000000-0005-0000-0000-0000EA010000}"/>
    <cellStyle name="?_Cheng Shin Model_Marketing file_ Exhibits" xfId="10286" xr:uid="{00000000-0005-0000-0000-0000EB010000}"/>
    <cellStyle name="?_Cheng Shin Model_People's food-Initiation exhibits" xfId="10287" xr:uid="{00000000-0005-0000-0000-0000EC010000}"/>
    <cellStyle name="?_Cheng Shin Model1" xfId="10745" xr:uid="{00000000-0005-0000-0000-0000ED010000}"/>
    <cellStyle name="?_EM-HTI" xfId="2557" xr:uid="{00000000-0005-0000-0000-0000EE010000}"/>
    <cellStyle name="?_EM-HTI_Marketing file_ Exhibits" xfId="10288" xr:uid="{00000000-0005-0000-0000-0000EF010000}"/>
    <cellStyle name="?_EM-HTI_People's food-Initiation exhibits" xfId="10289" xr:uid="{00000000-0005-0000-0000-0000F0010000}"/>
    <cellStyle name="?_EM-KT" xfId="2558" xr:uid="{00000000-0005-0000-0000-0000F1010000}"/>
    <cellStyle name="?_EM-KT_2353tw_WIP" xfId="10746" xr:uid="{00000000-0005-0000-0000-0000F2010000}"/>
    <cellStyle name="?_EM-KT_2353tw_WIP modified" xfId="10747" xr:uid="{00000000-0005-0000-0000-0000F3010000}"/>
    <cellStyle name="?_EM-KT_BenQ Mode (GQ) 072604" xfId="10748" xr:uid="{00000000-0005-0000-0000-0000F4010000}"/>
    <cellStyle name="?_EM-KT_BenQ Model (4Q actual)" xfId="10749" xr:uid="{00000000-0005-0000-0000-0000F5010000}"/>
    <cellStyle name="?_EM-KT_BenQ Model consolidated 092304" xfId="10750" xr:uid="{00000000-0005-0000-0000-0000F6010000}"/>
    <cellStyle name="?_EM-KT_BenQ Model consolidated-wip" xfId="10751" xr:uid="{00000000-0005-0000-0000-0000F7010000}"/>
    <cellStyle name="?_EM-KT_BenQ Model consolidated-wip-rob" xfId="10752" xr:uid="{00000000-0005-0000-0000-0000F8010000}"/>
    <cellStyle name="?_EM-KT_BenQ Model-wip" xfId="10753" xr:uid="{00000000-0005-0000-0000-0000F9010000}"/>
    <cellStyle name="?_EM-KT_Cheng Shin Model1" xfId="10754" xr:uid="{00000000-0005-0000-0000-0000FA010000}"/>
    <cellStyle name="?_EM-KT_Compal Comm Model--wip" xfId="10755" xr:uid="{00000000-0005-0000-0000-0000FB010000}"/>
    <cellStyle name="?_EM-KT_for notexpress" xfId="10756" xr:uid="{00000000-0005-0000-0000-0000FC010000}"/>
    <cellStyle name="?_EM-KT_GQ" xfId="10757" xr:uid="{00000000-0005-0000-0000-0000FD010000}"/>
    <cellStyle name="?_EM-KT_High Tech Computer (Actual vs GS)" xfId="10758" xr:uid="{00000000-0005-0000-0000-0000FE010000}"/>
    <cellStyle name="?_EM-KT_High Tech Computer (GQ)" xfId="10759" xr:uid="{00000000-0005-0000-0000-0000FF010000}"/>
    <cellStyle name="?_EM-KT_High Tech Computer-wip-rob" xfId="10760" xr:uid="{00000000-0005-0000-0000-000000020000}"/>
    <cellStyle name="?_EM-KT_Q sheet 2353" xfId="10761" xr:uid="{00000000-0005-0000-0000-000001020000}"/>
    <cellStyle name="?_EM-KT_Q sheet for Acer" xfId="10762" xr:uid="{00000000-0005-0000-0000-000002020000}"/>
    <cellStyle name="?_EM-KT_Realtek Model-020105" xfId="10763" xr:uid="{00000000-0005-0000-0000-000003020000}"/>
    <cellStyle name="?_EM-KT_Realtek Model-wip" xfId="10764" xr:uid="{00000000-0005-0000-0000-000004020000}"/>
    <cellStyle name="?_EM-KT_salesfcstBENQ0923" xfId="10765" xr:uid="{00000000-0005-0000-0000-000005020000}"/>
    <cellStyle name="?_EM-KT_salesfcstBENQ09231" xfId="10766" xr:uid="{00000000-0005-0000-0000-000006020000}"/>
    <cellStyle name="?_EM-KT_Tsann Kuen Model (EXT 2004-12-01)" xfId="10767" xr:uid="{00000000-0005-0000-0000-000007020000}"/>
    <cellStyle name="?_EM-KT_ZTE Model--wip" xfId="10768" xr:uid="{00000000-0005-0000-0000-000008020000}"/>
    <cellStyle name="?_EM-Optus" xfId="2559" xr:uid="{00000000-0005-0000-0000-000009020000}"/>
    <cellStyle name="?_EM-Optus_Marketing file_ Exhibits" xfId="10290" xr:uid="{00000000-0005-0000-0000-00000A020000}"/>
    <cellStyle name="?_EM-Optus_People's food-Initiation exhibits" xfId="10291" xr:uid="{00000000-0005-0000-0000-00000B020000}"/>
    <cellStyle name="?_EM-SKTelecom_old" xfId="2560" xr:uid="{00000000-0005-0000-0000-00000C020000}"/>
    <cellStyle name="?_EM-SKTelecom_old_2353tw_WIP" xfId="10769" xr:uid="{00000000-0005-0000-0000-00000D020000}"/>
    <cellStyle name="?_EM-SKTelecom_old_2353tw_WIP modified" xfId="10770" xr:uid="{00000000-0005-0000-0000-00000E020000}"/>
    <cellStyle name="?_EM-SKTelecom_old_BenQ Mode (GQ) 072604" xfId="10771" xr:uid="{00000000-0005-0000-0000-00000F020000}"/>
    <cellStyle name="?_EM-SKTelecom_old_BenQ Model (4Q actual)" xfId="10772" xr:uid="{00000000-0005-0000-0000-000010020000}"/>
    <cellStyle name="?_EM-SKTelecom_old_BenQ Model consolidated 092304" xfId="10773" xr:uid="{00000000-0005-0000-0000-000011020000}"/>
    <cellStyle name="?_EM-SKTelecom_old_BenQ Model consolidated-wip" xfId="10774" xr:uid="{00000000-0005-0000-0000-000012020000}"/>
    <cellStyle name="?_EM-SKTelecom_old_BenQ Model consolidated-wip-rob" xfId="10775" xr:uid="{00000000-0005-0000-0000-000013020000}"/>
    <cellStyle name="?_EM-SKTelecom_old_BenQ Model-wip" xfId="10776" xr:uid="{00000000-0005-0000-0000-000014020000}"/>
    <cellStyle name="?_EM-SKTelecom_old_Cheng Shin Model1" xfId="10777" xr:uid="{00000000-0005-0000-0000-000015020000}"/>
    <cellStyle name="?_EM-SKTelecom_old_Compal Comm Model--wip" xfId="10778" xr:uid="{00000000-0005-0000-0000-000016020000}"/>
    <cellStyle name="?_EM-SKTelecom_old_EM-HTI" xfId="2561" xr:uid="{00000000-0005-0000-0000-000017020000}"/>
    <cellStyle name="?_EM-SKTelecom_old_EM-HTI_Marketing file_ Exhibits" xfId="10292" xr:uid="{00000000-0005-0000-0000-000018020000}"/>
    <cellStyle name="?_EM-SKTelecom_old_EM-HTI_People's food-Initiation exhibits" xfId="10293" xr:uid="{00000000-0005-0000-0000-000019020000}"/>
    <cellStyle name="?_EM-SKTelecom_old_for notexpress" xfId="10779" xr:uid="{00000000-0005-0000-0000-00001A020000}"/>
    <cellStyle name="?_EM-SKTelecom_old_GQ" xfId="10780" xr:uid="{00000000-0005-0000-0000-00001B020000}"/>
    <cellStyle name="?_EM-SKTelecom_old_High Tech Computer (Actual vs GS)" xfId="10781" xr:uid="{00000000-0005-0000-0000-00001C020000}"/>
    <cellStyle name="?_EM-SKTelecom_old_High Tech Computer (GQ)" xfId="10782" xr:uid="{00000000-0005-0000-0000-00001D020000}"/>
    <cellStyle name="?_EM-SKTelecom_old_High Tech Computer-wip-rob" xfId="10783" xr:uid="{00000000-0005-0000-0000-00001E020000}"/>
    <cellStyle name="?_EM-SKTelecom_old_Q sheet 2353" xfId="10784" xr:uid="{00000000-0005-0000-0000-00001F020000}"/>
    <cellStyle name="?_EM-SKTelecom_old_Q sheet for Acer" xfId="10785" xr:uid="{00000000-0005-0000-0000-000020020000}"/>
    <cellStyle name="?_EM-SKTelecom_old_Realtek Model-020105" xfId="10786" xr:uid="{00000000-0005-0000-0000-000021020000}"/>
    <cellStyle name="?_EM-SKTelecom_old_Realtek Model-wip" xfId="10787" xr:uid="{00000000-0005-0000-0000-000022020000}"/>
    <cellStyle name="?_EM-SKTelecom_old_salesfcstBENQ0923" xfId="10788" xr:uid="{00000000-0005-0000-0000-000023020000}"/>
    <cellStyle name="?_EM-SKTelecom_old_salesfcstBENQ09231" xfId="10789" xr:uid="{00000000-0005-0000-0000-000024020000}"/>
    <cellStyle name="?_EM-SKTelecom_old_Tsann Kuen Model (EXT 2004-12-01)" xfId="10790" xr:uid="{00000000-0005-0000-0000-000025020000}"/>
    <cellStyle name="?_EM-SKTelecom_old_ZTE Model--wip" xfId="10791" xr:uid="{00000000-0005-0000-0000-000026020000}"/>
    <cellStyle name="?_GQ_example (Tsann Kuen)" xfId="10792" xr:uid="{00000000-0005-0000-0000-000027020000}"/>
    <cellStyle name="?_GS Assumptions-F" xfId="2562" xr:uid="{00000000-0005-0000-0000-000028020000}"/>
    <cellStyle name="?_GS Assumptions-F_Cheng Shin Model" xfId="2563" xr:uid="{00000000-0005-0000-0000-000029020000}"/>
    <cellStyle name="?_GS Assumptions-F_Cheng Shin Model 2" xfId="10294" xr:uid="{00000000-0005-0000-0000-00002A020000}"/>
    <cellStyle name="?_GS Assumptions-F_Cheng Shin Model_Marketing file_ Exhibits" xfId="10295" xr:uid="{00000000-0005-0000-0000-00002B020000}"/>
    <cellStyle name="?_GS Assumptions-F_Cheng Shin Model_People's food-Initiation exhibits" xfId="10296" xr:uid="{00000000-0005-0000-0000-00002C020000}"/>
    <cellStyle name="?_GS Assumptions-F_Cheng Shin Model1" xfId="10793" xr:uid="{00000000-0005-0000-0000-00002D020000}"/>
    <cellStyle name="?_GS Assumptions-F_EM-Optus" xfId="2564" xr:uid="{00000000-0005-0000-0000-00002E020000}"/>
    <cellStyle name="?_GS Assumptions-F_EM-Optus_Marketing file_ Exhibits" xfId="10297" xr:uid="{00000000-0005-0000-0000-00002F020000}"/>
    <cellStyle name="?_GS Assumptions-F_EM-Optus_People's food-Initiation exhibits" xfId="10298" xr:uid="{00000000-0005-0000-0000-000030020000}"/>
    <cellStyle name="?_GS Assumptions-F_GQ_example (Tsann Kuen)" xfId="10794" xr:uid="{00000000-0005-0000-0000-000031020000}"/>
    <cellStyle name="?_GS Assumptions-F_Marketing file_ Exhibits" xfId="10299" xr:uid="{00000000-0005-0000-0000-000032020000}"/>
    <cellStyle name="?_GS Assumptions-F_People's food-Initiation exhibits" xfId="10300" xr:uid="{00000000-0005-0000-0000-000033020000}"/>
    <cellStyle name="?_GS Assumptions-F_Taiwan Auto Company DCF Comparison" xfId="2565" xr:uid="{00000000-0005-0000-0000-000034020000}"/>
    <cellStyle name="?_GS Assumptions-F_Taiwan Auto Company DCF Comparison 2" xfId="10301" xr:uid="{00000000-0005-0000-0000-000035020000}"/>
    <cellStyle name="?_GS Assumptions-F_Taiwan Auto Company DCF Comparison_Marketing file_ Exhibits" xfId="10302" xr:uid="{00000000-0005-0000-0000-000036020000}"/>
    <cellStyle name="?_GS Assumptions-F_Taiwan Auto Company DCF Comparison_People's food-Initiation exhibits" xfId="10303" xr:uid="{00000000-0005-0000-0000-000037020000}"/>
    <cellStyle name="?_GS Assumptions-F_Tong Yang Model" xfId="2566" xr:uid="{00000000-0005-0000-0000-000038020000}"/>
    <cellStyle name="?_GS Assumptions-F_Tong Yang Model 2" xfId="10304" xr:uid="{00000000-0005-0000-0000-000039020000}"/>
    <cellStyle name="?_GS Assumptions-F_Tong Yang Model_Marketing file_ Exhibits" xfId="10305" xr:uid="{00000000-0005-0000-0000-00003A020000}"/>
    <cellStyle name="?_GS Assumptions-F_Tong Yang Model_People's food-Initiation exhibits" xfId="10306" xr:uid="{00000000-0005-0000-0000-00003B020000}"/>
    <cellStyle name="?_GS Assumptions-F_Tsann Kuen Model (EXT 2004-12-01)" xfId="10795" xr:uid="{00000000-0005-0000-0000-00003C020000}"/>
    <cellStyle name="?_GS_Balance" xfId="2567" xr:uid="{00000000-0005-0000-0000-00003D020000}"/>
    <cellStyle name="?_GS_Balance_Cheng Shin Model" xfId="2568" xr:uid="{00000000-0005-0000-0000-00003E020000}"/>
    <cellStyle name="?_GS_Balance_Cheng Shin Model 2" xfId="10307" xr:uid="{00000000-0005-0000-0000-00003F020000}"/>
    <cellStyle name="?_GS_Balance_Cheng Shin Model_Marketing file_ Exhibits" xfId="10308" xr:uid="{00000000-0005-0000-0000-000040020000}"/>
    <cellStyle name="?_GS_Balance_Cheng Shin Model_People's food-Initiation exhibits" xfId="10309" xr:uid="{00000000-0005-0000-0000-000041020000}"/>
    <cellStyle name="?_GS_Balance_Cheng Shin Model1" xfId="10796" xr:uid="{00000000-0005-0000-0000-000042020000}"/>
    <cellStyle name="?_GS_Balance_EM-Optus" xfId="2569" xr:uid="{00000000-0005-0000-0000-000043020000}"/>
    <cellStyle name="?_GS_Balance_EM-Optus_Marketing file_ Exhibits" xfId="10310" xr:uid="{00000000-0005-0000-0000-000044020000}"/>
    <cellStyle name="?_GS_Balance_EM-Optus_People's food-Initiation exhibits" xfId="10311" xr:uid="{00000000-0005-0000-0000-000045020000}"/>
    <cellStyle name="?_GS_Balance_GQ_example (Tsann Kuen)" xfId="10797" xr:uid="{00000000-0005-0000-0000-000046020000}"/>
    <cellStyle name="?_GS_Balance_Marketing file_ Exhibits" xfId="10312" xr:uid="{00000000-0005-0000-0000-000047020000}"/>
    <cellStyle name="?_GS_Balance_People's food-Initiation exhibits" xfId="10313" xr:uid="{00000000-0005-0000-0000-000048020000}"/>
    <cellStyle name="?_GS_Balance_Taiwan Auto Company DCF Comparison" xfId="2570" xr:uid="{00000000-0005-0000-0000-000049020000}"/>
    <cellStyle name="?_GS_Balance_Taiwan Auto Company DCF Comparison 2" xfId="10314" xr:uid="{00000000-0005-0000-0000-00004A020000}"/>
    <cellStyle name="?_GS_Balance_Taiwan Auto Company DCF Comparison_Marketing file_ Exhibits" xfId="10315" xr:uid="{00000000-0005-0000-0000-00004B020000}"/>
    <cellStyle name="?_GS_Balance_Taiwan Auto Company DCF Comparison_People's food-Initiation exhibits" xfId="10316" xr:uid="{00000000-0005-0000-0000-00004C020000}"/>
    <cellStyle name="?_GS_Balance_Tong Yang Model" xfId="2571" xr:uid="{00000000-0005-0000-0000-00004D020000}"/>
    <cellStyle name="?_GS_Balance_Tong Yang Model 2" xfId="10317" xr:uid="{00000000-0005-0000-0000-00004E020000}"/>
    <cellStyle name="?_GS_Balance_Tong Yang Model_Marketing file_ Exhibits" xfId="10318" xr:uid="{00000000-0005-0000-0000-00004F020000}"/>
    <cellStyle name="?_GS_Balance_Tong Yang Model_People's food-Initiation exhibits" xfId="10319" xr:uid="{00000000-0005-0000-0000-000050020000}"/>
    <cellStyle name="?_GS_Balance_Tsann Kuen Model (EXT 2004-12-01)" xfId="10798" xr:uid="{00000000-0005-0000-0000-000051020000}"/>
    <cellStyle name="?_GS_Cash " xfId="2" xr:uid="{00000000-0005-0000-0000-000052020000}"/>
    <cellStyle name="?_GS_Cash  (2)" xfId="2572" xr:uid="{00000000-0005-0000-0000-000053020000}"/>
    <cellStyle name="?_GS_Cash  (2)_Cheng Shin Model" xfId="2573" xr:uid="{00000000-0005-0000-0000-000054020000}"/>
    <cellStyle name="?_GS_Cash  (2)_Cheng Shin Model 2" xfId="10320" xr:uid="{00000000-0005-0000-0000-000055020000}"/>
    <cellStyle name="?_GS_Cash  (2)_Cheng Shin Model_Marketing file_ Exhibits" xfId="10321" xr:uid="{00000000-0005-0000-0000-000056020000}"/>
    <cellStyle name="?_GS_Cash  (2)_Cheng Shin Model_People's food-Initiation exhibits" xfId="10322" xr:uid="{00000000-0005-0000-0000-000057020000}"/>
    <cellStyle name="?_GS_Cash  (2)_Cheng Shin Model1" xfId="10799" xr:uid="{00000000-0005-0000-0000-000058020000}"/>
    <cellStyle name="?_GS_Cash  (2)_EM-Optus" xfId="2574" xr:uid="{00000000-0005-0000-0000-000059020000}"/>
    <cellStyle name="?_GS_Cash  (2)_EM-Optus_Marketing file_ Exhibits" xfId="10323" xr:uid="{00000000-0005-0000-0000-00005A020000}"/>
    <cellStyle name="?_GS_Cash  (2)_EM-Optus_People's food-Initiation exhibits" xfId="10324" xr:uid="{00000000-0005-0000-0000-00005B020000}"/>
    <cellStyle name="?_GS_Cash  (2)_GQ_example (Tsann Kuen)" xfId="10800" xr:uid="{00000000-0005-0000-0000-00005C020000}"/>
    <cellStyle name="?_GS_Cash  (2)_Marketing file_ Exhibits" xfId="10325" xr:uid="{00000000-0005-0000-0000-00005D020000}"/>
    <cellStyle name="?_GS_Cash  (2)_People's food-Initiation exhibits" xfId="10326" xr:uid="{00000000-0005-0000-0000-00005E020000}"/>
    <cellStyle name="?_GS_Cash  (2)_Taiwan Auto Company DCF Comparison" xfId="2575" xr:uid="{00000000-0005-0000-0000-00005F020000}"/>
    <cellStyle name="?_GS_Cash  (2)_Taiwan Auto Company DCF Comparison 2" xfId="10327" xr:uid="{00000000-0005-0000-0000-000060020000}"/>
    <cellStyle name="?_GS_Cash  (2)_Taiwan Auto Company DCF Comparison_Marketing file_ Exhibits" xfId="10328" xr:uid="{00000000-0005-0000-0000-000061020000}"/>
    <cellStyle name="?_GS_Cash  (2)_Taiwan Auto Company DCF Comparison_People's food-Initiation exhibits" xfId="10329" xr:uid="{00000000-0005-0000-0000-000062020000}"/>
    <cellStyle name="?_GS_Cash  (2)_Tong Yang Model" xfId="2576" xr:uid="{00000000-0005-0000-0000-000063020000}"/>
    <cellStyle name="?_GS_Cash  (2)_Tong Yang Model 2" xfId="10330" xr:uid="{00000000-0005-0000-0000-000064020000}"/>
    <cellStyle name="?_GS_Cash  (2)_Tong Yang Model_Marketing file_ Exhibits" xfId="10331" xr:uid="{00000000-0005-0000-0000-000065020000}"/>
    <cellStyle name="?_GS_Cash  (2)_Tong Yang Model_People's food-Initiation exhibits" xfId="10332" xr:uid="{00000000-0005-0000-0000-000066020000}"/>
    <cellStyle name="?_GS_Cash  (2)_Tsann Kuen Model (EXT 2004-12-01)" xfId="10801" xr:uid="{00000000-0005-0000-0000-000067020000}"/>
    <cellStyle name="?_GS_Cash  2" xfId="10333" xr:uid="{00000000-0005-0000-0000-000068020000}"/>
    <cellStyle name="?_GS_Cash  3" xfId="10334" xr:uid="{00000000-0005-0000-0000-000069020000}"/>
    <cellStyle name="?_GS_Cash _000858.SZ" xfId="10335" xr:uid="{00000000-0005-0000-0000-00006A020000}"/>
    <cellStyle name="?_GS_Cash _AsiaInfo Model 110308" xfId="2577" xr:uid="{00000000-0005-0000-0000-00006B020000}"/>
    <cellStyle name="?_GS_Cash _Cheng Shin Model" xfId="2578" xr:uid="{00000000-0005-0000-0000-00006C020000}"/>
    <cellStyle name="?_GS_Cash _Cheng Shin Model 2" xfId="10336" xr:uid="{00000000-0005-0000-0000-00006D020000}"/>
    <cellStyle name="?_GS_Cash _Cheng Shin Model_Marketing file_ Exhibits" xfId="10337" xr:uid="{00000000-0005-0000-0000-00006E020000}"/>
    <cellStyle name="?_GS_Cash _Cheng Shin Model_People's food-Initiation exhibits" xfId="10338" xr:uid="{00000000-0005-0000-0000-00006F020000}"/>
    <cellStyle name="?_GS_Cash _Cheng Shin Model1" xfId="10802" xr:uid="{00000000-0005-0000-0000-000070020000}"/>
    <cellStyle name="?_GS_Cash _EM-Optus" xfId="2579" xr:uid="{00000000-0005-0000-0000-000071020000}"/>
    <cellStyle name="?_GS_Cash _EM-Optus_Marketing file_ Exhibits" xfId="10339" xr:uid="{00000000-0005-0000-0000-000072020000}"/>
    <cellStyle name="?_GS_Cash _EM-Optus_People's food-Initiation exhibits" xfId="10340" xr:uid="{00000000-0005-0000-0000-000073020000}"/>
    <cellStyle name="?_GS_Cash _GQ_example (Tsann Kuen)" xfId="10803" xr:uid="{00000000-0005-0000-0000-000074020000}"/>
    <cellStyle name="?_GS_Cash _Marketing file_ Exhibits" xfId="10341" xr:uid="{00000000-0005-0000-0000-000075020000}"/>
    <cellStyle name="?_GS_Cash _People's food-Initiation exhibits" xfId="10342" xr:uid="{00000000-0005-0000-0000-000076020000}"/>
    <cellStyle name="?_GS_Cash _Taiwan Auto Company DCF Comparison" xfId="2580" xr:uid="{00000000-0005-0000-0000-000077020000}"/>
    <cellStyle name="?_GS_Cash _Taiwan Auto Company DCF Comparison 2" xfId="10343" xr:uid="{00000000-0005-0000-0000-000078020000}"/>
    <cellStyle name="?_GS_Cash _Taiwan Auto Company DCF Comparison_Marketing file_ Exhibits" xfId="10344" xr:uid="{00000000-0005-0000-0000-000079020000}"/>
    <cellStyle name="?_GS_Cash _Taiwan Auto Company DCF Comparison_People's food-Initiation exhibits" xfId="10345" xr:uid="{00000000-0005-0000-0000-00007A020000}"/>
    <cellStyle name="?_GS_Cash _Tong Yang Model" xfId="2581" xr:uid="{00000000-0005-0000-0000-00007B020000}"/>
    <cellStyle name="?_GS_Cash _Tong Yang Model 2" xfId="10346" xr:uid="{00000000-0005-0000-0000-00007C020000}"/>
    <cellStyle name="?_GS_Cash _Tong Yang Model_Marketing file_ Exhibits" xfId="10347" xr:uid="{00000000-0005-0000-0000-00007D020000}"/>
    <cellStyle name="?_GS_Cash _Tong Yang Model_People's food-Initiation exhibits" xfId="10348" xr:uid="{00000000-0005-0000-0000-00007E020000}"/>
    <cellStyle name="?_GS_Cash _Tsann Kuen Model (EXT 2004-12-01)" xfId="10804" xr:uid="{00000000-0005-0000-0000-00007F020000}"/>
    <cellStyle name="?_GS_DCF" xfId="2582" xr:uid="{00000000-0005-0000-0000-000080020000}"/>
    <cellStyle name="?_GS_DCF_Cheng Shin Model" xfId="2583" xr:uid="{00000000-0005-0000-0000-000081020000}"/>
    <cellStyle name="?_GS_DCF_Cheng Shin Model 2" xfId="10349" xr:uid="{00000000-0005-0000-0000-000082020000}"/>
    <cellStyle name="?_GS_DCF_Cheng Shin Model_Marketing file_ Exhibits" xfId="10350" xr:uid="{00000000-0005-0000-0000-000083020000}"/>
    <cellStyle name="?_GS_DCF_Cheng Shin Model_People's food-Initiation exhibits" xfId="10351" xr:uid="{00000000-0005-0000-0000-000084020000}"/>
    <cellStyle name="?_GS_DCF_Cheng Shin Model1" xfId="10805" xr:uid="{00000000-0005-0000-0000-000085020000}"/>
    <cellStyle name="?_GS_DCF_EM-Optus" xfId="2584" xr:uid="{00000000-0005-0000-0000-000086020000}"/>
    <cellStyle name="?_GS_DCF_EM-Optus_Marketing file_ Exhibits" xfId="10352" xr:uid="{00000000-0005-0000-0000-000087020000}"/>
    <cellStyle name="?_GS_DCF_EM-Optus_People's food-Initiation exhibits" xfId="10353" xr:uid="{00000000-0005-0000-0000-000088020000}"/>
    <cellStyle name="?_GS_DCF_GQ_example (Tsann Kuen)" xfId="10806" xr:uid="{00000000-0005-0000-0000-000089020000}"/>
    <cellStyle name="?_GS_DCF_Marketing file_ Exhibits" xfId="10354" xr:uid="{00000000-0005-0000-0000-00008A020000}"/>
    <cellStyle name="?_GS_DCF_People's food-Initiation exhibits" xfId="10355" xr:uid="{00000000-0005-0000-0000-00008B020000}"/>
    <cellStyle name="?_GS_DCF_Taiwan Auto Company DCF Comparison" xfId="2585" xr:uid="{00000000-0005-0000-0000-00008C020000}"/>
    <cellStyle name="?_GS_DCF_Taiwan Auto Company DCF Comparison 2" xfId="10356" xr:uid="{00000000-0005-0000-0000-00008D020000}"/>
    <cellStyle name="?_GS_DCF_Taiwan Auto Company DCF Comparison_Marketing file_ Exhibits" xfId="10357" xr:uid="{00000000-0005-0000-0000-00008E020000}"/>
    <cellStyle name="?_GS_DCF_Taiwan Auto Company DCF Comparison_People's food-Initiation exhibits" xfId="10358" xr:uid="{00000000-0005-0000-0000-00008F020000}"/>
    <cellStyle name="?_GS_DCF_Tong Yang Model" xfId="2586" xr:uid="{00000000-0005-0000-0000-000090020000}"/>
    <cellStyle name="?_GS_DCF_Tong Yang Model 2" xfId="10359" xr:uid="{00000000-0005-0000-0000-000091020000}"/>
    <cellStyle name="?_GS_DCF_Tong Yang Model_Marketing file_ Exhibits" xfId="10360" xr:uid="{00000000-0005-0000-0000-000092020000}"/>
    <cellStyle name="?_GS_DCF_Tong Yang Model_People's food-Initiation exhibits" xfId="10361" xr:uid="{00000000-0005-0000-0000-000093020000}"/>
    <cellStyle name="?_GS_DCF_Tsann Kuen Model (EXT 2004-12-01)" xfId="10807" xr:uid="{00000000-0005-0000-0000-000094020000}"/>
    <cellStyle name="?_GS_PNL" xfId="2587" xr:uid="{00000000-0005-0000-0000-000095020000}"/>
    <cellStyle name="?_GS_PNL_Cheng Shin Model" xfId="2588" xr:uid="{00000000-0005-0000-0000-000096020000}"/>
    <cellStyle name="?_GS_PNL_Cheng Shin Model 2" xfId="10362" xr:uid="{00000000-0005-0000-0000-000097020000}"/>
    <cellStyle name="?_GS_PNL_Cheng Shin Model_Marketing file_ Exhibits" xfId="10363" xr:uid="{00000000-0005-0000-0000-000098020000}"/>
    <cellStyle name="?_GS_PNL_Cheng Shin Model_People's food-Initiation exhibits" xfId="10364" xr:uid="{00000000-0005-0000-0000-000099020000}"/>
    <cellStyle name="?_GS_PNL_Cheng Shin Model1" xfId="10808" xr:uid="{00000000-0005-0000-0000-00009A020000}"/>
    <cellStyle name="?_GS_PNL_EM-Optus" xfId="2589" xr:uid="{00000000-0005-0000-0000-00009B020000}"/>
    <cellStyle name="?_GS_PNL_EM-Optus_Marketing file_ Exhibits" xfId="10365" xr:uid="{00000000-0005-0000-0000-00009C020000}"/>
    <cellStyle name="?_GS_PNL_EM-Optus_People's food-Initiation exhibits" xfId="10366" xr:uid="{00000000-0005-0000-0000-00009D020000}"/>
    <cellStyle name="?_GS_PNL_GQ_example (Tsann Kuen)" xfId="10809" xr:uid="{00000000-0005-0000-0000-00009E020000}"/>
    <cellStyle name="?_GS_PNL_Marketing file_ Exhibits" xfId="10367" xr:uid="{00000000-0005-0000-0000-00009F020000}"/>
    <cellStyle name="?_GS_PNL_People's food-Initiation exhibits" xfId="10368" xr:uid="{00000000-0005-0000-0000-0000A0020000}"/>
    <cellStyle name="?_GS_PNL_Taiwan Auto Company DCF Comparison" xfId="2590" xr:uid="{00000000-0005-0000-0000-0000A1020000}"/>
    <cellStyle name="?_GS_PNL_Taiwan Auto Company DCF Comparison 2" xfId="10369" xr:uid="{00000000-0005-0000-0000-0000A2020000}"/>
    <cellStyle name="?_GS_PNL_Taiwan Auto Company DCF Comparison_Marketing file_ Exhibits" xfId="10370" xr:uid="{00000000-0005-0000-0000-0000A3020000}"/>
    <cellStyle name="?_GS_PNL_Taiwan Auto Company DCF Comparison_People's food-Initiation exhibits" xfId="10371" xr:uid="{00000000-0005-0000-0000-0000A4020000}"/>
    <cellStyle name="?_GS_PNL_Tong Yang Model" xfId="2591" xr:uid="{00000000-0005-0000-0000-0000A5020000}"/>
    <cellStyle name="?_GS_PNL_Tong Yang Model 2" xfId="10372" xr:uid="{00000000-0005-0000-0000-0000A6020000}"/>
    <cellStyle name="?_GS_PNL_Tong Yang Model_Marketing file_ Exhibits" xfId="10373" xr:uid="{00000000-0005-0000-0000-0000A7020000}"/>
    <cellStyle name="?_GS_PNL_Tong Yang Model_People's food-Initiation exhibits" xfId="10374" xr:uid="{00000000-0005-0000-0000-0000A8020000}"/>
    <cellStyle name="?_GS_PNL_Tsann Kuen Model (EXT 2004-12-01)" xfId="10810" xr:uid="{00000000-0005-0000-0000-0000A9020000}"/>
    <cellStyle name="?_Marketing file_ Exhibits" xfId="10375" xr:uid="{00000000-0005-0000-0000-0000AA020000}"/>
    <cellStyle name="?_PE charts" xfId="10376" xr:uid="{00000000-0005-0000-0000-0000AB020000}"/>
    <cellStyle name="?_People's food-Initiation exhibits" xfId="10377" xr:uid="{00000000-0005-0000-0000-0000AC020000}"/>
    <cellStyle name="?_Taiwan Auto Company DCF Comparison" xfId="2592" xr:uid="{00000000-0005-0000-0000-0000AD020000}"/>
    <cellStyle name="?_Taiwan Auto Company DCF Comparison 2" xfId="10378" xr:uid="{00000000-0005-0000-0000-0000AE020000}"/>
    <cellStyle name="?_Taiwan Auto Company DCF Comparison_Marketing file_ Exhibits" xfId="10379" xr:uid="{00000000-0005-0000-0000-0000AF020000}"/>
    <cellStyle name="?_Taiwan Auto Company DCF Comparison_People's food-Initiation exhibits" xfId="10380" xr:uid="{00000000-0005-0000-0000-0000B0020000}"/>
    <cellStyle name="?_Tong Yang Model" xfId="2593" xr:uid="{00000000-0005-0000-0000-0000B1020000}"/>
    <cellStyle name="?_Tong Yang Model 2" xfId="10381" xr:uid="{00000000-0005-0000-0000-0000B2020000}"/>
    <cellStyle name="?_Tong Yang Model_Marketing file_ Exhibits" xfId="10382" xr:uid="{00000000-0005-0000-0000-0000B3020000}"/>
    <cellStyle name="?_Tong Yang Model_People's food-Initiation exhibits" xfId="10383" xr:uid="{00000000-0005-0000-0000-0000B4020000}"/>
    <cellStyle name="?_Tsann Kuen Model (EXT 2004-12-01)" xfId="10811" xr:uid="{00000000-0005-0000-0000-0000B5020000}"/>
    <cellStyle name="?BP" xfId="2595" xr:uid="{00000000-0005-0000-0000-0000B6020000}"/>
    <cellStyle name="?d?A|i[0]_LOAN (2)" xfId="10812" xr:uid="{00000000-0005-0000-0000-0000B7020000}"/>
    <cellStyle name="?d?A|i_LOAN (2)" xfId="10813" xr:uid="{00000000-0005-0000-0000-0000B8020000}"/>
    <cellStyle name="?JY" xfId="2596" xr:uid="{00000000-0005-0000-0000-0000B9020000}"/>
    <cellStyle name="?Q\?1@" xfId="10814" xr:uid="{00000000-0005-0000-0000-0000BA020000}"/>
    <cellStyle name="?W?_iij_base_bs" xfId="2597" xr:uid="{00000000-0005-0000-0000-0000BB020000}"/>
    <cellStyle name="?W・_iij_base_bs" xfId="2598" xr:uid="{00000000-0005-0000-0000-0000BC020000}"/>
    <cellStyle name="?W3s£g2" xfId="4229" xr:uid="{00000000-0005-0000-0000-0000BD020000}"/>
    <cellStyle name="?W3s2" xfId="4230" xr:uid="{00000000-0005-0000-0000-0000BE020000}"/>
    <cellStyle name="?鹎%U龡&amp;H鼼_x0008__x0001__x001f_?_x0007__x0001__x0001_" xfId="10384" xr:uid="{00000000-0005-0000-0000-0000BF020000}"/>
    <cellStyle name="?鹎%U龡&amp;H鼼_x0008_V_x0011_._x0012__x0007__x0001__x0001_" xfId="4231" xr:uid="{00000000-0005-0000-0000-0000C0020000}"/>
    <cellStyle name="@_text" xfId="2599" xr:uid="{00000000-0005-0000-0000-0000C1020000}"/>
    <cellStyle name="@_text_中国神华业A+H股模型－new" xfId="4232" xr:uid="{00000000-0005-0000-0000-0000C2020000}"/>
    <cellStyle name="@NOW" xfId="6965" xr:uid="{00000000-0005-0000-0000-0000C3020000}"/>
    <cellStyle name="[0%]" xfId="10839" xr:uid="{00000000-0005-0000-0000-0000C4020000}"/>
    <cellStyle name="[0.0%]" xfId="2600" xr:uid="{00000000-0005-0000-0000-0000C5020000}"/>
    <cellStyle name="[0.0]" xfId="2601" xr:uid="{00000000-0005-0000-0000-0000C6020000}"/>
    <cellStyle name="[0.0] 2" xfId="10815" xr:uid="{00000000-0005-0000-0000-0000C7020000}"/>
    <cellStyle name="[0.00%]" xfId="2602" xr:uid="{00000000-0005-0000-0000-0000C8020000}"/>
    <cellStyle name="[0.00%] 2" xfId="7816" xr:uid="{00000000-0005-0000-0000-0000C9020000}"/>
    <cellStyle name="[0.00%] 3" xfId="7817" xr:uid="{00000000-0005-0000-0000-0000CA020000}"/>
    <cellStyle name="[0.00%] 4" xfId="7818" xr:uid="{00000000-0005-0000-0000-0000CB020000}"/>
    <cellStyle name="[0.00]" xfId="10816" xr:uid="{00000000-0005-0000-0000-0000CC020000}"/>
    <cellStyle name="[0.0X]" xfId="10840" xr:uid="{00000000-0005-0000-0000-0000CD020000}"/>
    <cellStyle name="[0]" xfId="2603" xr:uid="{00000000-0005-0000-0000-0000CE020000}"/>
    <cellStyle name="[0] 2" xfId="4187" xr:uid="{00000000-0005-0000-0000-0000CF020000}"/>
    <cellStyle name="[0] 3" xfId="10738" xr:uid="{00000000-0005-0000-0000-0000D0020000}"/>
    <cellStyle name="[yyyy/m/d]" xfId="11124" xr:uid="{00000000-0005-0000-0000-0000D1020000}"/>
    <cellStyle name="]_^[꺞_x0008_?" xfId="10415" xr:uid="{00000000-0005-0000-0000-0000D2020000}"/>
    <cellStyle name="—_&quot;History" xfId="10385" xr:uid="{00000000-0005-0000-0000-0000D3020000}"/>
    <cellStyle name="—_&quot;History_Delay Projects" xfId="10386" xr:uid="{00000000-0005-0000-0000-0000D4020000}"/>
    <cellStyle name="—_&quot;History_Delay Projects_PE charts" xfId="10387" xr:uid="{00000000-0005-0000-0000-0000D5020000}"/>
    <cellStyle name="—_&quot;History_Model" xfId="10388" xr:uid="{00000000-0005-0000-0000-0000D6020000}"/>
    <cellStyle name="—_&quot;History_Model_PE charts" xfId="10389" xr:uid="{00000000-0005-0000-0000-0000D7020000}"/>
    <cellStyle name="—_&quot;History_PE charts" xfId="10390" xr:uid="{00000000-0005-0000-0000-0000D8020000}"/>
    <cellStyle name="_%(SignOnly)" xfId="2604" xr:uid="{00000000-0005-0000-0000-0000D9020000}"/>
    <cellStyle name="_%(SignOnly) 2" xfId="10391" xr:uid="{00000000-0005-0000-0000-0000DA020000}"/>
    <cellStyle name="_%(SignOnly) 3" xfId="10392" xr:uid="{00000000-0005-0000-0000-0000DB020000}"/>
    <cellStyle name="_%(SignOnly) 4" xfId="10393" xr:uid="{00000000-0005-0000-0000-0000DC020000}"/>
    <cellStyle name="_%(SignSpaceOnly)" xfId="2605" xr:uid="{00000000-0005-0000-0000-0000DD020000}"/>
    <cellStyle name="_%(SignSpaceOnly) 2" xfId="10394" xr:uid="{00000000-0005-0000-0000-0000DE020000}"/>
    <cellStyle name="_%(SignSpaceOnly) 3" xfId="10395" xr:uid="{00000000-0005-0000-0000-0000DF020000}"/>
    <cellStyle name="_%(SignSpaceOnly) 4" xfId="10396" xr:uid="{00000000-0005-0000-0000-0000E0020000}"/>
    <cellStyle name="—_(GS) China Pharmaceutical Group model" xfId="2606" xr:uid="{00000000-0005-0000-0000-0000E1020000}"/>
    <cellStyle name="—_(GS) China Pharmaceutical Group model_Marketing file_ Exhibits" xfId="10397" xr:uid="{00000000-0005-0000-0000-0000E2020000}"/>
    <cellStyle name="—_(GS) China Pharmaceutical Group model_People's food-Initiation exhibits" xfId="10398" xr:uid="{00000000-0005-0000-0000-0000E3020000}"/>
    <cellStyle name="—_(GS) China Pharmaceutical Group model_Want-Want" xfId="10399" xr:uid="{00000000-0005-0000-0000-0000E4020000}"/>
    <cellStyle name="—_(GS) Global Bio-chem model" xfId="2607" xr:uid="{00000000-0005-0000-0000-0000E5020000}"/>
    <cellStyle name="_??" xfId="10416" xr:uid="{00000000-0005-0000-0000-0000E6020000}"/>
    <cellStyle name="_000422 Hubei Yihua" xfId="4233" xr:uid="{00000000-0005-0000-0000-0000E7020000}"/>
    <cellStyle name="_000422 Hubei Yihua_Standardized" xfId="4234" xr:uid="{00000000-0005-0000-0000-0000E8020000}"/>
    <cellStyle name="_000729. SZ" xfId="10400" xr:uid="{00000000-0005-0000-0000-0000E9020000}"/>
    <cellStyle name="_000858.SZ" xfId="10401" xr:uid="{00000000-0005-0000-0000-0000EA020000}"/>
    <cellStyle name="_0014" xfId="10978" xr:uid="{00000000-0005-0000-0000-0000EB020000}"/>
    <cellStyle name="_0066" xfId="10417" xr:uid="{00000000-0005-0000-0000-0000EC020000}"/>
    <cellStyle name="_042506_Orionsnack_intl" xfId="10979" xr:uid="{00000000-0005-0000-0000-0000ED020000}"/>
    <cellStyle name="_0518" xfId="10980" xr:uid="{00000000-0005-0000-0000-0000EE020000}"/>
    <cellStyle name="_05222333" xfId="10418" xr:uid="{00000000-0005-0000-0000-0000EF020000}"/>
    <cellStyle name="_05222333_Handset market (황정하)" xfId="10419" xr:uid="{00000000-0005-0000-0000-0000F0020000}"/>
    <cellStyle name="_05222333_Handset market (황정하)_Handset market (h)" xfId="10420" xr:uid="{00000000-0005-0000-0000-0000F1020000}"/>
    <cellStyle name="_05222333_Handset market (황정하)_Handset market (h)_Handset market 2002 1117" xfId="10421" xr:uid="{00000000-0005-0000-0000-0000F2020000}"/>
    <cellStyle name="_05222333_Handset market (황정하)_Handset market (h)_Handset market 2002 1117_handset market 2002 1117" xfId="10422" xr:uid="{00000000-0005-0000-0000-0000F3020000}"/>
    <cellStyle name="_05222333_Handset market (황정하)_handset market 2002 1117" xfId="10423" xr:uid="{00000000-0005-0000-0000-0000F4020000}"/>
    <cellStyle name="_05222333_Handset market 2002 1117" xfId="10424" xr:uid="{00000000-0005-0000-0000-0000F5020000}"/>
    <cellStyle name="_05222333_Handset market 2002 1117_handset market 2002 1117" xfId="10425" xr:uid="{00000000-0005-0000-0000-0000F6020000}"/>
    <cellStyle name="_0593" xfId="10426" xr:uid="{00000000-0005-0000-0000-0000F7020000}"/>
    <cellStyle name="_0593_dh_revised4" xfId="10427" xr:uid="{00000000-0005-0000-0000-0000F8020000}"/>
    <cellStyle name="_0593_dh_revised4_Cheil Industries_EM3_CW" xfId="10428" xr:uid="{00000000-0005-0000-0000-0000F9020000}"/>
    <cellStyle name="_0593_dh_revised4_Core Logic_model2" xfId="10429" xr:uid="{00000000-0005-0000-0000-0000FA020000}"/>
    <cellStyle name="_0593_dh_revised4_Earnings chg" xfId="10430" xr:uid="{00000000-0005-0000-0000-0000FB020000}"/>
    <cellStyle name="_0593_dh_revised4_earnings revision" xfId="10431" xr:uid="{00000000-0005-0000-0000-0000FC020000}"/>
    <cellStyle name="_0593_dh_revised4_Earnings table" xfId="10432" xr:uid="{00000000-0005-0000-0000-0000FD020000}"/>
    <cellStyle name="_0593_dh_revised4_FS_forecast" xfId="10433" xr:uid="{00000000-0005-0000-0000-0000FE020000}"/>
    <cellStyle name="_0593_dh_revised4_Hynix_model50" xfId="10434" xr:uid="{00000000-0005-0000-0000-0000FF020000}"/>
    <cellStyle name="_0593_dh_revised4_Interflex_model9" xfId="10435" xr:uid="{00000000-0005-0000-0000-000000030000}"/>
    <cellStyle name="_0593_dh_revised4_Interflex_model9_Cheil Industries_EM3_CW" xfId="10436" xr:uid="{00000000-0005-0000-0000-000001030000}"/>
    <cellStyle name="_0593_dh_revised4_Interflex_model9_Earnings chg" xfId="10437" xr:uid="{00000000-0005-0000-0000-000002030000}"/>
    <cellStyle name="_0593_dh_revised4_Interflex_model9_earnings revision" xfId="10438" xr:uid="{00000000-0005-0000-0000-000003030000}"/>
    <cellStyle name="_0593_dh_revised4_Interflex_model9_Earnings table" xfId="10439" xr:uid="{00000000-0005-0000-0000-000004030000}"/>
    <cellStyle name="_0593_dh_revised4_Interflex_model9_FS_forecast" xfId="10440" xr:uid="{00000000-0005-0000-0000-000005030000}"/>
    <cellStyle name="_0593_dh_revised4_Interflex_model9_Hynix_model50" xfId="10441" xr:uid="{00000000-0005-0000-0000-000006030000}"/>
    <cellStyle name="_0593_dh_revised4_Interflex_model9_Presentation" xfId="10442" xr:uid="{00000000-0005-0000-0000-000007030000}"/>
    <cellStyle name="_0593_dh_revised4_Interflex_model9_SEC_New1" xfId="10443" xr:uid="{00000000-0005-0000-0000-000008030000}"/>
    <cellStyle name="_0593_dh_revised4_Interflex_model9_Sheet3" xfId="10444" xr:uid="{00000000-0005-0000-0000-000009030000}"/>
    <cellStyle name="_0593_dh_revised4_Interflex_model9_Techwin_EM_1" xfId="10445" xr:uid="{00000000-0005-0000-0000-00000A030000}"/>
    <cellStyle name="_0593_dh_revised4_Presentation" xfId="10446" xr:uid="{00000000-0005-0000-0000-00000B030000}"/>
    <cellStyle name="_0593_dh_revised4_SEC_New1" xfId="10447" xr:uid="{00000000-0005-0000-0000-00000C030000}"/>
    <cellStyle name="_0593_dh_revised4_Sheet3" xfId="10448" xr:uid="{00000000-0005-0000-0000-00000D030000}"/>
    <cellStyle name="_0593_dh_revised4_Techwin_EM_1" xfId="10449" xr:uid="{00000000-0005-0000-0000-00000E030000}"/>
    <cellStyle name="_070330补调的集成与维护分录" xfId="2608" xr:uid="{00000000-0005-0000-0000-00000F030000}"/>
    <cellStyle name="—_082806_KEPCO" xfId="10450" xr:uid="{00000000-0005-0000-0000-000010030000}"/>
    <cellStyle name="_1 pager template" xfId="11125" xr:uid="{00000000-0005-0000-0000-000011030000}"/>
    <cellStyle name="—_100902 Helen NTT FCF to be sent" xfId="2609" xr:uid="{00000000-0005-0000-0000-000012030000}"/>
    <cellStyle name="_107197" xfId="2610" xr:uid="{00000000-0005-0000-0000-000013030000}"/>
    <cellStyle name="_107197_2353tw_WIP" xfId="11126" xr:uid="{00000000-0005-0000-0000-000014030000}"/>
    <cellStyle name="_107197_2353tw_WIP modified" xfId="11127" xr:uid="{00000000-0005-0000-0000-000015030000}"/>
    <cellStyle name="_107197_BenQ Mode (GQ) 072604" xfId="11128" xr:uid="{00000000-0005-0000-0000-000016030000}"/>
    <cellStyle name="_107197_BenQ Model (4Q actual)" xfId="11129" xr:uid="{00000000-0005-0000-0000-000017030000}"/>
    <cellStyle name="_107197_BenQ Model consolidated 092304" xfId="11130" xr:uid="{00000000-0005-0000-0000-000018030000}"/>
    <cellStyle name="_107197_BenQ Model consolidated-wip" xfId="11131" xr:uid="{00000000-0005-0000-0000-000019030000}"/>
    <cellStyle name="_107197_BenQ Model consolidated-wip-rob" xfId="11132" xr:uid="{00000000-0005-0000-0000-00001A030000}"/>
    <cellStyle name="_107197_BenQ Model-wip" xfId="11133" xr:uid="{00000000-0005-0000-0000-00001B030000}"/>
    <cellStyle name="_107197_Cheng Shin Model1" xfId="11134" xr:uid="{00000000-0005-0000-0000-00001C030000}"/>
    <cellStyle name="_107197_Compal Comm Model--wip" xfId="11135" xr:uid="{00000000-0005-0000-0000-00001D030000}"/>
    <cellStyle name="_107197_for notexpress" xfId="11136" xr:uid="{00000000-0005-0000-0000-00001E030000}"/>
    <cellStyle name="_107197_GQ" xfId="11137" xr:uid="{00000000-0005-0000-0000-00001F030000}"/>
    <cellStyle name="_107197_High Tech Computer (Actual vs GS)" xfId="11138" xr:uid="{00000000-0005-0000-0000-000020030000}"/>
    <cellStyle name="_107197_High Tech Computer (GQ)" xfId="11139" xr:uid="{00000000-0005-0000-0000-000021030000}"/>
    <cellStyle name="_107197_High Tech Computer-wip-rob" xfId="11140" xr:uid="{00000000-0005-0000-0000-000022030000}"/>
    <cellStyle name="_107197_Q sheet 2353" xfId="11141" xr:uid="{00000000-0005-0000-0000-000023030000}"/>
    <cellStyle name="_107197_Q sheet for Acer" xfId="11142" xr:uid="{00000000-0005-0000-0000-000024030000}"/>
    <cellStyle name="_107197_Realtek Model-020105" xfId="11143" xr:uid="{00000000-0005-0000-0000-000025030000}"/>
    <cellStyle name="_107197_Realtek Model-wip" xfId="11144" xr:uid="{00000000-0005-0000-0000-000026030000}"/>
    <cellStyle name="_107197_salesfcstBENQ0923" xfId="11145" xr:uid="{00000000-0005-0000-0000-000027030000}"/>
    <cellStyle name="_107197_salesfcstBENQ09231" xfId="11146" xr:uid="{00000000-0005-0000-0000-000028030000}"/>
    <cellStyle name="_107197_Tsann Kuen Model (EXT 2004-12-01)" xfId="11147" xr:uid="{00000000-0005-0000-0000-000029030000}"/>
    <cellStyle name="_107197_ZTE Model--wip" xfId="11148" xr:uid="{00000000-0005-0000-0000-00002A030000}"/>
    <cellStyle name="_1Red" xfId="2611" xr:uid="{00000000-0005-0000-0000-00002B030000}"/>
    <cellStyle name="_2" xfId="10981" xr:uid="{00000000-0005-0000-0000-00002C030000}"/>
    <cellStyle name="—_2004 TW conference_Tong Yang (1319.TW)" xfId="2612" xr:uid="{00000000-0005-0000-0000-00002D030000}"/>
    <cellStyle name="—_2004 TW conference_Tong Yang (1319.TW)_BenQ Model consolidated-wip" xfId="11149" xr:uid="{00000000-0005-0000-0000-00002E030000}"/>
    <cellStyle name="—_2004 TW conference_Tong Yang (1319.TW)_BenQ Model-wip" xfId="11150" xr:uid="{00000000-0005-0000-0000-00002F030000}"/>
    <cellStyle name="—_2004 TW conference_Tong Yang (1319.TW)_GQ" xfId="11151" xr:uid="{00000000-0005-0000-0000-000030030000}"/>
    <cellStyle name="—_2004 TW conference_Tong Yang (1319.TW)_High Tech Computer-wip" xfId="11152" xr:uid="{00000000-0005-0000-0000-000031030000}"/>
    <cellStyle name="—_2004 TW conference_Tong Yang (1319.TW)_High Tech Computer-wip-rob" xfId="11153" xr:uid="{00000000-0005-0000-0000-000032030000}"/>
    <cellStyle name="—_2004 TW conference_Tong Yang (1319.TW)_Realtek Model-wip" xfId="11154" xr:uid="{00000000-0005-0000-0000-000033030000}"/>
    <cellStyle name="_2105 CSR (working)" xfId="11155" xr:uid="{00000000-0005-0000-0000-000034030000}"/>
    <cellStyle name="_2105 CSR (working)_eLong Model_F" xfId="11156" xr:uid="{00000000-0005-0000-0000-000035030000}"/>
    <cellStyle name="_2105 CSR (working)_resent_tencentModel" xfId="11157" xr:uid="{00000000-0005-0000-0000-000036030000}"/>
    <cellStyle name="_2353tw_WIP" xfId="11158" xr:uid="{00000000-0005-0000-0000-000037030000}"/>
    <cellStyle name="_2353tw_WIP modified" xfId="11159" xr:uid="{00000000-0005-0000-0000-000038030000}"/>
    <cellStyle name="_2409modl_1Q05 published on 033105" xfId="11160" xr:uid="{00000000-0005-0000-0000-000039030000}"/>
    <cellStyle name="_3009.model.11.07" xfId="11161" xr:uid="{00000000-0005-0000-0000-00003A030000}"/>
    <cellStyle name="_3009modl_1Q05 analyst meeting" xfId="11162" xr:uid="{00000000-0005-0000-0000-00003B030000}"/>
    <cellStyle name="_3009modl_2009_working" xfId="11163" xr:uid="{00000000-0005-0000-0000-00003C030000}"/>
    <cellStyle name="_3913" xfId="10982" xr:uid="{00000000-0005-0000-0000-00003D030000}"/>
    <cellStyle name="_4267" xfId="10983" xr:uid="{00000000-0005-0000-0000-00003E030000}"/>
    <cellStyle name="_4267 2" xfId="10984" xr:uid="{00000000-0005-0000-0000-00003F030000}"/>
    <cellStyle name="_4267 3" xfId="10985" xr:uid="{00000000-0005-0000-0000-000040030000}"/>
    <cellStyle name="_4449" xfId="10986" xr:uid="{00000000-0005-0000-0000-000041030000}"/>
    <cellStyle name="_4449 2" xfId="10987" xr:uid="{00000000-0005-0000-0000-000042030000}"/>
    <cellStyle name="_4689" xfId="10451" xr:uid="{00000000-0005-0000-0000-000043030000}"/>
    <cellStyle name="_4887" xfId="10452" xr:uid="{00000000-0005-0000-0000-000044030000}"/>
    <cellStyle name="_4907" xfId="10453" xr:uid="{00000000-0005-0000-0000-000045030000}"/>
    <cellStyle name="_5137" xfId="10454" xr:uid="{00000000-0005-0000-0000-000046030000}"/>
    <cellStyle name="_5271" xfId="10455" xr:uid="{00000000-0005-0000-0000-000047030000}"/>
    <cellStyle name="_600011-070404" xfId="4235" xr:uid="{00000000-0005-0000-0000-000048030000}"/>
    <cellStyle name="_600011-070815" xfId="4236" xr:uid="{00000000-0005-0000-0000-000049030000}"/>
    <cellStyle name="_600011-070926" xfId="4237" xr:uid="{00000000-0005-0000-0000-00004A030000}"/>
    <cellStyle name="_600096 Yuntianhua" xfId="4238" xr:uid="{00000000-0005-0000-0000-00004B030000}"/>
    <cellStyle name="_600426 Hualu Hengsheng_Standardized" xfId="4239" xr:uid="{00000000-0005-0000-0000-00004C030000}"/>
    <cellStyle name="_600795_1H06 preview" xfId="4240" xr:uid="{00000000-0005-0000-0000-00004D030000}"/>
    <cellStyle name="_600795PEPBEBITDA BAND model" xfId="4241" xr:uid="{00000000-0005-0000-0000-00004E030000}"/>
    <cellStyle name="_601991-070925" xfId="4242" xr:uid="{00000000-0005-0000-0000-00004F030000}"/>
    <cellStyle name="_6072" xfId="10456" xr:uid="{00000000-0005-0000-0000-000050030000}"/>
    <cellStyle name="_66570 - LGE FY05 4Q05 preview" xfId="10457" xr:uid="{00000000-0005-0000-0000-000051030000}"/>
    <cellStyle name="_7400" xfId="10458" xr:uid="{00000000-0005-0000-0000-000052030000}"/>
    <cellStyle name="_A12450_삼성테크윈(040604)" xfId="10988" xr:uid="{00000000-0005-0000-0000-000053030000}"/>
    <cellStyle name="—_Accts-BS" xfId="10989" xr:uid="{00000000-0005-0000-0000-000054030000}"/>
    <cellStyle name="_AEJ_Banks_p1" xfId="10990" xr:uid="{00000000-0005-0000-0000-000055030000}"/>
    <cellStyle name="_AEJ_Brokers_p1" xfId="10991" xr:uid="{00000000-0005-0000-0000-000056030000}"/>
    <cellStyle name="_AEJ_Ins_p1" xfId="10992" xr:uid="{00000000-0005-0000-0000-000057030000}"/>
    <cellStyle name="_Amotech - EM (Jan 2006)" xfId="10459" xr:uid="{00000000-0005-0000-0000-000058030000}"/>
    <cellStyle name="_annual" xfId="10993" xr:uid="{00000000-0005-0000-0000-000059030000}"/>
    <cellStyle name="_annual 2" xfId="10994" xr:uid="{00000000-0005-0000-0000-00005A030000}"/>
    <cellStyle name="_Annual Revenue Assumption" xfId="4243" xr:uid="{00000000-0005-0000-0000-00005B030000}"/>
    <cellStyle name="_Annual Revenue Assumptions" xfId="4244" xr:uid="{00000000-0005-0000-0000-00005C030000}"/>
    <cellStyle name="_annual_Agabang_CV" xfId="10995" xr:uid="{00000000-0005-0000-0000-00005D030000}"/>
    <cellStyle name="_annual_cap.chg" xfId="10996" xr:uid="{00000000-0005-0000-0000-00005E030000}"/>
    <cellStyle name="_annual_charts" xfId="10997" xr:uid="{00000000-0005-0000-0000-00005F030000}"/>
    <cellStyle name="_annual_CJHS earnings model_old" xfId="10998" xr:uid="{00000000-0005-0000-0000-000060030000}"/>
    <cellStyle name="_annual_CV format revised" xfId="10999" xr:uid="{00000000-0005-0000-0000-000061030000}"/>
    <cellStyle name="_annual_DS Infra earnings model" xfId="11000" xr:uid="{00000000-0005-0000-0000-000062030000}"/>
    <cellStyle name="_annual_DS Infra earnings model 2" xfId="11001" xr:uid="{00000000-0005-0000-0000-000063030000}"/>
    <cellStyle name="_annual_Duzon Digital Ware CV" xfId="11002" xr:uid="{00000000-0005-0000-0000-000064030000}"/>
    <cellStyle name="_annual_GSHS earnings model" xfId="11003" xr:uid="{00000000-0005-0000-0000-000065030000}"/>
    <cellStyle name="_annual_GSHS earnings model 2" xfId="11004" xr:uid="{00000000-0005-0000-0000-000066030000}"/>
    <cellStyle name="_annual_Hansae CV format" xfId="11005" xr:uid="{00000000-0005-0000-0000-000067030000}"/>
    <cellStyle name="_annual_HDS earnings model" xfId="11006" xr:uid="{00000000-0005-0000-0000-000068030000}"/>
    <cellStyle name="_annual_HDS earnings model 2" xfId="11007" xr:uid="{00000000-0005-0000-0000-000069030000}"/>
    <cellStyle name="_annual_Lotte Shopping earnings model" xfId="11008" xr:uid="{00000000-0005-0000-0000-00006A030000}"/>
    <cellStyle name="_annual_Macro data" xfId="11009" xr:uid="{00000000-0005-0000-0000-00006B030000}"/>
    <cellStyle name="_annual_Macro data 2" xfId="11010" xr:uid="{00000000-0005-0000-0000-00006C030000}"/>
    <cellStyle name="_annual_main quarterly" xfId="11011" xr:uid="{00000000-0005-0000-0000-00006D030000}"/>
    <cellStyle name="_annual_main yearly" xfId="11012" xr:uid="{00000000-0005-0000-0000-00006E030000}"/>
    <cellStyle name="_annual_Q&amp;As" xfId="11013" xr:uid="{00000000-0005-0000-0000-00006F030000}"/>
    <cellStyle name="_annual_sh.paper" xfId="11014" xr:uid="{00000000-0005-0000-0000-000070030000}"/>
    <cellStyle name="_annual_Shareholding structure" xfId="11015" xr:uid="{00000000-0005-0000-0000-000071030000}"/>
    <cellStyle name="_annual_Sheet1" xfId="11016" xr:uid="{00000000-0005-0000-0000-000072030000}"/>
    <cellStyle name="_annual_Shinsegae earnings model" xfId="11017" xr:uid="{00000000-0005-0000-0000-000073030000}"/>
    <cellStyle name="_annual_Shinsegae earnings model 2" xfId="11018" xr:uid="{00000000-0005-0000-0000-000074030000}"/>
    <cellStyle name="_annual_table" xfId="11019" xr:uid="{00000000-0005-0000-0000-000075030000}"/>
    <cellStyle name="_annual_table 2" xfId="11020" xr:uid="{00000000-0005-0000-0000-000076030000}"/>
    <cellStyle name="_annual_Taewoong earnings model" xfId="11021" xr:uid="{00000000-0005-0000-0000-000077030000}"/>
    <cellStyle name="_ASIA charts" xfId="2613" xr:uid="{00000000-0005-0000-0000-000078030000}"/>
    <cellStyle name="—_ASIA COMPS.xls Chart 1" xfId="11022" xr:uid="{00000000-0005-0000-0000-000079030000}"/>
    <cellStyle name="_AsiaInfo Model 110308" xfId="2614" xr:uid="{00000000-0005-0000-0000-00007A030000}"/>
    <cellStyle name="_AsiaInfo Model WIP" xfId="4188" xr:uid="{00000000-0005-0000-0000-00007B030000}"/>
    <cellStyle name="—_AUO consolidated 2004_02" xfId="2615" xr:uid="{00000000-0005-0000-0000-00007C030000}"/>
    <cellStyle name="—_AUO forecast (GQ)2005_03" xfId="2616" xr:uid="{00000000-0005-0000-0000-00007D030000}"/>
    <cellStyle name="_BenQ Mode (GQ) 072604" xfId="11164" xr:uid="{00000000-0005-0000-0000-00007E030000}"/>
    <cellStyle name="_BenQ Model (4Q actual)" xfId="11165" xr:uid="{00000000-0005-0000-0000-00007F030000}"/>
    <cellStyle name="_BenQ Model consolidated 092304" xfId="11166" xr:uid="{00000000-0005-0000-0000-000080030000}"/>
    <cellStyle name="_BenQ Model consolidated-wip" xfId="11167" xr:uid="{00000000-0005-0000-0000-000081030000}"/>
    <cellStyle name="_BenQ Model consolidated-wip-rob" xfId="11168" xr:uid="{00000000-0005-0000-0000-000082030000}"/>
    <cellStyle name="_BenQ Model-wip" xfId="11169" xr:uid="{00000000-0005-0000-0000-000083030000}"/>
    <cellStyle name="_Beta" xfId="4245" xr:uid="{00000000-0005-0000-0000-000084030000}"/>
    <cellStyle name="—_Beta" xfId="4246" xr:uid="{00000000-0005-0000-0000-000085030000}"/>
    <cellStyle name="—_Beta_1" xfId="4247" xr:uid="{00000000-0005-0000-0000-000086030000}"/>
    <cellStyle name="_BMW" xfId="11023" xr:uid="{00000000-0005-0000-0000-000087030000}"/>
    <cellStyle name="_Book1" xfId="2617" xr:uid="{00000000-0005-0000-0000-000088030000}"/>
    <cellStyle name="—_Book1" xfId="4249" xr:uid="{00000000-0005-0000-0000-000089030000}"/>
    <cellStyle name="_Book1 10" xfId="6872" xr:uid="{00000000-0005-0000-0000-00008A030000}"/>
    <cellStyle name="_Book1 11" xfId="6887" xr:uid="{00000000-0005-0000-0000-00008B030000}"/>
    <cellStyle name="_Book1 12" xfId="6873" xr:uid="{00000000-0005-0000-0000-00008C030000}"/>
    <cellStyle name="_Book1 2" xfId="4248" xr:uid="{00000000-0005-0000-0000-00008D030000}"/>
    <cellStyle name="_Book1 3" xfId="6377" xr:uid="{00000000-0005-0000-0000-00008E030000}"/>
    <cellStyle name="_Book1 4" xfId="6875" xr:uid="{00000000-0005-0000-0000-00008F030000}"/>
    <cellStyle name="_Book1 5" xfId="6879" xr:uid="{00000000-0005-0000-0000-000090030000}"/>
    <cellStyle name="_Book1 6" xfId="6876" xr:uid="{00000000-0005-0000-0000-000091030000}"/>
    <cellStyle name="_Book1 7" xfId="6880" xr:uid="{00000000-0005-0000-0000-000092030000}"/>
    <cellStyle name="_Book1 8" xfId="6877" xr:uid="{00000000-0005-0000-0000-000093030000}"/>
    <cellStyle name="_Book1 9" xfId="6881" xr:uid="{00000000-0005-0000-0000-000094030000}"/>
    <cellStyle name="_Book2" xfId="10460" xr:uid="{00000000-0005-0000-0000-000095030000}"/>
    <cellStyle name="—_Book2" xfId="2618" xr:uid="{00000000-0005-0000-0000-000096030000}"/>
    <cellStyle name="—_Book2 2" xfId="4250" xr:uid="{00000000-0005-0000-0000-000097030000}"/>
    <cellStyle name="—_Book2_1" xfId="4251" xr:uid="{00000000-0005-0000-0000-000098030000}"/>
    <cellStyle name="—_Book2_1_Beta" xfId="4252" xr:uid="{00000000-0005-0000-0000-000099030000}"/>
    <cellStyle name="—_Book2_1_Book1" xfId="4253" xr:uid="{00000000-0005-0000-0000-00009A030000}"/>
    <cellStyle name="—_Book2_1_Cashflow" xfId="4254" xr:uid="{00000000-0005-0000-0000-00009B030000}"/>
    <cellStyle name="—_Book2_1_Cashflow_Honghua MSTR" xfId="4255" xr:uid="{00000000-0005-0000-0000-00009C030000}"/>
    <cellStyle name="—_Book2_1_CNOOC Master" xfId="4256" xr:uid="{00000000-0005-0000-0000-00009D030000}"/>
    <cellStyle name="—_Book2_1_CNPC (HK) Master" xfId="4257" xr:uid="{00000000-0005-0000-0000-00009E030000}"/>
    <cellStyle name="—_Book2_1_DCF 08" xfId="4258" xr:uid="{00000000-0005-0000-0000-00009F030000}"/>
    <cellStyle name="—_Book2_1_P&amp;L" xfId="4259" xr:uid="{00000000-0005-0000-0000-0000A0030000}"/>
    <cellStyle name="—_Book2_1_P&amp;L_Honghua MSTR" xfId="4260" xr:uid="{00000000-0005-0000-0000-0000A1030000}"/>
    <cellStyle name="—_Book2_1_PetroChina Master" xfId="4261" xr:uid="{00000000-0005-0000-0000-0000A2030000}"/>
    <cellStyle name="—_Book2_1_PetroChina Master_WIP(20-F update)" xfId="4262" xr:uid="{00000000-0005-0000-0000-0000A3030000}"/>
    <cellStyle name="—_Book2_1_PetroChina Master_WIP(20-F update)_Cashflow" xfId="4263" xr:uid="{00000000-0005-0000-0000-0000A4030000}"/>
    <cellStyle name="—_Book2_1_PetroChina Master_WIP(20-F update)_Cashflow_Honghua MSTR" xfId="4264" xr:uid="{00000000-0005-0000-0000-0000A5030000}"/>
    <cellStyle name="—_Book2_1_PetroChina Master_WIP(20-F update)_P&amp;L" xfId="4265" xr:uid="{00000000-0005-0000-0000-0000A6030000}"/>
    <cellStyle name="—_Book2_1_PetroChina Master_WIP(20-F update)_P&amp;L_Honghua MSTR" xfId="4266" xr:uid="{00000000-0005-0000-0000-0000A7030000}"/>
    <cellStyle name="—_Book2_1_PetroChina Master_WIP(20-F update)_Sinopec MSTR" xfId="4267" xr:uid="{00000000-0005-0000-0000-0000A8030000}"/>
    <cellStyle name="—_Book2_1_PetroChina Master_WIP(20-F update)_Sinopec MSTR Wip" xfId="4268" xr:uid="{00000000-0005-0000-0000-0000A9030000}"/>
    <cellStyle name="—_Book2_1_PetroChina Master_WIP(20-F update)_Sinopec MSTR_WIP_KK" xfId="4269" xr:uid="{00000000-0005-0000-0000-0000AA030000}"/>
    <cellStyle name="—_Book2_1_PTTEP NAV 2006" xfId="4270" xr:uid="{00000000-0005-0000-0000-0000AB030000}"/>
    <cellStyle name="—_Book2_1_PTTEP NAV 2006_PetroChina Master_WIP(20-F update)" xfId="4271" xr:uid="{00000000-0005-0000-0000-0000AC030000}"/>
    <cellStyle name="—_Book2_1_PTTEP NAV 2006_PetroChina Master_WIP(20-F update)_Cashflow" xfId="4272" xr:uid="{00000000-0005-0000-0000-0000AD030000}"/>
    <cellStyle name="—_Book2_1_PTTEP NAV 2006_PetroChina Master_WIP(20-F update)_P&amp;L" xfId="4273" xr:uid="{00000000-0005-0000-0000-0000AE030000}"/>
    <cellStyle name="—_Book2_1_PTTEP NAV 2006_Sinopec MSTR" xfId="4274" xr:uid="{00000000-0005-0000-0000-0000AF030000}"/>
    <cellStyle name="—_Book2_1_PTTEP NAV 2006_Sinopec MSTR Wip" xfId="4275" xr:uid="{00000000-0005-0000-0000-0000B0030000}"/>
    <cellStyle name="—_Book2_1_PTTEP NAV 2006_Sinopec MSTR_WIP_KK" xfId="4276" xr:uid="{00000000-0005-0000-0000-0000B1030000}"/>
    <cellStyle name="—_Book2_1_PTTEP NAV 2006_Sinopec MSTR-WIP_20F update" xfId="4277" xr:uid="{00000000-0005-0000-0000-0000B2030000}"/>
    <cellStyle name="—_Book2_1_Sinopec MSTR" xfId="4278" xr:uid="{00000000-0005-0000-0000-0000B3030000}"/>
    <cellStyle name="—_Book2_Accts-BS" xfId="11024" xr:uid="{00000000-0005-0000-0000-0000B4030000}"/>
    <cellStyle name="—_Book2_AUO consolidated 2004_02" xfId="2619" xr:uid="{00000000-0005-0000-0000-0000B5030000}"/>
    <cellStyle name="—_Book2_AUO forecast (GQ)2005_03" xfId="2620" xr:uid="{00000000-0005-0000-0000-0000B6030000}"/>
    <cellStyle name="—_Book2_Beta" xfId="4279" xr:uid="{00000000-0005-0000-0000-0000B7030000}"/>
    <cellStyle name="—_Book2_Beta_1" xfId="4280" xr:uid="{00000000-0005-0000-0000-0000B8030000}"/>
    <cellStyle name="—_Book2_Book1" xfId="4281" xr:uid="{00000000-0005-0000-0000-0000B9030000}"/>
    <cellStyle name="—_Book2_Book2" xfId="4282" xr:uid="{00000000-0005-0000-0000-0000BA030000}"/>
    <cellStyle name="—_Book2_Book2_Beta" xfId="4283" xr:uid="{00000000-0005-0000-0000-0000BB030000}"/>
    <cellStyle name="—_Book2_Book2_Cashflow" xfId="4284" xr:uid="{00000000-0005-0000-0000-0000BC030000}"/>
    <cellStyle name="—_Book2_Book2_Cashflow_Honghua MSTR" xfId="4285" xr:uid="{00000000-0005-0000-0000-0000BD030000}"/>
    <cellStyle name="—_Book2_Book2_P&amp;L" xfId="4286" xr:uid="{00000000-0005-0000-0000-0000BE030000}"/>
    <cellStyle name="—_Book2_Book2_P&amp;L_Honghua MSTR" xfId="4287" xr:uid="{00000000-0005-0000-0000-0000BF030000}"/>
    <cellStyle name="—_Book2_Book2_PetroChina Master" xfId="4288" xr:uid="{00000000-0005-0000-0000-0000C0030000}"/>
    <cellStyle name="—_Book2_Book2_PetroChina Master_WIP(20-F update)" xfId="4289" xr:uid="{00000000-0005-0000-0000-0000C1030000}"/>
    <cellStyle name="—_Book2_Book2_PetroChina Master_WIP(20-F update)_Cashflow" xfId="4290" xr:uid="{00000000-0005-0000-0000-0000C2030000}"/>
    <cellStyle name="—_Book2_Book2_PetroChina Master_WIP(20-F update)_Cashflow_Honghua MSTR" xfId="4291" xr:uid="{00000000-0005-0000-0000-0000C3030000}"/>
    <cellStyle name="—_Book2_Book2_PetroChina Master_WIP(20-F update)_P&amp;L" xfId="4292" xr:uid="{00000000-0005-0000-0000-0000C4030000}"/>
    <cellStyle name="—_Book2_Book2_PetroChina Master_WIP(20-F update)_P&amp;L_Honghua MSTR" xfId="4293" xr:uid="{00000000-0005-0000-0000-0000C5030000}"/>
    <cellStyle name="—_Book2_Book2_PetroChina Master_WIP(20-F update)_Sinopec MSTR" xfId="4294" xr:uid="{00000000-0005-0000-0000-0000C6030000}"/>
    <cellStyle name="—_Book2_Book2_PetroChina Master_WIP(20-F update)_Sinopec MSTR Wip" xfId="4295" xr:uid="{00000000-0005-0000-0000-0000C7030000}"/>
    <cellStyle name="—_Book2_Book2_PetroChina Master_WIP(20-F update)_Sinopec MSTR_WIP_KK" xfId="4296" xr:uid="{00000000-0005-0000-0000-0000C8030000}"/>
    <cellStyle name="—_Book2_Book2_Sinopec MSTR" xfId="4297" xr:uid="{00000000-0005-0000-0000-0000C9030000}"/>
    <cellStyle name="—_Book2_Book3" xfId="4298" xr:uid="{00000000-0005-0000-0000-0000CA030000}"/>
    <cellStyle name="—_Book2_Book3_Beta" xfId="4299" xr:uid="{00000000-0005-0000-0000-0000CB030000}"/>
    <cellStyle name="—_Book2_Book3_Cashflow" xfId="4300" xr:uid="{00000000-0005-0000-0000-0000CC030000}"/>
    <cellStyle name="—_Book2_Book3_Cashflow_Honghua MSTR" xfId="4301" xr:uid="{00000000-0005-0000-0000-0000CD030000}"/>
    <cellStyle name="—_Book2_Book3_P&amp;L" xfId="4302" xr:uid="{00000000-0005-0000-0000-0000CE030000}"/>
    <cellStyle name="—_Book2_Book3_P&amp;L_Honghua MSTR" xfId="4303" xr:uid="{00000000-0005-0000-0000-0000CF030000}"/>
    <cellStyle name="—_Book2_Book3_PetroChina Master" xfId="4304" xr:uid="{00000000-0005-0000-0000-0000D0030000}"/>
    <cellStyle name="—_Book2_Book3_PetroChina Master_WIP(20-F update)" xfId="4305" xr:uid="{00000000-0005-0000-0000-0000D1030000}"/>
    <cellStyle name="—_Book2_Book3_PetroChina Master_WIP(20-F update)_Cashflow" xfId="4306" xr:uid="{00000000-0005-0000-0000-0000D2030000}"/>
    <cellStyle name="—_Book2_Book3_PetroChina Master_WIP(20-F update)_Cashflow_Honghua MSTR" xfId="4307" xr:uid="{00000000-0005-0000-0000-0000D3030000}"/>
    <cellStyle name="—_Book2_Book3_PetroChina Master_WIP(20-F update)_P&amp;L" xfId="4308" xr:uid="{00000000-0005-0000-0000-0000D4030000}"/>
    <cellStyle name="—_Book2_Book3_PetroChina Master_WIP(20-F update)_P&amp;L_Honghua MSTR" xfId="4309" xr:uid="{00000000-0005-0000-0000-0000D5030000}"/>
    <cellStyle name="—_Book2_Book3_PetroChina Master_WIP(20-F update)_Sinopec MSTR" xfId="4310" xr:uid="{00000000-0005-0000-0000-0000D6030000}"/>
    <cellStyle name="—_Book2_Book3_PetroChina Master_WIP(20-F update)_Sinopec MSTR Wip" xfId="4311" xr:uid="{00000000-0005-0000-0000-0000D7030000}"/>
    <cellStyle name="—_Book2_Book3_PetroChina Master_WIP(20-F update)_Sinopec MSTR_WIP_KK" xfId="4312" xr:uid="{00000000-0005-0000-0000-0000D8030000}"/>
    <cellStyle name="—_Book2_Book3_Sinopec MSTR" xfId="4313" xr:uid="{00000000-0005-0000-0000-0000D9030000}"/>
    <cellStyle name="—_Book2_Book7" xfId="2621" xr:uid="{00000000-0005-0000-0000-0000DA030000}"/>
    <cellStyle name="—_Book2_Book7_AUO consolidated 2004_02" xfId="2622" xr:uid="{00000000-0005-0000-0000-0000DB030000}"/>
    <cellStyle name="—_Book2_Book7_AUO forecast (GQ)2005_03" xfId="2623" xr:uid="{00000000-0005-0000-0000-0000DC030000}"/>
    <cellStyle name="—_Book2_Book7_new-Sub" xfId="2624" xr:uid="{00000000-0005-0000-0000-0000DD030000}"/>
    <cellStyle name="—_Book2_Book7_Novatek forecast 280404" xfId="2625" xr:uid="{00000000-0005-0000-0000-0000DE030000}"/>
    <cellStyle name="—_Book2_BPCL Master" xfId="4314" xr:uid="{00000000-0005-0000-0000-0000DF030000}"/>
    <cellStyle name="—_Book2_BPCL Master_Beta" xfId="4315" xr:uid="{00000000-0005-0000-0000-0000E0030000}"/>
    <cellStyle name="—_Book2_BPCL Master_Cashflow" xfId="4316" xr:uid="{00000000-0005-0000-0000-0000E1030000}"/>
    <cellStyle name="—_Book2_BPCL Master_Cashflow_Honghua MSTR" xfId="4317" xr:uid="{00000000-0005-0000-0000-0000E2030000}"/>
    <cellStyle name="—_Book2_BPCL Master_P&amp;L" xfId="4318" xr:uid="{00000000-0005-0000-0000-0000E3030000}"/>
    <cellStyle name="—_Book2_BPCL Master_P&amp;L_Honghua MSTR" xfId="4319" xr:uid="{00000000-0005-0000-0000-0000E4030000}"/>
    <cellStyle name="—_Book2_BPCL Master_PetroChina Master" xfId="4320" xr:uid="{00000000-0005-0000-0000-0000E5030000}"/>
    <cellStyle name="—_Book2_BPCL Master_PetroChina Master_WIP(20-F update)" xfId="4321" xr:uid="{00000000-0005-0000-0000-0000E6030000}"/>
    <cellStyle name="—_Book2_BPCL Master_PetroChina Master_WIP(20-F update)_Cashflow" xfId="4322" xr:uid="{00000000-0005-0000-0000-0000E7030000}"/>
    <cellStyle name="—_Book2_BPCL Master_PetroChina Master_WIP(20-F update)_Cashflow_Honghua MSTR" xfId="4323" xr:uid="{00000000-0005-0000-0000-0000E8030000}"/>
    <cellStyle name="—_Book2_BPCL Master_PetroChina Master_WIP(20-F update)_P&amp;L" xfId="4324" xr:uid="{00000000-0005-0000-0000-0000E9030000}"/>
    <cellStyle name="—_Book2_BPCL Master_PetroChina Master_WIP(20-F update)_P&amp;L_Honghua MSTR" xfId="4325" xr:uid="{00000000-0005-0000-0000-0000EA030000}"/>
    <cellStyle name="—_Book2_BPCL Master_PetroChina Master_WIP(20-F update)_Sinopec MSTR" xfId="4326" xr:uid="{00000000-0005-0000-0000-0000EB030000}"/>
    <cellStyle name="—_Book2_BPCL Master_PetroChina Master_WIP(20-F update)_Sinopec MSTR Wip" xfId="4327" xr:uid="{00000000-0005-0000-0000-0000EC030000}"/>
    <cellStyle name="—_Book2_BPCL Master_PetroChina Master_WIP(20-F update)_Sinopec MSTR_WIP_KK" xfId="4328" xr:uid="{00000000-0005-0000-0000-0000ED030000}"/>
    <cellStyle name="—_Book2_BPCL Master_Sinopec MSTR" xfId="4329" xr:uid="{00000000-0005-0000-0000-0000EE030000}"/>
    <cellStyle name="—_Book2_Cashflow" xfId="4330" xr:uid="{00000000-0005-0000-0000-0000EF030000}"/>
    <cellStyle name="—_Book2_Cashflow_Honghua MSTR" xfId="4331" xr:uid="{00000000-0005-0000-0000-0000F0030000}"/>
    <cellStyle name="—_Book2_CNOOC Master" xfId="4332" xr:uid="{00000000-0005-0000-0000-0000F1030000}"/>
    <cellStyle name="—_Book2_CNOOC Master_1" xfId="4333" xr:uid="{00000000-0005-0000-0000-0000F2030000}"/>
    <cellStyle name="—_Book2_CNOOC Master_Beta" xfId="4334" xr:uid="{00000000-0005-0000-0000-0000F3030000}"/>
    <cellStyle name="—_Book2_CNOOC Master_Cashflow" xfId="4335" xr:uid="{00000000-0005-0000-0000-0000F4030000}"/>
    <cellStyle name="—_Book2_CNOOC Master_Cashflow_Honghua MSTR" xfId="4336" xr:uid="{00000000-0005-0000-0000-0000F5030000}"/>
    <cellStyle name="—_Book2_CNOOC Master_P&amp;L" xfId="4337" xr:uid="{00000000-0005-0000-0000-0000F6030000}"/>
    <cellStyle name="—_Book2_CNOOC Master_P&amp;L_Honghua MSTR" xfId="4338" xr:uid="{00000000-0005-0000-0000-0000F7030000}"/>
    <cellStyle name="—_Book2_CNOOC Master_PetroChina Master" xfId="4339" xr:uid="{00000000-0005-0000-0000-0000F8030000}"/>
    <cellStyle name="—_Book2_CNOOC Master_PetroChina Master_WIP(20-F update)" xfId="4340" xr:uid="{00000000-0005-0000-0000-0000F9030000}"/>
    <cellStyle name="—_Book2_CNOOC Master_PetroChina Master_WIP(20-F update)_Cashflow" xfId="4341" xr:uid="{00000000-0005-0000-0000-0000FA030000}"/>
    <cellStyle name="—_Book2_CNOOC Master_PetroChina Master_WIP(20-F update)_Cashflow_Honghua MSTR" xfId="4342" xr:uid="{00000000-0005-0000-0000-0000FB030000}"/>
    <cellStyle name="—_Book2_CNOOC Master_PetroChina Master_WIP(20-F update)_P&amp;L" xfId="4343" xr:uid="{00000000-0005-0000-0000-0000FC030000}"/>
    <cellStyle name="—_Book2_CNOOC Master_PetroChina Master_WIP(20-F update)_P&amp;L_Honghua MSTR" xfId="4344" xr:uid="{00000000-0005-0000-0000-0000FD030000}"/>
    <cellStyle name="—_Book2_CNOOC Master_PetroChina Master_WIP(20-F update)_Sinopec MSTR" xfId="4345" xr:uid="{00000000-0005-0000-0000-0000FE030000}"/>
    <cellStyle name="—_Book2_CNOOC Master_PetroChina Master_WIP(20-F update)_Sinopec MSTR Wip" xfId="4346" xr:uid="{00000000-0005-0000-0000-0000FF030000}"/>
    <cellStyle name="—_Book2_CNOOC Master_PetroChina Master_WIP(20-F update)_Sinopec MSTR_WIP_KK" xfId="4347" xr:uid="{00000000-0005-0000-0000-000000040000}"/>
    <cellStyle name="—_Book2_CNOOC Master_Sinopec MSTR" xfId="4348" xr:uid="{00000000-0005-0000-0000-000001040000}"/>
    <cellStyle name="—_Book2_CNPC (HK) Master" xfId="4349" xr:uid="{00000000-0005-0000-0000-000002040000}"/>
    <cellStyle name="—_Book2_Cover" xfId="10461" xr:uid="{00000000-0005-0000-0000-000003040000}"/>
    <cellStyle name="—_Book2_DCF" xfId="4350" xr:uid="{00000000-0005-0000-0000-000004040000}"/>
    <cellStyle name="—_Book2_DCF 08" xfId="4351" xr:uid="{00000000-0005-0000-0000-000005040000}"/>
    <cellStyle name="—_Book2_Disclosure" xfId="10462" xr:uid="{00000000-0005-0000-0000-000006040000}"/>
    <cellStyle name="—_Book2_DoCoMo table 10July2000" xfId="2626" xr:uid="{00000000-0005-0000-0000-000007040000}"/>
    <cellStyle name="—_Book2_DSME for one page" xfId="11025" xr:uid="{00000000-0005-0000-0000-000008040000}"/>
    <cellStyle name="—_Book2_DSME(042660.KS)_OUT (2008 06)" xfId="11026" xr:uid="{00000000-0005-0000-0000-000009040000}"/>
    <cellStyle name="—_Book2_DSME-out" xfId="11027" xr:uid="{00000000-0005-0000-0000-00000A040000}"/>
    <cellStyle name="—_Book2_DSME-out-Feb 10 2005" xfId="11028" xr:uid="{00000000-0005-0000-0000-00000B040000}"/>
    <cellStyle name="—_Book2_DSME-out-Feb 13 2006" xfId="11029" xr:uid="{00000000-0005-0000-0000-00000C040000}"/>
    <cellStyle name="—_Book2_earnings" xfId="2627" xr:uid="{00000000-0005-0000-0000-00000D040000}"/>
    <cellStyle name="—_Book2_earnings_AUO consolidated 2004_02" xfId="2628" xr:uid="{00000000-0005-0000-0000-00000E040000}"/>
    <cellStyle name="—_Book2_earnings_AUO forecast (GQ)2005_03" xfId="2629" xr:uid="{00000000-0005-0000-0000-00000F040000}"/>
    <cellStyle name="—_Book2_earnings_new-Sub" xfId="2630" xr:uid="{00000000-0005-0000-0000-000010040000}"/>
    <cellStyle name="—_Book2_earnings_Novatek forecast 280404" xfId="2631" xr:uid="{00000000-0005-0000-0000-000011040000}"/>
    <cellStyle name="—_Book2_EM NCSoftnew" xfId="11030" xr:uid="{00000000-0005-0000-0000-000012040000}"/>
    <cellStyle name="—_Book2_EM_FETone_new" xfId="2632" xr:uid="{00000000-0005-0000-0000-000013040000}"/>
    <cellStyle name="—_Book2_EM_FETone_new_AUO consolidated 2004_02" xfId="2633" xr:uid="{00000000-0005-0000-0000-000014040000}"/>
    <cellStyle name="—_Book2_EM_FETone_new_AUO forecast (GQ)2005_03" xfId="2634" xr:uid="{00000000-0005-0000-0000-000015040000}"/>
    <cellStyle name="—_Book2_EM_FETone_new_new-Sub" xfId="2635" xr:uid="{00000000-0005-0000-0000-000016040000}"/>
    <cellStyle name="—_Book2_EM_FETone_new_Novatek forecast 280404" xfId="2636" xr:uid="{00000000-0005-0000-0000-000017040000}"/>
    <cellStyle name="—_Book2_EM_TCC_new" xfId="2637" xr:uid="{00000000-0005-0000-0000-000018040000}"/>
    <cellStyle name="—_Book2_EM_TCC_new_AUO consolidated 2004_02" xfId="2638" xr:uid="{00000000-0005-0000-0000-000019040000}"/>
    <cellStyle name="—_Book2_EM_TCC_new_AUO forecast (GQ)2005_03" xfId="2639" xr:uid="{00000000-0005-0000-0000-00001A040000}"/>
    <cellStyle name="—_Book2_EM_TCC_new_new-Sub" xfId="2640" xr:uid="{00000000-0005-0000-0000-00001B040000}"/>
    <cellStyle name="—_Book2_EM_TCC_new_Novatek forecast 280404" xfId="2641" xr:uid="{00000000-0005-0000-0000-00001C040000}"/>
    <cellStyle name="—_Book2_Hanjin" xfId="11031" xr:uid="{00000000-0005-0000-0000-00001D040000}"/>
    <cellStyle name="—_Book2_Hanjin-out" xfId="11032" xr:uid="{00000000-0005-0000-0000-00001E040000}"/>
    <cellStyle name="—_Book2_Hanjin-out-Mar 20 2006" xfId="11033" xr:uid="{00000000-0005-0000-0000-00001F040000}"/>
    <cellStyle name="—_Book2_HHI" xfId="11034" xr:uid="{00000000-0005-0000-0000-000020040000}"/>
    <cellStyle name="—_Book2_Honam Master" xfId="4352" xr:uid="{00000000-0005-0000-0000-000021040000}"/>
    <cellStyle name="—_Book2_honam -Quantum 220704" xfId="4353" xr:uid="{00000000-0005-0000-0000-000022040000}"/>
    <cellStyle name="—_Book2_Hyundai Mobis" xfId="11035" xr:uid="{00000000-0005-0000-0000-000023040000}"/>
    <cellStyle name="—_Book2_Hyundai Motors" xfId="10463" xr:uid="{00000000-0005-0000-0000-000024040000}"/>
    <cellStyle name="—_Book2_Hyundai Steel" xfId="11036" xr:uid="{00000000-0005-0000-0000-000025040000}"/>
    <cellStyle name="—_Book2_Kelvin_SKT_dividend_Mar10_2003" xfId="4354" xr:uid="{00000000-0005-0000-0000-000026040000}"/>
    <cellStyle name="—_Book2_Kelvin_SKT_dividend_Mar10_2003_Beta" xfId="4355" xr:uid="{00000000-0005-0000-0000-000027040000}"/>
    <cellStyle name="—_Book2_Kelvin_SKT_dividend_Mar10_2003_Cashflow" xfId="4356" xr:uid="{00000000-0005-0000-0000-000028040000}"/>
    <cellStyle name="—_Book2_Kelvin_SKT_dividend_Mar10_2003_Cashflow_Honghua MSTR" xfId="4357" xr:uid="{00000000-0005-0000-0000-000029040000}"/>
    <cellStyle name="—_Book2_Kelvin_SKT_dividend_Mar10_2003_P&amp;L" xfId="4358" xr:uid="{00000000-0005-0000-0000-00002A040000}"/>
    <cellStyle name="—_Book2_Kelvin_SKT_dividend_Mar10_2003_P&amp;L_Honghua MSTR" xfId="4359" xr:uid="{00000000-0005-0000-0000-00002B040000}"/>
    <cellStyle name="—_Book2_Kelvin_SKT_dividend_Mar10_2003_PetroChina Master" xfId="4360" xr:uid="{00000000-0005-0000-0000-00002C040000}"/>
    <cellStyle name="—_Book2_Kelvin_SKT_dividend_Mar10_2003_PetroChina Master_WIP(20-F update)" xfId="4361" xr:uid="{00000000-0005-0000-0000-00002D040000}"/>
    <cellStyle name="—_Book2_Kelvin_SKT_dividend_Mar10_2003_PetroChina Master_WIP(20-F update)_Cashflow" xfId="4362" xr:uid="{00000000-0005-0000-0000-00002E040000}"/>
    <cellStyle name="—_Book2_Kelvin_SKT_dividend_Mar10_2003_PetroChina Master_WIP(20-F update)_Cashflow_Honghua MSTR" xfId="4363" xr:uid="{00000000-0005-0000-0000-00002F040000}"/>
    <cellStyle name="—_Book2_Kelvin_SKT_dividend_Mar10_2003_PetroChina Master_WIP(20-F update)_P&amp;L" xfId="4364" xr:uid="{00000000-0005-0000-0000-000030040000}"/>
    <cellStyle name="—_Book2_Kelvin_SKT_dividend_Mar10_2003_PetroChina Master_WIP(20-F update)_P&amp;L_Honghua MSTR" xfId="4365" xr:uid="{00000000-0005-0000-0000-000031040000}"/>
    <cellStyle name="—_Book2_Kelvin_SKT_dividend_Mar10_2003_PetroChina Master_WIP(20-F update)_Sinopec MSTR" xfId="4366" xr:uid="{00000000-0005-0000-0000-000032040000}"/>
    <cellStyle name="—_Book2_Kelvin_SKT_dividend_Mar10_2003_PetroChina Master_WIP(20-F update)_Sinopec MSTR Wip" xfId="4367" xr:uid="{00000000-0005-0000-0000-000033040000}"/>
    <cellStyle name="—_Book2_Kelvin_SKT_dividend_Mar10_2003_PetroChina Master_WIP(20-F update)_Sinopec MSTR_WIP_KK" xfId="4368" xr:uid="{00000000-0005-0000-0000-000034040000}"/>
    <cellStyle name="—_Book2_Kelvin_SKT_dividend_Mar10_2003_Sinopec MSTR" xfId="4369" xr:uid="{00000000-0005-0000-0000-000035040000}"/>
    <cellStyle name="—_Book2_Kia Motors" xfId="10464" xr:uid="{00000000-0005-0000-0000-000036040000}"/>
    <cellStyle name="—_Book2_MikeWarren_Mobis.HMC.HSC_SOTP_20080821" xfId="11037" xr:uid="{00000000-0005-0000-0000-000037040000}"/>
    <cellStyle name="—_Book2_new-Sub" xfId="2642" xr:uid="{00000000-0005-0000-0000-000038040000}"/>
    <cellStyle name="—_Book2_Novatek forecast 280404" xfId="2643" xr:uid="{00000000-0005-0000-0000-000039040000}"/>
    <cellStyle name="—_Book2_operating stats comp" xfId="2644" xr:uid="{00000000-0005-0000-0000-00003A040000}"/>
    <cellStyle name="—_Book2_operating stats comp_AUO consolidated 2004_02" xfId="2645" xr:uid="{00000000-0005-0000-0000-00003B040000}"/>
    <cellStyle name="—_Book2_operating stats comp_AUO forecast (GQ)2005_03" xfId="2646" xr:uid="{00000000-0005-0000-0000-00003C040000}"/>
    <cellStyle name="—_Book2_operating stats comp_new-Sub" xfId="2647" xr:uid="{00000000-0005-0000-0000-00003D040000}"/>
    <cellStyle name="—_Book2_operating stats comp_Novatek forecast 280404" xfId="2648" xr:uid="{00000000-0005-0000-0000-00003E040000}"/>
    <cellStyle name="—_Book2_P&amp;L" xfId="4370" xr:uid="{00000000-0005-0000-0000-00003F040000}"/>
    <cellStyle name="—_Book2_P&amp;L_Honghua MSTR" xfId="4371" xr:uid="{00000000-0005-0000-0000-000040040000}"/>
    <cellStyle name="—_Book2_PetroChina Master" xfId="4372" xr:uid="{00000000-0005-0000-0000-000041040000}"/>
    <cellStyle name="—_Book2_PetroChina Master_WIP(20-F update)" xfId="4373" xr:uid="{00000000-0005-0000-0000-000042040000}"/>
    <cellStyle name="—_Book2_PetroChina Master_WIP(20-F update)_Cashflow" xfId="4374" xr:uid="{00000000-0005-0000-0000-000043040000}"/>
    <cellStyle name="—_Book2_PetroChina Master_WIP(20-F update)_Cashflow_Honghua MSTR" xfId="4375" xr:uid="{00000000-0005-0000-0000-000044040000}"/>
    <cellStyle name="—_Book2_PetroChina Master_WIP(20-F update)_P&amp;L" xfId="4376" xr:uid="{00000000-0005-0000-0000-000045040000}"/>
    <cellStyle name="—_Book2_PetroChina Master_WIP(20-F update)_P&amp;L_Honghua MSTR" xfId="4377" xr:uid="{00000000-0005-0000-0000-000046040000}"/>
    <cellStyle name="—_Book2_PetroChina Master_WIP(20-F update)_Sinopec MSTR" xfId="4378" xr:uid="{00000000-0005-0000-0000-000047040000}"/>
    <cellStyle name="—_Book2_PetroChina Master_WIP(20-F update)_Sinopec MSTR Wip" xfId="4379" xr:uid="{00000000-0005-0000-0000-000048040000}"/>
    <cellStyle name="—_Book2_PetroChina Master_WIP(20-F update)_Sinopec MSTR_WIP_KK" xfId="4380" xr:uid="{00000000-0005-0000-0000-000049040000}"/>
    <cellStyle name="—_Book2_Posco Model" xfId="11038" xr:uid="{00000000-0005-0000-0000-00004A040000}"/>
    <cellStyle name="—_Book2_Posco-out" xfId="11039" xr:uid="{00000000-0005-0000-0000-00004B040000}"/>
    <cellStyle name="—_Book2_Profit" xfId="4381" xr:uid="{00000000-0005-0000-0000-00004C040000}"/>
    <cellStyle name="—_Book2_PTTEP MASTER" xfId="4382" xr:uid="{00000000-0005-0000-0000-00004D040000}"/>
    <cellStyle name="—_Book2_PTTEP MASTER WIP" xfId="4383" xr:uid="{00000000-0005-0000-0000-00004E040000}"/>
    <cellStyle name="—_Book2_QP_4020q.L" xfId="11040" xr:uid="{00000000-0005-0000-0000-00004F040000}"/>
    <cellStyle name="—_Book2_Sheet1" xfId="4384" xr:uid="{00000000-0005-0000-0000-000050040000}"/>
    <cellStyle name="—_Book2_Sinopec MSTR" xfId="4385" xr:uid="{00000000-0005-0000-0000-000051040000}"/>
    <cellStyle name="—_Book2_SK COrp - Quantum 290704" xfId="4386" xr:uid="{00000000-0005-0000-0000-000052040000}"/>
    <cellStyle name="—_Book2_SK MSTR" xfId="4387" xr:uid="{00000000-0005-0000-0000-000053040000}"/>
    <cellStyle name="—_Book2_SK MSTR_Beta" xfId="4388" xr:uid="{00000000-0005-0000-0000-000054040000}"/>
    <cellStyle name="—_Book2_SK MSTR_Cashflow" xfId="4389" xr:uid="{00000000-0005-0000-0000-000055040000}"/>
    <cellStyle name="—_Book2_SK MSTR_Cashflow_Honghua MSTR" xfId="4390" xr:uid="{00000000-0005-0000-0000-000056040000}"/>
    <cellStyle name="—_Book2_SK MSTR_P&amp;L" xfId="4391" xr:uid="{00000000-0005-0000-0000-000057040000}"/>
    <cellStyle name="—_Book2_SK MSTR_P&amp;L_Honghua MSTR" xfId="4392" xr:uid="{00000000-0005-0000-0000-000058040000}"/>
    <cellStyle name="—_Book2_SK MSTR_PetroChina Master" xfId="4393" xr:uid="{00000000-0005-0000-0000-000059040000}"/>
    <cellStyle name="—_Book2_SK MSTR_PetroChina Master_WIP(20-F update)" xfId="4394" xr:uid="{00000000-0005-0000-0000-00005A040000}"/>
    <cellStyle name="—_Book2_SK MSTR_PetroChina Master_WIP(20-F update)_Cashflow" xfId="4395" xr:uid="{00000000-0005-0000-0000-00005B040000}"/>
    <cellStyle name="—_Book2_SK MSTR_PetroChina Master_WIP(20-F update)_Cashflow_Honghua MSTR" xfId="4396" xr:uid="{00000000-0005-0000-0000-00005C040000}"/>
    <cellStyle name="—_Book2_SK MSTR_PetroChina Master_WIP(20-F update)_P&amp;L" xfId="4397" xr:uid="{00000000-0005-0000-0000-00005D040000}"/>
    <cellStyle name="—_Book2_SK MSTR_PetroChina Master_WIP(20-F update)_P&amp;L_Honghua MSTR" xfId="4398" xr:uid="{00000000-0005-0000-0000-00005E040000}"/>
    <cellStyle name="—_Book2_SK MSTR_PetroChina Master_WIP(20-F update)_Sinopec MSTR" xfId="4399" xr:uid="{00000000-0005-0000-0000-00005F040000}"/>
    <cellStyle name="—_Book2_SK MSTR_PetroChina Master_WIP(20-F update)_Sinopec MSTR Wip" xfId="4400" xr:uid="{00000000-0005-0000-0000-000060040000}"/>
    <cellStyle name="—_Book2_SK MSTR_PetroChina Master_WIP(20-F update)_Sinopec MSTR_WIP_KK" xfId="4401" xr:uid="{00000000-0005-0000-0000-000061040000}"/>
    <cellStyle name="—_Book2_SK MSTR_Sinopec MSTR" xfId="4402" xr:uid="{00000000-0005-0000-0000-000062040000}"/>
    <cellStyle name="—_Book2_S-Oil Master" xfId="4403" xr:uid="{00000000-0005-0000-0000-000063040000}"/>
    <cellStyle name="—_Book2_S-Oil Master KK New" xfId="4404" xr:uid="{00000000-0005-0000-0000-000064040000}"/>
    <cellStyle name="—_Book2_S-Oil Master KK New_Beta" xfId="4405" xr:uid="{00000000-0005-0000-0000-000065040000}"/>
    <cellStyle name="—_Book2_S-Oil Master KK New_Cashflow" xfId="4406" xr:uid="{00000000-0005-0000-0000-000066040000}"/>
    <cellStyle name="—_Book2_S-Oil Master KK New_Cashflow_Honghua MSTR" xfId="4407" xr:uid="{00000000-0005-0000-0000-000067040000}"/>
    <cellStyle name="—_Book2_S-Oil Master KK New_P&amp;L" xfId="4408" xr:uid="{00000000-0005-0000-0000-000068040000}"/>
    <cellStyle name="—_Book2_S-Oil Master KK New_P&amp;L_Honghua MSTR" xfId="4409" xr:uid="{00000000-0005-0000-0000-000069040000}"/>
    <cellStyle name="—_Book2_S-Oil Master KK New_PetroChina Master" xfId="4410" xr:uid="{00000000-0005-0000-0000-00006A040000}"/>
    <cellStyle name="—_Book2_S-Oil Master KK New_PetroChina Master_WIP(20-F update)" xfId="4411" xr:uid="{00000000-0005-0000-0000-00006B040000}"/>
    <cellStyle name="—_Book2_S-Oil Master KK New_PetroChina Master_WIP(20-F update)_Cashflow" xfId="4412" xr:uid="{00000000-0005-0000-0000-00006C040000}"/>
    <cellStyle name="—_Book2_S-Oil Master KK New_PetroChina Master_WIP(20-F update)_Cashflow_Honghua MSTR" xfId="4413" xr:uid="{00000000-0005-0000-0000-00006D040000}"/>
    <cellStyle name="—_Book2_S-Oil Master KK New_PetroChina Master_WIP(20-F update)_P&amp;L" xfId="4414" xr:uid="{00000000-0005-0000-0000-00006E040000}"/>
    <cellStyle name="—_Book2_S-Oil Master KK New_PetroChina Master_WIP(20-F update)_P&amp;L_Honghua MSTR" xfId="4415" xr:uid="{00000000-0005-0000-0000-00006F040000}"/>
    <cellStyle name="—_Book2_S-Oil Master KK New_PetroChina Master_WIP(20-F update)_Sinopec MSTR" xfId="4416" xr:uid="{00000000-0005-0000-0000-000070040000}"/>
    <cellStyle name="—_Book2_S-Oil Master KK New_PetroChina Master_WIP(20-F update)_Sinopec MSTR Wip" xfId="4417" xr:uid="{00000000-0005-0000-0000-000071040000}"/>
    <cellStyle name="—_Book2_S-Oil Master KK New_PetroChina Master_WIP(20-F update)_Sinopec MSTR_WIP_KK" xfId="4418" xr:uid="{00000000-0005-0000-0000-000072040000}"/>
    <cellStyle name="—_Book2_S-Oil Master KK New_Sinopec MSTR" xfId="4419" xr:uid="{00000000-0005-0000-0000-000073040000}"/>
    <cellStyle name="—_Book2_S-Oil Master_Beta" xfId="4420" xr:uid="{00000000-0005-0000-0000-000074040000}"/>
    <cellStyle name="—_Book2_S-Oil Master_Cashflow" xfId="4421" xr:uid="{00000000-0005-0000-0000-000075040000}"/>
    <cellStyle name="—_Book2_S-Oil Master_Cashflow_Honghua MSTR" xfId="4422" xr:uid="{00000000-0005-0000-0000-000076040000}"/>
    <cellStyle name="—_Book2_S-Oil Master_P&amp;L" xfId="4423" xr:uid="{00000000-0005-0000-0000-000077040000}"/>
    <cellStyle name="—_Book2_S-Oil Master_P&amp;L_Honghua MSTR" xfId="4424" xr:uid="{00000000-0005-0000-0000-000078040000}"/>
    <cellStyle name="—_Book2_S-Oil Master_PetroChina Master" xfId="4425" xr:uid="{00000000-0005-0000-0000-000079040000}"/>
    <cellStyle name="—_Book2_S-Oil Master_PetroChina Master_WIP(20-F update)" xfId="4426" xr:uid="{00000000-0005-0000-0000-00007A040000}"/>
    <cellStyle name="—_Book2_S-Oil Master_PetroChina Master_WIP(20-F update)_Cashflow" xfId="4427" xr:uid="{00000000-0005-0000-0000-00007B040000}"/>
    <cellStyle name="—_Book2_S-Oil Master_PetroChina Master_WIP(20-F update)_Cashflow_Honghua MSTR" xfId="4428" xr:uid="{00000000-0005-0000-0000-00007C040000}"/>
    <cellStyle name="—_Book2_S-Oil Master_PetroChina Master_WIP(20-F update)_P&amp;L" xfId="4429" xr:uid="{00000000-0005-0000-0000-00007D040000}"/>
    <cellStyle name="—_Book2_S-Oil Master_PetroChina Master_WIP(20-F update)_P&amp;L_Honghua MSTR" xfId="4430" xr:uid="{00000000-0005-0000-0000-00007E040000}"/>
    <cellStyle name="—_Book2_S-Oil Master_PetroChina Master_WIP(20-F update)_Sinopec MSTR" xfId="4431" xr:uid="{00000000-0005-0000-0000-00007F040000}"/>
    <cellStyle name="—_Book2_S-Oil Master_PetroChina Master_WIP(20-F update)_Sinopec MSTR Wip" xfId="4432" xr:uid="{00000000-0005-0000-0000-000080040000}"/>
    <cellStyle name="—_Book2_S-Oil Master_PetroChina Master_WIP(20-F update)_Sinopec MSTR_WIP_KK" xfId="4433" xr:uid="{00000000-0005-0000-0000-000081040000}"/>
    <cellStyle name="—_Book2_S-Oil Master_Sinopec MSTR" xfId="4434" xr:uid="{00000000-0005-0000-0000-000082040000}"/>
    <cellStyle name="—_Book2_S-Oil-Quantum 260704" xfId="4435" xr:uid="{00000000-0005-0000-0000-000083040000}"/>
    <cellStyle name="—_Book2_S-Oil-Quantum 260704_Beta" xfId="4436" xr:uid="{00000000-0005-0000-0000-000084040000}"/>
    <cellStyle name="—_Book2_S-Oil-Quantum 260704_Cashflow" xfId="4437" xr:uid="{00000000-0005-0000-0000-000085040000}"/>
    <cellStyle name="—_Book2_S-Oil-Quantum 260704_Cashflow_Honghua MSTR" xfId="4438" xr:uid="{00000000-0005-0000-0000-000086040000}"/>
    <cellStyle name="—_Book2_S-Oil-Quantum 260704_P&amp;L" xfId="4439" xr:uid="{00000000-0005-0000-0000-000087040000}"/>
    <cellStyle name="—_Book2_S-Oil-Quantum 260704_P&amp;L_Honghua MSTR" xfId="4440" xr:uid="{00000000-0005-0000-0000-000088040000}"/>
    <cellStyle name="—_Book2_S-Oil-Quantum 260704_PetroChina Master" xfId="4441" xr:uid="{00000000-0005-0000-0000-000089040000}"/>
    <cellStyle name="—_Book2_S-Oil-Quantum 260704_PetroChina Master_WIP(20-F update)" xfId="4442" xr:uid="{00000000-0005-0000-0000-00008A040000}"/>
    <cellStyle name="—_Book2_S-Oil-Quantum 260704_PetroChina Master_WIP(20-F update)_Cashflow" xfId="4443" xr:uid="{00000000-0005-0000-0000-00008B040000}"/>
    <cellStyle name="—_Book2_S-Oil-Quantum 260704_PetroChina Master_WIP(20-F update)_Cashflow_Honghua MSTR" xfId="4444" xr:uid="{00000000-0005-0000-0000-00008C040000}"/>
    <cellStyle name="—_Book2_S-Oil-Quantum 260704_PetroChina Master_WIP(20-F update)_P&amp;L" xfId="4445" xr:uid="{00000000-0005-0000-0000-00008D040000}"/>
    <cellStyle name="—_Book2_S-Oil-Quantum 260704_PetroChina Master_WIP(20-F update)_P&amp;L_Honghua MSTR" xfId="4446" xr:uid="{00000000-0005-0000-0000-00008E040000}"/>
    <cellStyle name="—_Book2_S-Oil-Quantum 260704_PetroChina Master_WIP(20-F update)_Sinopec MSTR" xfId="4447" xr:uid="{00000000-0005-0000-0000-00008F040000}"/>
    <cellStyle name="—_Book2_S-Oil-Quantum 260704_PetroChina Master_WIP(20-F update)_Sinopec MSTR Wip" xfId="4448" xr:uid="{00000000-0005-0000-0000-000090040000}"/>
    <cellStyle name="—_Book2_S-Oil-Quantum 260704_PetroChina Master_WIP(20-F update)_Sinopec MSTR_WIP_KK" xfId="4449" xr:uid="{00000000-0005-0000-0000-000091040000}"/>
    <cellStyle name="—_Book2_S-Oil-Quantum 260704_Sinopec MSTR" xfId="4450" xr:uid="{00000000-0005-0000-0000-000092040000}"/>
    <cellStyle name="—_Book2_Strategy_data_update" xfId="2649" xr:uid="{00000000-0005-0000-0000-000093040000}"/>
    <cellStyle name="—_Book2_Strategy_data_update_AUO consolidated 2004_02" xfId="2650" xr:uid="{00000000-0005-0000-0000-000094040000}"/>
    <cellStyle name="—_Book2_Strategy_data_update_AUO forecast (GQ)2005_03" xfId="2651" xr:uid="{00000000-0005-0000-0000-000095040000}"/>
    <cellStyle name="—_Book2_Strategy_data_update_new-Sub" xfId="2652" xr:uid="{00000000-0005-0000-0000-000096040000}"/>
    <cellStyle name="—_Book2_Strategy_data_update_Novatek forecast 280404" xfId="2653" xr:uid="{00000000-0005-0000-0000-000097040000}"/>
    <cellStyle name="_Book3" xfId="2654" xr:uid="{00000000-0005-0000-0000-000098040000}"/>
    <cellStyle name="—_Book3" xfId="4451" xr:uid="{00000000-0005-0000-0000-000099040000}"/>
    <cellStyle name="—_Book3_Beta" xfId="4452" xr:uid="{00000000-0005-0000-0000-00009A040000}"/>
    <cellStyle name="—_Book3_Cashflow" xfId="4453" xr:uid="{00000000-0005-0000-0000-00009B040000}"/>
    <cellStyle name="—_Book3_Cashflow_Honghua MSTR" xfId="4454" xr:uid="{00000000-0005-0000-0000-00009C040000}"/>
    <cellStyle name="—_Book3_P&amp;L" xfId="4455" xr:uid="{00000000-0005-0000-0000-00009D040000}"/>
    <cellStyle name="—_Book3_P&amp;L_Honghua MSTR" xfId="4456" xr:uid="{00000000-0005-0000-0000-00009E040000}"/>
    <cellStyle name="—_Book3_PetroChina Master" xfId="4457" xr:uid="{00000000-0005-0000-0000-00009F040000}"/>
    <cellStyle name="—_Book3_PetroChina Master_WIP(20-F update)" xfId="4458" xr:uid="{00000000-0005-0000-0000-0000A0040000}"/>
    <cellStyle name="—_Book3_PetroChina Master_WIP(20-F update)_Cashflow" xfId="4459" xr:uid="{00000000-0005-0000-0000-0000A1040000}"/>
    <cellStyle name="—_Book3_PetroChina Master_WIP(20-F update)_Cashflow_Honghua MSTR" xfId="4460" xr:uid="{00000000-0005-0000-0000-0000A2040000}"/>
    <cellStyle name="—_Book3_PetroChina Master_WIP(20-F update)_P&amp;L" xfId="4461" xr:uid="{00000000-0005-0000-0000-0000A3040000}"/>
    <cellStyle name="—_Book3_PetroChina Master_WIP(20-F update)_P&amp;L_Honghua MSTR" xfId="4462" xr:uid="{00000000-0005-0000-0000-0000A4040000}"/>
    <cellStyle name="—_Book3_PetroChina Master_WIP(20-F update)_Sinopec MSTR" xfId="4463" xr:uid="{00000000-0005-0000-0000-0000A5040000}"/>
    <cellStyle name="—_Book3_PetroChina Master_WIP(20-F update)_Sinopec MSTR Wip" xfId="4464" xr:uid="{00000000-0005-0000-0000-0000A6040000}"/>
    <cellStyle name="—_Book3_PetroChina Master_WIP(20-F update)_Sinopec MSTR_WIP_KK" xfId="4465" xr:uid="{00000000-0005-0000-0000-0000A7040000}"/>
    <cellStyle name="—_Book3_Sinopec MSTR" xfId="4466" xr:uid="{00000000-0005-0000-0000-0000A8040000}"/>
    <cellStyle name="_Book5" xfId="10465" xr:uid="{00000000-0005-0000-0000-0000A9040000}"/>
    <cellStyle name="_Book7" xfId="2655" xr:uid="{00000000-0005-0000-0000-0000AA040000}"/>
    <cellStyle name="—_Book7" xfId="2656" xr:uid="{00000000-0005-0000-0000-0000AB040000}"/>
    <cellStyle name="_Book7 (2)" xfId="2657" xr:uid="{00000000-0005-0000-0000-0000AC040000}"/>
    <cellStyle name="_Book7 10" xfId="6843" xr:uid="{00000000-0005-0000-0000-0000AD040000}"/>
    <cellStyle name="—_Book7 10" xfId="6842" xr:uid="{00000000-0005-0000-0000-0000AE040000}"/>
    <cellStyle name="_Book7 11" xfId="6460" xr:uid="{00000000-0005-0000-0000-0000AF040000}"/>
    <cellStyle name="—_Book7 11" xfId="6438" xr:uid="{00000000-0005-0000-0000-0000B0040000}"/>
    <cellStyle name="_Book7 12" xfId="6847" xr:uid="{00000000-0005-0000-0000-0000B1040000}"/>
    <cellStyle name="—_Book7 12" xfId="6846" xr:uid="{00000000-0005-0000-0000-0000B2040000}"/>
    <cellStyle name="_Book7 2" xfId="4467" xr:uid="{00000000-0005-0000-0000-0000B3040000}"/>
    <cellStyle name="—_Book7 2" xfId="4468" xr:uid="{00000000-0005-0000-0000-0000B4040000}"/>
    <cellStyle name="_Book7 3" xfId="6774" xr:uid="{00000000-0005-0000-0000-0000B5040000}"/>
    <cellStyle name="—_Book7 3" xfId="6775" xr:uid="{00000000-0005-0000-0000-0000B6040000}"/>
    <cellStyle name="_Book7 4" xfId="6865" xr:uid="{00000000-0005-0000-0000-0000B7040000}"/>
    <cellStyle name="—_Book7 4" xfId="6864" xr:uid="{00000000-0005-0000-0000-0000B8040000}"/>
    <cellStyle name="_Book7 5" xfId="6757" xr:uid="{00000000-0005-0000-0000-0000B9040000}"/>
    <cellStyle name="—_Book7 5" xfId="6758" xr:uid="{00000000-0005-0000-0000-0000BA040000}"/>
    <cellStyle name="_Book7 6" xfId="6868" xr:uid="{00000000-0005-0000-0000-0000BB040000}"/>
    <cellStyle name="—_Book7 6" xfId="6867" xr:uid="{00000000-0005-0000-0000-0000BC040000}"/>
    <cellStyle name="_Book7 7" xfId="6754" xr:uid="{00000000-0005-0000-0000-0000BD040000}"/>
    <cellStyle name="—_Book7 7" xfId="6755" xr:uid="{00000000-0005-0000-0000-0000BE040000}"/>
    <cellStyle name="_Book7 8" xfId="6871" xr:uid="{00000000-0005-0000-0000-0000BF040000}"/>
    <cellStyle name="—_Book7 8" xfId="6870" xr:uid="{00000000-0005-0000-0000-0000C0040000}"/>
    <cellStyle name="_Book7 9" xfId="6752" xr:uid="{00000000-0005-0000-0000-0000C1040000}"/>
    <cellStyle name="—_Book7 9" xfId="6753" xr:uid="{00000000-0005-0000-0000-0000C2040000}"/>
    <cellStyle name="—_Book7_Accts-BS" xfId="11041" xr:uid="{00000000-0005-0000-0000-0000C3040000}"/>
    <cellStyle name="—_Book7_Beta" xfId="4469" xr:uid="{00000000-0005-0000-0000-0000C4040000}"/>
    <cellStyle name="—_Book7_Cashflow" xfId="4470" xr:uid="{00000000-0005-0000-0000-0000C5040000}"/>
    <cellStyle name="—_Book7_Cashflow_Honghua MSTR" xfId="4471" xr:uid="{00000000-0005-0000-0000-0000C6040000}"/>
    <cellStyle name="—_Book7_Cover" xfId="10466" xr:uid="{00000000-0005-0000-0000-0000C7040000}"/>
    <cellStyle name="—_Book7_Disclosure" xfId="10467" xr:uid="{00000000-0005-0000-0000-0000C8040000}"/>
    <cellStyle name="—_Book7_DSME for one page" xfId="11042" xr:uid="{00000000-0005-0000-0000-0000C9040000}"/>
    <cellStyle name="—_Book7_DSME(042660.KS)_OUT (2008 06)" xfId="11043" xr:uid="{00000000-0005-0000-0000-0000CA040000}"/>
    <cellStyle name="—_Book7_DSME-out" xfId="11044" xr:uid="{00000000-0005-0000-0000-0000CB040000}"/>
    <cellStyle name="—_Book7_DSME-out-Feb 10 2005" xfId="11045" xr:uid="{00000000-0005-0000-0000-0000CC040000}"/>
    <cellStyle name="—_Book7_DSME-out-Feb 13 2006" xfId="11046" xr:uid="{00000000-0005-0000-0000-0000CD040000}"/>
    <cellStyle name="—_Book7_EM NCSoftnew" xfId="11047" xr:uid="{00000000-0005-0000-0000-0000CE040000}"/>
    <cellStyle name="—_Book7_Hanjin" xfId="11048" xr:uid="{00000000-0005-0000-0000-0000CF040000}"/>
    <cellStyle name="—_Book7_Hanjin-out" xfId="11049" xr:uid="{00000000-0005-0000-0000-0000D0040000}"/>
    <cellStyle name="—_Book7_Hanjin-out-Mar 20 2006" xfId="11050" xr:uid="{00000000-0005-0000-0000-0000D1040000}"/>
    <cellStyle name="—_Book7_HHI" xfId="11051" xr:uid="{00000000-0005-0000-0000-0000D2040000}"/>
    <cellStyle name="—_Book7_Hynix_HJK" xfId="10468" xr:uid="{00000000-0005-0000-0000-0000D3040000}"/>
    <cellStyle name="—_Book7_Hyundai Mobis" xfId="11052" xr:uid="{00000000-0005-0000-0000-0000D4040000}"/>
    <cellStyle name="—_Book7_Hyundai Motors" xfId="10469" xr:uid="{00000000-0005-0000-0000-0000D5040000}"/>
    <cellStyle name="—_Book7_Hyundai Steel" xfId="11053" xr:uid="{00000000-0005-0000-0000-0000D6040000}"/>
    <cellStyle name="—_Book7_Kia Motors" xfId="10470" xr:uid="{00000000-0005-0000-0000-0000D7040000}"/>
    <cellStyle name="—_Book7_KT" xfId="10471" xr:uid="{00000000-0005-0000-0000-0000D8040000}"/>
    <cellStyle name="—_Book7_MikeWarren_Mobis.HMC.HSC_SOTP_20080821" xfId="11054" xr:uid="{00000000-0005-0000-0000-0000D9040000}"/>
    <cellStyle name="—_Book7_new-Sub" xfId="2658" xr:uid="{00000000-0005-0000-0000-0000DA040000}"/>
    <cellStyle name="—_Book7_Nippon Mining HD Master" xfId="11055" xr:uid="{00000000-0005-0000-0000-0000DB040000}"/>
    <cellStyle name="—_Book7_Nippon Mining HD Master (wip)" xfId="11056" xr:uid="{00000000-0005-0000-0000-0000DC040000}"/>
    <cellStyle name="—_Book7_Nippon Oil Master" xfId="11057" xr:uid="{00000000-0005-0000-0000-0000DD040000}"/>
    <cellStyle name="—_Book7_P&amp;L" xfId="4472" xr:uid="{00000000-0005-0000-0000-0000DE040000}"/>
    <cellStyle name="—_Book7_P&amp;L_Honghua MSTR" xfId="4473" xr:uid="{00000000-0005-0000-0000-0000DF040000}"/>
    <cellStyle name="—_Book7_PetroChina Master" xfId="4474" xr:uid="{00000000-0005-0000-0000-0000E0040000}"/>
    <cellStyle name="—_Book7_PetroChina Master_WIP(20-F update)" xfId="4475" xr:uid="{00000000-0005-0000-0000-0000E1040000}"/>
    <cellStyle name="—_Book7_PetroChina Master_WIP(20-F update)_Cashflow" xfId="4476" xr:uid="{00000000-0005-0000-0000-0000E2040000}"/>
    <cellStyle name="—_Book7_PetroChina Master_WIP(20-F update)_Cashflow_Honghua MSTR" xfId="4477" xr:uid="{00000000-0005-0000-0000-0000E3040000}"/>
    <cellStyle name="—_Book7_PetroChina Master_WIP(20-F update)_P&amp;L" xfId="4478" xr:uid="{00000000-0005-0000-0000-0000E4040000}"/>
    <cellStyle name="—_Book7_PetroChina Master_WIP(20-F update)_P&amp;L_Honghua MSTR" xfId="4479" xr:uid="{00000000-0005-0000-0000-0000E5040000}"/>
    <cellStyle name="—_Book7_PetroChina Master_WIP(20-F update)_Sinopec MSTR" xfId="4480" xr:uid="{00000000-0005-0000-0000-0000E6040000}"/>
    <cellStyle name="—_Book7_PetroChina Master_WIP(20-F update)_Sinopec MSTR Wip" xfId="4481" xr:uid="{00000000-0005-0000-0000-0000E7040000}"/>
    <cellStyle name="—_Book7_PetroChina Master_WIP(20-F update)_Sinopec MSTR_WIP_KK" xfId="4482" xr:uid="{00000000-0005-0000-0000-0000E8040000}"/>
    <cellStyle name="—_Book7_Posco Model" xfId="11058" xr:uid="{00000000-0005-0000-0000-0000E9040000}"/>
    <cellStyle name="—_Book7_Posco-out" xfId="11059" xr:uid="{00000000-0005-0000-0000-0000EA040000}"/>
    <cellStyle name="—_Book7_QP_4020q.L" xfId="11060" xr:uid="{00000000-0005-0000-0000-0000EB040000}"/>
    <cellStyle name="—_Book7_Sinopec MSTR" xfId="4483" xr:uid="{00000000-0005-0000-0000-0000EC040000}"/>
    <cellStyle name="—_Book7_Sinopec MSTR Wip" xfId="4484" xr:uid="{00000000-0005-0000-0000-0000ED040000}"/>
    <cellStyle name="—_Book7_Sinopec MSTR_WIP_KK" xfId="4485" xr:uid="{00000000-0005-0000-0000-0000EE040000}"/>
    <cellStyle name="—_Book7_Sinopec MSTR-WIP_20F update" xfId="4486" xr:uid="{00000000-0005-0000-0000-0000EF040000}"/>
    <cellStyle name="_Book8 (2)" xfId="2659" xr:uid="{00000000-0005-0000-0000-0000F0040000}"/>
    <cellStyle name="—_BPCL Master" xfId="4487" xr:uid="{00000000-0005-0000-0000-0000F1040000}"/>
    <cellStyle name="—_BPCL Master_Beta" xfId="4488" xr:uid="{00000000-0005-0000-0000-0000F2040000}"/>
    <cellStyle name="—_BPCL Master_Cashflow" xfId="4489" xr:uid="{00000000-0005-0000-0000-0000F3040000}"/>
    <cellStyle name="—_BPCL Master_Nippon Mining HD Master" xfId="11061" xr:uid="{00000000-0005-0000-0000-0000F4040000}"/>
    <cellStyle name="—_BPCL Master_Nippon Mining HD Master (wip)" xfId="11062" xr:uid="{00000000-0005-0000-0000-0000F5040000}"/>
    <cellStyle name="—_BPCL Master_Nippon Oil Master" xfId="11063" xr:uid="{00000000-0005-0000-0000-0000F6040000}"/>
    <cellStyle name="—_BPCL Master_P&amp;L" xfId="4490" xr:uid="{00000000-0005-0000-0000-0000F7040000}"/>
    <cellStyle name="—_BPCL Master_PetroChina Master" xfId="4491" xr:uid="{00000000-0005-0000-0000-0000F8040000}"/>
    <cellStyle name="—_BPCL Master_PetroChina Master_WIP(20-F update)" xfId="4492" xr:uid="{00000000-0005-0000-0000-0000F9040000}"/>
    <cellStyle name="—_BPCL Master_PetroChina Master_WIP(20-F update)_Cashflow" xfId="4493" xr:uid="{00000000-0005-0000-0000-0000FA040000}"/>
    <cellStyle name="—_BPCL Master_PetroChina Master_WIP(20-F update)_P&amp;L" xfId="4494" xr:uid="{00000000-0005-0000-0000-0000FB040000}"/>
    <cellStyle name="—_BPCL Master_Sinopec MSTR" xfId="4495" xr:uid="{00000000-0005-0000-0000-0000FC040000}"/>
    <cellStyle name="—_BPCL Master_Sinopec MSTR Wip" xfId="4496" xr:uid="{00000000-0005-0000-0000-0000FD040000}"/>
    <cellStyle name="—_BPCL Master_Sinopec MSTR_WIP_KK" xfId="4497" xr:uid="{00000000-0005-0000-0000-0000FE040000}"/>
    <cellStyle name="—_BPCL Master_Sinopec MSTR-WIP_20F update" xfId="4498" xr:uid="{00000000-0005-0000-0000-0000FF040000}"/>
    <cellStyle name="_BS" xfId="2660" xr:uid="{00000000-0005-0000-0000-000000050000}"/>
    <cellStyle name="—_BS" xfId="2661" xr:uid="{00000000-0005-0000-0000-000001050000}"/>
    <cellStyle name="_BS_1" xfId="2662" xr:uid="{00000000-0005-0000-0000-000002050000}"/>
    <cellStyle name="—_BS_1" xfId="2663" xr:uid="{00000000-0005-0000-0000-000003050000}"/>
    <cellStyle name="_BS_2" xfId="2664" xr:uid="{00000000-0005-0000-0000-000004050000}"/>
    <cellStyle name="—_BS_BS" xfId="2665" xr:uid="{00000000-0005-0000-0000-000005050000}"/>
    <cellStyle name="—_BS_Capex" xfId="2666" xr:uid="{00000000-0005-0000-0000-000006050000}"/>
    <cellStyle name="—_BS_CF" xfId="2667" xr:uid="{00000000-0005-0000-0000-000007050000}"/>
    <cellStyle name="—_BS_COFCO (506.HK)" xfId="2668" xr:uid="{00000000-0005-0000-0000-000008050000}"/>
    <cellStyle name="—_BS_COFCO_051010" xfId="2669" xr:uid="{00000000-0005-0000-0000-000009050000}"/>
    <cellStyle name="—_BS_COFCO_backup" xfId="2670" xr:uid="{00000000-0005-0000-0000-00000A050000}"/>
    <cellStyle name="—_BS_DCF" xfId="2671" xr:uid="{00000000-0005-0000-0000-00000B050000}"/>
    <cellStyle name="—_BS_Front page" xfId="2672" xr:uid="{00000000-0005-0000-0000-00000C050000}"/>
    <cellStyle name="—_BS_LT assets" xfId="2673" xr:uid="{00000000-0005-0000-0000-00000D050000}"/>
    <cellStyle name="—_BS_Monthly" xfId="2674" xr:uid="{00000000-0005-0000-0000-00000E050000}"/>
    <cellStyle name="—_BS_P&amp;L" xfId="2675" xr:uid="{00000000-0005-0000-0000-00000F050000}"/>
    <cellStyle name="—_BS_Valuation" xfId="2676" xr:uid="{00000000-0005-0000-0000-000010050000}"/>
    <cellStyle name="_Budget 2007 for Bankers V1 IPO kickoff" xfId="2677" xr:uid="{00000000-0005-0000-0000-000011050000}"/>
    <cellStyle name="_Budget 2007 for Bankers V1 IPO kickoff reconciled to actual on Aug 5 2007" xfId="2678" xr:uid="{00000000-0005-0000-0000-000012050000}"/>
    <cellStyle name="_Cap Table December 31 2006 draft V1 April 13 2007" xfId="2679" xr:uid="{00000000-0005-0000-0000-000013050000}"/>
    <cellStyle name="_Capex" xfId="2680" xr:uid="{00000000-0005-0000-0000-000014050000}"/>
    <cellStyle name="_Capex&amp;depreciation" xfId="11064" xr:uid="{00000000-0005-0000-0000-000015050000}"/>
    <cellStyle name="_Capex&amp;depreciation 2" xfId="11065" xr:uid="{00000000-0005-0000-0000-000016050000}"/>
    <cellStyle name="_Capex&amp;depreciation_DS Infra earnings model" xfId="11066" xr:uid="{00000000-0005-0000-0000-000017050000}"/>
    <cellStyle name="_Capex&amp;depreciation_DS Infra earnings model 2" xfId="11067" xr:uid="{00000000-0005-0000-0000-000018050000}"/>
    <cellStyle name="_Capex&amp;depreciation_GSHS earnings model" xfId="11068" xr:uid="{00000000-0005-0000-0000-000019050000}"/>
    <cellStyle name="_Capex&amp;depreciation_GSHS earnings model 2" xfId="11069" xr:uid="{00000000-0005-0000-0000-00001A050000}"/>
    <cellStyle name="_Capex&amp;depreciation_HDS earnings model" xfId="11070" xr:uid="{00000000-0005-0000-0000-00001B050000}"/>
    <cellStyle name="_Capex&amp;depreciation_HDS earnings model 2" xfId="11071" xr:uid="{00000000-0005-0000-0000-00001C050000}"/>
    <cellStyle name="_Capex&amp;depreciation_Lotte Shopping earnings model" xfId="11072" xr:uid="{00000000-0005-0000-0000-00001D050000}"/>
    <cellStyle name="_Capex&amp;depreciation_Macro data" xfId="11073" xr:uid="{00000000-0005-0000-0000-00001E050000}"/>
    <cellStyle name="_Capex&amp;depreciation_Macro data 2" xfId="11074" xr:uid="{00000000-0005-0000-0000-00001F050000}"/>
    <cellStyle name="_Capex&amp;depreciation_Shinsegae earnings model" xfId="11075" xr:uid="{00000000-0005-0000-0000-000020050000}"/>
    <cellStyle name="_Capex&amp;depreciation_Shinsegae earnings model 2" xfId="11076" xr:uid="{00000000-0005-0000-0000-000021050000}"/>
    <cellStyle name="_Capex&amp;depreciation_table" xfId="11077" xr:uid="{00000000-0005-0000-0000-000022050000}"/>
    <cellStyle name="_Capex&amp;depreciation_table 2" xfId="11078" xr:uid="{00000000-0005-0000-0000-000023050000}"/>
    <cellStyle name="—_capex_new2" xfId="11079" xr:uid="{00000000-0005-0000-0000-000024050000}"/>
    <cellStyle name="_capital" xfId="11080" xr:uid="{00000000-0005-0000-0000-000025050000}"/>
    <cellStyle name="_capital 2" xfId="11081" xr:uid="{00000000-0005-0000-0000-000026050000}"/>
    <cellStyle name="_capital_DS Infra earnings model" xfId="11082" xr:uid="{00000000-0005-0000-0000-000027050000}"/>
    <cellStyle name="_capital_DS Infra earnings model 2" xfId="11083" xr:uid="{00000000-0005-0000-0000-000028050000}"/>
    <cellStyle name="_capital_GSHS earnings model" xfId="11084" xr:uid="{00000000-0005-0000-0000-000029050000}"/>
    <cellStyle name="_capital_GSHS earnings model 2" xfId="11085" xr:uid="{00000000-0005-0000-0000-00002A050000}"/>
    <cellStyle name="_capital_HDS earnings model" xfId="11086" xr:uid="{00000000-0005-0000-0000-00002B050000}"/>
    <cellStyle name="_capital_HDS earnings model 2" xfId="11087" xr:uid="{00000000-0005-0000-0000-00002C050000}"/>
    <cellStyle name="_capital_Lotte Shopping earnings model" xfId="11088" xr:uid="{00000000-0005-0000-0000-00002D050000}"/>
    <cellStyle name="_capital_Macro data" xfId="11089" xr:uid="{00000000-0005-0000-0000-00002E050000}"/>
    <cellStyle name="_capital_Macro data 2" xfId="11090" xr:uid="{00000000-0005-0000-0000-00002F050000}"/>
    <cellStyle name="_capital_Shinsegae earnings model" xfId="11091" xr:uid="{00000000-0005-0000-0000-000030050000}"/>
    <cellStyle name="_capital_Shinsegae earnings model 2" xfId="11092" xr:uid="{00000000-0005-0000-0000-000031050000}"/>
    <cellStyle name="_capital_table" xfId="11093" xr:uid="{00000000-0005-0000-0000-000032050000}"/>
    <cellStyle name="_capital_table 2" xfId="11094" xr:uid="{00000000-0005-0000-0000-000033050000}"/>
    <cellStyle name="_Cashflow" xfId="4499" xr:uid="{00000000-0005-0000-0000-000034050000}"/>
    <cellStyle name="—_Cashflow" xfId="4500" xr:uid="{00000000-0005-0000-0000-000035050000}"/>
    <cellStyle name="_Cashflow_Honghua MSTR" xfId="4501" xr:uid="{00000000-0005-0000-0000-000036050000}"/>
    <cellStyle name="—_Cashflow_Honghua MSTR" xfId="4502" xr:uid="{00000000-0005-0000-0000-000037050000}"/>
    <cellStyle name="_CF" xfId="2681" xr:uid="{00000000-0005-0000-0000-000038050000}"/>
    <cellStyle name="—_CF" xfId="2682" xr:uid="{00000000-0005-0000-0000-000039050000}"/>
    <cellStyle name="_CF_1" xfId="2683" xr:uid="{00000000-0005-0000-0000-00003A050000}"/>
    <cellStyle name="_CF_2" xfId="2684" xr:uid="{00000000-0005-0000-0000-00003B050000}"/>
    <cellStyle name="_Chalco W2_evian" xfId="4503" xr:uid="{00000000-0005-0000-0000-00003C050000}"/>
    <cellStyle name="_Chapter Template 30-01-02" xfId="10472" xr:uid="{00000000-0005-0000-0000-00003D050000}"/>
    <cellStyle name="_Chapter Template Feb 22-02" xfId="10473" xr:uid="{00000000-0005-0000-0000-00003E050000}"/>
    <cellStyle name="_Cheil Industries_EM3_CW" xfId="10474" xr:uid="{00000000-0005-0000-0000-00003F050000}"/>
    <cellStyle name="—_Cheng Shin Model" xfId="2685" xr:uid="{00000000-0005-0000-0000-000040050000}"/>
    <cellStyle name="_China coal_model_post IPO070722" xfId="4504" xr:uid="{00000000-0005-0000-0000-000041050000}"/>
    <cellStyle name="_China coal_model_post070929" xfId="4505" xr:uid="{00000000-0005-0000-0000-000042050000}"/>
    <cellStyle name="_China coal_model070929-new" xfId="4506" xr:uid="{00000000-0005-0000-0000-000043050000}"/>
    <cellStyle name="_China coal_model070929-new 的备份" xfId="4507" xr:uid="{00000000-0005-0000-0000-000044050000}"/>
    <cellStyle name="_China Molybdenum_August 2009" xfId="4508" xr:uid="{00000000-0005-0000-0000-000045050000}"/>
    <cellStyle name="_China Molybdenum_July 2009" xfId="4509" xr:uid="{00000000-0005-0000-0000-000046050000}"/>
    <cellStyle name="—_CHT" xfId="2686" xr:uid="{00000000-0005-0000-0000-000047050000}"/>
    <cellStyle name="—_CHT_new-Sub" xfId="2687" xr:uid="{00000000-0005-0000-0000-000048050000}"/>
    <cellStyle name="—_CNOOC Master" xfId="4510" xr:uid="{00000000-0005-0000-0000-000049050000}"/>
    <cellStyle name="—_CNOOC Master_1" xfId="4511" xr:uid="{00000000-0005-0000-0000-00004A050000}"/>
    <cellStyle name="—_CNOOC Master_Beta" xfId="4512" xr:uid="{00000000-0005-0000-0000-00004B050000}"/>
    <cellStyle name="—_CNOOC Master_Cashflow" xfId="4513" xr:uid="{00000000-0005-0000-0000-00004C050000}"/>
    <cellStyle name="—_CNOOC Master_Cashflow_Honghua MSTR" xfId="4514" xr:uid="{00000000-0005-0000-0000-00004D050000}"/>
    <cellStyle name="—_CNOOC Master_P&amp;L" xfId="4515" xr:uid="{00000000-0005-0000-0000-00004E050000}"/>
    <cellStyle name="—_CNOOC Master_P&amp;L_Honghua MSTR" xfId="4516" xr:uid="{00000000-0005-0000-0000-00004F050000}"/>
    <cellStyle name="—_CNOOC Master_PetroChina Master" xfId="4517" xr:uid="{00000000-0005-0000-0000-000050050000}"/>
    <cellStyle name="—_CNOOC Master_PetroChina Master_WIP(20-F update)" xfId="4518" xr:uid="{00000000-0005-0000-0000-000051050000}"/>
    <cellStyle name="—_CNOOC Master_PetroChina Master_WIP(20-F update)_Cashflow" xfId="4519" xr:uid="{00000000-0005-0000-0000-000052050000}"/>
    <cellStyle name="—_CNOOC Master_PetroChina Master_WIP(20-F update)_Cashflow_Honghua MSTR" xfId="4520" xr:uid="{00000000-0005-0000-0000-000053050000}"/>
    <cellStyle name="—_CNOOC Master_PetroChina Master_WIP(20-F update)_P&amp;L" xfId="4521" xr:uid="{00000000-0005-0000-0000-000054050000}"/>
    <cellStyle name="—_CNOOC Master_PetroChina Master_WIP(20-F update)_P&amp;L_Honghua MSTR" xfId="4522" xr:uid="{00000000-0005-0000-0000-000055050000}"/>
    <cellStyle name="—_CNOOC Master_PetroChina Master_WIP(20-F update)_Sinopec MSTR" xfId="4523" xr:uid="{00000000-0005-0000-0000-000056050000}"/>
    <cellStyle name="—_CNOOC Master_PetroChina Master_WIP(20-F update)_Sinopec MSTR Wip" xfId="4524" xr:uid="{00000000-0005-0000-0000-000057050000}"/>
    <cellStyle name="—_CNOOC Master_PetroChina Master_WIP(20-F update)_Sinopec MSTR_WIP_KK" xfId="4525" xr:uid="{00000000-0005-0000-0000-000058050000}"/>
    <cellStyle name="—_CNOOC Master_Sinopec MSTR" xfId="4526" xr:uid="{00000000-0005-0000-0000-000059050000}"/>
    <cellStyle name="—_CNPC (HK) Master" xfId="4527" xr:uid="{00000000-0005-0000-0000-00005A050000}"/>
    <cellStyle name="_COFCO (506.HK)" xfId="2688" xr:uid="{00000000-0005-0000-0000-00005B050000}"/>
    <cellStyle name="_COFCO_051010" xfId="2689" xr:uid="{00000000-0005-0000-0000-00005C050000}"/>
    <cellStyle name="_COFCO_backup" xfId="2690" xr:uid="{00000000-0005-0000-0000-00005D050000}"/>
    <cellStyle name="_Comma" xfId="2691" xr:uid="{00000000-0005-0000-0000-00005E050000}"/>
    <cellStyle name="_Comma 2" xfId="6966" xr:uid="{00000000-0005-0000-0000-00005F050000}"/>
    <cellStyle name="_Comma_(GS) China Pharmaceutical Group model" xfId="2692" xr:uid="{00000000-0005-0000-0000-000060050000}"/>
    <cellStyle name="_Comma_(GS) Global Bio-chem model" xfId="2693" xr:uid="{00000000-0005-0000-0000-000061050000}"/>
    <cellStyle name="_Comma_01 adj for merger plan" xfId="7358" xr:uid="{00000000-0005-0000-0000-000062050000}"/>
    <cellStyle name="_Comma_Ability to Pay Analysis" xfId="7359" xr:uid="{00000000-0005-0000-0000-000063050000}"/>
    <cellStyle name="_Comma_AFL" xfId="7360" xr:uid="{00000000-0005-0000-0000-000064050000}"/>
    <cellStyle name="_Comma_AIZ" xfId="7361" xr:uid="{00000000-0005-0000-0000-000065050000}"/>
    <cellStyle name="_Comma_AIZ04-Quantum2" xfId="7362" xr:uid="{00000000-0005-0000-0000-000066050000}"/>
    <cellStyle name="_Comma_AMP" xfId="7363" xr:uid="{00000000-0005-0000-0000-000067050000}"/>
    <cellStyle name="_Comma_AutoPrice2000" xfId="11095" xr:uid="{00000000-0005-0000-0000-000068050000}"/>
    <cellStyle name="_Comma_Base" xfId="2694" xr:uid="{00000000-0005-0000-0000-000069050000}"/>
    <cellStyle name="_Comma_bls roic" xfId="11096" xr:uid="{00000000-0005-0000-0000-00006A050000}"/>
    <cellStyle name="_Comma_Book1" xfId="7364" xr:uid="{00000000-0005-0000-0000-00006B050000}"/>
    <cellStyle name="_Comma_Book3" xfId="7365" xr:uid="{00000000-0005-0000-0000-00006C050000}"/>
    <cellStyle name="_Comma_BS" xfId="2695" xr:uid="{00000000-0005-0000-0000-00006D050000}"/>
    <cellStyle name="_Comma_capital expenditures 6-18-02" xfId="11097" xr:uid="{00000000-0005-0000-0000-00006E050000}"/>
    <cellStyle name="_Comma_CF" xfId="2696" xr:uid="{00000000-0005-0000-0000-00006F050000}"/>
    <cellStyle name="_Comma_CNO" xfId="7366" xr:uid="{00000000-0005-0000-0000-000070050000}"/>
    <cellStyle name="_Comma_CNO04" xfId="7367" xr:uid="{00000000-0005-0000-0000-000071050000}"/>
    <cellStyle name="_Comma_DCF Alexander Forbes" xfId="7368" xr:uid="{00000000-0005-0000-0000-000072050000}"/>
    <cellStyle name="_Comma_Drive" xfId="2697" xr:uid="{00000000-0005-0000-0000-000073050000}"/>
    <cellStyle name="_Comma_EZJ vs go" xfId="11098" xr:uid="{00000000-0005-0000-0000-000074050000}"/>
    <cellStyle name="_Comma_Financial Performance Benchmarking and Valuation(2)" xfId="11099" xr:uid="{00000000-0005-0000-0000-000075050000}"/>
    <cellStyle name="_Comma_fmbi counties" xfId="7369" xr:uid="{00000000-0005-0000-0000-000076050000}"/>
    <cellStyle name="_Comma_FMBI MBHI Graphs" xfId="7370" xr:uid="{00000000-0005-0000-0000-000077050000}"/>
    <cellStyle name="_Comma_FMBI MBHI Graphs 07102001" xfId="7371" xr:uid="{00000000-0005-0000-0000-000078050000}"/>
    <cellStyle name="_Comma_FMBI MBHI Graphs_7601" xfId="7372" xr:uid="{00000000-0005-0000-0000-000079050000}"/>
    <cellStyle name="_Comma_genworth model" xfId="7373" xr:uid="{00000000-0005-0000-0000-00007A050000}"/>
    <cellStyle name="_Comma_Global ROIC 2007" xfId="11100" xr:uid="{00000000-0005-0000-0000-00007B050000}"/>
    <cellStyle name="_Comma_GQ" xfId="2698" xr:uid="{00000000-0005-0000-0000-00007C050000}"/>
    <cellStyle name="_Comma_Insurance Brokerage CSC_1Q2002" xfId="7374" xr:uid="{00000000-0005-0000-0000-00007D050000}"/>
    <cellStyle name="_Comma_JP_LNC_spread_monitor (2)" xfId="7375" xr:uid="{00000000-0005-0000-0000-00007E050000}"/>
    <cellStyle name="_Comma_NFP" xfId="7376" xr:uid="{00000000-0005-0000-0000-00007F050000}"/>
    <cellStyle name="_Comma_NFS" xfId="7377" xr:uid="{00000000-0005-0000-0000-000080050000}"/>
    <cellStyle name="_Comma_Overview3" xfId="7378" xr:uid="{00000000-0005-0000-0000-000081050000}"/>
    <cellStyle name="_Comma_P&amp;L" xfId="2699" xr:uid="{00000000-0005-0000-0000-000082050000}"/>
    <cellStyle name="_Comma_phil data" xfId="7379" xr:uid="{00000000-0005-0000-0000-000083050000}"/>
    <cellStyle name="_Comma_Price Performance Charts" xfId="7380" xr:uid="{00000000-0005-0000-0000-000084050000}"/>
    <cellStyle name="_Comma_Quarterly Review by Company" xfId="7381" xr:uid="{00000000-0005-0000-0000-000085050000}"/>
    <cellStyle name="_Comma_RBOC historicals" xfId="11101" xr:uid="{00000000-0005-0000-0000-000086050000}"/>
    <cellStyle name="_Comma_SFG Data File" xfId="7382" xr:uid="{00000000-0005-0000-0000-000087050000}"/>
    <cellStyle name="_Comma_Sheet1" xfId="7383" xr:uid="{00000000-0005-0000-0000-000088050000}"/>
    <cellStyle name="_Comma_Stock-QTR1 FDS" xfId="7384" xr:uid="{00000000-0005-0000-0000-000089050000}"/>
    <cellStyle name="_Comma_T - new" xfId="11102" xr:uid="{00000000-0005-0000-0000-00008A050000}"/>
    <cellStyle name="_Comma_Updated Valuation Changes" xfId="7385" xr:uid="{00000000-0005-0000-0000-00008B050000}"/>
    <cellStyle name="_Comma_Valuation and Benchmarking Template" xfId="11103" xr:uid="{00000000-0005-0000-0000-00008C050000}"/>
    <cellStyle name="_Comma_Valuation Graphs" xfId="7386" xr:uid="{00000000-0005-0000-0000-00008D050000}"/>
    <cellStyle name="_Comma_xratio - historical mkt val" xfId="7387" xr:uid="{00000000-0005-0000-0000-00008E050000}"/>
    <cellStyle name="_Copy of HMC model_NEW version_without financials" xfId="10475" xr:uid="{00000000-0005-0000-0000-00008F050000}"/>
    <cellStyle name="_Copy of JP_Page 2_w_keywords" xfId="11104" xr:uid="{00000000-0005-0000-0000-000090050000}"/>
    <cellStyle name="_Copy of JP_Page 2_w_keywords (4)" xfId="11105" xr:uid="{00000000-0005-0000-0000-000091050000}"/>
    <cellStyle name="_Copy of JP_Page 2_w_keywords (4)_JP_nonfinancials (2) (2)" xfId="11106" xr:uid="{00000000-0005-0000-0000-000092050000}"/>
    <cellStyle name="_Copy of JP_Page 2_w_keywords_JP_nonfinancials (2) (2)" xfId="11107" xr:uid="{00000000-0005-0000-0000-000093050000}"/>
    <cellStyle name="_Core Logic_model2" xfId="10476" xr:uid="{00000000-0005-0000-0000-000094050000}"/>
    <cellStyle name="_Corelogic-fidelity-2004-11" xfId="10477" xr:uid="{00000000-0005-0000-0000-000095050000}"/>
    <cellStyle name="—_COSL MSTR" xfId="4528" xr:uid="{00000000-0005-0000-0000-000096050000}"/>
    <cellStyle name="—_COSL MSTR_Beta" xfId="4529" xr:uid="{00000000-0005-0000-0000-000097050000}"/>
    <cellStyle name="—_COSL MSTR_PetroChina Master_WIP(20-F update)" xfId="4530" xr:uid="{00000000-0005-0000-0000-000098050000}"/>
    <cellStyle name="—_COSL MSTR_PetroChina Master_WIP(20-F update)_Cashflow" xfId="4531" xr:uid="{00000000-0005-0000-0000-000099050000}"/>
    <cellStyle name="—_COSL MSTR_PetroChina Master_WIP(20-F update)_Cashflow_Honghua MSTR" xfId="4532" xr:uid="{00000000-0005-0000-0000-00009A050000}"/>
    <cellStyle name="—_COSL MSTR_PetroChina Master_WIP(20-F update)_P&amp;L" xfId="4533" xr:uid="{00000000-0005-0000-0000-00009B050000}"/>
    <cellStyle name="—_COSL MSTR_PetroChina Master_WIP(20-F update)_P&amp;L_Honghua MSTR" xfId="4534" xr:uid="{00000000-0005-0000-0000-00009C050000}"/>
    <cellStyle name="—_COSL MSTR_PetroChina Master_WIP(20-F update)_Sinopec MSTR" xfId="4535" xr:uid="{00000000-0005-0000-0000-00009D050000}"/>
    <cellStyle name="—_COSL MSTR_PetroChina Master_WIP(20-F update)_Sinopec MSTR Wip" xfId="4536" xr:uid="{00000000-0005-0000-0000-00009E050000}"/>
    <cellStyle name="—_COSL MSTR_PetroChina Master_WIP(20-F update)_Sinopec MSTR_WIP_KK" xfId="4537" xr:uid="{00000000-0005-0000-0000-00009F050000}"/>
    <cellStyle name="—_Cover" xfId="10478" xr:uid="{00000000-0005-0000-0000-0000A0050000}"/>
    <cellStyle name="_Cover 1" xfId="2700" xr:uid="{00000000-0005-0000-0000-0000A1050000}"/>
    <cellStyle name="—_Crib sheet" xfId="10479" xr:uid="{00000000-0005-0000-0000-0000A2050000}"/>
    <cellStyle name="_CT-Report" xfId="2701" xr:uid="{00000000-0005-0000-0000-0000A3050000}"/>
    <cellStyle name="_Currency" xfId="2702" xr:uid="{00000000-0005-0000-0000-0000A4050000}"/>
    <cellStyle name="_Currency 2" xfId="6967" xr:uid="{00000000-0005-0000-0000-0000A5050000}"/>
    <cellStyle name="_Currency 3" xfId="7819" xr:uid="{00000000-0005-0000-0000-0000A6050000}"/>
    <cellStyle name="_Currency_(GS) China Pharmaceutical Group model" xfId="2703" xr:uid="{00000000-0005-0000-0000-0000A7050000}"/>
    <cellStyle name="_Currency_(GS) Global Bio-chem model" xfId="2704" xr:uid="{00000000-0005-0000-0000-0000A8050000}"/>
    <cellStyle name="_Currency_01 adj for merger plan" xfId="7388" xr:uid="{00000000-0005-0000-0000-0000A9050000}"/>
    <cellStyle name="_Currency_Ability to Pay Analysis" xfId="7389" xr:uid="{00000000-0005-0000-0000-0000AA050000}"/>
    <cellStyle name="_Currency_AFL" xfId="7390" xr:uid="{00000000-0005-0000-0000-0000AB050000}"/>
    <cellStyle name="_Currency_AIZ" xfId="7391" xr:uid="{00000000-0005-0000-0000-0000AC050000}"/>
    <cellStyle name="_Currency_AMP" xfId="7392" xr:uid="{00000000-0005-0000-0000-0000AD050000}"/>
    <cellStyle name="_Currency_AT" xfId="11108" xr:uid="{00000000-0005-0000-0000-0000AE050000}"/>
    <cellStyle name="_Currency_AutoPrice2000" xfId="11109" xr:uid="{00000000-0005-0000-0000-0000AF050000}"/>
    <cellStyle name="_Currency_AWE" xfId="11110" xr:uid="{00000000-0005-0000-0000-0000B0050000}"/>
    <cellStyle name="_Currency_Balance Sheet" xfId="7393" xr:uid="{00000000-0005-0000-0000-0000B1050000}"/>
    <cellStyle name="_Currency_Base" xfId="2705" xr:uid="{00000000-0005-0000-0000-0000B2050000}"/>
    <cellStyle name="_Currency_BHI" xfId="11111" xr:uid="{00000000-0005-0000-0000-0000B3050000}"/>
    <cellStyle name="_Currency_BLS" xfId="11112" xr:uid="{00000000-0005-0000-0000-0000B4050000}"/>
    <cellStyle name="_Currency_bls roic" xfId="11113" xr:uid="{00000000-0005-0000-0000-0000B5050000}"/>
    <cellStyle name="_Currency_Book1" xfId="2706" xr:uid="{00000000-0005-0000-0000-0000B6050000}"/>
    <cellStyle name="_Currency_Book1 2" xfId="6968" xr:uid="{00000000-0005-0000-0000-0000B7050000}"/>
    <cellStyle name="_Currency_Book1_Jazztel model 16DP3-Exhibits" xfId="2707" xr:uid="{00000000-0005-0000-0000-0000B8050000}"/>
    <cellStyle name="_Currency_Book1_Jazztel model 16DP3-Exhibits 2" xfId="6969" xr:uid="{00000000-0005-0000-0000-0000B9050000}"/>
    <cellStyle name="_Currency_Book1_Jazztel model 16DP3-Exhibits_Book2" xfId="6970" xr:uid="{00000000-0005-0000-0000-0000BA050000}"/>
    <cellStyle name="_Currency_Book1_Jazztel model 16DP3-Exhibits_T_MOBIL2" xfId="2708" xr:uid="{00000000-0005-0000-0000-0000BB050000}"/>
    <cellStyle name="_Currency_Book1_Jazztel model 16DP3-Exhibits_T_MOBIL2 2" xfId="6971" xr:uid="{00000000-0005-0000-0000-0000BC050000}"/>
    <cellStyle name="_Currency_Book1_Jazztel model 16DP3-Exhibits_TDC-2Aug2001_UPD" xfId="6972" xr:uid="{00000000-0005-0000-0000-0000BD050000}"/>
    <cellStyle name="_Currency_Book1_Jazztel model 18DP-exhibits" xfId="2709" xr:uid="{00000000-0005-0000-0000-0000BE050000}"/>
    <cellStyle name="_Currency_Book1_Jazztel model 18DP-exhibits 2" xfId="6973" xr:uid="{00000000-0005-0000-0000-0000BF050000}"/>
    <cellStyle name="_Currency_Book1_TDC-2Aug2001" xfId="6974" xr:uid="{00000000-0005-0000-0000-0000C0050000}"/>
    <cellStyle name="_Currency_Book1_TelenorAug01" xfId="6975" xr:uid="{00000000-0005-0000-0000-0000C1050000}"/>
    <cellStyle name="_Currency_Book2" xfId="2710" xr:uid="{00000000-0005-0000-0000-0000C2050000}"/>
    <cellStyle name="_Currency_Book2 2" xfId="6976" xr:uid="{00000000-0005-0000-0000-0000C3050000}"/>
    <cellStyle name="_Currency_Book2_Jazztel model 16DP3-Exhibits" xfId="2711" xr:uid="{00000000-0005-0000-0000-0000C4050000}"/>
    <cellStyle name="_Currency_Book2_Jazztel model 16DP3-Exhibits 2" xfId="6977" xr:uid="{00000000-0005-0000-0000-0000C5050000}"/>
    <cellStyle name="_Currency_Book2_Jazztel model 16DP3-Exhibits_Book2" xfId="6978" xr:uid="{00000000-0005-0000-0000-0000C6050000}"/>
    <cellStyle name="_Currency_Book2_Jazztel model 16DP3-Exhibits_T_MOBIL2" xfId="2712" xr:uid="{00000000-0005-0000-0000-0000C7050000}"/>
    <cellStyle name="_Currency_Book2_Jazztel model 16DP3-Exhibits_T_MOBIL2 2" xfId="6979" xr:uid="{00000000-0005-0000-0000-0000C8050000}"/>
    <cellStyle name="_Currency_Book2_Jazztel model 16DP3-Exhibits_TDC-2Aug2001_UPD" xfId="6980" xr:uid="{00000000-0005-0000-0000-0000C9050000}"/>
    <cellStyle name="_Currency_Book2_Jazztel model 18DP-exhibits" xfId="2713" xr:uid="{00000000-0005-0000-0000-0000CA050000}"/>
    <cellStyle name="_Currency_Book2_Jazztel model 18DP-exhibits 2" xfId="6981" xr:uid="{00000000-0005-0000-0000-0000CB050000}"/>
    <cellStyle name="_Currency_Book2_TDC-2Aug2001" xfId="6982" xr:uid="{00000000-0005-0000-0000-0000CC050000}"/>
    <cellStyle name="_Currency_Book2_TelenorAug01" xfId="6983" xr:uid="{00000000-0005-0000-0000-0000CD050000}"/>
    <cellStyle name="_Currency_Book29" xfId="7394" xr:uid="{00000000-0005-0000-0000-0000CE050000}"/>
    <cellStyle name="_Currency_Book3" xfId="7395" xr:uid="{00000000-0005-0000-0000-0000CF050000}"/>
    <cellStyle name="_Currency_Book3_1" xfId="7396" xr:uid="{00000000-0005-0000-0000-0000D0050000}"/>
    <cellStyle name="_Currency_Book32" xfId="11114" xr:uid="{00000000-0005-0000-0000-0000D1050000}"/>
    <cellStyle name="_Currency_Book6" xfId="11115" xr:uid="{00000000-0005-0000-0000-0000D2050000}"/>
    <cellStyle name="_Currency_BS" xfId="2714" xr:uid="{00000000-0005-0000-0000-0000D3050000}"/>
    <cellStyle name="_Currency_capital expenditures 6-18-02" xfId="11116" xr:uid="{00000000-0005-0000-0000-0000D4050000}"/>
    <cellStyle name="_Currency_CB" xfId="2715" xr:uid="{00000000-0005-0000-0000-0000D5050000}"/>
    <cellStyle name="_Currency_CF" xfId="2716" xr:uid="{00000000-0005-0000-0000-0000D6050000}"/>
    <cellStyle name="_Currency_Cingular" xfId="11117" xr:uid="{00000000-0005-0000-0000-0000D7050000}"/>
    <cellStyle name="_Currency_CNO" xfId="7397" xr:uid="{00000000-0005-0000-0000-0000D8050000}"/>
    <cellStyle name="_Currency_CSC_excersize" xfId="2717" xr:uid="{00000000-0005-0000-0000-0000D9050000}"/>
    <cellStyle name="_Currency_DCF Alexander Forbes" xfId="7398" xr:uid="{00000000-0005-0000-0000-0000DA050000}"/>
    <cellStyle name="_Currency_Drive" xfId="2718" xr:uid="{00000000-0005-0000-0000-0000DB050000}"/>
    <cellStyle name="_Currency_EZJ vs go" xfId="11118" xr:uid="{00000000-0005-0000-0000-0000DC050000}"/>
    <cellStyle name="_Currency_Financial Performance Benchmarking and Valuation(2)" xfId="11119" xr:uid="{00000000-0005-0000-0000-0000DD050000}"/>
    <cellStyle name="_Currency_fmbi counties" xfId="7399" xr:uid="{00000000-0005-0000-0000-0000DE050000}"/>
    <cellStyle name="_Currency_FMBI MBHI Graphs" xfId="7400" xr:uid="{00000000-0005-0000-0000-0000DF050000}"/>
    <cellStyle name="_Currency_FMBI MBHI Graphs 07102001" xfId="7401" xr:uid="{00000000-0005-0000-0000-0000E0050000}"/>
    <cellStyle name="_Currency_FMBI MBHI Graphs_7601" xfId="7402" xr:uid="{00000000-0005-0000-0000-0000E1050000}"/>
    <cellStyle name="_Currency_FON" xfId="11120" xr:uid="{00000000-0005-0000-0000-0000E2050000}"/>
    <cellStyle name="_Currency_GNW" xfId="7403" xr:uid="{00000000-0005-0000-0000-0000E3050000}"/>
    <cellStyle name="_Currency_GQ" xfId="2719" xr:uid="{00000000-0005-0000-0000-0000E4050000}"/>
    <cellStyle name="_Currency_Insurance Brokerage CSC_1Q2002" xfId="7404" xr:uid="{00000000-0005-0000-0000-0000E5050000}"/>
    <cellStyle name="_Currency_Jazztel model 15-exhibits" xfId="2720" xr:uid="{00000000-0005-0000-0000-0000E6050000}"/>
    <cellStyle name="_Currency_Jazztel model 15-exhibits 2" xfId="6984" xr:uid="{00000000-0005-0000-0000-0000E7050000}"/>
    <cellStyle name="_Currency_Jazztel model 15-exhibits bis" xfId="2721" xr:uid="{00000000-0005-0000-0000-0000E8050000}"/>
    <cellStyle name="_Currency_Jazztel model 15-exhibits bis 2" xfId="6985" xr:uid="{00000000-0005-0000-0000-0000E9050000}"/>
    <cellStyle name="_Currency_Jazztel model 15-exhibits bis_Book2" xfId="6986" xr:uid="{00000000-0005-0000-0000-0000EA050000}"/>
    <cellStyle name="_Currency_Jazztel model 15-exhibits bis_T_MOBIL2" xfId="2722" xr:uid="{00000000-0005-0000-0000-0000EB050000}"/>
    <cellStyle name="_Currency_Jazztel model 15-exhibits bis_T_MOBIL2 2" xfId="6987" xr:uid="{00000000-0005-0000-0000-0000EC050000}"/>
    <cellStyle name="_Currency_Jazztel model 15-exhibits bis_TDC-2Aug2001_UPD" xfId="6988" xr:uid="{00000000-0005-0000-0000-0000ED050000}"/>
    <cellStyle name="_Currency_Jazztel model 15-exhibits_Jazztel model 16DP3-Exhibits" xfId="2723" xr:uid="{00000000-0005-0000-0000-0000EE050000}"/>
    <cellStyle name="_Currency_Jazztel model 15-exhibits_Jazztel model 16DP3-Exhibits 2" xfId="6989" xr:uid="{00000000-0005-0000-0000-0000EF050000}"/>
    <cellStyle name="_Currency_Jazztel model 15-exhibits_Jazztel model 16DP3-Exhibits_Book2" xfId="6990" xr:uid="{00000000-0005-0000-0000-0000F0050000}"/>
    <cellStyle name="_Currency_Jazztel model 15-exhibits_Jazztel model 16DP3-Exhibits_T_MOBIL2" xfId="2724" xr:uid="{00000000-0005-0000-0000-0000F1050000}"/>
    <cellStyle name="_Currency_Jazztel model 15-exhibits_Jazztel model 16DP3-Exhibits_T_MOBIL2 2" xfId="6991" xr:uid="{00000000-0005-0000-0000-0000F2050000}"/>
    <cellStyle name="_Currency_Jazztel model 15-exhibits_Jazztel model 16DP3-Exhibits_TDC-2Aug2001_UPD" xfId="6992" xr:uid="{00000000-0005-0000-0000-0000F3050000}"/>
    <cellStyle name="_Currency_Jazztel model 15-exhibits_Jazztel model 18DP-exhibits" xfId="2725" xr:uid="{00000000-0005-0000-0000-0000F4050000}"/>
    <cellStyle name="_Currency_Jazztel model 15-exhibits_Jazztel model 18DP-exhibits 2" xfId="6993" xr:uid="{00000000-0005-0000-0000-0000F5050000}"/>
    <cellStyle name="_Currency_Jazztel model 15-exhibits_TDC-2Aug2001" xfId="6994" xr:uid="{00000000-0005-0000-0000-0000F6050000}"/>
    <cellStyle name="_Currency_Jazztel model 15-exhibits_TelenorAug01" xfId="6995" xr:uid="{00000000-0005-0000-0000-0000F7050000}"/>
    <cellStyle name="_Currency_Jazztel model 15-exhibits-Friso2" xfId="2726" xr:uid="{00000000-0005-0000-0000-0000F8050000}"/>
    <cellStyle name="_Currency_Jazztel model 15-exhibits-Friso2 2" xfId="6996" xr:uid="{00000000-0005-0000-0000-0000F9050000}"/>
    <cellStyle name="_Currency_Jazztel model 15-exhibits-Friso2_Jazztel model 16DP3-Exhibits" xfId="2727" xr:uid="{00000000-0005-0000-0000-0000FA050000}"/>
    <cellStyle name="_Currency_Jazztel model 15-exhibits-Friso2_Jazztel model 16DP3-Exhibits 2" xfId="6997" xr:uid="{00000000-0005-0000-0000-0000FB050000}"/>
    <cellStyle name="_Currency_Jazztel model 15-exhibits-Friso2_Jazztel model 16DP3-Exhibits_Book2" xfId="6998" xr:uid="{00000000-0005-0000-0000-0000FC050000}"/>
    <cellStyle name="_Currency_Jazztel model 15-exhibits-Friso2_Jazztel model 16DP3-Exhibits_T_MOBIL2" xfId="2728" xr:uid="{00000000-0005-0000-0000-0000FD050000}"/>
    <cellStyle name="_Currency_Jazztel model 15-exhibits-Friso2_Jazztel model 16DP3-Exhibits_T_MOBIL2 2" xfId="6999" xr:uid="{00000000-0005-0000-0000-0000FE050000}"/>
    <cellStyle name="_Currency_Jazztel model 15-exhibits-Friso2_Jazztel model 16DP3-Exhibits_TDC-2Aug2001_UPD" xfId="7000" xr:uid="{00000000-0005-0000-0000-0000FF050000}"/>
    <cellStyle name="_Currency_Jazztel model 15-exhibits-Friso2_Jazztel model 18DP-exhibits" xfId="2729" xr:uid="{00000000-0005-0000-0000-000000060000}"/>
    <cellStyle name="_Currency_Jazztel model 15-exhibits-Friso2_Jazztel model 18DP-exhibits 2" xfId="7001" xr:uid="{00000000-0005-0000-0000-000001060000}"/>
    <cellStyle name="_Currency_Jazztel model 15-exhibits-Friso2_TDC-2Aug2001" xfId="7002" xr:uid="{00000000-0005-0000-0000-000002060000}"/>
    <cellStyle name="_Currency_Jazztel model 15-exhibits-Friso2_TelenorAug01" xfId="7003" xr:uid="{00000000-0005-0000-0000-000003060000}"/>
    <cellStyle name="_Currency_JP" xfId="7405" xr:uid="{00000000-0005-0000-0000-000004060000}"/>
    <cellStyle name="_Currency_LNC" xfId="7406" xr:uid="{00000000-0005-0000-0000-000005060000}"/>
    <cellStyle name="_Currency_MET" xfId="7407" xr:uid="{00000000-0005-0000-0000-000006060000}"/>
    <cellStyle name="_Currency_MET04" xfId="7408" xr:uid="{00000000-0005-0000-0000-000007060000}"/>
    <cellStyle name="_Currency_NFS" xfId="7409" xr:uid="{00000000-0005-0000-0000-000008060000}"/>
    <cellStyle name="_Currency_Overseas" xfId="2730" xr:uid="{00000000-0005-0000-0000-000009060000}"/>
    <cellStyle name="_Currency_Overview3" xfId="7410" xr:uid="{00000000-0005-0000-0000-00000A060000}"/>
    <cellStyle name="_Currency_P&amp;L" xfId="2731" xr:uid="{00000000-0005-0000-0000-00000B060000}"/>
    <cellStyle name="_Currency_phil data" xfId="7411" xr:uid="{00000000-0005-0000-0000-00000C060000}"/>
    <cellStyle name="_Currency_Price Performance Charts" xfId="7412" xr:uid="{00000000-0005-0000-0000-00000D060000}"/>
    <cellStyle name="_Currency_PRU" xfId="7413" xr:uid="{00000000-0005-0000-0000-00000E060000}"/>
    <cellStyle name="_Currency_PRU04" xfId="7414" xr:uid="{00000000-0005-0000-0000-00000F060000}"/>
    <cellStyle name="_Currency_RiskReward" xfId="7415" xr:uid="{00000000-0005-0000-0000-000010060000}"/>
    <cellStyle name="_Currency_SFG" xfId="7416" xr:uid="{00000000-0005-0000-0000-000011060000}"/>
    <cellStyle name="_Currency_Sheet1" xfId="7417" xr:uid="{00000000-0005-0000-0000-000012060000}"/>
    <cellStyle name="_Currency_Stock-QTR1 FDS" xfId="7418" xr:uid="{00000000-0005-0000-0000-000013060000}"/>
    <cellStyle name="_Currency_THE TELECOM SERVICES CSC (3Q99)_AP2K_SU" xfId="2732" xr:uid="{00000000-0005-0000-0000-000014060000}"/>
    <cellStyle name="_Currency_TMK" xfId="7419" xr:uid="{00000000-0005-0000-0000-000015060000}"/>
    <cellStyle name="_Currency_Updated Valuation Changes" xfId="7420" xr:uid="{00000000-0005-0000-0000-000016060000}"/>
    <cellStyle name="_Currency_Valuation Graphs" xfId="7421" xr:uid="{00000000-0005-0000-0000-000017060000}"/>
    <cellStyle name="_Currency_xratio - historical mkt val" xfId="7422" xr:uid="{00000000-0005-0000-0000-000018060000}"/>
    <cellStyle name="_CurrencySpace" xfId="2733" xr:uid="{00000000-0005-0000-0000-000019060000}"/>
    <cellStyle name="_CurrencySpace 2" xfId="7004" xr:uid="{00000000-0005-0000-0000-00001A060000}"/>
    <cellStyle name="_CurrencySpace_(GS) China Pharmaceutical Group model" xfId="2734" xr:uid="{00000000-0005-0000-0000-00001B060000}"/>
    <cellStyle name="_CurrencySpace_(GS) Global Bio-chem model" xfId="2735" xr:uid="{00000000-0005-0000-0000-00001C060000}"/>
    <cellStyle name="_CurrencySpace_01 adj for merger plan" xfId="7423" xr:uid="{00000000-0005-0000-0000-00001D060000}"/>
    <cellStyle name="_CurrencySpace_Ability to Pay Analysis" xfId="7424" xr:uid="{00000000-0005-0000-0000-00001E060000}"/>
    <cellStyle name="_CurrencySpace_AFL" xfId="7425" xr:uid="{00000000-0005-0000-0000-00001F060000}"/>
    <cellStyle name="_CurrencySpace_AIZ" xfId="7426" xr:uid="{00000000-0005-0000-0000-000020060000}"/>
    <cellStyle name="_CurrencySpace_AMP" xfId="7427" xr:uid="{00000000-0005-0000-0000-000021060000}"/>
    <cellStyle name="_CurrencySpace_Balance Sheet" xfId="7428" xr:uid="{00000000-0005-0000-0000-000022060000}"/>
    <cellStyle name="_CurrencySpace_Base" xfId="2736" xr:uid="{00000000-0005-0000-0000-000023060000}"/>
    <cellStyle name="_CurrencySpace_Book1" xfId="7429" xr:uid="{00000000-0005-0000-0000-000024060000}"/>
    <cellStyle name="_CurrencySpace_Book29" xfId="7430" xr:uid="{00000000-0005-0000-0000-000025060000}"/>
    <cellStyle name="_CurrencySpace_Book3" xfId="7431" xr:uid="{00000000-0005-0000-0000-000026060000}"/>
    <cellStyle name="_CurrencySpace_Book3_1" xfId="7432" xr:uid="{00000000-0005-0000-0000-000027060000}"/>
    <cellStyle name="_CurrencySpace_BS" xfId="2737" xr:uid="{00000000-0005-0000-0000-000028060000}"/>
    <cellStyle name="_CurrencySpace_CB" xfId="2738" xr:uid="{00000000-0005-0000-0000-000029060000}"/>
    <cellStyle name="_CurrencySpace_CF" xfId="2739" xr:uid="{00000000-0005-0000-0000-00002A060000}"/>
    <cellStyle name="_CurrencySpace_CNO" xfId="7433" xr:uid="{00000000-0005-0000-0000-00002B060000}"/>
    <cellStyle name="_CurrencySpace_DCF Alexander Forbes" xfId="7434" xr:uid="{00000000-0005-0000-0000-00002C060000}"/>
    <cellStyle name="_CurrencySpace_Drive" xfId="2740" xr:uid="{00000000-0005-0000-0000-00002D060000}"/>
    <cellStyle name="_CurrencySpace_fmbi counties" xfId="7435" xr:uid="{00000000-0005-0000-0000-00002E060000}"/>
    <cellStyle name="_CurrencySpace_FMBI MBHI Graphs" xfId="7436" xr:uid="{00000000-0005-0000-0000-00002F060000}"/>
    <cellStyle name="_CurrencySpace_FMBI MBHI Graphs 07102001" xfId="7437" xr:uid="{00000000-0005-0000-0000-000030060000}"/>
    <cellStyle name="_CurrencySpace_FMBI MBHI Graphs_7601" xfId="7438" xr:uid="{00000000-0005-0000-0000-000031060000}"/>
    <cellStyle name="_CurrencySpace_GNW" xfId="7439" xr:uid="{00000000-0005-0000-0000-000032060000}"/>
    <cellStyle name="_CurrencySpace_GQ" xfId="2741" xr:uid="{00000000-0005-0000-0000-000033060000}"/>
    <cellStyle name="_CurrencySpace_Insurance Brokerage CSC_1Q2002" xfId="7440" xr:uid="{00000000-0005-0000-0000-000034060000}"/>
    <cellStyle name="_CurrencySpace_JP" xfId="7441" xr:uid="{00000000-0005-0000-0000-000035060000}"/>
    <cellStyle name="_CurrencySpace_LNC" xfId="7442" xr:uid="{00000000-0005-0000-0000-000036060000}"/>
    <cellStyle name="_CurrencySpace_MET" xfId="7443" xr:uid="{00000000-0005-0000-0000-000037060000}"/>
    <cellStyle name="_CurrencySpace_MET04" xfId="7444" xr:uid="{00000000-0005-0000-0000-000038060000}"/>
    <cellStyle name="_CurrencySpace_NFS" xfId="7445" xr:uid="{00000000-0005-0000-0000-000039060000}"/>
    <cellStyle name="_CurrencySpace_Overview3" xfId="7446" xr:uid="{00000000-0005-0000-0000-00003A060000}"/>
    <cellStyle name="_CurrencySpace_P&amp;L" xfId="2742" xr:uid="{00000000-0005-0000-0000-00003B060000}"/>
    <cellStyle name="_CurrencySpace_phil data" xfId="7447" xr:uid="{00000000-0005-0000-0000-00003C060000}"/>
    <cellStyle name="_CurrencySpace_Price Performance Charts" xfId="7448" xr:uid="{00000000-0005-0000-0000-00003D060000}"/>
    <cellStyle name="_CurrencySpace_PRU" xfId="7449" xr:uid="{00000000-0005-0000-0000-00003E060000}"/>
    <cellStyle name="_CurrencySpace_PRU04" xfId="7450" xr:uid="{00000000-0005-0000-0000-00003F060000}"/>
    <cellStyle name="_CurrencySpace_RiskReward" xfId="7451" xr:uid="{00000000-0005-0000-0000-000040060000}"/>
    <cellStyle name="_CurrencySpace_SFG" xfId="7452" xr:uid="{00000000-0005-0000-0000-000041060000}"/>
    <cellStyle name="_CurrencySpace_Sheet1" xfId="7453" xr:uid="{00000000-0005-0000-0000-000042060000}"/>
    <cellStyle name="_CurrencySpace_Stock-QTR1 FDS" xfId="7454" xr:uid="{00000000-0005-0000-0000-000043060000}"/>
    <cellStyle name="_CurrencySpace_TMK" xfId="7455" xr:uid="{00000000-0005-0000-0000-000044060000}"/>
    <cellStyle name="_CurrencySpace_Updated Valuation Changes" xfId="7456" xr:uid="{00000000-0005-0000-0000-000045060000}"/>
    <cellStyle name="_CurrencySpace_Valuation Graphs" xfId="7457" xr:uid="{00000000-0005-0000-0000-000046060000}"/>
    <cellStyle name="_CurrencySpace_xratio - historical mkt val" xfId="7458" xr:uid="{00000000-0005-0000-0000-000047060000}"/>
    <cellStyle name="_DCF" xfId="2743" xr:uid="{00000000-0005-0000-0000-000048060000}"/>
    <cellStyle name="—_DCF" xfId="4538" xr:uid="{00000000-0005-0000-0000-000049060000}"/>
    <cellStyle name="—_DCF 08" xfId="4539" xr:uid="{00000000-0005-0000-0000-00004A060000}"/>
    <cellStyle name="_DCF_1" xfId="2744" xr:uid="{00000000-0005-0000-0000-00004B060000}"/>
    <cellStyle name="_Dollar" xfId="2745" xr:uid="{00000000-0005-0000-0000-00004C060000}"/>
    <cellStyle name="_Dollar 2" xfId="7005" xr:uid="{00000000-0005-0000-0000-00004D060000}"/>
    <cellStyle name="_Dollar_Jazztel model 16DP3-Exhibits" xfId="2746" xr:uid="{00000000-0005-0000-0000-00004E060000}"/>
    <cellStyle name="_Dollar_Jazztel model 16DP3-Exhibits 2" xfId="7006" xr:uid="{00000000-0005-0000-0000-00004F060000}"/>
    <cellStyle name="_Dollar_Jazztel model 18DP-exhibits" xfId="2747" xr:uid="{00000000-0005-0000-0000-000050060000}"/>
    <cellStyle name="_Dollar_Jazztel model 18DP-exhibits 2" xfId="7007" xr:uid="{00000000-0005-0000-0000-000051060000}"/>
    <cellStyle name="_Dollar_Jazztel model 18DP-exhibits_Book2" xfId="7008" xr:uid="{00000000-0005-0000-0000-000052060000}"/>
    <cellStyle name="_Dollar_Jazztel model 18DP-exhibits_T_MOBIL2" xfId="2748" xr:uid="{00000000-0005-0000-0000-000053060000}"/>
    <cellStyle name="_Dollar_Jazztel model 18DP-exhibits_T_MOBIL2 2" xfId="7009" xr:uid="{00000000-0005-0000-0000-000054060000}"/>
    <cellStyle name="_Dollar_Jazztel model 18DP-exhibits_TDC-2Aug2001_UPD" xfId="7010" xr:uid="{00000000-0005-0000-0000-000055060000}"/>
    <cellStyle name="_Dollar_TDC-2Aug2001" xfId="7011" xr:uid="{00000000-0005-0000-0000-000056060000}"/>
    <cellStyle name="_Dollar_TelenorAug01" xfId="7012" xr:uid="{00000000-0005-0000-0000-000057060000}"/>
    <cellStyle name="_Drive" xfId="2749" xr:uid="{00000000-0005-0000-0000-000058060000}"/>
    <cellStyle name="—_Drive" xfId="2750" xr:uid="{00000000-0005-0000-0000-000059060000}"/>
    <cellStyle name="_DSL" xfId="2751" xr:uid="{00000000-0005-0000-0000-00005A060000}"/>
    <cellStyle name="—_earnings" xfId="2752" xr:uid="{00000000-0005-0000-0000-00005B060000}"/>
    <cellStyle name="—_earnings_new-Sub" xfId="2753" xr:uid="{00000000-0005-0000-0000-00005C060000}"/>
    <cellStyle name="_Eastern by country" xfId="2754" xr:uid="{00000000-0005-0000-0000-00005D060000}"/>
    <cellStyle name="—_EM_ChinaTelecom" xfId="2755" xr:uid="{00000000-0005-0000-0000-00005E060000}"/>
    <cellStyle name="—_EM_CMHK" xfId="2756" xr:uid="{00000000-0005-0000-0000-00005F060000}"/>
    <cellStyle name="—_EM_CMHK_consolidated" xfId="2757" xr:uid="{00000000-0005-0000-0000-000060060000}"/>
    <cellStyle name="—_EM_CMHKconsolidatednew_WIP.xls Chart 1" xfId="2758" xr:uid="{00000000-0005-0000-0000-000061060000}"/>
    <cellStyle name="—_EM_CMHKconsolidatednew_WIP.xls Chart 1 2" xfId="4540" xr:uid="{00000000-0005-0000-0000-000062060000}"/>
    <cellStyle name="—_EM_CMHKconsolidatednew_WIP.xls Chart 1 3" xfId="7013" xr:uid="{00000000-0005-0000-0000-000063060000}"/>
    <cellStyle name="—_EM_CMHKconsolidatednew_WIP.xls Chart 1_Beta" xfId="4541" xr:uid="{00000000-0005-0000-0000-000064060000}"/>
    <cellStyle name="—_EM_CMHKconsolidatednew_WIP.xls Chart 1_Book8" xfId="4542" xr:uid="{00000000-0005-0000-0000-000065060000}"/>
    <cellStyle name="—_EM_CMHKconsolidatednew_WIP.xls Chart 1_Book8_Beta" xfId="4543" xr:uid="{00000000-0005-0000-0000-000066060000}"/>
    <cellStyle name="—_EM_CMHKconsolidatednew_WIP.xls Chart 1_Book8_Cashflow" xfId="4544" xr:uid="{00000000-0005-0000-0000-000067060000}"/>
    <cellStyle name="—_EM_CMHKconsolidatednew_WIP.xls Chart 1_Book8_Cashflow_Honghua MSTR" xfId="4545" xr:uid="{00000000-0005-0000-0000-000068060000}"/>
    <cellStyle name="—_EM_CMHKconsolidatednew_WIP.xls Chart 1_Book8_P&amp;L" xfId="4546" xr:uid="{00000000-0005-0000-0000-000069060000}"/>
    <cellStyle name="—_EM_CMHKconsolidatednew_WIP.xls Chart 1_Book8_P&amp;L_Honghua MSTR" xfId="4547" xr:uid="{00000000-0005-0000-0000-00006A060000}"/>
    <cellStyle name="—_EM_CMHKconsolidatednew_WIP.xls Chart 1_Book8_PetroChina Master" xfId="4548" xr:uid="{00000000-0005-0000-0000-00006B060000}"/>
    <cellStyle name="—_EM_CMHKconsolidatednew_WIP.xls Chart 1_Book8_PetroChina Master_WIP(20-F update)" xfId="4549" xr:uid="{00000000-0005-0000-0000-00006C060000}"/>
    <cellStyle name="—_EM_CMHKconsolidatednew_WIP.xls Chart 1_Book8_PetroChina Master_WIP(20-F update)_Cashflow" xfId="4550" xr:uid="{00000000-0005-0000-0000-00006D060000}"/>
    <cellStyle name="—_EM_CMHKconsolidatednew_WIP.xls Chart 1_Book8_PetroChina Master_WIP(20-F update)_Cashflow_Honghua MSTR" xfId="4551" xr:uid="{00000000-0005-0000-0000-00006E060000}"/>
    <cellStyle name="—_EM_CMHKconsolidatednew_WIP.xls Chart 1_Book8_PetroChina Master_WIP(20-F update)_P&amp;L" xfId="4552" xr:uid="{00000000-0005-0000-0000-00006F060000}"/>
    <cellStyle name="—_EM_CMHKconsolidatednew_WIP.xls Chart 1_Book8_PetroChina Master_WIP(20-F update)_P&amp;L_Honghua MSTR" xfId="4553" xr:uid="{00000000-0005-0000-0000-000070060000}"/>
    <cellStyle name="—_EM_CMHKconsolidatednew_WIP.xls Chart 1_Book8_PetroChina Master_WIP(20-F update)_Sinopec MSTR" xfId="4554" xr:uid="{00000000-0005-0000-0000-000071060000}"/>
    <cellStyle name="—_EM_CMHKconsolidatednew_WIP.xls Chart 1_Book8_PetroChina Master_WIP(20-F update)_Sinopec MSTR Wip" xfId="4555" xr:uid="{00000000-0005-0000-0000-000072060000}"/>
    <cellStyle name="—_EM_CMHKconsolidatednew_WIP.xls Chart 1_Book8_PetroChina Master_WIP(20-F update)_Sinopec MSTR_WIP_KK" xfId="4556" xr:uid="{00000000-0005-0000-0000-000073060000}"/>
    <cellStyle name="—_EM_CMHKconsolidatednew_WIP.xls Chart 1_Book8_Sinopec MSTR" xfId="4557" xr:uid="{00000000-0005-0000-0000-000074060000}"/>
    <cellStyle name="—_EM_CMHKconsolidatednew_WIP.xls Chart 1_Book8_Sinopec MSTR Wip" xfId="4558" xr:uid="{00000000-0005-0000-0000-000075060000}"/>
    <cellStyle name="—_EM_CMHKconsolidatednew_WIP.xls Chart 1_Book8_Sinopec MSTR_WIP_KK" xfId="4559" xr:uid="{00000000-0005-0000-0000-000076060000}"/>
    <cellStyle name="—_EM_CMHKconsolidatednew_WIP.xls Chart 1_Book8_Sinopec MSTR-WIP_20F update" xfId="4560" xr:uid="{00000000-0005-0000-0000-000077060000}"/>
    <cellStyle name="—_EM_CMHKconsolidatednew_WIP.xls Chart 1_Cashflow" xfId="4561" xr:uid="{00000000-0005-0000-0000-000078060000}"/>
    <cellStyle name="—_EM_CMHKconsolidatednew_WIP.xls Chart 1_Cashflow_Honghua MSTR" xfId="4562" xr:uid="{00000000-0005-0000-0000-000079060000}"/>
    <cellStyle name="—_EM_CMHKconsolidatednew_WIP.xls Chart 1_EM-LGT_Published" xfId="4563" xr:uid="{00000000-0005-0000-0000-00007A060000}"/>
    <cellStyle name="—_EM_CMHKconsolidatednew_WIP.xls Chart 1_EM-LGT_Published_Beta" xfId="4564" xr:uid="{00000000-0005-0000-0000-00007B060000}"/>
    <cellStyle name="—_EM_CMHKconsolidatednew_WIP.xls Chart 1_EM-LGT_Published_Cashflow" xfId="4565" xr:uid="{00000000-0005-0000-0000-00007C060000}"/>
    <cellStyle name="—_EM_CMHKconsolidatednew_WIP.xls Chart 1_EM-LGT_Published_Cashflow_Honghua MSTR" xfId="4566" xr:uid="{00000000-0005-0000-0000-00007D060000}"/>
    <cellStyle name="—_EM_CMHKconsolidatednew_WIP.xls Chart 1_EM-LGT_Published_P&amp;L" xfId="4567" xr:uid="{00000000-0005-0000-0000-00007E060000}"/>
    <cellStyle name="—_EM_CMHKconsolidatednew_WIP.xls Chart 1_EM-LGT_Published_P&amp;L_Honghua MSTR" xfId="4568" xr:uid="{00000000-0005-0000-0000-00007F060000}"/>
    <cellStyle name="—_EM_CMHKconsolidatednew_WIP.xls Chart 1_EM-LGT_Published_PetroChina Master" xfId="4569" xr:uid="{00000000-0005-0000-0000-000080060000}"/>
    <cellStyle name="—_EM_CMHKconsolidatednew_WIP.xls Chart 1_EM-LGT_Published_PetroChina Master_WIP(20-F update)" xfId="4570" xr:uid="{00000000-0005-0000-0000-000081060000}"/>
    <cellStyle name="—_EM_CMHKconsolidatednew_WIP.xls Chart 1_EM-LGT_Published_PetroChina Master_WIP(20-F update)_Cashflow" xfId="4571" xr:uid="{00000000-0005-0000-0000-000082060000}"/>
    <cellStyle name="—_EM_CMHKconsolidatednew_WIP.xls Chart 1_EM-LGT_Published_PetroChina Master_WIP(20-F update)_Cashflow_Honghua MSTR" xfId="4572" xr:uid="{00000000-0005-0000-0000-000083060000}"/>
    <cellStyle name="—_EM_CMHKconsolidatednew_WIP.xls Chart 1_EM-LGT_Published_PetroChina Master_WIP(20-F update)_P&amp;L" xfId="4573" xr:uid="{00000000-0005-0000-0000-000084060000}"/>
    <cellStyle name="—_EM_CMHKconsolidatednew_WIP.xls Chart 1_EM-LGT_Published_PetroChina Master_WIP(20-F update)_P&amp;L_Honghua MSTR" xfId="4574" xr:uid="{00000000-0005-0000-0000-000085060000}"/>
    <cellStyle name="—_EM_CMHKconsolidatednew_WIP.xls Chart 1_EM-LGT_Published_PetroChina Master_WIP(20-F update)_Sinopec MSTR" xfId="4575" xr:uid="{00000000-0005-0000-0000-000086060000}"/>
    <cellStyle name="—_EM_CMHKconsolidatednew_WIP.xls Chart 1_EM-LGT_Published_PetroChina Master_WIP(20-F update)_Sinopec MSTR Wip" xfId="4576" xr:uid="{00000000-0005-0000-0000-000087060000}"/>
    <cellStyle name="—_EM_CMHKconsolidatednew_WIP.xls Chart 1_EM-LGT_Published_PetroChina Master_WIP(20-F update)_Sinopec MSTR_WIP_KK" xfId="4577" xr:uid="{00000000-0005-0000-0000-000088060000}"/>
    <cellStyle name="—_EM_CMHKconsolidatednew_WIP.xls Chart 1_EM-LGT_Published_Sinopec MSTR" xfId="4578" xr:uid="{00000000-0005-0000-0000-000089060000}"/>
    <cellStyle name="—_EM_CMHKconsolidatednew_WIP.xls Chart 1_EM-LGT_Published_Sinopec MSTR Wip" xfId="4579" xr:uid="{00000000-0005-0000-0000-00008A060000}"/>
    <cellStyle name="—_EM_CMHKconsolidatednew_WIP.xls Chart 1_EM-LGT_Published_Sinopec MSTR_WIP_KK" xfId="4580" xr:uid="{00000000-0005-0000-0000-00008B060000}"/>
    <cellStyle name="—_EM_CMHKconsolidatednew_WIP.xls Chart 1_EM-LGT_Published_Sinopec MSTR-WIP_20F update" xfId="4581" xr:uid="{00000000-0005-0000-0000-00008C060000}"/>
    <cellStyle name="—_EM_CMHKconsolidatednew_WIP.xls Chart 1_new-Sub" xfId="2759" xr:uid="{00000000-0005-0000-0000-00008D060000}"/>
    <cellStyle name="—_EM_CMHKconsolidatednew_WIP.xls Chart 1_P&amp;L" xfId="4582" xr:uid="{00000000-0005-0000-0000-00008E060000}"/>
    <cellStyle name="—_EM_CMHKconsolidatednew_WIP.xls Chart 1_P&amp;L_Honghua MSTR" xfId="4583" xr:uid="{00000000-0005-0000-0000-00008F060000}"/>
    <cellStyle name="—_EM_CMHKconsolidatednew_WIP.xls Chart 1_PetroChina Master" xfId="4584" xr:uid="{00000000-0005-0000-0000-000090060000}"/>
    <cellStyle name="—_EM_CMHKconsolidatednew_WIP.xls Chart 1_PetroChina Master_WIP(20-F update)" xfId="4585" xr:uid="{00000000-0005-0000-0000-000091060000}"/>
    <cellStyle name="—_EM_CMHKconsolidatednew_WIP.xls Chart 1_PetroChina Master_WIP(20-F update)_Cashflow" xfId="4586" xr:uid="{00000000-0005-0000-0000-000092060000}"/>
    <cellStyle name="—_EM_CMHKconsolidatednew_WIP.xls Chart 1_PetroChina Master_WIP(20-F update)_Cashflow_Honghua MSTR" xfId="4587" xr:uid="{00000000-0005-0000-0000-000093060000}"/>
    <cellStyle name="—_EM_CMHKconsolidatednew_WIP.xls Chart 1_PetroChina Master_WIP(20-F update)_P&amp;L" xfId="4588" xr:uid="{00000000-0005-0000-0000-000094060000}"/>
    <cellStyle name="—_EM_CMHKconsolidatednew_WIP.xls Chart 1_PetroChina Master_WIP(20-F update)_P&amp;L_Honghua MSTR" xfId="4589" xr:uid="{00000000-0005-0000-0000-000095060000}"/>
    <cellStyle name="—_EM_CMHKconsolidatednew_WIP.xls Chart 1_PetroChina Master_WIP(20-F update)_Sinopec MSTR" xfId="4590" xr:uid="{00000000-0005-0000-0000-000096060000}"/>
    <cellStyle name="—_EM_CMHKconsolidatednew_WIP.xls Chart 1_PetroChina Master_WIP(20-F update)_Sinopec MSTR Wip" xfId="4591" xr:uid="{00000000-0005-0000-0000-000097060000}"/>
    <cellStyle name="—_EM_CMHKconsolidatednew_WIP.xls Chart 1_PetroChina Master_WIP(20-F update)_Sinopec MSTR_WIP_KK" xfId="4592" xr:uid="{00000000-0005-0000-0000-000098060000}"/>
    <cellStyle name="—_EM_CMHKconsolidatednew_WIP.xls Chart 1_Sinopec MSTR" xfId="4593" xr:uid="{00000000-0005-0000-0000-000099060000}"/>
    <cellStyle name="—_EM_CMHKconsolidatednew_WIP.xls Chart 1_Sinopec MSTR Wip" xfId="4594" xr:uid="{00000000-0005-0000-0000-00009A060000}"/>
    <cellStyle name="—_EM_CMHKconsolidatednew_WIP.xls Chart 1_Sinopec MSTR_WIP_KK" xfId="4595" xr:uid="{00000000-0005-0000-0000-00009B060000}"/>
    <cellStyle name="—_EM_CMHKconsolidatednew_WIP.xls Chart 1_Sinopec MSTR-WIP_20F update" xfId="4596" xr:uid="{00000000-0005-0000-0000-00009C060000}"/>
    <cellStyle name="—_EM_CMHKconsolidatednew_WIP.xls Chart 1_Telecom quarterly_final" xfId="4597" xr:uid="{00000000-0005-0000-0000-00009D060000}"/>
    <cellStyle name="—_EM_CMHKconsolidatednew_WIP.xls Chart 1_Telecom quarterly_final_Beta" xfId="4598" xr:uid="{00000000-0005-0000-0000-00009E060000}"/>
    <cellStyle name="—_EM_CMHKconsolidatednew_WIP.xls Chart 1_Telecom quarterly_final_Book8" xfId="4599" xr:uid="{00000000-0005-0000-0000-00009F060000}"/>
    <cellStyle name="—_EM_CMHKconsolidatednew_WIP.xls Chart 1_Telecom quarterly_final_Book8_Beta" xfId="4600" xr:uid="{00000000-0005-0000-0000-0000A0060000}"/>
    <cellStyle name="—_EM_CMHKconsolidatednew_WIP.xls Chart 1_Telecom quarterly_final_Book8_Cashflow" xfId="4601" xr:uid="{00000000-0005-0000-0000-0000A1060000}"/>
    <cellStyle name="—_EM_CMHKconsolidatednew_WIP.xls Chart 1_Telecom quarterly_final_Book8_Cashflow_Honghua MSTR" xfId="4602" xr:uid="{00000000-0005-0000-0000-0000A2060000}"/>
    <cellStyle name="—_EM_CMHKconsolidatednew_WIP.xls Chart 1_Telecom quarterly_final_Book8_P&amp;L" xfId="4603" xr:uid="{00000000-0005-0000-0000-0000A3060000}"/>
    <cellStyle name="—_EM_CMHKconsolidatednew_WIP.xls Chart 1_Telecom quarterly_final_Book8_P&amp;L_Honghua MSTR" xfId="4604" xr:uid="{00000000-0005-0000-0000-0000A4060000}"/>
    <cellStyle name="—_EM_CMHKconsolidatednew_WIP.xls Chart 1_Telecom quarterly_final_Book8_PetroChina Master" xfId="4605" xr:uid="{00000000-0005-0000-0000-0000A5060000}"/>
    <cellStyle name="—_EM_CMHKconsolidatednew_WIP.xls Chart 1_Telecom quarterly_final_Book8_PetroChina Master_WIP(20-F update)" xfId="4606" xr:uid="{00000000-0005-0000-0000-0000A6060000}"/>
    <cellStyle name="—_EM_CMHKconsolidatednew_WIP.xls Chart 1_Telecom quarterly_final_Book8_PetroChina Master_WIP(20-F update)_Cashflow" xfId="4607" xr:uid="{00000000-0005-0000-0000-0000A7060000}"/>
    <cellStyle name="—_EM_CMHKconsolidatednew_WIP.xls Chart 1_Telecom quarterly_final_Book8_PetroChina Master_WIP(20-F update)_Cashflow_Honghua MSTR" xfId="4608" xr:uid="{00000000-0005-0000-0000-0000A8060000}"/>
    <cellStyle name="—_EM_CMHKconsolidatednew_WIP.xls Chart 1_Telecom quarterly_final_Book8_PetroChina Master_WIP(20-F update)_P&amp;L" xfId="4609" xr:uid="{00000000-0005-0000-0000-0000A9060000}"/>
    <cellStyle name="—_EM_CMHKconsolidatednew_WIP.xls Chart 1_Telecom quarterly_final_Book8_PetroChina Master_WIP(20-F update)_P&amp;L_Honghua MSTR" xfId="4610" xr:uid="{00000000-0005-0000-0000-0000AA060000}"/>
    <cellStyle name="—_EM_CMHKconsolidatednew_WIP.xls Chart 1_Telecom quarterly_final_Book8_PetroChina Master_WIP(20-F update)_Sinopec MSTR" xfId="4611" xr:uid="{00000000-0005-0000-0000-0000AB060000}"/>
    <cellStyle name="—_EM_CMHKconsolidatednew_WIP.xls Chart 1_Telecom quarterly_final_Book8_PetroChina Master_WIP(20-F update)_Sinopec MSTR Wip" xfId="4612" xr:uid="{00000000-0005-0000-0000-0000AC060000}"/>
    <cellStyle name="—_EM_CMHKconsolidatednew_WIP.xls Chart 1_Telecom quarterly_final_Book8_PetroChina Master_WIP(20-F update)_Sinopec MSTR_WIP_KK" xfId="4613" xr:uid="{00000000-0005-0000-0000-0000AD060000}"/>
    <cellStyle name="—_EM_CMHKconsolidatednew_WIP.xls Chart 1_Telecom quarterly_final_Book8_Sinopec MSTR" xfId="4614" xr:uid="{00000000-0005-0000-0000-0000AE060000}"/>
    <cellStyle name="—_EM_CMHKconsolidatednew_WIP.xls Chart 1_Telecom quarterly_final_Book8_Sinopec MSTR Wip" xfId="4615" xr:uid="{00000000-0005-0000-0000-0000AF060000}"/>
    <cellStyle name="—_EM_CMHKconsolidatednew_WIP.xls Chart 1_Telecom quarterly_final_Book8_Sinopec MSTR_WIP_KK" xfId="4616" xr:uid="{00000000-0005-0000-0000-0000B0060000}"/>
    <cellStyle name="—_EM_CMHKconsolidatednew_WIP.xls Chart 1_Telecom quarterly_final_Book8_Sinopec MSTR-WIP_20F update" xfId="4617" xr:uid="{00000000-0005-0000-0000-0000B1060000}"/>
    <cellStyle name="—_EM_CMHKconsolidatednew_WIP.xls Chart 1_Telecom quarterly_final_Cashflow" xfId="4618" xr:uid="{00000000-0005-0000-0000-0000B2060000}"/>
    <cellStyle name="—_EM_CMHKconsolidatednew_WIP.xls Chart 1_Telecom quarterly_final_Cashflow_Honghua MSTR" xfId="4619" xr:uid="{00000000-0005-0000-0000-0000B3060000}"/>
    <cellStyle name="—_EM_CMHKconsolidatednew_WIP.xls Chart 1_Telecom quarterly_final_EM-LGT_Published" xfId="4620" xr:uid="{00000000-0005-0000-0000-0000B4060000}"/>
    <cellStyle name="—_EM_CMHKconsolidatednew_WIP.xls Chart 1_Telecom quarterly_final_EM-LGT_Published_Beta" xfId="4621" xr:uid="{00000000-0005-0000-0000-0000B5060000}"/>
    <cellStyle name="—_EM_CMHKconsolidatednew_WIP.xls Chart 1_Telecom quarterly_final_EM-LGT_Published_Cashflow" xfId="4622" xr:uid="{00000000-0005-0000-0000-0000B6060000}"/>
    <cellStyle name="—_EM_CMHKconsolidatednew_WIP.xls Chart 1_Telecom quarterly_final_EM-LGT_Published_Cashflow_Honghua MSTR" xfId="4623" xr:uid="{00000000-0005-0000-0000-0000B7060000}"/>
    <cellStyle name="—_EM_CMHKconsolidatednew_WIP.xls Chart 1_Telecom quarterly_final_EM-LGT_Published_P&amp;L" xfId="4624" xr:uid="{00000000-0005-0000-0000-0000B8060000}"/>
    <cellStyle name="—_EM_CMHKconsolidatednew_WIP.xls Chart 1_Telecom quarterly_final_EM-LGT_Published_P&amp;L_Honghua MSTR" xfId="4625" xr:uid="{00000000-0005-0000-0000-0000B9060000}"/>
    <cellStyle name="—_EM_CMHKconsolidatednew_WIP.xls Chart 1_Telecom quarterly_final_EM-LGT_Published_PetroChina Master" xfId="4626" xr:uid="{00000000-0005-0000-0000-0000BA060000}"/>
    <cellStyle name="—_EM_CMHKconsolidatednew_WIP.xls Chart 1_Telecom quarterly_final_EM-LGT_Published_PetroChina Master_WIP(20-F update)" xfId="4627" xr:uid="{00000000-0005-0000-0000-0000BB060000}"/>
    <cellStyle name="—_EM_CMHKconsolidatednew_WIP.xls Chart 1_Telecom quarterly_final_EM-LGT_Published_PetroChina Master_WIP(20-F update)_Cashflow" xfId="4628" xr:uid="{00000000-0005-0000-0000-0000BC060000}"/>
    <cellStyle name="—_EM_CMHKconsolidatednew_WIP.xls Chart 1_Telecom quarterly_final_EM-LGT_Published_PetroChina Master_WIP(20-F update)_Cashflow_Honghua MSTR" xfId="4629" xr:uid="{00000000-0005-0000-0000-0000BD060000}"/>
    <cellStyle name="—_EM_CMHKconsolidatednew_WIP.xls Chart 1_Telecom quarterly_final_EM-LGT_Published_PetroChina Master_WIP(20-F update)_P&amp;L" xfId="4630" xr:uid="{00000000-0005-0000-0000-0000BE060000}"/>
    <cellStyle name="—_EM_CMHKconsolidatednew_WIP.xls Chart 1_Telecom quarterly_final_EM-LGT_Published_PetroChina Master_WIP(20-F update)_P&amp;L_Honghua MSTR" xfId="4631" xr:uid="{00000000-0005-0000-0000-0000BF060000}"/>
    <cellStyle name="—_EM_CMHKconsolidatednew_WIP.xls Chart 1_Telecom quarterly_final_EM-LGT_Published_PetroChina Master_WIP(20-F update)_Sinopec MSTR" xfId="4632" xr:uid="{00000000-0005-0000-0000-0000C0060000}"/>
    <cellStyle name="—_EM_CMHKconsolidatednew_WIP.xls Chart 1_Telecom quarterly_final_EM-LGT_Published_PetroChina Master_WIP(20-F update)_Sinopec MSTR Wip" xfId="4633" xr:uid="{00000000-0005-0000-0000-0000C1060000}"/>
    <cellStyle name="—_EM_CMHKconsolidatednew_WIP.xls Chart 1_Telecom quarterly_final_EM-LGT_Published_PetroChina Master_WIP(20-F update)_Sinopec MSTR_WIP_KK" xfId="4634" xr:uid="{00000000-0005-0000-0000-0000C2060000}"/>
    <cellStyle name="—_EM_CMHKconsolidatednew_WIP.xls Chart 1_Telecom quarterly_final_EM-LGT_Published_Sinopec MSTR" xfId="4635" xr:uid="{00000000-0005-0000-0000-0000C3060000}"/>
    <cellStyle name="—_EM_CMHKconsolidatednew_WIP.xls Chart 1_Telecom quarterly_final_EM-LGT_Published_Sinopec MSTR Wip" xfId="4636" xr:uid="{00000000-0005-0000-0000-0000C4060000}"/>
    <cellStyle name="—_EM_CMHKconsolidatednew_WIP.xls Chart 1_Telecom quarterly_final_EM-LGT_Published_Sinopec MSTR_WIP_KK" xfId="4637" xr:uid="{00000000-0005-0000-0000-0000C5060000}"/>
    <cellStyle name="—_EM_CMHKconsolidatednew_WIP.xls Chart 1_Telecom quarterly_final_EM-LGT_Published_Sinopec MSTR-WIP_20F update" xfId="4638" xr:uid="{00000000-0005-0000-0000-0000C6060000}"/>
    <cellStyle name="—_EM_CMHKconsolidatednew_WIP.xls Chart 1_Telecom quarterly_final_P&amp;L" xfId="4639" xr:uid="{00000000-0005-0000-0000-0000C7060000}"/>
    <cellStyle name="—_EM_CMHKconsolidatednew_WIP.xls Chart 1_Telecom quarterly_final_P&amp;L_Honghua MSTR" xfId="4640" xr:uid="{00000000-0005-0000-0000-0000C8060000}"/>
    <cellStyle name="—_EM_CMHKconsolidatednew_WIP.xls Chart 1_Telecom quarterly_final_PetroChina Master" xfId="4641" xr:uid="{00000000-0005-0000-0000-0000C9060000}"/>
    <cellStyle name="—_EM_CMHKconsolidatednew_WIP.xls Chart 1_Telecom quarterly_final_PetroChina Master_WIP(20-F update)" xfId="4642" xr:uid="{00000000-0005-0000-0000-0000CA060000}"/>
    <cellStyle name="—_EM_CMHKconsolidatednew_WIP.xls Chart 1_Telecom quarterly_final_PetroChina Master_WIP(20-F update)_Cashflow" xfId="4643" xr:uid="{00000000-0005-0000-0000-0000CB060000}"/>
    <cellStyle name="—_EM_CMHKconsolidatednew_WIP.xls Chart 1_Telecom quarterly_final_PetroChina Master_WIP(20-F update)_Cashflow_Honghua MSTR" xfId="4644" xr:uid="{00000000-0005-0000-0000-0000CC060000}"/>
    <cellStyle name="—_EM_CMHKconsolidatednew_WIP.xls Chart 1_Telecom quarterly_final_PetroChina Master_WIP(20-F update)_P&amp;L" xfId="4645" xr:uid="{00000000-0005-0000-0000-0000CD060000}"/>
    <cellStyle name="—_EM_CMHKconsolidatednew_WIP.xls Chart 1_Telecom quarterly_final_PetroChina Master_WIP(20-F update)_P&amp;L_Honghua MSTR" xfId="4646" xr:uid="{00000000-0005-0000-0000-0000CE060000}"/>
    <cellStyle name="—_EM_CMHKconsolidatednew_WIP.xls Chart 1_Telecom quarterly_final_PetroChina Master_WIP(20-F update)_Sinopec MSTR" xfId="4647" xr:uid="{00000000-0005-0000-0000-0000CF060000}"/>
    <cellStyle name="—_EM_CMHKconsolidatednew_WIP.xls Chart 1_Telecom quarterly_final_PetroChina Master_WIP(20-F update)_Sinopec MSTR Wip" xfId="4648" xr:uid="{00000000-0005-0000-0000-0000D0060000}"/>
    <cellStyle name="—_EM_CMHKconsolidatednew_WIP.xls Chart 1_Telecom quarterly_final_PetroChina Master_WIP(20-F update)_Sinopec MSTR_WIP_KK" xfId="4649" xr:uid="{00000000-0005-0000-0000-0000D1060000}"/>
    <cellStyle name="—_EM_CMHKconsolidatednew_WIP.xls Chart 1_Telecom quarterly_final_Sinopec MSTR" xfId="4650" xr:uid="{00000000-0005-0000-0000-0000D2060000}"/>
    <cellStyle name="—_EM_CMHKconsolidatednew_WIP.xls Chart 1_Telecom quarterly_final_Sinopec MSTR Wip" xfId="4651" xr:uid="{00000000-0005-0000-0000-0000D3060000}"/>
    <cellStyle name="—_EM_CMHKconsolidatednew_WIP.xls Chart 1_Telecom quarterly_final_Sinopec MSTR_WIP_KK" xfId="4652" xr:uid="{00000000-0005-0000-0000-0000D4060000}"/>
    <cellStyle name="—_EM_CMHKconsolidatednew_WIP.xls Chart 1_Telecom quarterly_final_Sinopec MSTR-WIP_20F update" xfId="4653" xr:uid="{00000000-0005-0000-0000-0000D5060000}"/>
    <cellStyle name="—_EM_CMHKnew" xfId="2760" xr:uid="{00000000-0005-0000-0000-0000D6060000}"/>
    <cellStyle name="—_EM_CU" xfId="2761" xr:uid="{00000000-0005-0000-0000-0000D7060000}"/>
    <cellStyle name="—_EM_FETone" xfId="2762" xr:uid="{00000000-0005-0000-0000-0000D8060000}"/>
    <cellStyle name="—_EM_FETone_AUO consolidated 2004_02" xfId="2763" xr:uid="{00000000-0005-0000-0000-0000D9060000}"/>
    <cellStyle name="—_EM_FETone_AUO forecast (GQ)2005_03" xfId="2764" xr:uid="{00000000-0005-0000-0000-0000DA060000}"/>
    <cellStyle name="—_EM_FETone_new" xfId="2765" xr:uid="{00000000-0005-0000-0000-0000DB060000}"/>
    <cellStyle name="—_EM_FETone_new_AUO consolidated 2004_02" xfId="2766" xr:uid="{00000000-0005-0000-0000-0000DC060000}"/>
    <cellStyle name="—_EM_FETone_new_AUO forecast (GQ)2005_03" xfId="2767" xr:uid="{00000000-0005-0000-0000-0000DD060000}"/>
    <cellStyle name="—_EM_FETone_new_new-Sub" xfId="2768" xr:uid="{00000000-0005-0000-0000-0000DE060000}"/>
    <cellStyle name="—_EM_FETone_new_Novatek forecast 280404" xfId="2769" xr:uid="{00000000-0005-0000-0000-0000DF060000}"/>
    <cellStyle name="—_EM_FETone_new-Sub" xfId="2770" xr:uid="{00000000-0005-0000-0000-0000E0060000}"/>
    <cellStyle name="—_EM_FETone_Novatek forecast 280404" xfId="2771" xr:uid="{00000000-0005-0000-0000-0000E1060000}"/>
    <cellStyle name="—_EM_NZT" xfId="2772" xr:uid="{00000000-0005-0000-0000-0000E2060000}"/>
    <cellStyle name="—_EM_NZT_BS" xfId="2773" xr:uid="{00000000-0005-0000-0000-0000E3060000}"/>
    <cellStyle name="—_EM_NZT_BS_BS" xfId="2774" xr:uid="{00000000-0005-0000-0000-0000E4060000}"/>
    <cellStyle name="—_EM_NZT_BS_Capex" xfId="2775" xr:uid="{00000000-0005-0000-0000-0000E5060000}"/>
    <cellStyle name="—_EM_NZT_BS_CF" xfId="2776" xr:uid="{00000000-0005-0000-0000-0000E6060000}"/>
    <cellStyle name="—_EM_NZT_BS_COFCO (506.HK)" xfId="2777" xr:uid="{00000000-0005-0000-0000-0000E7060000}"/>
    <cellStyle name="—_EM_NZT_BS_COFCO_051010" xfId="2778" xr:uid="{00000000-0005-0000-0000-0000E8060000}"/>
    <cellStyle name="—_EM_NZT_BS_COFCO_backup" xfId="2779" xr:uid="{00000000-0005-0000-0000-0000E9060000}"/>
    <cellStyle name="—_EM_NZT_BS_DCF" xfId="2780" xr:uid="{00000000-0005-0000-0000-0000EA060000}"/>
    <cellStyle name="—_EM_NZT_BS_Front page" xfId="2781" xr:uid="{00000000-0005-0000-0000-0000EB060000}"/>
    <cellStyle name="—_EM_NZT_BS_LT assets" xfId="2782" xr:uid="{00000000-0005-0000-0000-0000EC060000}"/>
    <cellStyle name="—_EM_NZT_BS_Monthly" xfId="2783" xr:uid="{00000000-0005-0000-0000-0000ED060000}"/>
    <cellStyle name="—_EM_NZT_BS_P&amp;L" xfId="2784" xr:uid="{00000000-0005-0000-0000-0000EE060000}"/>
    <cellStyle name="—_EM_NZT_BS_Valuation" xfId="2785" xr:uid="{00000000-0005-0000-0000-0000EF060000}"/>
    <cellStyle name="—_EM_NZT_Yifan template 2" xfId="2786" xr:uid="{00000000-0005-0000-0000-0000F0060000}"/>
    <cellStyle name="—_EM_NZT_Yifan template 2_BS" xfId="2787" xr:uid="{00000000-0005-0000-0000-0000F1060000}"/>
    <cellStyle name="—_EM_NZT_Yifan template 2_Capex" xfId="2788" xr:uid="{00000000-0005-0000-0000-0000F2060000}"/>
    <cellStyle name="—_EM_NZT_Yifan template 2_CF" xfId="2789" xr:uid="{00000000-0005-0000-0000-0000F3060000}"/>
    <cellStyle name="—_EM_NZT_Yifan template 2_COFCO (506.HK)" xfId="2790" xr:uid="{00000000-0005-0000-0000-0000F4060000}"/>
    <cellStyle name="—_EM_NZT_Yifan template 2_COFCO_051010" xfId="2791" xr:uid="{00000000-0005-0000-0000-0000F5060000}"/>
    <cellStyle name="—_EM_NZT_Yifan template 2_COFCO_backup" xfId="2792" xr:uid="{00000000-0005-0000-0000-0000F6060000}"/>
    <cellStyle name="—_EM_NZT_Yifan template 2_DCF" xfId="2793" xr:uid="{00000000-0005-0000-0000-0000F7060000}"/>
    <cellStyle name="—_EM_NZT_Yifan template 2_Front page" xfId="2794" xr:uid="{00000000-0005-0000-0000-0000F8060000}"/>
    <cellStyle name="—_EM_NZT_Yifan template 2_LT assets" xfId="2795" xr:uid="{00000000-0005-0000-0000-0000F9060000}"/>
    <cellStyle name="—_EM_NZT_Yifan template 2_Monthly" xfId="2796" xr:uid="{00000000-0005-0000-0000-0000FA060000}"/>
    <cellStyle name="—_EM_NZT_Yifan template 2_P&amp;L" xfId="2797" xr:uid="{00000000-0005-0000-0000-0000FB060000}"/>
    <cellStyle name="—_EM_NZT_Yifan template 2_Valuation" xfId="2798" xr:uid="{00000000-0005-0000-0000-0000FC060000}"/>
    <cellStyle name="—_EM_TCC" xfId="2799" xr:uid="{00000000-0005-0000-0000-0000FD060000}"/>
    <cellStyle name="—_EM_TCC_AUO consolidated 2004_02" xfId="2800" xr:uid="{00000000-0005-0000-0000-0000FE060000}"/>
    <cellStyle name="—_EM_TCC_AUO forecast (GQ)2005_03" xfId="2801" xr:uid="{00000000-0005-0000-0000-0000FF060000}"/>
    <cellStyle name="—_EM_TCC_new" xfId="2802" xr:uid="{00000000-0005-0000-0000-000000070000}"/>
    <cellStyle name="—_EM_TCC_new_AUO consolidated 2004_02" xfId="2803" xr:uid="{00000000-0005-0000-0000-000001070000}"/>
    <cellStyle name="—_EM_TCC_new_AUO forecast (GQ)2005_03" xfId="2804" xr:uid="{00000000-0005-0000-0000-000002070000}"/>
    <cellStyle name="—_EM_TCC_new_new-Sub" xfId="2805" xr:uid="{00000000-0005-0000-0000-000003070000}"/>
    <cellStyle name="—_EM_TCC_new_Novatek forecast 280404" xfId="2806" xr:uid="{00000000-0005-0000-0000-000004070000}"/>
    <cellStyle name="—_EM_TCC_new-Sub" xfId="2807" xr:uid="{00000000-0005-0000-0000-000005070000}"/>
    <cellStyle name="—_EM_TCC_Novatek forecast 280404" xfId="2808" xr:uid="{00000000-0005-0000-0000-000006070000}"/>
    <cellStyle name="—_EM_UTStarcom_new" xfId="2809" xr:uid="{00000000-0005-0000-0000-000007070000}"/>
    <cellStyle name="—_EM_UTStarcom_new_AUO consolidated 2004_02" xfId="2810" xr:uid="{00000000-0005-0000-0000-000008070000}"/>
    <cellStyle name="—_EM_UTStarcom_new_AUO forecast (GQ)2005_03" xfId="2811" xr:uid="{00000000-0005-0000-0000-000009070000}"/>
    <cellStyle name="—_EM_UTStarcom_new_new-Sub" xfId="2812" xr:uid="{00000000-0005-0000-0000-00000A070000}"/>
    <cellStyle name="—_EM_UTStarcom_new_Novatek forecast 280404" xfId="2813" xr:uid="{00000000-0005-0000-0000-00000B070000}"/>
    <cellStyle name="—_EM-AISnew" xfId="2814" xr:uid="{00000000-0005-0000-0000-00000C070000}"/>
    <cellStyle name="—_EM-AISnew_new-Sub" xfId="2815" xr:uid="{00000000-0005-0000-0000-00000D070000}"/>
    <cellStyle name="—_EM-Chunghwa" xfId="2816" xr:uid="{00000000-0005-0000-0000-00000E070000}"/>
    <cellStyle name="—_EM-Chunghwa sense 060503" xfId="2817" xr:uid="{00000000-0005-0000-0000-00000F070000}"/>
    <cellStyle name="—_EM-Chunghwa sense 060503_new-Sub" xfId="2818" xr:uid="{00000000-0005-0000-0000-000010070000}"/>
    <cellStyle name="—_EM-Chunghwa_AUO consolidated 2004_02" xfId="2819" xr:uid="{00000000-0005-0000-0000-000011070000}"/>
    <cellStyle name="—_EM-Chunghwa_AUO forecast (GQ)2005_03" xfId="2820" xr:uid="{00000000-0005-0000-0000-000012070000}"/>
    <cellStyle name="—_EM-Chunghwa_new" xfId="2821" xr:uid="{00000000-0005-0000-0000-000013070000}"/>
    <cellStyle name="—_EM-Chunghwa_new_new-Sub" xfId="2822" xr:uid="{00000000-0005-0000-0000-000014070000}"/>
    <cellStyle name="—_EM-Chunghwa_new-Sub" xfId="2823" xr:uid="{00000000-0005-0000-0000-000015070000}"/>
    <cellStyle name="—_EM-Chunghwa_Novatek forecast 280404" xfId="2824" xr:uid="{00000000-0005-0000-0000-000016070000}"/>
    <cellStyle name="—_EM-HTI" xfId="2825" xr:uid="{00000000-0005-0000-0000-000017070000}"/>
    <cellStyle name="—_EM-HTI_(GS) China Pharmaceutical Group model" xfId="2826" xr:uid="{00000000-0005-0000-0000-000018070000}"/>
    <cellStyle name="—_EM-HTI_(GS) Global Bio-chem model" xfId="2827" xr:uid="{00000000-0005-0000-0000-000019070000}"/>
    <cellStyle name="—_EM-HTI_100902 Helen NTT FCF to be sent" xfId="2828" xr:uid="{00000000-0005-0000-0000-00001A070000}"/>
    <cellStyle name="—_EM-HTI_AUO consolidated 2004_02" xfId="2829" xr:uid="{00000000-0005-0000-0000-00001B070000}"/>
    <cellStyle name="—_EM-HTI_AUO forecast (GQ)2005_03" xfId="2830" xr:uid="{00000000-0005-0000-0000-00001C070000}"/>
    <cellStyle name="—_EM-HTI_Book4" xfId="2831" xr:uid="{00000000-0005-0000-0000-00001D070000}"/>
    <cellStyle name="—_EM-HTI_Book4_BS" xfId="2832" xr:uid="{00000000-0005-0000-0000-00001E070000}"/>
    <cellStyle name="—_EM-HTI_Book4_BS_BS" xfId="2833" xr:uid="{00000000-0005-0000-0000-00001F070000}"/>
    <cellStyle name="—_EM-HTI_Book4_BS_Capex" xfId="2834" xr:uid="{00000000-0005-0000-0000-000020070000}"/>
    <cellStyle name="—_EM-HTI_Book4_BS_CF" xfId="2835" xr:uid="{00000000-0005-0000-0000-000021070000}"/>
    <cellStyle name="—_EM-HTI_Book4_BS_COFCO (506.HK)" xfId="2836" xr:uid="{00000000-0005-0000-0000-000022070000}"/>
    <cellStyle name="—_EM-HTI_Book4_BS_COFCO_051010" xfId="2837" xr:uid="{00000000-0005-0000-0000-000023070000}"/>
    <cellStyle name="—_EM-HTI_Book4_BS_COFCO_backup" xfId="2838" xr:uid="{00000000-0005-0000-0000-000024070000}"/>
    <cellStyle name="—_EM-HTI_Book4_BS_DCF" xfId="2839" xr:uid="{00000000-0005-0000-0000-000025070000}"/>
    <cellStyle name="—_EM-HTI_Book4_BS_Front page" xfId="2840" xr:uid="{00000000-0005-0000-0000-000026070000}"/>
    <cellStyle name="—_EM-HTI_Book4_BS_LT assets" xfId="2841" xr:uid="{00000000-0005-0000-0000-000027070000}"/>
    <cellStyle name="—_EM-HTI_Book4_BS_Monthly" xfId="2842" xr:uid="{00000000-0005-0000-0000-000028070000}"/>
    <cellStyle name="—_EM-HTI_Book4_BS_P&amp;L" xfId="2843" xr:uid="{00000000-0005-0000-0000-000029070000}"/>
    <cellStyle name="—_EM-HTI_Book4_BS_Valuation" xfId="2844" xr:uid="{00000000-0005-0000-0000-00002A070000}"/>
    <cellStyle name="—_EM-HTI_Book4_Yifan template 2" xfId="2845" xr:uid="{00000000-0005-0000-0000-00002B070000}"/>
    <cellStyle name="—_EM-HTI_Book4_Yifan template 2_BS" xfId="2846" xr:uid="{00000000-0005-0000-0000-00002C070000}"/>
    <cellStyle name="—_EM-HTI_Book4_Yifan template 2_Capex" xfId="2847" xr:uid="{00000000-0005-0000-0000-00002D070000}"/>
    <cellStyle name="—_EM-HTI_Book4_Yifan template 2_CF" xfId="2848" xr:uid="{00000000-0005-0000-0000-00002E070000}"/>
    <cellStyle name="—_EM-HTI_Book4_Yifan template 2_COFCO (506.HK)" xfId="2849" xr:uid="{00000000-0005-0000-0000-00002F070000}"/>
    <cellStyle name="—_EM-HTI_Book4_Yifan template 2_COFCO_051010" xfId="2850" xr:uid="{00000000-0005-0000-0000-000030070000}"/>
    <cellStyle name="—_EM-HTI_Book4_Yifan template 2_COFCO_backup" xfId="2851" xr:uid="{00000000-0005-0000-0000-000031070000}"/>
    <cellStyle name="—_EM-HTI_Book4_Yifan template 2_DCF" xfId="2852" xr:uid="{00000000-0005-0000-0000-000032070000}"/>
    <cellStyle name="—_EM-HTI_Book4_Yifan template 2_Front page" xfId="2853" xr:uid="{00000000-0005-0000-0000-000033070000}"/>
    <cellStyle name="—_EM-HTI_Book4_Yifan template 2_LT assets" xfId="2854" xr:uid="{00000000-0005-0000-0000-000034070000}"/>
    <cellStyle name="—_EM-HTI_Book4_Yifan template 2_Monthly" xfId="2855" xr:uid="{00000000-0005-0000-0000-000035070000}"/>
    <cellStyle name="—_EM-HTI_Book4_Yifan template 2_P&amp;L" xfId="2856" xr:uid="{00000000-0005-0000-0000-000036070000}"/>
    <cellStyle name="—_EM-HTI_Book4_Yifan template 2_Valuation" xfId="2857" xr:uid="{00000000-0005-0000-0000-000037070000}"/>
    <cellStyle name="—_EM-HTI_BS" xfId="2858" xr:uid="{00000000-0005-0000-0000-000038070000}"/>
    <cellStyle name="—_EM-HTI_BS_1" xfId="2859" xr:uid="{00000000-0005-0000-0000-000039070000}"/>
    <cellStyle name="—_EM-HTI_BS_BS" xfId="2860" xr:uid="{00000000-0005-0000-0000-00003A070000}"/>
    <cellStyle name="—_EM-HTI_BS_Capex" xfId="2861" xr:uid="{00000000-0005-0000-0000-00003B070000}"/>
    <cellStyle name="—_EM-HTI_BS_CF" xfId="2862" xr:uid="{00000000-0005-0000-0000-00003C070000}"/>
    <cellStyle name="—_EM-HTI_BS_COFCO (506.HK)" xfId="2863" xr:uid="{00000000-0005-0000-0000-00003D070000}"/>
    <cellStyle name="—_EM-HTI_BS_COFCO_051010" xfId="2864" xr:uid="{00000000-0005-0000-0000-00003E070000}"/>
    <cellStyle name="—_EM-HTI_BS_COFCO_backup" xfId="2865" xr:uid="{00000000-0005-0000-0000-00003F070000}"/>
    <cellStyle name="—_EM-HTI_BS_DCF" xfId="2866" xr:uid="{00000000-0005-0000-0000-000040070000}"/>
    <cellStyle name="—_EM-HTI_BS_Front page" xfId="2867" xr:uid="{00000000-0005-0000-0000-000041070000}"/>
    <cellStyle name="—_EM-HTI_BS_LT assets" xfId="2868" xr:uid="{00000000-0005-0000-0000-000042070000}"/>
    <cellStyle name="—_EM-HTI_BS_Monthly" xfId="2869" xr:uid="{00000000-0005-0000-0000-000043070000}"/>
    <cellStyle name="—_EM-HTI_BS_P&amp;L" xfId="2870" xr:uid="{00000000-0005-0000-0000-000044070000}"/>
    <cellStyle name="—_EM-HTI_BS_Valuation" xfId="2871" xr:uid="{00000000-0005-0000-0000-000045070000}"/>
    <cellStyle name="—_EM-HTI_CF" xfId="2872" xr:uid="{00000000-0005-0000-0000-000046070000}"/>
    <cellStyle name="—_EM-HTI_Cheng Shin Model" xfId="2873" xr:uid="{00000000-0005-0000-0000-000047070000}"/>
    <cellStyle name="—_EM-HTI_Drive" xfId="2874" xr:uid="{00000000-0005-0000-0000-000048070000}"/>
    <cellStyle name="—_EM-HTI_EM_ChinaTelecom" xfId="2875" xr:uid="{00000000-0005-0000-0000-000049070000}"/>
    <cellStyle name="—_EM-HTI_EM_ChinaTelecom_AUO consolidated 2004_02" xfId="2876" xr:uid="{00000000-0005-0000-0000-00004A070000}"/>
    <cellStyle name="—_EM-HTI_EM_ChinaTelecom_AUO forecast (GQ)2005_03" xfId="2877" xr:uid="{00000000-0005-0000-0000-00004B070000}"/>
    <cellStyle name="—_EM-HTI_EM_ChinaTelecom_new-Sub" xfId="2878" xr:uid="{00000000-0005-0000-0000-00004C070000}"/>
    <cellStyle name="—_EM-HTI_EM_ChinaTelecom_Novatek forecast 280404" xfId="2879" xr:uid="{00000000-0005-0000-0000-00004D070000}"/>
    <cellStyle name="—_EM-HTI_EM_FETone_new" xfId="2880" xr:uid="{00000000-0005-0000-0000-00004E070000}"/>
    <cellStyle name="—_EM-HTI_EM_FETone_new_AUO consolidated 2004_02" xfId="2881" xr:uid="{00000000-0005-0000-0000-00004F070000}"/>
    <cellStyle name="—_EM-HTI_EM_FETone_new_AUO forecast (GQ)2005_03" xfId="2882" xr:uid="{00000000-0005-0000-0000-000050070000}"/>
    <cellStyle name="—_EM-HTI_EM_FETone_new_new-Sub" xfId="2883" xr:uid="{00000000-0005-0000-0000-000051070000}"/>
    <cellStyle name="—_EM-HTI_EM_FETone_new_Novatek forecast 280404" xfId="2884" xr:uid="{00000000-0005-0000-0000-000052070000}"/>
    <cellStyle name="—_EM-HTI_EM_NZT" xfId="2885" xr:uid="{00000000-0005-0000-0000-000053070000}"/>
    <cellStyle name="—_EM-HTI_EM_NZT_BS" xfId="2886" xr:uid="{00000000-0005-0000-0000-000054070000}"/>
    <cellStyle name="—_EM-HTI_EM_NZT_BS_BS" xfId="2887" xr:uid="{00000000-0005-0000-0000-000055070000}"/>
    <cellStyle name="—_EM-HTI_EM_NZT_BS_Capex" xfId="2888" xr:uid="{00000000-0005-0000-0000-000056070000}"/>
    <cellStyle name="—_EM-HTI_EM_NZT_BS_CF" xfId="2889" xr:uid="{00000000-0005-0000-0000-000057070000}"/>
    <cellStyle name="—_EM-HTI_EM_NZT_BS_COFCO (506.HK)" xfId="2890" xr:uid="{00000000-0005-0000-0000-000058070000}"/>
    <cellStyle name="—_EM-HTI_EM_NZT_BS_COFCO_051010" xfId="2891" xr:uid="{00000000-0005-0000-0000-000059070000}"/>
    <cellStyle name="—_EM-HTI_EM_NZT_BS_COFCO_backup" xfId="2892" xr:uid="{00000000-0005-0000-0000-00005A070000}"/>
    <cellStyle name="—_EM-HTI_EM_NZT_BS_DCF" xfId="2893" xr:uid="{00000000-0005-0000-0000-00005B070000}"/>
    <cellStyle name="—_EM-HTI_EM_NZT_BS_Front page" xfId="2894" xr:uid="{00000000-0005-0000-0000-00005C070000}"/>
    <cellStyle name="—_EM-HTI_EM_NZT_BS_LT assets" xfId="2895" xr:uid="{00000000-0005-0000-0000-00005D070000}"/>
    <cellStyle name="—_EM-HTI_EM_NZT_BS_Monthly" xfId="2896" xr:uid="{00000000-0005-0000-0000-00005E070000}"/>
    <cellStyle name="—_EM-HTI_EM_NZT_BS_P&amp;L" xfId="2897" xr:uid="{00000000-0005-0000-0000-00005F070000}"/>
    <cellStyle name="—_EM-HTI_EM_NZT_BS_Valuation" xfId="2898" xr:uid="{00000000-0005-0000-0000-000060070000}"/>
    <cellStyle name="—_EM-HTI_EM_NZT_Yifan template 2" xfId="2899" xr:uid="{00000000-0005-0000-0000-000061070000}"/>
    <cellStyle name="—_EM-HTI_EM_NZT_Yifan template 2_BS" xfId="2900" xr:uid="{00000000-0005-0000-0000-000062070000}"/>
    <cellStyle name="—_EM-HTI_EM_NZT_Yifan template 2_Capex" xfId="2901" xr:uid="{00000000-0005-0000-0000-000063070000}"/>
    <cellStyle name="—_EM-HTI_EM_NZT_Yifan template 2_CF" xfId="2902" xr:uid="{00000000-0005-0000-0000-000064070000}"/>
    <cellStyle name="—_EM-HTI_EM_NZT_Yifan template 2_COFCO (506.HK)" xfId="2903" xr:uid="{00000000-0005-0000-0000-000065070000}"/>
    <cellStyle name="—_EM-HTI_EM_NZT_Yifan template 2_COFCO_051010" xfId="2904" xr:uid="{00000000-0005-0000-0000-000066070000}"/>
    <cellStyle name="—_EM-HTI_EM_NZT_Yifan template 2_COFCO_backup" xfId="2905" xr:uid="{00000000-0005-0000-0000-000067070000}"/>
    <cellStyle name="—_EM-HTI_EM_NZT_Yifan template 2_DCF" xfId="2906" xr:uid="{00000000-0005-0000-0000-000068070000}"/>
    <cellStyle name="—_EM-HTI_EM_NZT_Yifan template 2_Front page" xfId="2907" xr:uid="{00000000-0005-0000-0000-000069070000}"/>
    <cellStyle name="—_EM-HTI_EM_NZT_Yifan template 2_LT assets" xfId="2908" xr:uid="{00000000-0005-0000-0000-00006A070000}"/>
    <cellStyle name="—_EM-HTI_EM_NZT_Yifan template 2_Monthly" xfId="2909" xr:uid="{00000000-0005-0000-0000-00006B070000}"/>
    <cellStyle name="—_EM-HTI_EM_NZT_Yifan template 2_P&amp;L" xfId="2910" xr:uid="{00000000-0005-0000-0000-00006C070000}"/>
    <cellStyle name="—_EM-HTI_EM_NZT_Yifan template 2_Valuation" xfId="2911" xr:uid="{00000000-0005-0000-0000-00006D070000}"/>
    <cellStyle name="—_EM-HTI_EM_TCC" xfId="2912" xr:uid="{00000000-0005-0000-0000-00006E070000}"/>
    <cellStyle name="—_EM-HTI_EM_TCC_AUO consolidated 2004_02" xfId="2913" xr:uid="{00000000-0005-0000-0000-00006F070000}"/>
    <cellStyle name="—_EM-HTI_EM_TCC_AUO forecast (GQ)2005_03" xfId="2914" xr:uid="{00000000-0005-0000-0000-000070070000}"/>
    <cellStyle name="—_EM-HTI_EM_TCC_new" xfId="2915" xr:uid="{00000000-0005-0000-0000-000071070000}"/>
    <cellStyle name="—_EM-HTI_EM_TCC_new_AUO consolidated 2004_02" xfId="2916" xr:uid="{00000000-0005-0000-0000-000072070000}"/>
    <cellStyle name="—_EM-HTI_EM_TCC_new_AUO forecast (GQ)2005_03" xfId="2917" xr:uid="{00000000-0005-0000-0000-000073070000}"/>
    <cellStyle name="—_EM-HTI_EM_TCC_new_new-Sub" xfId="2918" xr:uid="{00000000-0005-0000-0000-000074070000}"/>
    <cellStyle name="—_EM-HTI_EM_TCC_new_Novatek forecast 280404" xfId="2919" xr:uid="{00000000-0005-0000-0000-000075070000}"/>
    <cellStyle name="—_EM-HTI_EM_TCC_new-Sub" xfId="2920" xr:uid="{00000000-0005-0000-0000-000076070000}"/>
    <cellStyle name="—_EM-HTI_EM_TCC_Novatek forecast 280404" xfId="2921" xr:uid="{00000000-0005-0000-0000-000077070000}"/>
    <cellStyle name="—_EM-HTI_EM-Chunghwa" xfId="2922" xr:uid="{00000000-0005-0000-0000-000078070000}"/>
    <cellStyle name="—_EM-HTI_EM-Chunghwa_AUO consolidated 2004_02" xfId="2923" xr:uid="{00000000-0005-0000-0000-000079070000}"/>
    <cellStyle name="—_EM-HTI_EM-Chunghwa_AUO forecast (GQ)2005_03" xfId="2924" xr:uid="{00000000-0005-0000-0000-00007A070000}"/>
    <cellStyle name="—_EM-HTI_EM-Chunghwa_new-Sub" xfId="2925" xr:uid="{00000000-0005-0000-0000-00007B070000}"/>
    <cellStyle name="—_EM-HTI_EM-Chunghwa_Novatek forecast 280404" xfId="2926" xr:uid="{00000000-0005-0000-0000-00007C070000}"/>
    <cellStyle name="—_EM-HTI_GlobalValuation_Japan" xfId="2927" xr:uid="{00000000-0005-0000-0000-00007D070000}"/>
    <cellStyle name="—_EM-HTI_GQ" xfId="2928" xr:uid="{00000000-0005-0000-0000-00007E070000}"/>
    <cellStyle name="—_EM-HTI_JT CROCI" xfId="2929" xr:uid="{00000000-0005-0000-0000-00007F070000}"/>
    <cellStyle name="—_EM-HTI_KDDI CROCI" xfId="2930" xr:uid="{00000000-0005-0000-0000-000080070000}"/>
    <cellStyle name="—_EM-HTI_new-Sub" xfId="2931" xr:uid="{00000000-0005-0000-0000-000081070000}"/>
    <cellStyle name="—_EM-HTI_Novatek forecast 280404" xfId="2932" xr:uid="{00000000-0005-0000-0000-000082070000}"/>
    <cellStyle name="—_EM-HTI_NTT CROCI" xfId="2933" xr:uid="{00000000-0005-0000-0000-000083070000}"/>
    <cellStyle name="—_EM-HTI_NTT proportionate" xfId="2934" xr:uid="{00000000-0005-0000-0000-000084070000}"/>
    <cellStyle name="—_EM-HTI_P&amp;L" xfId="2935" xr:uid="{00000000-0005-0000-0000-000085070000}"/>
    <cellStyle name="—_EM-HTI_Sheet1" xfId="2936" xr:uid="{00000000-0005-0000-0000-000086070000}"/>
    <cellStyle name="—_EM-HTI_Yifan template 2" xfId="2937" xr:uid="{00000000-0005-0000-0000-000087070000}"/>
    <cellStyle name="—_EM-HTI_Yifan template 2_BS" xfId="2938" xr:uid="{00000000-0005-0000-0000-000088070000}"/>
    <cellStyle name="—_EM-HTI_Yifan template 2_Capex" xfId="2939" xr:uid="{00000000-0005-0000-0000-000089070000}"/>
    <cellStyle name="—_EM-HTI_Yifan template 2_CF" xfId="2940" xr:uid="{00000000-0005-0000-0000-00008A070000}"/>
    <cellStyle name="—_EM-HTI_Yifan template 2_COFCO (506.HK)" xfId="2941" xr:uid="{00000000-0005-0000-0000-00008B070000}"/>
    <cellStyle name="—_EM-HTI_Yifan template 2_COFCO_051010" xfId="2942" xr:uid="{00000000-0005-0000-0000-00008C070000}"/>
    <cellStyle name="—_EM-HTI_Yifan template 2_COFCO_backup" xfId="2943" xr:uid="{00000000-0005-0000-0000-00008D070000}"/>
    <cellStyle name="—_EM-HTI_Yifan template 2_DCF" xfId="2944" xr:uid="{00000000-0005-0000-0000-00008E070000}"/>
    <cellStyle name="—_EM-HTI_Yifan template 2_Front page" xfId="2945" xr:uid="{00000000-0005-0000-0000-00008F070000}"/>
    <cellStyle name="—_EM-HTI_Yifan template 2_LT assets" xfId="2946" xr:uid="{00000000-0005-0000-0000-000090070000}"/>
    <cellStyle name="—_EM-HTI_Yifan template 2_Monthly" xfId="2947" xr:uid="{00000000-0005-0000-0000-000091070000}"/>
    <cellStyle name="—_EM-HTI_Yifan template 2_P&amp;L" xfId="2948" xr:uid="{00000000-0005-0000-0000-000092070000}"/>
    <cellStyle name="—_EM-HTI_Yifan template 2_Valuation" xfId="2949" xr:uid="{00000000-0005-0000-0000-000093070000}"/>
    <cellStyle name="—_EM-HTIL" xfId="2950" xr:uid="{00000000-0005-0000-0000-000094070000}"/>
    <cellStyle name="—_EM-HTIL_new-Sub" xfId="2951" xr:uid="{00000000-0005-0000-0000-000095070000}"/>
    <cellStyle name="—_EM-KT" xfId="2952" xr:uid="{00000000-0005-0000-0000-000096070000}"/>
    <cellStyle name="—_EM-KT.xls Chart 1" xfId="4654" xr:uid="{00000000-0005-0000-0000-000097070000}"/>
    <cellStyle name="—_EM-KT.xls Chart 1_Beta" xfId="4655" xr:uid="{00000000-0005-0000-0000-000098070000}"/>
    <cellStyle name="—_EM-KT.xls Chart 1_Cashflow" xfId="4656" xr:uid="{00000000-0005-0000-0000-000099070000}"/>
    <cellStyle name="—_EM-KT.xls Chart 1_Cashflow_Honghua MSTR" xfId="4657" xr:uid="{00000000-0005-0000-0000-00009A070000}"/>
    <cellStyle name="—_EM-KT.xls Chart 1_P&amp;L" xfId="4658" xr:uid="{00000000-0005-0000-0000-00009B070000}"/>
    <cellStyle name="—_EM-KT.xls Chart 1_P&amp;L_Honghua MSTR" xfId="4659" xr:uid="{00000000-0005-0000-0000-00009C070000}"/>
    <cellStyle name="—_EM-KT.xls Chart 1_PetroChina Master" xfId="4660" xr:uid="{00000000-0005-0000-0000-00009D070000}"/>
    <cellStyle name="—_EM-KT.xls Chart 1_PetroChina Master_WIP(20-F update)" xfId="4661" xr:uid="{00000000-0005-0000-0000-00009E070000}"/>
    <cellStyle name="—_EM-KT.xls Chart 1_PetroChina Master_WIP(20-F update)_Cashflow" xfId="4662" xr:uid="{00000000-0005-0000-0000-00009F070000}"/>
    <cellStyle name="—_EM-KT.xls Chart 1_PetroChina Master_WIP(20-F update)_Cashflow_Honghua MSTR" xfId="4663" xr:uid="{00000000-0005-0000-0000-0000A0070000}"/>
    <cellStyle name="—_EM-KT.xls Chart 1_PetroChina Master_WIP(20-F update)_P&amp;L" xfId="4664" xr:uid="{00000000-0005-0000-0000-0000A1070000}"/>
    <cellStyle name="—_EM-KT.xls Chart 1_PetroChina Master_WIP(20-F update)_P&amp;L_Honghua MSTR" xfId="4665" xr:uid="{00000000-0005-0000-0000-0000A2070000}"/>
    <cellStyle name="—_EM-KT.xls Chart 1_PetroChina Master_WIP(20-F update)_Sinopec MSTR" xfId="4666" xr:uid="{00000000-0005-0000-0000-0000A3070000}"/>
    <cellStyle name="—_EM-KT.xls Chart 1_PetroChina Master_WIP(20-F update)_Sinopec MSTR Wip" xfId="4667" xr:uid="{00000000-0005-0000-0000-0000A4070000}"/>
    <cellStyle name="—_EM-KT.xls Chart 1_PetroChina Master_WIP(20-F update)_Sinopec MSTR_WIP_KK" xfId="4668" xr:uid="{00000000-0005-0000-0000-0000A5070000}"/>
    <cellStyle name="—_EM-KT.xls Chart 1_Sinopec MSTR" xfId="4669" xr:uid="{00000000-0005-0000-0000-0000A6070000}"/>
    <cellStyle name="—_EM-KT.xls Chart 1_Sinopec MSTR Wip" xfId="4670" xr:uid="{00000000-0005-0000-0000-0000A7070000}"/>
    <cellStyle name="—_EM-KT.xls Chart 1_Sinopec MSTR_WIP_KK" xfId="4671" xr:uid="{00000000-0005-0000-0000-0000A8070000}"/>
    <cellStyle name="—_EM-KT.xls Chart 1_Sinopec MSTR-WIP_20F update" xfId="4672" xr:uid="{00000000-0005-0000-0000-0000A9070000}"/>
    <cellStyle name="—_EM-KT.xls Chart 2" xfId="4673" xr:uid="{00000000-0005-0000-0000-0000AA070000}"/>
    <cellStyle name="—_EM-KT.xls Chart 2_Beta" xfId="4674" xr:uid="{00000000-0005-0000-0000-0000AB070000}"/>
    <cellStyle name="—_EM-KT.xls Chart 2_Cashflow" xfId="4675" xr:uid="{00000000-0005-0000-0000-0000AC070000}"/>
    <cellStyle name="—_EM-KT.xls Chart 2_Cashflow_Honghua MSTR" xfId="4676" xr:uid="{00000000-0005-0000-0000-0000AD070000}"/>
    <cellStyle name="—_EM-KT.xls Chart 2_P&amp;L" xfId="4677" xr:uid="{00000000-0005-0000-0000-0000AE070000}"/>
    <cellStyle name="—_EM-KT.xls Chart 2_P&amp;L_Honghua MSTR" xfId="4678" xr:uid="{00000000-0005-0000-0000-0000AF070000}"/>
    <cellStyle name="—_EM-KT.xls Chart 2_PetroChina Master" xfId="4679" xr:uid="{00000000-0005-0000-0000-0000B0070000}"/>
    <cellStyle name="—_EM-KT.xls Chart 2_PetroChina Master_WIP(20-F update)" xfId="4680" xr:uid="{00000000-0005-0000-0000-0000B1070000}"/>
    <cellStyle name="—_EM-KT.xls Chart 2_PetroChina Master_WIP(20-F update)_Cashflow" xfId="4681" xr:uid="{00000000-0005-0000-0000-0000B2070000}"/>
    <cellStyle name="—_EM-KT.xls Chart 2_PetroChina Master_WIP(20-F update)_Cashflow_Honghua MSTR" xfId="4682" xr:uid="{00000000-0005-0000-0000-0000B3070000}"/>
    <cellStyle name="—_EM-KT.xls Chart 2_PetroChina Master_WIP(20-F update)_P&amp;L" xfId="4683" xr:uid="{00000000-0005-0000-0000-0000B4070000}"/>
    <cellStyle name="—_EM-KT.xls Chart 2_PetroChina Master_WIP(20-F update)_P&amp;L_Honghua MSTR" xfId="4684" xr:uid="{00000000-0005-0000-0000-0000B5070000}"/>
    <cellStyle name="—_EM-KT.xls Chart 2_PetroChina Master_WIP(20-F update)_Sinopec MSTR" xfId="4685" xr:uid="{00000000-0005-0000-0000-0000B6070000}"/>
    <cellStyle name="—_EM-KT.xls Chart 2_PetroChina Master_WIP(20-F update)_Sinopec MSTR Wip" xfId="4686" xr:uid="{00000000-0005-0000-0000-0000B7070000}"/>
    <cellStyle name="—_EM-KT.xls Chart 2_PetroChina Master_WIP(20-F update)_Sinopec MSTR_WIP_KK" xfId="4687" xr:uid="{00000000-0005-0000-0000-0000B8070000}"/>
    <cellStyle name="—_EM-KT.xls Chart 2_Sinopec MSTR" xfId="4688" xr:uid="{00000000-0005-0000-0000-0000B9070000}"/>
    <cellStyle name="—_EM-KT.xls Chart 2_Sinopec MSTR Wip" xfId="4689" xr:uid="{00000000-0005-0000-0000-0000BA070000}"/>
    <cellStyle name="—_EM-KT.xls Chart 2_Sinopec MSTR_WIP_KK" xfId="4690" xr:uid="{00000000-0005-0000-0000-0000BB070000}"/>
    <cellStyle name="—_EM-KT.xls Chart 2_Sinopec MSTR-WIP_20F update" xfId="4691" xr:uid="{00000000-0005-0000-0000-0000BC070000}"/>
    <cellStyle name="—_EM-KT.xls Chart 3" xfId="4692" xr:uid="{00000000-0005-0000-0000-0000BD070000}"/>
    <cellStyle name="—_EM-KT.xls Chart 3_Beta" xfId="4693" xr:uid="{00000000-0005-0000-0000-0000BE070000}"/>
    <cellStyle name="—_EM-KT.xls Chart 3_Cashflow" xfId="4694" xr:uid="{00000000-0005-0000-0000-0000BF070000}"/>
    <cellStyle name="—_EM-KT.xls Chart 3_Cashflow_Honghua MSTR" xfId="4695" xr:uid="{00000000-0005-0000-0000-0000C0070000}"/>
    <cellStyle name="—_EM-KT.xls Chart 3_P&amp;L" xfId="4696" xr:uid="{00000000-0005-0000-0000-0000C1070000}"/>
    <cellStyle name="—_EM-KT.xls Chart 3_P&amp;L_Honghua MSTR" xfId="4697" xr:uid="{00000000-0005-0000-0000-0000C2070000}"/>
    <cellStyle name="—_EM-KT.xls Chart 3_PetroChina Master" xfId="4698" xr:uid="{00000000-0005-0000-0000-0000C3070000}"/>
    <cellStyle name="—_EM-KT.xls Chart 3_PetroChina Master_WIP(20-F update)" xfId="4699" xr:uid="{00000000-0005-0000-0000-0000C4070000}"/>
    <cellStyle name="—_EM-KT.xls Chart 3_PetroChina Master_WIP(20-F update)_Cashflow" xfId="4700" xr:uid="{00000000-0005-0000-0000-0000C5070000}"/>
    <cellStyle name="—_EM-KT.xls Chart 3_PetroChina Master_WIP(20-F update)_Cashflow_Honghua MSTR" xfId="4701" xr:uid="{00000000-0005-0000-0000-0000C6070000}"/>
    <cellStyle name="—_EM-KT.xls Chart 3_PetroChina Master_WIP(20-F update)_P&amp;L" xfId="4702" xr:uid="{00000000-0005-0000-0000-0000C7070000}"/>
    <cellStyle name="—_EM-KT.xls Chart 3_PetroChina Master_WIP(20-F update)_P&amp;L_Honghua MSTR" xfId="4703" xr:uid="{00000000-0005-0000-0000-0000C8070000}"/>
    <cellStyle name="—_EM-KT.xls Chart 3_PetroChina Master_WIP(20-F update)_Sinopec MSTR" xfId="4704" xr:uid="{00000000-0005-0000-0000-0000C9070000}"/>
    <cellStyle name="—_EM-KT.xls Chart 3_PetroChina Master_WIP(20-F update)_Sinopec MSTR Wip" xfId="4705" xr:uid="{00000000-0005-0000-0000-0000CA070000}"/>
    <cellStyle name="—_EM-KT.xls Chart 3_PetroChina Master_WIP(20-F update)_Sinopec MSTR_WIP_KK" xfId="4706" xr:uid="{00000000-0005-0000-0000-0000CB070000}"/>
    <cellStyle name="—_EM-KT.xls Chart 3_Sinopec MSTR" xfId="4707" xr:uid="{00000000-0005-0000-0000-0000CC070000}"/>
    <cellStyle name="—_EM-KT.xls Chart 3_Sinopec MSTR Wip" xfId="4708" xr:uid="{00000000-0005-0000-0000-0000CD070000}"/>
    <cellStyle name="—_EM-KT.xls Chart 3_Sinopec MSTR_WIP_KK" xfId="4709" xr:uid="{00000000-0005-0000-0000-0000CE070000}"/>
    <cellStyle name="—_EM-KT.xls Chart 3_Sinopec MSTR-WIP_20F update" xfId="4710" xr:uid="{00000000-0005-0000-0000-0000CF070000}"/>
    <cellStyle name="—_EM-KT_AUO consolidated 2004_02" xfId="2953" xr:uid="{00000000-0005-0000-0000-0000D0070000}"/>
    <cellStyle name="—_EM-KT_AUO forecast (GQ)2005_03" xfId="2954" xr:uid="{00000000-0005-0000-0000-0000D1070000}"/>
    <cellStyle name="—_EM-KT_BS" xfId="2955" xr:uid="{00000000-0005-0000-0000-0000D2070000}"/>
    <cellStyle name="—_EM-KT_BS_BS" xfId="2956" xr:uid="{00000000-0005-0000-0000-0000D3070000}"/>
    <cellStyle name="—_EM-KT_BS_Capex" xfId="2957" xr:uid="{00000000-0005-0000-0000-0000D4070000}"/>
    <cellStyle name="—_EM-KT_BS_CF" xfId="2958" xr:uid="{00000000-0005-0000-0000-0000D5070000}"/>
    <cellStyle name="—_EM-KT_BS_COFCO (506.HK)" xfId="2959" xr:uid="{00000000-0005-0000-0000-0000D6070000}"/>
    <cellStyle name="—_EM-KT_BS_COFCO_051010" xfId="2960" xr:uid="{00000000-0005-0000-0000-0000D7070000}"/>
    <cellStyle name="—_EM-KT_BS_COFCO_backup" xfId="2961" xr:uid="{00000000-0005-0000-0000-0000D8070000}"/>
    <cellStyle name="—_EM-KT_BS_DCF" xfId="2962" xr:uid="{00000000-0005-0000-0000-0000D9070000}"/>
    <cellStyle name="—_EM-KT_BS_Front page" xfId="2963" xr:uid="{00000000-0005-0000-0000-0000DA070000}"/>
    <cellStyle name="—_EM-KT_BS_LT assets" xfId="2964" xr:uid="{00000000-0005-0000-0000-0000DB070000}"/>
    <cellStyle name="—_EM-KT_BS_Monthly" xfId="2965" xr:uid="{00000000-0005-0000-0000-0000DC070000}"/>
    <cellStyle name="—_EM-KT_BS_P&amp;L" xfId="2966" xr:uid="{00000000-0005-0000-0000-0000DD070000}"/>
    <cellStyle name="—_EM-KT_BS_Valuation" xfId="2967" xr:uid="{00000000-0005-0000-0000-0000DE070000}"/>
    <cellStyle name="—_EM-KT_Cheng Shin Model" xfId="2968" xr:uid="{00000000-0005-0000-0000-0000DF070000}"/>
    <cellStyle name="—_EM-KT_new-Sub" xfId="2969" xr:uid="{00000000-0005-0000-0000-0000E0070000}"/>
    <cellStyle name="—_EM-KT_Novatek forecast 280404" xfId="2970" xr:uid="{00000000-0005-0000-0000-0000E1070000}"/>
    <cellStyle name="—_EM-KT_Yifan template 2" xfId="2971" xr:uid="{00000000-0005-0000-0000-0000E2070000}"/>
    <cellStyle name="—_EM-KT_Yifan template 2_BS" xfId="2972" xr:uid="{00000000-0005-0000-0000-0000E3070000}"/>
    <cellStyle name="—_EM-KT_Yifan template 2_Capex" xfId="2973" xr:uid="{00000000-0005-0000-0000-0000E4070000}"/>
    <cellStyle name="—_EM-KT_Yifan template 2_CF" xfId="2974" xr:uid="{00000000-0005-0000-0000-0000E5070000}"/>
    <cellStyle name="—_EM-KT_Yifan template 2_COFCO (506.HK)" xfId="2975" xr:uid="{00000000-0005-0000-0000-0000E6070000}"/>
    <cellStyle name="—_EM-KT_Yifan template 2_COFCO_051010" xfId="2976" xr:uid="{00000000-0005-0000-0000-0000E7070000}"/>
    <cellStyle name="—_EM-KT_Yifan template 2_COFCO_backup" xfId="2977" xr:uid="{00000000-0005-0000-0000-0000E8070000}"/>
    <cellStyle name="—_EM-KT_Yifan template 2_DCF" xfId="2978" xr:uid="{00000000-0005-0000-0000-0000E9070000}"/>
    <cellStyle name="—_EM-KT_Yifan template 2_Front page" xfId="2979" xr:uid="{00000000-0005-0000-0000-0000EA070000}"/>
    <cellStyle name="—_EM-KT_Yifan template 2_LT assets" xfId="2980" xr:uid="{00000000-0005-0000-0000-0000EB070000}"/>
    <cellStyle name="—_EM-KT_Yifan template 2_Monthly" xfId="2981" xr:uid="{00000000-0005-0000-0000-0000EC070000}"/>
    <cellStyle name="—_EM-KT_Yifan template 2_P&amp;L" xfId="2982" xr:uid="{00000000-0005-0000-0000-0000ED070000}"/>
    <cellStyle name="—_EM-KT_Yifan template 2_Valuation" xfId="2983" xr:uid="{00000000-0005-0000-0000-0000EE070000}"/>
    <cellStyle name="—_EM-KTnew" xfId="4711" xr:uid="{00000000-0005-0000-0000-0000EF070000}"/>
    <cellStyle name="—_EM-KTnew_Beta" xfId="4712" xr:uid="{00000000-0005-0000-0000-0000F0070000}"/>
    <cellStyle name="—_EM-KTnew_Cashflow" xfId="4713" xr:uid="{00000000-0005-0000-0000-0000F1070000}"/>
    <cellStyle name="—_EM-KTnew_Cashflow_Honghua MSTR" xfId="4714" xr:uid="{00000000-0005-0000-0000-0000F2070000}"/>
    <cellStyle name="—_EM-KTnew_P&amp;L" xfId="4715" xr:uid="{00000000-0005-0000-0000-0000F3070000}"/>
    <cellStyle name="—_EM-KTnew_P&amp;L_Honghua MSTR" xfId="4716" xr:uid="{00000000-0005-0000-0000-0000F4070000}"/>
    <cellStyle name="—_EM-KTnew_PetroChina Master" xfId="4717" xr:uid="{00000000-0005-0000-0000-0000F5070000}"/>
    <cellStyle name="—_EM-KTnew_PetroChina Master_WIP(20-F update)" xfId="4718" xr:uid="{00000000-0005-0000-0000-0000F6070000}"/>
    <cellStyle name="—_EM-KTnew_PetroChina Master_WIP(20-F update)_Cashflow" xfId="4719" xr:uid="{00000000-0005-0000-0000-0000F7070000}"/>
    <cellStyle name="—_EM-KTnew_PetroChina Master_WIP(20-F update)_Cashflow_Honghua MSTR" xfId="4720" xr:uid="{00000000-0005-0000-0000-0000F8070000}"/>
    <cellStyle name="—_EM-KTnew_PetroChina Master_WIP(20-F update)_P&amp;L" xfId="4721" xr:uid="{00000000-0005-0000-0000-0000F9070000}"/>
    <cellStyle name="—_EM-KTnew_PetroChina Master_WIP(20-F update)_P&amp;L_Honghua MSTR" xfId="4722" xr:uid="{00000000-0005-0000-0000-0000FA070000}"/>
    <cellStyle name="—_EM-KTnew_PetroChina Master_WIP(20-F update)_Sinopec MSTR" xfId="4723" xr:uid="{00000000-0005-0000-0000-0000FB070000}"/>
    <cellStyle name="—_EM-KTnew_PetroChina Master_WIP(20-F update)_Sinopec MSTR Wip" xfId="4724" xr:uid="{00000000-0005-0000-0000-0000FC070000}"/>
    <cellStyle name="—_EM-KTnew_PetroChina Master_WIP(20-F update)_Sinopec MSTR_WIP_KK" xfId="4725" xr:uid="{00000000-0005-0000-0000-0000FD070000}"/>
    <cellStyle name="—_EM-KTnew_Sinopec MSTR" xfId="4726" xr:uid="{00000000-0005-0000-0000-0000FE070000}"/>
    <cellStyle name="—_EM-KTnew_Sinopec MSTR Wip" xfId="4727" xr:uid="{00000000-0005-0000-0000-0000FF070000}"/>
    <cellStyle name="—_EM-KTnew_Sinopec MSTR_WIP_KK" xfId="4728" xr:uid="{00000000-0005-0000-0000-000000080000}"/>
    <cellStyle name="—_EM-KTnew_Sinopec MSTR-WIP_20F update" xfId="4729" xr:uid="{00000000-0005-0000-0000-000001080000}"/>
    <cellStyle name="—_EM-MobileOne" xfId="2984" xr:uid="{00000000-0005-0000-0000-000002080000}"/>
    <cellStyle name="—_EM-MobileOne_new-Sub" xfId="2985" xr:uid="{00000000-0005-0000-0000-000003080000}"/>
    <cellStyle name="—_EM-Optus" xfId="2986" xr:uid="{00000000-0005-0000-0000-000004080000}"/>
    <cellStyle name="—_EM-Optus_AUO consolidated 2004_02" xfId="2987" xr:uid="{00000000-0005-0000-0000-000005080000}"/>
    <cellStyle name="—_EM-Optus_AUO forecast (GQ)2005_03" xfId="2988" xr:uid="{00000000-0005-0000-0000-000006080000}"/>
    <cellStyle name="—_EM-Optus_BS" xfId="2989" xr:uid="{00000000-0005-0000-0000-000007080000}"/>
    <cellStyle name="—_EM-Optus_BS_BS" xfId="2990" xr:uid="{00000000-0005-0000-0000-000008080000}"/>
    <cellStyle name="—_EM-Optus_BS_Capex" xfId="2991" xr:uid="{00000000-0005-0000-0000-000009080000}"/>
    <cellStyle name="—_EM-Optus_BS_CF" xfId="2992" xr:uid="{00000000-0005-0000-0000-00000A080000}"/>
    <cellStyle name="—_EM-Optus_BS_COFCO (506.HK)" xfId="2993" xr:uid="{00000000-0005-0000-0000-00000B080000}"/>
    <cellStyle name="—_EM-Optus_BS_COFCO_051010" xfId="2994" xr:uid="{00000000-0005-0000-0000-00000C080000}"/>
    <cellStyle name="—_EM-Optus_BS_COFCO_backup" xfId="2995" xr:uid="{00000000-0005-0000-0000-00000D080000}"/>
    <cellStyle name="—_EM-Optus_BS_DCF" xfId="2996" xr:uid="{00000000-0005-0000-0000-00000E080000}"/>
    <cellStyle name="—_EM-Optus_BS_Front page" xfId="2997" xr:uid="{00000000-0005-0000-0000-00000F080000}"/>
    <cellStyle name="—_EM-Optus_BS_LT assets" xfId="2998" xr:uid="{00000000-0005-0000-0000-000010080000}"/>
    <cellStyle name="—_EM-Optus_BS_Monthly" xfId="2999" xr:uid="{00000000-0005-0000-0000-000011080000}"/>
    <cellStyle name="—_EM-Optus_BS_P&amp;L" xfId="3000" xr:uid="{00000000-0005-0000-0000-000012080000}"/>
    <cellStyle name="—_EM-Optus_BS_Valuation" xfId="3001" xr:uid="{00000000-0005-0000-0000-000013080000}"/>
    <cellStyle name="—_EM-Optus_Cheng Shin Model" xfId="3002" xr:uid="{00000000-0005-0000-0000-000014080000}"/>
    <cellStyle name="—_EM-Optus_new-Sub" xfId="3003" xr:uid="{00000000-0005-0000-0000-000015080000}"/>
    <cellStyle name="—_EM-Optus_Novatek forecast 280404" xfId="3004" xr:uid="{00000000-0005-0000-0000-000016080000}"/>
    <cellStyle name="—_EM-Optus_Yifan template 2" xfId="3005" xr:uid="{00000000-0005-0000-0000-000017080000}"/>
    <cellStyle name="—_EM-Optus_Yifan template 2_BS" xfId="3006" xr:uid="{00000000-0005-0000-0000-000018080000}"/>
    <cellStyle name="—_EM-Optus_Yifan template 2_Capex" xfId="3007" xr:uid="{00000000-0005-0000-0000-000019080000}"/>
    <cellStyle name="—_EM-Optus_Yifan template 2_CF" xfId="3008" xr:uid="{00000000-0005-0000-0000-00001A080000}"/>
    <cellStyle name="—_EM-Optus_Yifan template 2_COFCO (506.HK)" xfId="3009" xr:uid="{00000000-0005-0000-0000-00001B080000}"/>
    <cellStyle name="—_EM-Optus_Yifan template 2_COFCO_051010" xfId="3010" xr:uid="{00000000-0005-0000-0000-00001C080000}"/>
    <cellStyle name="—_EM-Optus_Yifan template 2_COFCO_backup" xfId="3011" xr:uid="{00000000-0005-0000-0000-00001D080000}"/>
    <cellStyle name="—_EM-Optus_Yifan template 2_DCF" xfId="3012" xr:uid="{00000000-0005-0000-0000-00001E080000}"/>
    <cellStyle name="—_EM-Optus_Yifan template 2_Front page" xfId="3013" xr:uid="{00000000-0005-0000-0000-00001F080000}"/>
    <cellStyle name="—_EM-Optus_Yifan template 2_LT assets" xfId="3014" xr:uid="{00000000-0005-0000-0000-000020080000}"/>
    <cellStyle name="—_EM-Optus_Yifan template 2_Monthly" xfId="3015" xr:uid="{00000000-0005-0000-0000-000021080000}"/>
    <cellStyle name="—_EM-Optus_Yifan template 2_P&amp;L" xfId="3016" xr:uid="{00000000-0005-0000-0000-000022080000}"/>
    <cellStyle name="—_EM-Optus_Yifan template 2_Valuation" xfId="3017" xr:uid="{00000000-0005-0000-0000-000023080000}"/>
    <cellStyle name="—_EM-PLDT" xfId="3018" xr:uid="{00000000-0005-0000-0000-000024080000}"/>
    <cellStyle name="—_EM-PLDT consolidatednew.xls Chart 1" xfId="7014" xr:uid="{00000000-0005-0000-0000-000025080000}"/>
    <cellStyle name="—_EM-PLDT_AUO consolidated 2004_02" xfId="3019" xr:uid="{00000000-0005-0000-0000-000026080000}"/>
    <cellStyle name="—_EM-PLDT_AUO forecast (GQ)2005_03" xfId="3020" xr:uid="{00000000-0005-0000-0000-000027080000}"/>
    <cellStyle name="—_EM-PLDT_Beta" xfId="4730" xr:uid="{00000000-0005-0000-0000-000028080000}"/>
    <cellStyle name="—_EM-PLDT_Cashflow" xfId="4731" xr:uid="{00000000-0005-0000-0000-000029080000}"/>
    <cellStyle name="—_EM-PLDT_Cashflow_Honghua MSTR" xfId="4732" xr:uid="{00000000-0005-0000-0000-00002A080000}"/>
    <cellStyle name="—_EM-PLDT_new-Sub" xfId="3021" xr:uid="{00000000-0005-0000-0000-00002B080000}"/>
    <cellStyle name="—_EM-PLDT_Novatek forecast 280404" xfId="3022" xr:uid="{00000000-0005-0000-0000-00002C080000}"/>
    <cellStyle name="—_EM-PLDT_P&amp;L" xfId="4733" xr:uid="{00000000-0005-0000-0000-00002D080000}"/>
    <cellStyle name="—_EM-PLDT_P&amp;L_Honghua MSTR" xfId="4734" xr:uid="{00000000-0005-0000-0000-00002E080000}"/>
    <cellStyle name="—_EM-PLDT_PetroChina Master" xfId="4735" xr:uid="{00000000-0005-0000-0000-00002F080000}"/>
    <cellStyle name="—_EM-PLDT_PetroChina Master_WIP(20-F update)" xfId="4736" xr:uid="{00000000-0005-0000-0000-000030080000}"/>
    <cellStyle name="—_EM-PLDT_PetroChina Master_WIP(20-F update)_Cashflow" xfId="4737" xr:uid="{00000000-0005-0000-0000-000031080000}"/>
    <cellStyle name="—_EM-PLDT_PetroChina Master_WIP(20-F update)_Cashflow_Honghua MSTR" xfId="4738" xr:uid="{00000000-0005-0000-0000-000032080000}"/>
    <cellStyle name="—_EM-PLDT_PetroChina Master_WIP(20-F update)_P&amp;L" xfId="4739" xr:uid="{00000000-0005-0000-0000-000033080000}"/>
    <cellStyle name="—_EM-PLDT_PetroChina Master_WIP(20-F update)_P&amp;L_Honghua MSTR" xfId="4740" xr:uid="{00000000-0005-0000-0000-000034080000}"/>
    <cellStyle name="—_EM-PLDT_PetroChina Master_WIP(20-F update)_Sinopec MSTR" xfId="4741" xr:uid="{00000000-0005-0000-0000-000035080000}"/>
    <cellStyle name="—_EM-PLDT_PetroChina Master_WIP(20-F update)_Sinopec MSTR Wip" xfId="4742" xr:uid="{00000000-0005-0000-0000-000036080000}"/>
    <cellStyle name="—_EM-PLDT_PetroChina Master_WIP(20-F update)_Sinopec MSTR_WIP_KK" xfId="4743" xr:uid="{00000000-0005-0000-0000-000037080000}"/>
    <cellStyle name="—_EM-PLDT_Sinopec MSTR" xfId="4744" xr:uid="{00000000-0005-0000-0000-000038080000}"/>
    <cellStyle name="—_EM-SKTelecom_old" xfId="3023" xr:uid="{00000000-0005-0000-0000-000039080000}"/>
    <cellStyle name="—_EM-SKTelecom_old_(GS) China Pharmaceutical Group model" xfId="3024" xr:uid="{00000000-0005-0000-0000-00003A080000}"/>
    <cellStyle name="—_EM-SKTelecom_old_(GS) Global Bio-chem model" xfId="3025" xr:uid="{00000000-0005-0000-0000-00003B080000}"/>
    <cellStyle name="—_EM-SKTelecom_old_AUO consolidated 2004_02" xfId="3026" xr:uid="{00000000-0005-0000-0000-00003C080000}"/>
    <cellStyle name="—_EM-SKTelecom_old_AUO forecast (GQ)2005_03" xfId="3027" xr:uid="{00000000-0005-0000-0000-00003D080000}"/>
    <cellStyle name="—_EM-SKTelecom_old_Beta" xfId="4746" xr:uid="{00000000-0005-0000-0000-00003E080000}"/>
    <cellStyle name="—_EM-SKTelecom_old_Book7" xfId="3028" xr:uid="{00000000-0005-0000-0000-00003F080000}"/>
    <cellStyle name="—_EM-SKTelecom_old_Book7 2" xfId="4747" xr:uid="{00000000-0005-0000-0000-000040080000}"/>
    <cellStyle name="—_EM-SKTelecom_old_Book7_AUO consolidated 2004_02" xfId="3029" xr:uid="{00000000-0005-0000-0000-000041080000}"/>
    <cellStyle name="—_EM-SKTelecom_old_Book7_AUO forecast (GQ)2005_03" xfId="3030" xr:uid="{00000000-0005-0000-0000-000042080000}"/>
    <cellStyle name="—_EM-SKTelecom_old_Book7_Beta" xfId="4748" xr:uid="{00000000-0005-0000-0000-000043080000}"/>
    <cellStyle name="—_EM-SKTelecom_old_Book7_Cashflow" xfId="4749" xr:uid="{00000000-0005-0000-0000-000044080000}"/>
    <cellStyle name="—_EM-SKTelecom_old_Book7_Cashflow_Honghua MSTR" xfId="4750" xr:uid="{00000000-0005-0000-0000-000045080000}"/>
    <cellStyle name="—_EM-SKTelecom_old_Book7_new-Sub" xfId="3031" xr:uid="{00000000-0005-0000-0000-000046080000}"/>
    <cellStyle name="—_EM-SKTelecom_old_Book7_Novatek forecast 280404" xfId="3032" xr:uid="{00000000-0005-0000-0000-000047080000}"/>
    <cellStyle name="—_EM-SKTelecom_old_Book7_P&amp;L" xfId="4751" xr:uid="{00000000-0005-0000-0000-000048080000}"/>
    <cellStyle name="—_EM-SKTelecom_old_Book7_P&amp;L_Honghua MSTR" xfId="4752" xr:uid="{00000000-0005-0000-0000-000049080000}"/>
    <cellStyle name="—_EM-SKTelecom_old_Book7_PetroChina Master" xfId="4753" xr:uid="{00000000-0005-0000-0000-00004A080000}"/>
    <cellStyle name="—_EM-SKTelecom_old_Book7_PetroChina Master_WIP(20-F update)" xfId="4754" xr:uid="{00000000-0005-0000-0000-00004B080000}"/>
    <cellStyle name="—_EM-SKTelecom_old_Book7_PetroChina Master_WIP(20-F update)_Cashflow" xfId="4755" xr:uid="{00000000-0005-0000-0000-00004C080000}"/>
    <cellStyle name="—_EM-SKTelecom_old_Book7_PetroChina Master_WIP(20-F update)_Cashflow_Honghua MSTR" xfId="4756" xr:uid="{00000000-0005-0000-0000-00004D080000}"/>
    <cellStyle name="—_EM-SKTelecom_old_Book7_PetroChina Master_WIP(20-F update)_P&amp;L" xfId="4757" xr:uid="{00000000-0005-0000-0000-00004E080000}"/>
    <cellStyle name="—_EM-SKTelecom_old_Book7_PetroChina Master_WIP(20-F update)_P&amp;L_Honghua MSTR" xfId="4758" xr:uid="{00000000-0005-0000-0000-00004F080000}"/>
    <cellStyle name="—_EM-SKTelecom_old_Book7_PetroChina Master_WIP(20-F update)_Sinopec MSTR" xfId="4759" xr:uid="{00000000-0005-0000-0000-000050080000}"/>
    <cellStyle name="—_EM-SKTelecom_old_Book7_PetroChina Master_WIP(20-F update)_Sinopec MSTR Wip" xfId="4760" xr:uid="{00000000-0005-0000-0000-000051080000}"/>
    <cellStyle name="—_EM-SKTelecom_old_Book7_PetroChina Master_WIP(20-F update)_Sinopec MSTR_WIP_KK" xfId="4761" xr:uid="{00000000-0005-0000-0000-000052080000}"/>
    <cellStyle name="—_EM-SKTelecom_old_Book7_Sinopec MSTR" xfId="4762" xr:uid="{00000000-0005-0000-0000-000053080000}"/>
    <cellStyle name="—_EM-SKTelecom_old_Book7_Sinopec MSTR Wip" xfId="4763" xr:uid="{00000000-0005-0000-0000-000054080000}"/>
    <cellStyle name="—_EM-SKTelecom_old_Book7_Sinopec MSTR_WIP_KK" xfId="4764" xr:uid="{00000000-0005-0000-0000-000055080000}"/>
    <cellStyle name="—_EM-SKTelecom_old_Book7_Sinopec MSTR-WIP_20F update" xfId="4765" xr:uid="{00000000-0005-0000-0000-000056080000}"/>
    <cellStyle name="—_EM-SKTelecom_old_BS" xfId="3033" xr:uid="{00000000-0005-0000-0000-000057080000}"/>
    <cellStyle name="—_EM-SKTelecom_old_BS_1" xfId="3034" xr:uid="{00000000-0005-0000-0000-000058080000}"/>
    <cellStyle name="—_EM-SKTelecom_old_BS_BS" xfId="3035" xr:uid="{00000000-0005-0000-0000-000059080000}"/>
    <cellStyle name="—_EM-SKTelecom_old_BS_Capex" xfId="3036" xr:uid="{00000000-0005-0000-0000-00005A080000}"/>
    <cellStyle name="—_EM-SKTelecom_old_BS_CF" xfId="3037" xr:uid="{00000000-0005-0000-0000-00005B080000}"/>
    <cellStyle name="—_EM-SKTelecom_old_BS_COFCO (506.HK)" xfId="3038" xr:uid="{00000000-0005-0000-0000-00005C080000}"/>
    <cellStyle name="—_EM-SKTelecom_old_BS_COFCO_051010" xfId="3039" xr:uid="{00000000-0005-0000-0000-00005D080000}"/>
    <cellStyle name="—_EM-SKTelecom_old_BS_COFCO_backup" xfId="3040" xr:uid="{00000000-0005-0000-0000-00005E080000}"/>
    <cellStyle name="—_EM-SKTelecom_old_BS_DCF" xfId="3041" xr:uid="{00000000-0005-0000-0000-00005F080000}"/>
    <cellStyle name="—_EM-SKTelecom_old_BS_Front page" xfId="3042" xr:uid="{00000000-0005-0000-0000-000060080000}"/>
    <cellStyle name="—_EM-SKTelecom_old_BS_LT assets" xfId="3043" xr:uid="{00000000-0005-0000-0000-000061080000}"/>
    <cellStyle name="—_EM-SKTelecom_old_BS_Monthly" xfId="3044" xr:uid="{00000000-0005-0000-0000-000062080000}"/>
    <cellStyle name="—_EM-SKTelecom_old_BS_P&amp;L" xfId="3045" xr:uid="{00000000-0005-0000-0000-000063080000}"/>
    <cellStyle name="—_EM-SKTelecom_old_BS_Valuation" xfId="3046" xr:uid="{00000000-0005-0000-0000-000064080000}"/>
    <cellStyle name="—_EM-SKTelecom_old_Cashflow" xfId="4766" xr:uid="{00000000-0005-0000-0000-000065080000}"/>
    <cellStyle name="—_EM-SKTelecom_old_Cashflow_Honghua MSTR" xfId="4767" xr:uid="{00000000-0005-0000-0000-000066080000}"/>
    <cellStyle name="—_EM-SKTelecom_old_CF" xfId="3047" xr:uid="{00000000-0005-0000-0000-000067080000}"/>
    <cellStyle name="—_EM-SKTelecom_old_Cheng Shin Model" xfId="3048" xr:uid="{00000000-0005-0000-0000-000068080000}"/>
    <cellStyle name="—_EM-SKTelecom_old_Drive" xfId="3049" xr:uid="{00000000-0005-0000-0000-000069080000}"/>
    <cellStyle name="—_EM-SKTelecom_old_earnings" xfId="3050" xr:uid="{00000000-0005-0000-0000-00006A080000}"/>
    <cellStyle name="—_EM-SKTelecom_old_earnings_AUO consolidated 2004_02" xfId="3051" xr:uid="{00000000-0005-0000-0000-00006B080000}"/>
    <cellStyle name="—_EM-SKTelecom_old_earnings_AUO forecast (GQ)2005_03" xfId="3052" xr:uid="{00000000-0005-0000-0000-00006C080000}"/>
    <cellStyle name="—_EM-SKTelecom_old_earnings_new-Sub" xfId="3053" xr:uid="{00000000-0005-0000-0000-00006D080000}"/>
    <cellStyle name="—_EM-SKTelecom_old_earnings_Novatek forecast 280404" xfId="3054" xr:uid="{00000000-0005-0000-0000-00006E080000}"/>
    <cellStyle name="—_EM-SKTelecom_old_EM_ChinaTelecom" xfId="3055" xr:uid="{00000000-0005-0000-0000-00006F080000}"/>
    <cellStyle name="—_EM-SKTelecom_old_EM_ChinaTelecom_AUO consolidated 2004_02" xfId="3056" xr:uid="{00000000-0005-0000-0000-000070080000}"/>
    <cellStyle name="—_EM-SKTelecom_old_EM_ChinaTelecom_AUO forecast (GQ)2005_03" xfId="3057" xr:uid="{00000000-0005-0000-0000-000071080000}"/>
    <cellStyle name="—_EM-SKTelecom_old_EM_ChinaTelecom_new-Sub" xfId="3058" xr:uid="{00000000-0005-0000-0000-000072080000}"/>
    <cellStyle name="—_EM-SKTelecom_old_EM_ChinaTelecom_Novatek forecast 280404" xfId="3059" xr:uid="{00000000-0005-0000-0000-000073080000}"/>
    <cellStyle name="—_EM-SKTelecom_old_EM_CU" xfId="3060" xr:uid="{00000000-0005-0000-0000-000074080000}"/>
    <cellStyle name="—_EM-SKTelecom_old_EM_CU_AUO consolidated 2004_02" xfId="3061" xr:uid="{00000000-0005-0000-0000-000075080000}"/>
    <cellStyle name="—_EM-SKTelecom_old_EM_CU_AUO forecast (GQ)2005_03" xfId="3062" xr:uid="{00000000-0005-0000-0000-000076080000}"/>
    <cellStyle name="—_EM-SKTelecom_old_EM_CU_new-Sub" xfId="3063" xr:uid="{00000000-0005-0000-0000-000077080000}"/>
    <cellStyle name="—_EM-SKTelecom_old_EM_CU_Novatek forecast 280404" xfId="3064" xr:uid="{00000000-0005-0000-0000-000078080000}"/>
    <cellStyle name="—_EM-SKTelecom_old_EM_FETone" xfId="3065" xr:uid="{00000000-0005-0000-0000-000079080000}"/>
    <cellStyle name="—_EM-SKTelecom_old_EM_FETone_AUO consolidated 2004_02" xfId="3066" xr:uid="{00000000-0005-0000-0000-00007A080000}"/>
    <cellStyle name="—_EM-SKTelecom_old_EM_FETone_AUO forecast (GQ)2005_03" xfId="3067" xr:uid="{00000000-0005-0000-0000-00007B080000}"/>
    <cellStyle name="—_EM-SKTelecom_old_EM_FETone_new" xfId="3068" xr:uid="{00000000-0005-0000-0000-00007C080000}"/>
    <cellStyle name="—_EM-SKTelecom_old_EM_FETone_new_AUO consolidated 2004_02" xfId="3069" xr:uid="{00000000-0005-0000-0000-00007D080000}"/>
    <cellStyle name="—_EM-SKTelecom_old_EM_FETone_new_AUO forecast (GQ)2005_03" xfId="3070" xr:uid="{00000000-0005-0000-0000-00007E080000}"/>
    <cellStyle name="—_EM-SKTelecom_old_EM_FETone_new_new-Sub" xfId="3071" xr:uid="{00000000-0005-0000-0000-00007F080000}"/>
    <cellStyle name="—_EM-SKTelecom_old_EM_FETone_new_Novatek forecast 280404" xfId="3072" xr:uid="{00000000-0005-0000-0000-000080080000}"/>
    <cellStyle name="—_EM-SKTelecom_old_EM_FETone_new-Sub" xfId="3073" xr:uid="{00000000-0005-0000-0000-000081080000}"/>
    <cellStyle name="—_EM-SKTelecom_old_EM_FETone_Novatek forecast 280404" xfId="3074" xr:uid="{00000000-0005-0000-0000-000082080000}"/>
    <cellStyle name="—_EM-SKTelecom_old_EM_TCC" xfId="3075" xr:uid="{00000000-0005-0000-0000-000083080000}"/>
    <cellStyle name="—_EM-SKTelecom_old_EM_TCC_AUO consolidated 2004_02" xfId="3076" xr:uid="{00000000-0005-0000-0000-000084080000}"/>
    <cellStyle name="—_EM-SKTelecom_old_EM_TCC_AUO forecast (GQ)2005_03" xfId="3077" xr:uid="{00000000-0005-0000-0000-000085080000}"/>
    <cellStyle name="—_EM-SKTelecom_old_EM_TCC_new" xfId="3078" xr:uid="{00000000-0005-0000-0000-000086080000}"/>
    <cellStyle name="—_EM-SKTelecom_old_EM_TCC_new_AUO consolidated 2004_02" xfId="3079" xr:uid="{00000000-0005-0000-0000-000087080000}"/>
    <cellStyle name="—_EM-SKTelecom_old_EM_TCC_new_AUO forecast (GQ)2005_03" xfId="3080" xr:uid="{00000000-0005-0000-0000-000088080000}"/>
    <cellStyle name="—_EM-SKTelecom_old_EM_TCC_new_new-Sub" xfId="3081" xr:uid="{00000000-0005-0000-0000-000089080000}"/>
    <cellStyle name="—_EM-SKTelecom_old_EM_TCC_new_Novatek forecast 280404" xfId="3082" xr:uid="{00000000-0005-0000-0000-00008A080000}"/>
    <cellStyle name="—_EM-SKTelecom_old_EM_TCC_new-Sub" xfId="3083" xr:uid="{00000000-0005-0000-0000-00008B080000}"/>
    <cellStyle name="—_EM-SKTelecom_old_EM_TCC_Novatek forecast 280404" xfId="3084" xr:uid="{00000000-0005-0000-0000-00008C080000}"/>
    <cellStyle name="—_EM-SKTelecom_old_EM-Chunghwa" xfId="3085" xr:uid="{00000000-0005-0000-0000-00008D080000}"/>
    <cellStyle name="—_EM-SKTelecom_old_EM-Chunghwa sense 060503" xfId="3086" xr:uid="{00000000-0005-0000-0000-00008E080000}"/>
    <cellStyle name="—_EM-SKTelecom_old_EM-Chunghwa sense 060503_new-Sub" xfId="3087" xr:uid="{00000000-0005-0000-0000-00008F080000}"/>
    <cellStyle name="—_EM-SKTelecom_old_EM-Chunghwa_AUO consolidated 2004_02" xfId="3088" xr:uid="{00000000-0005-0000-0000-000090080000}"/>
    <cellStyle name="—_EM-SKTelecom_old_EM-Chunghwa_AUO forecast (GQ)2005_03" xfId="3089" xr:uid="{00000000-0005-0000-0000-000091080000}"/>
    <cellStyle name="—_EM-SKTelecom_old_EM-Chunghwa_new" xfId="3090" xr:uid="{00000000-0005-0000-0000-000092080000}"/>
    <cellStyle name="—_EM-SKTelecom_old_EM-Chunghwa_new_new-Sub" xfId="3091" xr:uid="{00000000-0005-0000-0000-000093080000}"/>
    <cellStyle name="—_EM-SKTelecom_old_EM-Chunghwa_new-Sub" xfId="3092" xr:uid="{00000000-0005-0000-0000-000094080000}"/>
    <cellStyle name="—_EM-SKTelecom_old_EM-Chunghwa_Novatek forecast 280404" xfId="3093" xr:uid="{00000000-0005-0000-0000-000095080000}"/>
    <cellStyle name="—_EM-SKTelecom_old_EM-HTI" xfId="3094" xr:uid="{00000000-0005-0000-0000-000096080000}"/>
    <cellStyle name="—_EM-SKTelecom_old_EM-HTI_(GS) China Pharmaceutical Group model" xfId="3095" xr:uid="{00000000-0005-0000-0000-000097080000}"/>
    <cellStyle name="—_EM-SKTelecom_old_EM-HTI_(GS) Global Bio-chem model" xfId="3096" xr:uid="{00000000-0005-0000-0000-000098080000}"/>
    <cellStyle name="—_EM-SKTelecom_old_EM-HTI_100902 Helen NTT FCF to be sent" xfId="3097" xr:uid="{00000000-0005-0000-0000-000099080000}"/>
    <cellStyle name="—_EM-SKTelecom_old_EM-HTI_AUO consolidated 2004_02" xfId="3098" xr:uid="{00000000-0005-0000-0000-00009A080000}"/>
    <cellStyle name="—_EM-SKTelecom_old_EM-HTI_AUO forecast (GQ)2005_03" xfId="3099" xr:uid="{00000000-0005-0000-0000-00009B080000}"/>
    <cellStyle name="—_EM-SKTelecom_old_EM-HTI_Book4" xfId="3100" xr:uid="{00000000-0005-0000-0000-00009C080000}"/>
    <cellStyle name="—_EM-SKTelecom_old_EM-HTI_Book4_BS" xfId="3101" xr:uid="{00000000-0005-0000-0000-00009D080000}"/>
    <cellStyle name="—_EM-SKTelecom_old_EM-HTI_Book4_BS_BS" xfId="3102" xr:uid="{00000000-0005-0000-0000-00009E080000}"/>
    <cellStyle name="—_EM-SKTelecom_old_EM-HTI_Book4_BS_Capex" xfId="3103" xr:uid="{00000000-0005-0000-0000-00009F080000}"/>
    <cellStyle name="—_EM-SKTelecom_old_EM-HTI_Book4_BS_CF" xfId="3104" xr:uid="{00000000-0005-0000-0000-0000A0080000}"/>
    <cellStyle name="—_EM-SKTelecom_old_EM-HTI_Book4_BS_COFCO (506.HK)" xfId="3105" xr:uid="{00000000-0005-0000-0000-0000A1080000}"/>
    <cellStyle name="—_EM-SKTelecom_old_EM-HTI_Book4_BS_COFCO_051010" xfId="3106" xr:uid="{00000000-0005-0000-0000-0000A2080000}"/>
    <cellStyle name="—_EM-SKTelecom_old_EM-HTI_Book4_BS_COFCO_backup" xfId="3107" xr:uid="{00000000-0005-0000-0000-0000A3080000}"/>
    <cellStyle name="—_EM-SKTelecom_old_EM-HTI_Book4_BS_DCF" xfId="3108" xr:uid="{00000000-0005-0000-0000-0000A4080000}"/>
    <cellStyle name="—_EM-SKTelecom_old_EM-HTI_Book4_BS_Front page" xfId="3109" xr:uid="{00000000-0005-0000-0000-0000A5080000}"/>
    <cellStyle name="—_EM-SKTelecom_old_EM-HTI_Book4_BS_LT assets" xfId="3110" xr:uid="{00000000-0005-0000-0000-0000A6080000}"/>
    <cellStyle name="—_EM-SKTelecom_old_EM-HTI_Book4_BS_Monthly" xfId="3111" xr:uid="{00000000-0005-0000-0000-0000A7080000}"/>
    <cellStyle name="—_EM-SKTelecom_old_EM-HTI_Book4_BS_P&amp;L" xfId="3112" xr:uid="{00000000-0005-0000-0000-0000A8080000}"/>
    <cellStyle name="—_EM-SKTelecom_old_EM-HTI_Book4_BS_Valuation" xfId="3113" xr:uid="{00000000-0005-0000-0000-0000A9080000}"/>
    <cellStyle name="—_EM-SKTelecom_old_EM-HTI_Book4_Yifan template 2" xfId="3114" xr:uid="{00000000-0005-0000-0000-0000AA080000}"/>
    <cellStyle name="—_EM-SKTelecom_old_EM-HTI_Book4_Yifan template 2_BS" xfId="3115" xr:uid="{00000000-0005-0000-0000-0000AB080000}"/>
    <cellStyle name="—_EM-SKTelecom_old_EM-HTI_Book4_Yifan template 2_Capex" xfId="3116" xr:uid="{00000000-0005-0000-0000-0000AC080000}"/>
    <cellStyle name="—_EM-SKTelecom_old_EM-HTI_Book4_Yifan template 2_CF" xfId="3117" xr:uid="{00000000-0005-0000-0000-0000AD080000}"/>
    <cellStyle name="—_EM-SKTelecom_old_EM-HTI_Book4_Yifan template 2_COFCO (506.HK)" xfId="3118" xr:uid="{00000000-0005-0000-0000-0000AE080000}"/>
    <cellStyle name="—_EM-SKTelecom_old_EM-HTI_Book4_Yifan template 2_COFCO_051010" xfId="3119" xr:uid="{00000000-0005-0000-0000-0000AF080000}"/>
    <cellStyle name="—_EM-SKTelecom_old_EM-HTI_Book4_Yifan template 2_COFCO_backup" xfId="3120" xr:uid="{00000000-0005-0000-0000-0000B0080000}"/>
    <cellStyle name="—_EM-SKTelecom_old_EM-HTI_Book4_Yifan template 2_DCF" xfId="3121" xr:uid="{00000000-0005-0000-0000-0000B1080000}"/>
    <cellStyle name="—_EM-SKTelecom_old_EM-HTI_Book4_Yifan template 2_Front page" xfId="3122" xr:uid="{00000000-0005-0000-0000-0000B2080000}"/>
    <cellStyle name="—_EM-SKTelecom_old_EM-HTI_Book4_Yifan template 2_LT assets" xfId="3123" xr:uid="{00000000-0005-0000-0000-0000B3080000}"/>
    <cellStyle name="—_EM-SKTelecom_old_EM-HTI_Book4_Yifan template 2_Monthly" xfId="3124" xr:uid="{00000000-0005-0000-0000-0000B4080000}"/>
    <cellStyle name="—_EM-SKTelecom_old_EM-HTI_Book4_Yifan template 2_P&amp;L" xfId="3125" xr:uid="{00000000-0005-0000-0000-0000B5080000}"/>
    <cellStyle name="—_EM-SKTelecom_old_EM-HTI_Book4_Yifan template 2_Valuation" xfId="3126" xr:uid="{00000000-0005-0000-0000-0000B6080000}"/>
    <cellStyle name="—_EM-SKTelecom_old_EM-HTI_BS" xfId="3127" xr:uid="{00000000-0005-0000-0000-0000B7080000}"/>
    <cellStyle name="—_EM-SKTelecom_old_EM-HTI_BS_1" xfId="3128" xr:uid="{00000000-0005-0000-0000-0000B8080000}"/>
    <cellStyle name="—_EM-SKTelecom_old_EM-HTI_BS_BS" xfId="3129" xr:uid="{00000000-0005-0000-0000-0000B9080000}"/>
    <cellStyle name="—_EM-SKTelecom_old_EM-HTI_BS_Capex" xfId="3130" xr:uid="{00000000-0005-0000-0000-0000BA080000}"/>
    <cellStyle name="—_EM-SKTelecom_old_EM-HTI_BS_CF" xfId="3131" xr:uid="{00000000-0005-0000-0000-0000BB080000}"/>
    <cellStyle name="—_EM-SKTelecom_old_EM-HTI_BS_COFCO (506.HK)" xfId="3132" xr:uid="{00000000-0005-0000-0000-0000BC080000}"/>
    <cellStyle name="—_EM-SKTelecom_old_EM-HTI_BS_COFCO_051010" xfId="3133" xr:uid="{00000000-0005-0000-0000-0000BD080000}"/>
    <cellStyle name="—_EM-SKTelecom_old_EM-HTI_BS_COFCO_backup" xfId="3134" xr:uid="{00000000-0005-0000-0000-0000BE080000}"/>
    <cellStyle name="—_EM-SKTelecom_old_EM-HTI_BS_DCF" xfId="3135" xr:uid="{00000000-0005-0000-0000-0000BF080000}"/>
    <cellStyle name="—_EM-SKTelecom_old_EM-HTI_BS_Front page" xfId="3136" xr:uid="{00000000-0005-0000-0000-0000C0080000}"/>
    <cellStyle name="—_EM-SKTelecom_old_EM-HTI_BS_LT assets" xfId="3137" xr:uid="{00000000-0005-0000-0000-0000C1080000}"/>
    <cellStyle name="—_EM-SKTelecom_old_EM-HTI_BS_Monthly" xfId="3138" xr:uid="{00000000-0005-0000-0000-0000C2080000}"/>
    <cellStyle name="—_EM-SKTelecom_old_EM-HTI_BS_P&amp;L" xfId="3139" xr:uid="{00000000-0005-0000-0000-0000C3080000}"/>
    <cellStyle name="—_EM-SKTelecom_old_EM-HTI_BS_Valuation" xfId="3140" xr:uid="{00000000-0005-0000-0000-0000C4080000}"/>
    <cellStyle name="—_EM-SKTelecom_old_EM-HTI_CF" xfId="3141" xr:uid="{00000000-0005-0000-0000-0000C5080000}"/>
    <cellStyle name="—_EM-SKTelecom_old_EM-HTI_Cheng Shin Model" xfId="3142" xr:uid="{00000000-0005-0000-0000-0000C6080000}"/>
    <cellStyle name="—_EM-SKTelecom_old_EM-HTI_Drive" xfId="3143" xr:uid="{00000000-0005-0000-0000-0000C7080000}"/>
    <cellStyle name="—_EM-SKTelecom_old_EM-HTI_EM_ChinaTelecom" xfId="3144" xr:uid="{00000000-0005-0000-0000-0000C8080000}"/>
    <cellStyle name="—_EM-SKTelecom_old_EM-HTI_EM_ChinaTelecom_AUO consolidated 2004_02" xfId="3145" xr:uid="{00000000-0005-0000-0000-0000C9080000}"/>
    <cellStyle name="—_EM-SKTelecom_old_EM-HTI_EM_ChinaTelecom_AUO forecast (GQ)2005_03" xfId="3146" xr:uid="{00000000-0005-0000-0000-0000CA080000}"/>
    <cellStyle name="—_EM-SKTelecom_old_EM-HTI_EM_ChinaTelecom_new-Sub" xfId="3147" xr:uid="{00000000-0005-0000-0000-0000CB080000}"/>
    <cellStyle name="—_EM-SKTelecom_old_EM-HTI_EM_ChinaTelecom_Novatek forecast 280404" xfId="3148" xr:uid="{00000000-0005-0000-0000-0000CC080000}"/>
    <cellStyle name="—_EM-SKTelecom_old_EM-HTI_EM_FETone_new" xfId="3149" xr:uid="{00000000-0005-0000-0000-0000CD080000}"/>
    <cellStyle name="—_EM-SKTelecom_old_EM-HTI_EM_FETone_new_AUO consolidated 2004_02" xfId="3150" xr:uid="{00000000-0005-0000-0000-0000CE080000}"/>
    <cellStyle name="—_EM-SKTelecom_old_EM-HTI_EM_FETone_new_AUO forecast (GQ)2005_03" xfId="3151" xr:uid="{00000000-0005-0000-0000-0000CF080000}"/>
    <cellStyle name="—_EM-SKTelecom_old_EM-HTI_EM_FETone_new_new-Sub" xfId="3152" xr:uid="{00000000-0005-0000-0000-0000D0080000}"/>
    <cellStyle name="—_EM-SKTelecom_old_EM-HTI_EM_FETone_new_Novatek forecast 280404" xfId="3153" xr:uid="{00000000-0005-0000-0000-0000D1080000}"/>
    <cellStyle name="—_EM-SKTelecom_old_EM-HTI_EM_NZT" xfId="3154" xr:uid="{00000000-0005-0000-0000-0000D2080000}"/>
    <cellStyle name="—_EM-SKTelecom_old_EM-HTI_EM_NZT_BS" xfId="3155" xr:uid="{00000000-0005-0000-0000-0000D3080000}"/>
    <cellStyle name="—_EM-SKTelecom_old_EM-HTI_EM_NZT_BS_BS" xfId="3156" xr:uid="{00000000-0005-0000-0000-0000D4080000}"/>
    <cellStyle name="—_EM-SKTelecom_old_EM-HTI_EM_NZT_BS_Capex" xfId="3157" xr:uid="{00000000-0005-0000-0000-0000D5080000}"/>
    <cellStyle name="—_EM-SKTelecom_old_EM-HTI_EM_NZT_BS_CF" xfId="3158" xr:uid="{00000000-0005-0000-0000-0000D6080000}"/>
    <cellStyle name="—_EM-SKTelecom_old_EM-HTI_EM_NZT_BS_COFCO (506.HK)" xfId="3159" xr:uid="{00000000-0005-0000-0000-0000D7080000}"/>
    <cellStyle name="—_EM-SKTelecom_old_EM-HTI_EM_NZT_BS_COFCO_051010" xfId="3160" xr:uid="{00000000-0005-0000-0000-0000D8080000}"/>
    <cellStyle name="—_EM-SKTelecom_old_EM-HTI_EM_NZT_BS_COFCO_backup" xfId="3161" xr:uid="{00000000-0005-0000-0000-0000D9080000}"/>
    <cellStyle name="—_EM-SKTelecom_old_EM-HTI_EM_NZT_BS_DCF" xfId="3162" xr:uid="{00000000-0005-0000-0000-0000DA080000}"/>
    <cellStyle name="—_EM-SKTelecom_old_EM-HTI_EM_NZT_BS_Front page" xfId="3163" xr:uid="{00000000-0005-0000-0000-0000DB080000}"/>
    <cellStyle name="—_EM-SKTelecom_old_EM-HTI_EM_NZT_BS_LT assets" xfId="3164" xr:uid="{00000000-0005-0000-0000-0000DC080000}"/>
    <cellStyle name="—_EM-SKTelecom_old_EM-HTI_EM_NZT_BS_Monthly" xfId="3165" xr:uid="{00000000-0005-0000-0000-0000DD080000}"/>
    <cellStyle name="—_EM-SKTelecom_old_EM-HTI_EM_NZT_BS_P&amp;L" xfId="3166" xr:uid="{00000000-0005-0000-0000-0000DE080000}"/>
    <cellStyle name="—_EM-SKTelecom_old_EM-HTI_EM_NZT_BS_Valuation" xfId="3167" xr:uid="{00000000-0005-0000-0000-0000DF080000}"/>
    <cellStyle name="—_EM-SKTelecom_old_EM-HTI_EM_NZT_Yifan template 2" xfId="3168" xr:uid="{00000000-0005-0000-0000-0000E0080000}"/>
    <cellStyle name="—_EM-SKTelecom_old_EM-HTI_EM_NZT_Yifan template 2_BS" xfId="3169" xr:uid="{00000000-0005-0000-0000-0000E1080000}"/>
    <cellStyle name="—_EM-SKTelecom_old_EM-HTI_EM_NZT_Yifan template 2_Capex" xfId="3170" xr:uid="{00000000-0005-0000-0000-0000E2080000}"/>
    <cellStyle name="—_EM-SKTelecom_old_EM-HTI_EM_NZT_Yifan template 2_CF" xfId="3171" xr:uid="{00000000-0005-0000-0000-0000E3080000}"/>
    <cellStyle name="—_EM-SKTelecom_old_EM-HTI_EM_NZT_Yifan template 2_COFCO (506.HK)" xfId="3172" xr:uid="{00000000-0005-0000-0000-0000E4080000}"/>
    <cellStyle name="—_EM-SKTelecom_old_EM-HTI_EM_NZT_Yifan template 2_COFCO_051010" xfId="3173" xr:uid="{00000000-0005-0000-0000-0000E5080000}"/>
    <cellStyle name="—_EM-SKTelecom_old_EM-HTI_EM_NZT_Yifan template 2_COFCO_backup" xfId="3174" xr:uid="{00000000-0005-0000-0000-0000E6080000}"/>
    <cellStyle name="—_EM-SKTelecom_old_EM-HTI_EM_NZT_Yifan template 2_DCF" xfId="3175" xr:uid="{00000000-0005-0000-0000-0000E7080000}"/>
    <cellStyle name="—_EM-SKTelecom_old_EM-HTI_EM_NZT_Yifan template 2_Front page" xfId="3176" xr:uid="{00000000-0005-0000-0000-0000E8080000}"/>
    <cellStyle name="—_EM-SKTelecom_old_EM-HTI_EM_NZT_Yifan template 2_LT assets" xfId="3177" xr:uid="{00000000-0005-0000-0000-0000E9080000}"/>
    <cellStyle name="—_EM-SKTelecom_old_EM-HTI_EM_NZT_Yifan template 2_Monthly" xfId="3178" xr:uid="{00000000-0005-0000-0000-0000EA080000}"/>
    <cellStyle name="—_EM-SKTelecom_old_EM-HTI_EM_NZT_Yifan template 2_P&amp;L" xfId="3179" xr:uid="{00000000-0005-0000-0000-0000EB080000}"/>
    <cellStyle name="—_EM-SKTelecom_old_EM-HTI_EM_NZT_Yifan template 2_Valuation" xfId="3180" xr:uid="{00000000-0005-0000-0000-0000EC080000}"/>
    <cellStyle name="—_EM-SKTelecom_old_EM-HTI_EM_TCC" xfId="3181" xr:uid="{00000000-0005-0000-0000-0000ED080000}"/>
    <cellStyle name="—_EM-SKTelecom_old_EM-HTI_EM_TCC_AUO consolidated 2004_02" xfId="3182" xr:uid="{00000000-0005-0000-0000-0000EE080000}"/>
    <cellStyle name="—_EM-SKTelecom_old_EM-HTI_EM_TCC_AUO forecast (GQ)2005_03" xfId="3183" xr:uid="{00000000-0005-0000-0000-0000EF080000}"/>
    <cellStyle name="—_EM-SKTelecom_old_EM-HTI_EM_TCC_new" xfId="3184" xr:uid="{00000000-0005-0000-0000-0000F0080000}"/>
    <cellStyle name="—_EM-SKTelecom_old_EM-HTI_EM_TCC_new_AUO consolidated 2004_02" xfId="3185" xr:uid="{00000000-0005-0000-0000-0000F1080000}"/>
    <cellStyle name="—_EM-SKTelecom_old_EM-HTI_EM_TCC_new_AUO forecast (GQ)2005_03" xfId="3186" xr:uid="{00000000-0005-0000-0000-0000F2080000}"/>
    <cellStyle name="—_EM-SKTelecom_old_EM-HTI_EM_TCC_new_new-Sub" xfId="3187" xr:uid="{00000000-0005-0000-0000-0000F3080000}"/>
    <cellStyle name="—_EM-SKTelecom_old_EM-HTI_EM_TCC_new_Novatek forecast 280404" xfId="3188" xr:uid="{00000000-0005-0000-0000-0000F4080000}"/>
    <cellStyle name="—_EM-SKTelecom_old_EM-HTI_EM_TCC_new-Sub" xfId="3189" xr:uid="{00000000-0005-0000-0000-0000F5080000}"/>
    <cellStyle name="—_EM-SKTelecom_old_EM-HTI_EM_TCC_Novatek forecast 280404" xfId="3190" xr:uid="{00000000-0005-0000-0000-0000F6080000}"/>
    <cellStyle name="—_EM-SKTelecom_old_EM-HTI_EM-Chunghwa" xfId="3191" xr:uid="{00000000-0005-0000-0000-0000F7080000}"/>
    <cellStyle name="—_EM-SKTelecom_old_EM-HTI_EM-Chunghwa_AUO consolidated 2004_02" xfId="3192" xr:uid="{00000000-0005-0000-0000-0000F8080000}"/>
    <cellStyle name="—_EM-SKTelecom_old_EM-HTI_EM-Chunghwa_AUO forecast (GQ)2005_03" xfId="3193" xr:uid="{00000000-0005-0000-0000-0000F9080000}"/>
    <cellStyle name="—_EM-SKTelecom_old_EM-HTI_EM-Chunghwa_new-Sub" xfId="3194" xr:uid="{00000000-0005-0000-0000-0000FA080000}"/>
    <cellStyle name="—_EM-SKTelecom_old_EM-HTI_EM-Chunghwa_Novatek forecast 280404" xfId="3195" xr:uid="{00000000-0005-0000-0000-0000FB080000}"/>
    <cellStyle name="—_EM-SKTelecom_old_EM-HTI_GlobalValuation_Japan" xfId="3196" xr:uid="{00000000-0005-0000-0000-0000FC080000}"/>
    <cellStyle name="—_EM-SKTelecom_old_EM-HTI_GQ" xfId="3197" xr:uid="{00000000-0005-0000-0000-0000FD080000}"/>
    <cellStyle name="—_EM-SKTelecom_old_EM-HTI_JT CROCI" xfId="3198" xr:uid="{00000000-0005-0000-0000-0000FE080000}"/>
    <cellStyle name="—_EM-SKTelecom_old_EM-HTI_KDDI CROCI" xfId="3199" xr:uid="{00000000-0005-0000-0000-0000FF080000}"/>
    <cellStyle name="—_EM-SKTelecom_old_EM-HTI_new-Sub" xfId="3200" xr:uid="{00000000-0005-0000-0000-000000090000}"/>
    <cellStyle name="—_EM-SKTelecom_old_EM-HTI_Novatek forecast 280404" xfId="3201" xr:uid="{00000000-0005-0000-0000-000001090000}"/>
    <cellStyle name="—_EM-SKTelecom_old_EM-HTI_NTT CROCI" xfId="3202" xr:uid="{00000000-0005-0000-0000-000002090000}"/>
    <cellStyle name="—_EM-SKTelecom_old_EM-HTI_NTT proportionate" xfId="3203" xr:uid="{00000000-0005-0000-0000-000003090000}"/>
    <cellStyle name="—_EM-SKTelecom_old_EM-HTI_P&amp;L" xfId="3204" xr:uid="{00000000-0005-0000-0000-000004090000}"/>
    <cellStyle name="—_EM-SKTelecom_old_EM-HTI_Sheet1" xfId="3205" xr:uid="{00000000-0005-0000-0000-000005090000}"/>
    <cellStyle name="—_EM-SKTelecom_old_EM-HTI_Yifan template 2" xfId="3206" xr:uid="{00000000-0005-0000-0000-000006090000}"/>
    <cellStyle name="—_EM-SKTelecom_old_EM-HTI_Yifan template 2_BS" xfId="3207" xr:uid="{00000000-0005-0000-0000-000007090000}"/>
    <cellStyle name="—_EM-SKTelecom_old_EM-HTI_Yifan template 2_Capex" xfId="3208" xr:uid="{00000000-0005-0000-0000-000008090000}"/>
    <cellStyle name="—_EM-SKTelecom_old_EM-HTI_Yifan template 2_CF" xfId="3209" xr:uid="{00000000-0005-0000-0000-000009090000}"/>
    <cellStyle name="—_EM-SKTelecom_old_EM-HTI_Yifan template 2_COFCO (506.HK)" xfId="3210" xr:uid="{00000000-0005-0000-0000-00000A090000}"/>
    <cellStyle name="—_EM-SKTelecom_old_EM-HTI_Yifan template 2_COFCO_051010" xfId="3211" xr:uid="{00000000-0005-0000-0000-00000B090000}"/>
    <cellStyle name="—_EM-SKTelecom_old_EM-HTI_Yifan template 2_COFCO_backup" xfId="3212" xr:uid="{00000000-0005-0000-0000-00000C090000}"/>
    <cellStyle name="—_EM-SKTelecom_old_EM-HTI_Yifan template 2_DCF" xfId="3213" xr:uid="{00000000-0005-0000-0000-00000D090000}"/>
    <cellStyle name="—_EM-SKTelecom_old_EM-HTI_Yifan template 2_Front page" xfId="3214" xr:uid="{00000000-0005-0000-0000-00000E090000}"/>
    <cellStyle name="—_EM-SKTelecom_old_EM-HTI_Yifan template 2_LT assets" xfId="3215" xr:uid="{00000000-0005-0000-0000-00000F090000}"/>
    <cellStyle name="—_EM-SKTelecom_old_EM-HTI_Yifan template 2_Monthly" xfId="3216" xr:uid="{00000000-0005-0000-0000-000010090000}"/>
    <cellStyle name="—_EM-SKTelecom_old_EM-HTI_Yifan template 2_P&amp;L" xfId="3217" xr:uid="{00000000-0005-0000-0000-000011090000}"/>
    <cellStyle name="—_EM-SKTelecom_old_EM-HTI_Yifan template 2_Valuation" xfId="3218" xr:uid="{00000000-0005-0000-0000-000012090000}"/>
    <cellStyle name="—_EM-SKTelecom_old_EM-KT.xls Chart 1" xfId="4768" xr:uid="{00000000-0005-0000-0000-000013090000}"/>
    <cellStyle name="—_EM-SKTelecom_old_EM-KT.xls Chart 1_Beta" xfId="4769" xr:uid="{00000000-0005-0000-0000-000014090000}"/>
    <cellStyle name="—_EM-SKTelecom_old_EM-KT.xls Chart 1_Cashflow" xfId="4770" xr:uid="{00000000-0005-0000-0000-000015090000}"/>
    <cellStyle name="—_EM-SKTelecom_old_EM-KT.xls Chart 1_Cashflow_Honghua MSTR" xfId="4771" xr:uid="{00000000-0005-0000-0000-000016090000}"/>
    <cellStyle name="—_EM-SKTelecom_old_EM-KT.xls Chart 1_P&amp;L" xfId="4772" xr:uid="{00000000-0005-0000-0000-000017090000}"/>
    <cellStyle name="—_EM-SKTelecom_old_EM-KT.xls Chart 1_P&amp;L_Honghua MSTR" xfId="4773" xr:uid="{00000000-0005-0000-0000-000018090000}"/>
    <cellStyle name="—_EM-SKTelecom_old_EM-KT.xls Chart 1_PetroChina Master" xfId="4774" xr:uid="{00000000-0005-0000-0000-000019090000}"/>
    <cellStyle name="—_EM-SKTelecom_old_EM-KT.xls Chart 1_PetroChina Master_WIP(20-F update)" xfId="4775" xr:uid="{00000000-0005-0000-0000-00001A090000}"/>
    <cellStyle name="—_EM-SKTelecom_old_EM-KT.xls Chart 1_PetroChina Master_WIP(20-F update)_Cashflow" xfId="4776" xr:uid="{00000000-0005-0000-0000-00001B090000}"/>
    <cellStyle name="—_EM-SKTelecom_old_EM-KT.xls Chart 1_PetroChina Master_WIP(20-F update)_Cashflow_Honghua MSTR" xfId="4777" xr:uid="{00000000-0005-0000-0000-00001C090000}"/>
    <cellStyle name="—_EM-SKTelecom_old_EM-KT.xls Chart 1_PetroChina Master_WIP(20-F update)_P&amp;L" xfId="4778" xr:uid="{00000000-0005-0000-0000-00001D090000}"/>
    <cellStyle name="—_EM-SKTelecom_old_EM-KT.xls Chart 1_PetroChina Master_WIP(20-F update)_P&amp;L_Honghua MSTR" xfId="4779" xr:uid="{00000000-0005-0000-0000-00001E090000}"/>
    <cellStyle name="—_EM-SKTelecom_old_EM-KT.xls Chart 1_PetroChina Master_WIP(20-F update)_Sinopec MSTR" xfId="4780" xr:uid="{00000000-0005-0000-0000-00001F090000}"/>
    <cellStyle name="—_EM-SKTelecom_old_EM-KT.xls Chart 1_PetroChina Master_WIP(20-F update)_Sinopec MSTR Wip" xfId="4781" xr:uid="{00000000-0005-0000-0000-000020090000}"/>
    <cellStyle name="—_EM-SKTelecom_old_EM-KT.xls Chart 1_PetroChina Master_WIP(20-F update)_Sinopec MSTR_WIP_KK" xfId="4782" xr:uid="{00000000-0005-0000-0000-000021090000}"/>
    <cellStyle name="—_EM-SKTelecom_old_EM-KT.xls Chart 1_Sinopec MSTR" xfId="4783" xr:uid="{00000000-0005-0000-0000-000022090000}"/>
    <cellStyle name="—_EM-SKTelecom_old_EM-KT.xls Chart 1_Sinopec MSTR Wip" xfId="4784" xr:uid="{00000000-0005-0000-0000-000023090000}"/>
    <cellStyle name="—_EM-SKTelecom_old_EM-KT.xls Chart 1_Sinopec MSTR_WIP_KK" xfId="4785" xr:uid="{00000000-0005-0000-0000-000024090000}"/>
    <cellStyle name="—_EM-SKTelecom_old_EM-KT.xls Chart 1_Sinopec MSTR-WIP_20F update" xfId="4786" xr:uid="{00000000-0005-0000-0000-000025090000}"/>
    <cellStyle name="—_EM-SKTelecom_old_EM-KT.xls Chart 2" xfId="4787" xr:uid="{00000000-0005-0000-0000-000026090000}"/>
    <cellStyle name="—_EM-SKTelecom_old_EM-KT.xls Chart 2_Beta" xfId="4788" xr:uid="{00000000-0005-0000-0000-000027090000}"/>
    <cellStyle name="—_EM-SKTelecom_old_EM-KT.xls Chart 2_Cashflow" xfId="4789" xr:uid="{00000000-0005-0000-0000-000028090000}"/>
    <cellStyle name="—_EM-SKTelecom_old_EM-KT.xls Chart 2_Cashflow_Honghua MSTR" xfId="4790" xr:uid="{00000000-0005-0000-0000-000029090000}"/>
    <cellStyle name="—_EM-SKTelecom_old_EM-KT.xls Chart 2_P&amp;L" xfId="4791" xr:uid="{00000000-0005-0000-0000-00002A090000}"/>
    <cellStyle name="—_EM-SKTelecom_old_EM-KT.xls Chart 2_P&amp;L_Honghua MSTR" xfId="4792" xr:uid="{00000000-0005-0000-0000-00002B090000}"/>
    <cellStyle name="—_EM-SKTelecom_old_EM-KT.xls Chart 2_PetroChina Master" xfId="4793" xr:uid="{00000000-0005-0000-0000-00002C090000}"/>
    <cellStyle name="—_EM-SKTelecom_old_EM-KT.xls Chart 2_PetroChina Master_WIP(20-F update)" xfId="4794" xr:uid="{00000000-0005-0000-0000-00002D090000}"/>
    <cellStyle name="—_EM-SKTelecom_old_EM-KT.xls Chart 2_PetroChina Master_WIP(20-F update)_Cashflow" xfId="4795" xr:uid="{00000000-0005-0000-0000-00002E090000}"/>
    <cellStyle name="—_EM-SKTelecom_old_EM-KT.xls Chart 2_PetroChina Master_WIP(20-F update)_Cashflow_Honghua MSTR" xfId="4796" xr:uid="{00000000-0005-0000-0000-00002F090000}"/>
    <cellStyle name="—_EM-SKTelecom_old_EM-KT.xls Chart 2_PetroChina Master_WIP(20-F update)_P&amp;L" xfId="4797" xr:uid="{00000000-0005-0000-0000-000030090000}"/>
    <cellStyle name="—_EM-SKTelecom_old_EM-KT.xls Chart 2_PetroChina Master_WIP(20-F update)_P&amp;L_Honghua MSTR" xfId="4798" xr:uid="{00000000-0005-0000-0000-000031090000}"/>
    <cellStyle name="—_EM-SKTelecom_old_EM-KT.xls Chart 2_PetroChina Master_WIP(20-F update)_Sinopec MSTR" xfId="4799" xr:uid="{00000000-0005-0000-0000-000032090000}"/>
    <cellStyle name="—_EM-SKTelecom_old_EM-KT.xls Chart 2_PetroChina Master_WIP(20-F update)_Sinopec MSTR Wip" xfId="4800" xr:uid="{00000000-0005-0000-0000-000033090000}"/>
    <cellStyle name="—_EM-SKTelecom_old_EM-KT.xls Chart 2_PetroChina Master_WIP(20-F update)_Sinopec MSTR_WIP_KK" xfId="4801" xr:uid="{00000000-0005-0000-0000-000034090000}"/>
    <cellStyle name="—_EM-SKTelecom_old_EM-KT.xls Chart 2_Sinopec MSTR" xfId="4802" xr:uid="{00000000-0005-0000-0000-000035090000}"/>
    <cellStyle name="—_EM-SKTelecom_old_EM-KT.xls Chart 2_Sinopec MSTR Wip" xfId="4803" xr:uid="{00000000-0005-0000-0000-000036090000}"/>
    <cellStyle name="—_EM-SKTelecom_old_EM-KT.xls Chart 2_Sinopec MSTR_WIP_KK" xfId="4804" xr:uid="{00000000-0005-0000-0000-000037090000}"/>
    <cellStyle name="—_EM-SKTelecom_old_EM-KT.xls Chart 2_Sinopec MSTR-WIP_20F update" xfId="4805" xr:uid="{00000000-0005-0000-0000-000038090000}"/>
    <cellStyle name="—_EM-SKTelecom_old_EM-KT.xls Chart 3" xfId="4806" xr:uid="{00000000-0005-0000-0000-000039090000}"/>
    <cellStyle name="—_EM-SKTelecom_old_EM-KT.xls Chart 3_Beta" xfId="4807" xr:uid="{00000000-0005-0000-0000-00003A090000}"/>
    <cellStyle name="—_EM-SKTelecom_old_EM-KT.xls Chart 3_Cashflow" xfId="4808" xr:uid="{00000000-0005-0000-0000-00003B090000}"/>
    <cellStyle name="—_EM-SKTelecom_old_EM-KT.xls Chart 3_Cashflow_Honghua MSTR" xfId="4809" xr:uid="{00000000-0005-0000-0000-00003C090000}"/>
    <cellStyle name="—_EM-SKTelecom_old_EM-KT.xls Chart 3_P&amp;L" xfId="4810" xr:uid="{00000000-0005-0000-0000-00003D090000}"/>
    <cellStyle name="—_EM-SKTelecom_old_EM-KT.xls Chart 3_P&amp;L_Honghua MSTR" xfId="4811" xr:uid="{00000000-0005-0000-0000-00003E090000}"/>
    <cellStyle name="—_EM-SKTelecom_old_EM-KT.xls Chart 3_PetroChina Master" xfId="4812" xr:uid="{00000000-0005-0000-0000-00003F090000}"/>
    <cellStyle name="—_EM-SKTelecom_old_EM-KT.xls Chart 3_PetroChina Master_WIP(20-F update)" xfId="4813" xr:uid="{00000000-0005-0000-0000-000040090000}"/>
    <cellStyle name="—_EM-SKTelecom_old_EM-KT.xls Chart 3_PetroChina Master_WIP(20-F update)_Cashflow" xfId="4814" xr:uid="{00000000-0005-0000-0000-000041090000}"/>
    <cellStyle name="—_EM-SKTelecom_old_EM-KT.xls Chart 3_PetroChina Master_WIP(20-F update)_Cashflow_Honghua MSTR" xfId="4815" xr:uid="{00000000-0005-0000-0000-000042090000}"/>
    <cellStyle name="—_EM-SKTelecom_old_EM-KT.xls Chart 3_PetroChina Master_WIP(20-F update)_P&amp;L" xfId="4816" xr:uid="{00000000-0005-0000-0000-000043090000}"/>
    <cellStyle name="—_EM-SKTelecom_old_EM-KT.xls Chart 3_PetroChina Master_WIP(20-F update)_P&amp;L_Honghua MSTR" xfId="4817" xr:uid="{00000000-0005-0000-0000-000044090000}"/>
    <cellStyle name="—_EM-SKTelecom_old_EM-KT.xls Chart 3_PetroChina Master_WIP(20-F update)_Sinopec MSTR" xfId="4818" xr:uid="{00000000-0005-0000-0000-000045090000}"/>
    <cellStyle name="—_EM-SKTelecom_old_EM-KT.xls Chart 3_PetroChina Master_WIP(20-F update)_Sinopec MSTR Wip" xfId="4819" xr:uid="{00000000-0005-0000-0000-000046090000}"/>
    <cellStyle name="—_EM-SKTelecom_old_EM-KT.xls Chart 3_PetroChina Master_WIP(20-F update)_Sinopec MSTR_WIP_KK" xfId="4820" xr:uid="{00000000-0005-0000-0000-000047090000}"/>
    <cellStyle name="—_EM-SKTelecom_old_EM-KT.xls Chart 3_Sinopec MSTR" xfId="4821" xr:uid="{00000000-0005-0000-0000-000048090000}"/>
    <cellStyle name="—_EM-SKTelecom_old_EM-KT.xls Chart 3_Sinopec MSTR Wip" xfId="4822" xr:uid="{00000000-0005-0000-0000-000049090000}"/>
    <cellStyle name="—_EM-SKTelecom_old_EM-KT.xls Chart 3_Sinopec MSTR_WIP_KK" xfId="4823" xr:uid="{00000000-0005-0000-0000-00004A090000}"/>
    <cellStyle name="—_EM-SKTelecom_old_EM-KT.xls Chart 3_Sinopec MSTR-WIP_20F update" xfId="4824" xr:uid="{00000000-0005-0000-0000-00004B090000}"/>
    <cellStyle name="—_EM-SKTelecom_old_EM-KTnew" xfId="4825" xr:uid="{00000000-0005-0000-0000-00004C090000}"/>
    <cellStyle name="—_EM-SKTelecom_old_EM-KTnew_Beta" xfId="4826" xr:uid="{00000000-0005-0000-0000-00004D090000}"/>
    <cellStyle name="—_EM-SKTelecom_old_EM-KTnew_Cashflow" xfId="4827" xr:uid="{00000000-0005-0000-0000-00004E090000}"/>
    <cellStyle name="—_EM-SKTelecom_old_EM-KTnew_Cashflow_Honghua MSTR" xfId="4828" xr:uid="{00000000-0005-0000-0000-00004F090000}"/>
    <cellStyle name="—_EM-SKTelecom_old_EM-KTnew_P&amp;L" xfId="4829" xr:uid="{00000000-0005-0000-0000-000050090000}"/>
    <cellStyle name="—_EM-SKTelecom_old_EM-KTnew_P&amp;L_Honghua MSTR" xfId="4830" xr:uid="{00000000-0005-0000-0000-000051090000}"/>
    <cellStyle name="—_EM-SKTelecom_old_EM-KTnew_PetroChina Master" xfId="4831" xr:uid="{00000000-0005-0000-0000-000052090000}"/>
    <cellStyle name="—_EM-SKTelecom_old_EM-KTnew_PetroChina Master_WIP(20-F update)" xfId="4832" xr:uid="{00000000-0005-0000-0000-000053090000}"/>
    <cellStyle name="—_EM-SKTelecom_old_EM-KTnew_PetroChina Master_WIP(20-F update)_Cashflow" xfId="4833" xr:uid="{00000000-0005-0000-0000-000054090000}"/>
    <cellStyle name="—_EM-SKTelecom_old_EM-KTnew_PetroChina Master_WIP(20-F update)_Cashflow_Honghua MSTR" xfId="4834" xr:uid="{00000000-0005-0000-0000-000055090000}"/>
    <cellStyle name="—_EM-SKTelecom_old_EM-KTnew_PetroChina Master_WIP(20-F update)_P&amp;L" xfId="4835" xr:uid="{00000000-0005-0000-0000-000056090000}"/>
    <cellStyle name="—_EM-SKTelecom_old_EM-KTnew_PetroChina Master_WIP(20-F update)_P&amp;L_Honghua MSTR" xfId="4836" xr:uid="{00000000-0005-0000-0000-000057090000}"/>
    <cellStyle name="—_EM-SKTelecom_old_EM-KTnew_PetroChina Master_WIP(20-F update)_Sinopec MSTR" xfId="4837" xr:uid="{00000000-0005-0000-0000-000058090000}"/>
    <cellStyle name="—_EM-SKTelecom_old_EM-KTnew_PetroChina Master_WIP(20-F update)_Sinopec MSTR Wip" xfId="4838" xr:uid="{00000000-0005-0000-0000-000059090000}"/>
    <cellStyle name="—_EM-SKTelecom_old_EM-KTnew_PetroChina Master_WIP(20-F update)_Sinopec MSTR_WIP_KK" xfId="4839" xr:uid="{00000000-0005-0000-0000-00005A090000}"/>
    <cellStyle name="—_EM-SKTelecom_old_EM-KTnew_Sinopec MSTR" xfId="4840" xr:uid="{00000000-0005-0000-0000-00005B090000}"/>
    <cellStyle name="—_EM-SKTelecom_old_EM-KTnew_Sinopec MSTR Wip" xfId="4841" xr:uid="{00000000-0005-0000-0000-00005C090000}"/>
    <cellStyle name="—_EM-SKTelecom_old_EM-KTnew_Sinopec MSTR_WIP_KK" xfId="4842" xr:uid="{00000000-0005-0000-0000-00005D090000}"/>
    <cellStyle name="—_EM-SKTelecom_old_EM-KTnew_Sinopec MSTR-WIP_20F update" xfId="4843" xr:uid="{00000000-0005-0000-0000-00005E090000}"/>
    <cellStyle name="—_EM-SKTelecom_old_new-Sub" xfId="3219" xr:uid="{00000000-0005-0000-0000-00005F090000}"/>
    <cellStyle name="—_EM-SKTelecom_old_Novatek forecast 280404" xfId="3220" xr:uid="{00000000-0005-0000-0000-000060090000}"/>
    <cellStyle name="—_EM-SKTelecom_old_P&amp;L" xfId="3221" xr:uid="{00000000-0005-0000-0000-000061090000}"/>
    <cellStyle name="—_EM-SKTelecom_old_P&amp;L 2" xfId="4844" xr:uid="{00000000-0005-0000-0000-000062090000}"/>
    <cellStyle name="—_EM-SKTelecom_old_P&amp;L_Honghua MSTR" xfId="4845" xr:uid="{00000000-0005-0000-0000-000063090000}"/>
    <cellStyle name="—_EM-SKTelecom_old_PetroChina Master" xfId="4846" xr:uid="{00000000-0005-0000-0000-000064090000}"/>
    <cellStyle name="—_EM-SKTelecom_old_PetroChina Master_WIP(20-F update)" xfId="4847" xr:uid="{00000000-0005-0000-0000-000065090000}"/>
    <cellStyle name="—_EM-SKTelecom_old_PetroChina Master_WIP(20-F update)_Cashflow" xfId="4848" xr:uid="{00000000-0005-0000-0000-000066090000}"/>
    <cellStyle name="—_EM-SKTelecom_old_PetroChina Master_WIP(20-F update)_Cashflow_Honghua MSTR" xfId="4849" xr:uid="{00000000-0005-0000-0000-000067090000}"/>
    <cellStyle name="—_EM-SKTelecom_old_PetroChina Master_WIP(20-F update)_P&amp;L" xfId="4850" xr:uid="{00000000-0005-0000-0000-000068090000}"/>
    <cellStyle name="—_EM-SKTelecom_old_PetroChina Master_WIP(20-F update)_P&amp;L_Honghua MSTR" xfId="4851" xr:uid="{00000000-0005-0000-0000-000069090000}"/>
    <cellStyle name="—_EM-SKTelecom_old_PetroChina Master_WIP(20-F update)_Sinopec MSTR" xfId="4852" xr:uid="{00000000-0005-0000-0000-00006A090000}"/>
    <cellStyle name="—_EM-SKTelecom_old_PetroChina Master_WIP(20-F update)_Sinopec MSTR Wip" xfId="4853" xr:uid="{00000000-0005-0000-0000-00006B090000}"/>
    <cellStyle name="—_EM-SKTelecom_old_PetroChina Master_WIP(20-F update)_Sinopec MSTR_WIP_KK" xfId="4854" xr:uid="{00000000-0005-0000-0000-00006C090000}"/>
    <cellStyle name="—_EM-SKTelecom_old_qrtly" xfId="4855" xr:uid="{00000000-0005-0000-0000-00006D090000}"/>
    <cellStyle name="—_EM-SKTelecom_old_qrtly_Beta" xfId="4856" xr:uid="{00000000-0005-0000-0000-00006E090000}"/>
    <cellStyle name="—_EM-SKTelecom_old_qrtly_Cashflow" xfId="4857" xr:uid="{00000000-0005-0000-0000-00006F090000}"/>
    <cellStyle name="—_EM-SKTelecom_old_qrtly_Cashflow_Honghua MSTR" xfId="4858" xr:uid="{00000000-0005-0000-0000-000070090000}"/>
    <cellStyle name="—_EM-SKTelecom_old_qrtly_P&amp;L" xfId="4859" xr:uid="{00000000-0005-0000-0000-000071090000}"/>
    <cellStyle name="—_EM-SKTelecom_old_qrtly_P&amp;L_Honghua MSTR" xfId="4860" xr:uid="{00000000-0005-0000-0000-000072090000}"/>
    <cellStyle name="—_EM-SKTelecom_old_qrtly_PetroChina Master" xfId="4861" xr:uid="{00000000-0005-0000-0000-000073090000}"/>
    <cellStyle name="—_EM-SKTelecom_old_qrtly_PetroChina Master_WIP(20-F update)" xfId="4862" xr:uid="{00000000-0005-0000-0000-000074090000}"/>
    <cellStyle name="—_EM-SKTelecom_old_qrtly_PetroChina Master_WIP(20-F update)_Cashflow" xfId="4863" xr:uid="{00000000-0005-0000-0000-000075090000}"/>
    <cellStyle name="—_EM-SKTelecom_old_qrtly_PetroChina Master_WIP(20-F update)_Cashflow_Honghua MSTR" xfId="4864" xr:uid="{00000000-0005-0000-0000-000076090000}"/>
    <cellStyle name="—_EM-SKTelecom_old_qrtly_PetroChina Master_WIP(20-F update)_P&amp;L" xfId="4865" xr:uid="{00000000-0005-0000-0000-000077090000}"/>
    <cellStyle name="—_EM-SKTelecom_old_qrtly_PetroChina Master_WIP(20-F update)_P&amp;L_Honghua MSTR" xfId="4866" xr:uid="{00000000-0005-0000-0000-000078090000}"/>
    <cellStyle name="—_EM-SKTelecom_old_qrtly_PetroChina Master_WIP(20-F update)_Sinopec MSTR" xfId="4867" xr:uid="{00000000-0005-0000-0000-000079090000}"/>
    <cellStyle name="—_EM-SKTelecom_old_qrtly_PetroChina Master_WIP(20-F update)_Sinopec MSTR Wip" xfId="4868" xr:uid="{00000000-0005-0000-0000-00007A090000}"/>
    <cellStyle name="—_EM-SKTelecom_old_qrtly_PetroChina Master_WIP(20-F update)_Sinopec MSTR_WIP_KK" xfId="4869" xr:uid="{00000000-0005-0000-0000-00007B090000}"/>
    <cellStyle name="—_EM-SKTelecom_old_qrtly_Sinopec MSTR" xfId="4870" xr:uid="{00000000-0005-0000-0000-00007C090000}"/>
    <cellStyle name="—_EM-SKTelecom_old_qrtly_Sinopec MSTR Wip" xfId="4871" xr:uid="{00000000-0005-0000-0000-00007D090000}"/>
    <cellStyle name="—_EM-SKTelecom_old_qrtly_Sinopec MSTR_WIP_KK" xfId="4872" xr:uid="{00000000-0005-0000-0000-00007E090000}"/>
    <cellStyle name="—_EM-SKTelecom_old_qrtly_Sinopec MSTR-WIP_20F update" xfId="4873" xr:uid="{00000000-0005-0000-0000-00007F090000}"/>
    <cellStyle name="—_EM-SKTelecom_old_Revenue" xfId="3222" xr:uid="{00000000-0005-0000-0000-000080090000}"/>
    <cellStyle name="—_EM-SKTelecom_old_Revenue_AUO consolidated 2004_02" xfId="3223" xr:uid="{00000000-0005-0000-0000-000081090000}"/>
    <cellStyle name="—_EM-SKTelecom_old_Revenue_AUO forecast (GQ)2005_03" xfId="3224" xr:uid="{00000000-0005-0000-0000-000082090000}"/>
    <cellStyle name="—_EM-SKTelecom_old_Revenue_new-Sub" xfId="3225" xr:uid="{00000000-0005-0000-0000-000083090000}"/>
    <cellStyle name="—_EM-SKTelecom_old_Revenue_Novatek forecast 280404" xfId="3226" xr:uid="{00000000-0005-0000-0000-000084090000}"/>
    <cellStyle name="—_EM-SKTelecom_old_Sinopec MSTR" xfId="4874" xr:uid="{00000000-0005-0000-0000-000085090000}"/>
    <cellStyle name="—_EM-SKTelecom_old_Sinopec MSTR Wip" xfId="4875" xr:uid="{00000000-0005-0000-0000-000086090000}"/>
    <cellStyle name="—_EM-SKTelecom_old_Sinopec MSTR_WIP_KK" xfId="4876" xr:uid="{00000000-0005-0000-0000-000087090000}"/>
    <cellStyle name="—_EM-SKTelecom_old_Sinopec MSTR-WIP_20F update" xfId="4877" xr:uid="{00000000-0005-0000-0000-000088090000}"/>
    <cellStyle name="—_EM-SKTelecom_old_Strategy_data_update" xfId="3227" xr:uid="{00000000-0005-0000-0000-000089090000}"/>
    <cellStyle name="—_EM-SKTelecom_old_Strategy_data_update_AUO consolidated 2004_02" xfId="3228" xr:uid="{00000000-0005-0000-0000-00008A090000}"/>
    <cellStyle name="—_EM-SKTelecom_old_Strategy_data_update_AUO forecast (GQ)2005_03" xfId="3229" xr:uid="{00000000-0005-0000-0000-00008B090000}"/>
    <cellStyle name="—_EM-SKTelecom_old_Strategy_data_update_new-Sub" xfId="3230" xr:uid="{00000000-0005-0000-0000-00008C090000}"/>
    <cellStyle name="—_EM-SKTelecom_old_Strategy_data_update_Novatek forecast 280404" xfId="3231" xr:uid="{00000000-0005-0000-0000-00008D090000}"/>
    <cellStyle name="—_EM-SKTelecom_old_Yifan template 2" xfId="3232" xr:uid="{00000000-0005-0000-0000-00008E090000}"/>
    <cellStyle name="—_EM-SKTelecom_old_Yifan template 2_BS" xfId="3233" xr:uid="{00000000-0005-0000-0000-00008F090000}"/>
    <cellStyle name="—_EM-SKTelecom_old_Yifan template 2_Capex" xfId="3234" xr:uid="{00000000-0005-0000-0000-000090090000}"/>
    <cellStyle name="—_EM-SKTelecom_old_Yifan template 2_CF" xfId="3235" xr:uid="{00000000-0005-0000-0000-000091090000}"/>
    <cellStyle name="—_EM-SKTelecom_old_Yifan template 2_COFCO (506.HK)" xfId="3236" xr:uid="{00000000-0005-0000-0000-000092090000}"/>
    <cellStyle name="—_EM-SKTelecom_old_Yifan template 2_COFCO_051010" xfId="3237" xr:uid="{00000000-0005-0000-0000-000093090000}"/>
    <cellStyle name="—_EM-SKTelecom_old_Yifan template 2_COFCO_backup" xfId="3238" xr:uid="{00000000-0005-0000-0000-000094090000}"/>
    <cellStyle name="—_EM-SKTelecom_old_Yifan template 2_DCF" xfId="3239" xr:uid="{00000000-0005-0000-0000-000095090000}"/>
    <cellStyle name="—_EM-SKTelecom_old_Yifan template 2_Front page" xfId="3240" xr:uid="{00000000-0005-0000-0000-000096090000}"/>
    <cellStyle name="—_EM-SKTelecom_old_Yifan template 2_LT assets" xfId="3241" xr:uid="{00000000-0005-0000-0000-000097090000}"/>
    <cellStyle name="—_EM-SKTelecom_old_Yifan template 2_Monthly" xfId="3242" xr:uid="{00000000-0005-0000-0000-000098090000}"/>
    <cellStyle name="—_EM-SKTelecom_old_Yifan template 2_P&amp;L" xfId="3243" xr:uid="{00000000-0005-0000-0000-000099090000}"/>
    <cellStyle name="—_EM-SKTelecom_old_Yifan template 2_Valuation" xfId="3244" xr:uid="{00000000-0005-0000-0000-00009A090000}"/>
    <cellStyle name="—_EM-SmarTone" xfId="3245" xr:uid="{00000000-0005-0000-0000-00009B090000}"/>
    <cellStyle name="—_EM-SmarTone_new-Sub" xfId="3246" xr:uid="{00000000-0005-0000-0000-00009C090000}"/>
    <cellStyle name="—_EM-SmarTone-new" xfId="3247" xr:uid="{00000000-0005-0000-0000-00009D090000}"/>
    <cellStyle name="—_EM-SmarTone-new_new-Sub" xfId="3248" xr:uid="{00000000-0005-0000-0000-00009E090000}"/>
    <cellStyle name="_ET_STYLE_NoName_00_" xfId="3" xr:uid="{00000000-0005-0000-0000-00009F090000}"/>
    <cellStyle name="_Euro" xfId="3249" xr:uid="{00000000-0005-0000-0000-0000A0090000}"/>
    <cellStyle name="_Euro 2" xfId="7820" xr:uid="{00000000-0005-0000-0000-0000A1090000}"/>
    <cellStyle name="_Euro_DCFTemplatev1" xfId="3250" xr:uid="{00000000-0005-0000-0000-0000A2090000}"/>
    <cellStyle name="_Euro_new-Sub" xfId="3251" xr:uid="{00000000-0005-0000-0000-0000A3090000}"/>
    <cellStyle name="_Euro_Sales charts 0728" xfId="3252" xr:uid="{00000000-0005-0000-0000-0000A4090000}"/>
    <cellStyle name="_F1 2005 Supporting Excell Worksheet April 4 2007 support for final signed version" xfId="3253" xr:uid="{00000000-0005-0000-0000-0000A5090000}"/>
    <cellStyle name="_F1 2007Q1 supporting V1 July 30 2007 Final Q1 filing" xfId="3254" xr:uid="{00000000-0005-0000-0000-0000A6090000}"/>
    <cellStyle name="—_Fidelity_wireless_May27_2002" xfId="4878" xr:uid="{00000000-0005-0000-0000-0000A7090000}"/>
    <cellStyle name="—_Fidelity_wireless_May27_2002_PetroChina Master_WIP(20-F update)" xfId="4879" xr:uid="{00000000-0005-0000-0000-0000A8090000}"/>
    <cellStyle name="—_Fidelity_wireless_May27_2002_Sinopec MSTR" xfId="4880" xr:uid="{00000000-0005-0000-0000-0000A9090000}"/>
    <cellStyle name="—_Fidelity_wireless_May27_2002_Sinopec MSTR Wip" xfId="4881" xr:uid="{00000000-0005-0000-0000-0000AA090000}"/>
    <cellStyle name="—_Fidelity_wireless_May27_2002_Sinopec MSTR_WIP_KK" xfId="4882" xr:uid="{00000000-0005-0000-0000-0000AB090000}"/>
    <cellStyle name="—_Fidelity_wireless_May27_2002_Sinopec MSTR-WIP_20F update" xfId="4883" xr:uid="{00000000-0005-0000-0000-0000AC090000}"/>
    <cellStyle name="_Final Switches 2001 before inserting in template" xfId="3255" xr:uid="{00000000-0005-0000-0000-0000AD090000}"/>
    <cellStyle name="_Final Switches 2001 before inserting in template_" xfId="3256" xr:uid="{00000000-0005-0000-0000-0000AE090000}"/>
    <cellStyle name="_Final Switches 2001 before inserting in template_1" xfId="3257" xr:uid="{00000000-0005-0000-0000-0000AF090000}"/>
    <cellStyle name="_Final Switches 2001 before inserting in template_2" xfId="3258" xr:uid="{00000000-0005-0000-0000-0000B0090000}"/>
    <cellStyle name="_Final Switches 2001 before inserting in template_2315_Comp Sheet" xfId="10841" xr:uid="{00000000-0005-0000-0000-0000B1090000}"/>
    <cellStyle name="_Final Switches 2001 before inserting in template_2315_Mitac_WIP v4" xfId="10842" xr:uid="{00000000-0005-0000-0000-0000B2090000}"/>
    <cellStyle name="_Final Switches 2001 before inserting in template_2474tw - WIP" xfId="10843" xr:uid="{00000000-0005-0000-0000-0000B3090000}"/>
    <cellStyle name="_Final Switches 2001 before inserting in template_3231tw_WIP 070105" xfId="10844" xr:uid="{00000000-0005-0000-0000-0000B4090000}"/>
    <cellStyle name="_Final Switches 2001 before inserting in template_ASUSTeK - 090507 (Updated DCF)" xfId="10845" xr:uid="{00000000-0005-0000-0000-0000B5090000}"/>
    <cellStyle name="_Final Switches 2001 before inserting in template_GS1" xfId="3259" xr:uid="{00000000-0005-0000-0000-0000B6090000}"/>
    <cellStyle name="_Final Switches 2001 before inserting in template_GS1_GS2" xfId="3260" xr:uid="{00000000-0005-0000-0000-0000B7090000}"/>
    <cellStyle name="_Final Switches 2001 before inserting in template_QA-GS1" xfId="3261" xr:uid="{00000000-0005-0000-0000-0000B8090000}"/>
    <cellStyle name="_Final Switches 2001 before inserting in template_QA-GS1_GS2" xfId="3262" xr:uid="{00000000-0005-0000-0000-0000B9090000}"/>
    <cellStyle name="_Final Switches 2001 before inserting in template_Quaterly operating data (FROM COMPANY) 2003-09-12" xfId="3263" xr:uid="{00000000-0005-0000-0000-0000BA090000}"/>
    <cellStyle name="_Final Switches 2001 before inserting in template_QUESTI~11" xfId="3264" xr:uid="{00000000-0005-0000-0000-0000BB090000}"/>
    <cellStyle name="_Final Switches 2001 before inserting in template_QUESTI~11_GS2" xfId="3265" xr:uid="{00000000-0005-0000-0000-0000BC090000}"/>
    <cellStyle name="_Final Switches 2001 before inserting in template_Unimicron Model" xfId="10846" xr:uid="{00000000-0005-0000-0000-0000BD090000}"/>
    <cellStyle name="_Forecast 2007 updated July 1 2007 for Lian Zong" xfId="3266" xr:uid="{00000000-0005-0000-0000-0000BE090000}"/>
    <cellStyle name="_forecast annual stats" xfId="3267" xr:uid="{00000000-0005-0000-0000-0000BF090000}"/>
    <cellStyle name="_forecast annual stats_" xfId="3268" xr:uid="{00000000-0005-0000-0000-0000C0090000}"/>
    <cellStyle name="_forecast annual stats_1" xfId="3269" xr:uid="{00000000-0005-0000-0000-0000C1090000}"/>
    <cellStyle name="_forecast annual stats_2" xfId="3270" xr:uid="{00000000-0005-0000-0000-0000C2090000}"/>
    <cellStyle name="_forecast annual stats_2315_Comp Sheet" xfId="10847" xr:uid="{00000000-0005-0000-0000-0000C3090000}"/>
    <cellStyle name="_forecast annual stats_2315_Mitac_WIP v4" xfId="10848" xr:uid="{00000000-0005-0000-0000-0000C4090000}"/>
    <cellStyle name="_forecast annual stats_2474tw - WIP" xfId="10849" xr:uid="{00000000-0005-0000-0000-0000C5090000}"/>
    <cellStyle name="_forecast annual stats_3231tw_WIP 070105" xfId="10850" xr:uid="{00000000-0005-0000-0000-0000C6090000}"/>
    <cellStyle name="_forecast annual stats_ASUSTeK - 090507 (Updated DCF)" xfId="10851" xr:uid="{00000000-0005-0000-0000-0000C7090000}"/>
    <cellStyle name="_forecast annual stats_GS1" xfId="3271" xr:uid="{00000000-0005-0000-0000-0000C8090000}"/>
    <cellStyle name="_forecast annual stats_GS1_GS2" xfId="3272" xr:uid="{00000000-0005-0000-0000-0000C9090000}"/>
    <cellStyle name="_forecast annual stats_QA-GS1" xfId="3273" xr:uid="{00000000-0005-0000-0000-0000CA090000}"/>
    <cellStyle name="_forecast annual stats_QA-GS1_GS2" xfId="3274" xr:uid="{00000000-0005-0000-0000-0000CB090000}"/>
    <cellStyle name="_forecast annual stats_Quaterly operating data (FROM COMPANY) 2003-09-12" xfId="3275" xr:uid="{00000000-0005-0000-0000-0000CC090000}"/>
    <cellStyle name="_forecast annual stats_QUESTI~11" xfId="3276" xr:uid="{00000000-0005-0000-0000-0000CD090000}"/>
    <cellStyle name="_forecast annual stats_QUESTI~11_GS2" xfId="3277" xr:uid="{00000000-0005-0000-0000-0000CE090000}"/>
    <cellStyle name="_forecast annual stats_Unimicron Model" xfId="10852" xr:uid="{00000000-0005-0000-0000-0000CF090000}"/>
    <cellStyle name="_Front page" xfId="3278" xr:uid="{00000000-0005-0000-0000-0000D0090000}"/>
    <cellStyle name="_FX" xfId="4884" xr:uid="{00000000-0005-0000-0000-0000D1090000}"/>
    <cellStyle name="_FX_Honghua MSTR" xfId="4885" xr:uid="{00000000-0005-0000-0000-0000D2090000}"/>
    <cellStyle name="—_GlobalValuation_Japan" xfId="3279" xr:uid="{00000000-0005-0000-0000-0000D3090000}"/>
    <cellStyle name="_GQ" xfId="3280" xr:uid="{00000000-0005-0000-0000-0000D4090000}"/>
    <cellStyle name="—_GS Assumptions-F" xfId="3281" xr:uid="{00000000-0005-0000-0000-0000D5090000}"/>
    <cellStyle name="—_GS Assumptions-F 2" xfId="4886" xr:uid="{00000000-0005-0000-0000-0000D6090000}"/>
    <cellStyle name="—_GS Assumptions-F_100902 Helen NTT FCF to be sent" xfId="3282" xr:uid="{00000000-0005-0000-0000-0000D7090000}"/>
    <cellStyle name="—_GS Assumptions-F_AUO consolidated 2004_02" xfId="3283" xr:uid="{00000000-0005-0000-0000-0000D8090000}"/>
    <cellStyle name="—_GS Assumptions-F_AUO forecast (GQ)2005_03" xfId="3284" xr:uid="{00000000-0005-0000-0000-0000D9090000}"/>
    <cellStyle name="—_GS Assumptions-F_Beta" xfId="4887" xr:uid="{00000000-0005-0000-0000-0000DA090000}"/>
    <cellStyle name="—_GS Assumptions-F_Book7" xfId="3285" xr:uid="{00000000-0005-0000-0000-0000DB090000}"/>
    <cellStyle name="—_GS Assumptions-F_Book7_AUO consolidated 2004_02" xfId="3286" xr:uid="{00000000-0005-0000-0000-0000DC090000}"/>
    <cellStyle name="—_GS Assumptions-F_Book7_AUO forecast (GQ)2005_03" xfId="3287" xr:uid="{00000000-0005-0000-0000-0000DD090000}"/>
    <cellStyle name="—_GS Assumptions-F_Book7_new-Sub" xfId="3288" xr:uid="{00000000-0005-0000-0000-0000DE090000}"/>
    <cellStyle name="—_GS Assumptions-F_Book7_Novatek forecast 280404" xfId="3289" xr:uid="{00000000-0005-0000-0000-0000DF090000}"/>
    <cellStyle name="—_GS Assumptions-F_BS" xfId="3290" xr:uid="{00000000-0005-0000-0000-0000E0090000}"/>
    <cellStyle name="—_GS Assumptions-F_BS_BS" xfId="3291" xr:uid="{00000000-0005-0000-0000-0000E1090000}"/>
    <cellStyle name="—_GS Assumptions-F_BS_Capex" xfId="3292" xr:uid="{00000000-0005-0000-0000-0000E2090000}"/>
    <cellStyle name="—_GS Assumptions-F_BS_CF" xfId="3293" xr:uid="{00000000-0005-0000-0000-0000E3090000}"/>
    <cellStyle name="—_GS Assumptions-F_BS_COFCO (506.HK)" xfId="3294" xr:uid="{00000000-0005-0000-0000-0000E4090000}"/>
    <cellStyle name="—_GS Assumptions-F_BS_COFCO_051010" xfId="3295" xr:uid="{00000000-0005-0000-0000-0000E5090000}"/>
    <cellStyle name="—_GS Assumptions-F_BS_COFCO_backup" xfId="3296" xr:uid="{00000000-0005-0000-0000-0000E6090000}"/>
    <cellStyle name="—_GS Assumptions-F_BS_DCF" xfId="3297" xr:uid="{00000000-0005-0000-0000-0000E7090000}"/>
    <cellStyle name="—_GS Assumptions-F_BS_Front page" xfId="3298" xr:uid="{00000000-0005-0000-0000-0000E8090000}"/>
    <cellStyle name="—_GS Assumptions-F_BS_LT assets" xfId="3299" xr:uid="{00000000-0005-0000-0000-0000E9090000}"/>
    <cellStyle name="—_GS Assumptions-F_BS_Monthly" xfId="3300" xr:uid="{00000000-0005-0000-0000-0000EA090000}"/>
    <cellStyle name="—_GS Assumptions-F_BS_P&amp;L" xfId="3301" xr:uid="{00000000-0005-0000-0000-0000EB090000}"/>
    <cellStyle name="—_GS Assumptions-F_BS_Valuation" xfId="3302" xr:uid="{00000000-0005-0000-0000-0000EC090000}"/>
    <cellStyle name="—_GS Assumptions-F_Cashflow" xfId="4888" xr:uid="{00000000-0005-0000-0000-0000ED090000}"/>
    <cellStyle name="—_GS Assumptions-F_Cashflow_Honghua MSTR" xfId="4889" xr:uid="{00000000-0005-0000-0000-0000EE090000}"/>
    <cellStyle name="—_GS Assumptions-F_Cheng Shin Model" xfId="3303" xr:uid="{00000000-0005-0000-0000-0000EF090000}"/>
    <cellStyle name="—_GS Assumptions-F_DoCoMo table 10July2000" xfId="3304" xr:uid="{00000000-0005-0000-0000-0000F0090000}"/>
    <cellStyle name="—_GS Assumptions-F_DoCoMo table 10July2000_AUO consolidated 2004_02" xfId="3305" xr:uid="{00000000-0005-0000-0000-0000F1090000}"/>
    <cellStyle name="—_GS Assumptions-F_DoCoMo table 10July2000_AUO forecast (GQ)2005_03" xfId="3306" xr:uid="{00000000-0005-0000-0000-0000F2090000}"/>
    <cellStyle name="—_GS Assumptions-F_DoCoMo table 10July2000_new-Sub" xfId="3307" xr:uid="{00000000-0005-0000-0000-0000F3090000}"/>
    <cellStyle name="—_GS Assumptions-F_DoCoMo table 10July2000_Novatek forecast 280404" xfId="3308" xr:uid="{00000000-0005-0000-0000-0000F4090000}"/>
    <cellStyle name="—_GS Assumptions-F_earnings" xfId="3309" xr:uid="{00000000-0005-0000-0000-0000F5090000}"/>
    <cellStyle name="—_GS Assumptions-F_earnings_AUO consolidated 2004_02" xfId="3310" xr:uid="{00000000-0005-0000-0000-0000F6090000}"/>
    <cellStyle name="—_GS Assumptions-F_earnings_AUO forecast (GQ)2005_03" xfId="3311" xr:uid="{00000000-0005-0000-0000-0000F7090000}"/>
    <cellStyle name="—_GS Assumptions-F_earnings_new-Sub" xfId="3312" xr:uid="{00000000-0005-0000-0000-0000F8090000}"/>
    <cellStyle name="—_GS Assumptions-F_earnings_Novatek forecast 280404" xfId="3313" xr:uid="{00000000-0005-0000-0000-0000F9090000}"/>
    <cellStyle name="—_GS Assumptions-F_EM_CMHK" xfId="3314" xr:uid="{00000000-0005-0000-0000-0000FA090000}"/>
    <cellStyle name="—_GS Assumptions-F_EM_CMHK_AUO consolidated 2004_02" xfId="3315" xr:uid="{00000000-0005-0000-0000-0000FB090000}"/>
    <cellStyle name="—_GS Assumptions-F_EM_CMHK_AUO forecast (GQ)2005_03" xfId="3316" xr:uid="{00000000-0005-0000-0000-0000FC090000}"/>
    <cellStyle name="—_GS Assumptions-F_EM_CMHK_new-Sub" xfId="3317" xr:uid="{00000000-0005-0000-0000-0000FD090000}"/>
    <cellStyle name="—_GS Assumptions-F_EM_CMHK_Novatek forecast 280404" xfId="3318" xr:uid="{00000000-0005-0000-0000-0000FE090000}"/>
    <cellStyle name="—_GS Assumptions-F_EM_FETone_new" xfId="3319" xr:uid="{00000000-0005-0000-0000-0000FF090000}"/>
    <cellStyle name="—_GS Assumptions-F_EM_FETone_new_AUO consolidated 2004_02" xfId="3320" xr:uid="{00000000-0005-0000-0000-0000000A0000}"/>
    <cellStyle name="—_GS Assumptions-F_EM_FETone_new_AUO forecast (GQ)2005_03" xfId="3321" xr:uid="{00000000-0005-0000-0000-0000010A0000}"/>
    <cellStyle name="—_GS Assumptions-F_EM_FETone_new_new-Sub" xfId="3322" xr:uid="{00000000-0005-0000-0000-0000020A0000}"/>
    <cellStyle name="—_GS Assumptions-F_EM_FETone_new_Novatek forecast 280404" xfId="3323" xr:uid="{00000000-0005-0000-0000-0000030A0000}"/>
    <cellStyle name="—_GS Assumptions-F_EM_NZT" xfId="3324" xr:uid="{00000000-0005-0000-0000-0000040A0000}"/>
    <cellStyle name="—_GS Assumptions-F_EM_NZT_BS" xfId="3325" xr:uid="{00000000-0005-0000-0000-0000050A0000}"/>
    <cellStyle name="—_GS Assumptions-F_EM_NZT_BS_BS" xfId="3326" xr:uid="{00000000-0005-0000-0000-0000060A0000}"/>
    <cellStyle name="—_GS Assumptions-F_EM_NZT_BS_Capex" xfId="3327" xr:uid="{00000000-0005-0000-0000-0000070A0000}"/>
    <cellStyle name="—_GS Assumptions-F_EM_NZT_BS_CF" xfId="3328" xr:uid="{00000000-0005-0000-0000-0000080A0000}"/>
    <cellStyle name="—_GS Assumptions-F_EM_NZT_BS_COFCO (506.HK)" xfId="3329" xr:uid="{00000000-0005-0000-0000-0000090A0000}"/>
    <cellStyle name="—_GS Assumptions-F_EM_NZT_BS_COFCO_051010" xfId="3330" xr:uid="{00000000-0005-0000-0000-00000A0A0000}"/>
    <cellStyle name="—_GS Assumptions-F_EM_NZT_BS_COFCO_backup" xfId="3331" xr:uid="{00000000-0005-0000-0000-00000B0A0000}"/>
    <cellStyle name="—_GS Assumptions-F_EM_NZT_BS_DCF" xfId="3332" xr:uid="{00000000-0005-0000-0000-00000C0A0000}"/>
    <cellStyle name="—_GS Assumptions-F_EM_NZT_BS_Front page" xfId="3333" xr:uid="{00000000-0005-0000-0000-00000D0A0000}"/>
    <cellStyle name="—_GS Assumptions-F_EM_NZT_BS_LT assets" xfId="3334" xr:uid="{00000000-0005-0000-0000-00000E0A0000}"/>
    <cellStyle name="—_GS Assumptions-F_EM_NZT_BS_Monthly" xfId="3335" xr:uid="{00000000-0005-0000-0000-00000F0A0000}"/>
    <cellStyle name="—_GS Assumptions-F_EM_NZT_BS_P&amp;L" xfId="3336" xr:uid="{00000000-0005-0000-0000-0000100A0000}"/>
    <cellStyle name="—_GS Assumptions-F_EM_NZT_BS_Valuation" xfId="3337" xr:uid="{00000000-0005-0000-0000-0000110A0000}"/>
    <cellStyle name="—_GS Assumptions-F_EM_NZT_Yifan template 2" xfId="3338" xr:uid="{00000000-0005-0000-0000-0000120A0000}"/>
    <cellStyle name="—_GS Assumptions-F_EM_NZT_Yifan template 2_BS" xfId="3339" xr:uid="{00000000-0005-0000-0000-0000130A0000}"/>
    <cellStyle name="—_GS Assumptions-F_EM_NZT_Yifan template 2_Capex" xfId="3340" xr:uid="{00000000-0005-0000-0000-0000140A0000}"/>
    <cellStyle name="—_GS Assumptions-F_EM_NZT_Yifan template 2_CF" xfId="3341" xr:uid="{00000000-0005-0000-0000-0000150A0000}"/>
    <cellStyle name="—_GS Assumptions-F_EM_NZT_Yifan template 2_COFCO (506.HK)" xfId="3342" xr:uid="{00000000-0005-0000-0000-0000160A0000}"/>
    <cellStyle name="—_GS Assumptions-F_EM_NZT_Yifan template 2_COFCO_051010" xfId="3343" xr:uid="{00000000-0005-0000-0000-0000170A0000}"/>
    <cellStyle name="—_GS Assumptions-F_EM_NZT_Yifan template 2_COFCO_backup" xfId="3344" xr:uid="{00000000-0005-0000-0000-0000180A0000}"/>
    <cellStyle name="—_GS Assumptions-F_EM_NZT_Yifan template 2_DCF" xfId="3345" xr:uid="{00000000-0005-0000-0000-0000190A0000}"/>
    <cellStyle name="—_GS Assumptions-F_EM_NZT_Yifan template 2_Front page" xfId="3346" xr:uid="{00000000-0005-0000-0000-00001A0A0000}"/>
    <cellStyle name="—_GS Assumptions-F_EM_NZT_Yifan template 2_LT assets" xfId="3347" xr:uid="{00000000-0005-0000-0000-00001B0A0000}"/>
    <cellStyle name="—_GS Assumptions-F_EM_NZT_Yifan template 2_Monthly" xfId="3348" xr:uid="{00000000-0005-0000-0000-00001C0A0000}"/>
    <cellStyle name="—_GS Assumptions-F_EM_NZT_Yifan template 2_P&amp;L" xfId="3349" xr:uid="{00000000-0005-0000-0000-00001D0A0000}"/>
    <cellStyle name="—_GS Assumptions-F_EM_NZT_Yifan template 2_Valuation" xfId="3350" xr:uid="{00000000-0005-0000-0000-00001E0A0000}"/>
    <cellStyle name="—_GS Assumptions-F_EM_TCC_new" xfId="3351" xr:uid="{00000000-0005-0000-0000-00001F0A0000}"/>
    <cellStyle name="—_GS Assumptions-F_EM_TCC_new_AUO consolidated 2004_02" xfId="3352" xr:uid="{00000000-0005-0000-0000-0000200A0000}"/>
    <cellStyle name="—_GS Assumptions-F_EM_TCC_new_AUO forecast (GQ)2005_03" xfId="3353" xr:uid="{00000000-0005-0000-0000-0000210A0000}"/>
    <cellStyle name="—_GS Assumptions-F_EM_TCC_new_new-Sub" xfId="3354" xr:uid="{00000000-0005-0000-0000-0000220A0000}"/>
    <cellStyle name="—_GS Assumptions-F_EM_TCC_new_Novatek forecast 280404" xfId="3355" xr:uid="{00000000-0005-0000-0000-0000230A0000}"/>
    <cellStyle name="—_GS Assumptions-F_EM-Optus" xfId="3356" xr:uid="{00000000-0005-0000-0000-0000240A0000}"/>
    <cellStyle name="—_GS Assumptions-F_EM-Optus_AUO consolidated 2004_02" xfId="3357" xr:uid="{00000000-0005-0000-0000-0000250A0000}"/>
    <cellStyle name="—_GS Assumptions-F_EM-Optus_AUO forecast (GQ)2005_03" xfId="3358" xr:uid="{00000000-0005-0000-0000-0000260A0000}"/>
    <cellStyle name="—_GS Assumptions-F_EM-Optus_BS" xfId="3359" xr:uid="{00000000-0005-0000-0000-0000270A0000}"/>
    <cellStyle name="—_GS Assumptions-F_EM-Optus_BS_BS" xfId="3360" xr:uid="{00000000-0005-0000-0000-0000280A0000}"/>
    <cellStyle name="—_GS Assumptions-F_EM-Optus_BS_Capex" xfId="3361" xr:uid="{00000000-0005-0000-0000-0000290A0000}"/>
    <cellStyle name="—_GS Assumptions-F_EM-Optus_BS_CF" xfId="3362" xr:uid="{00000000-0005-0000-0000-00002A0A0000}"/>
    <cellStyle name="—_GS Assumptions-F_EM-Optus_BS_COFCO (506.HK)" xfId="3363" xr:uid="{00000000-0005-0000-0000-00002B0A0000}"/>
    <cellStyle name="—_GS Assumptions-F_EM-Optus_BS_COFCO_051010" xfId="3364" xr:uid="{00000000-0005-0000-0000-00002C0A0000}"/>
    <cellStyle name="—_GS Assumptions-F_EM-Optus_BS_COFCO_backup" xfId="3365" xr:uid="{00000000-0005-0000-0000-00002D0A0000}"/>
    <cellStyle name="—_GS Assumptions-F_EM-Optus_BS_DCF" xfId="3366" xr:uid="{00000000-0005-0000-0000-00002E0A0000}"/>
    <cellStyle name="—_GS Assumptions-F_EM-Optus_BS_Front page" xfId="3367" xr:uid="{00000000-0005-0000-0000-00002F0A0000}"/>
    <cellStyle name="—_GS Assumptions-F_EM-Optus_BS_LT assets" xfId="3368" xr:uid="{00000000-0005-0000-0000-0000300A0000}"/>
    <cellStyle name="—_GS Assumptions-F_EM-Optus_BS_Monthly" xfId="3369" xr:uid="{00000000-0005-0000-0000-0000310A0000}"/>
    <cellStyle name="—_GS Assumptions-F_EM-Optus_BS_P&amp;L" xfId="3370" xr:uid="{00000000-0005-0000-0000-0000320A0000}"/>
    <cellStyle name="—_GS Assumptions-F_EM-Optus_BS_Valuation" xfId="3371" xr:uid="{00000000-0005-0000-0000-0000330A0000}"/>
    <cellStyle name="—_GS Assumptions-F_EM-Optus_Cheng Shin Model" xfId="3372" xr:uid="{00000000-0005-0000-0000-0000340A0000}"/>
    <cellStyle name="—_GS Assumptions-F_EM-Optus_new-Sub" xfId="3373" xr:uid="{00000000-0005-0000-0000-0000350A0000}"/>
    <cellStyle name="—_GS Assumptions-F_EM-Optus_Novatek forecast 280404" xfId="3374" xr:uid="{00000000-0005-0000-0000-0000360A0000}"/>
    <cellStyle name="—_GS Assumptions-F_EM-Optus_Yifan template 2" xfId="3375" xr:uid="{00000000-0005-0000-0000-0000370A0000}"/>
    <cellStyle name="—_GS Assumptions-F_EM-Optus_Yifan template 2_BS" xfId="3376" xr:uid="{00000000-0005-0000-0000-0000380A0000}"/>
    <cellStyle name="—_GS Assumptions-F_EM-Optus_Yifan template 2_Capex" xfId="3377" xr:uid="{00000000-0005-0000-0000-0000390A0000}"/>
    <cellStyle name="—_GS Assumptions-F_EM-Optus_Yifan template 2_CF" xfId="3378" xr:uid="{00000000-0005-0000-0000-00003A0A0000}"/>
    <cellStyle name="—_GS Assumptions-F_EM-Optus_Yifan template 2_COFCO (506.HK)" xfId="3379" xr:uid="{00000000-0005-0000-0000-00003B0A0000}"/>
    <cellStyle name="—_GS Assumptions-F_EM-Optus_Yifan template 2_COFCO_051010" xfId="3380" xr:uid="{00000000-0005-0000-0000-00003C0A0000}"/>
    <cellStyle name="—_GS Assumptions-F_EM-Optus_Yifan template 2_COFCO_backup" xfId="3381" xr:uid="{00000000-0005-0000-0000-00003D0A0000}"/>
    <cellStyle name="—_GS Assumptions-F_EM-Optus_Yifan template 2_DCF" xfId="3382" xr:uid="{00000000-0005-0000-0000-00003E0A0000}"/>
    <cellStyle name="—_GS Assumptions-F_EM-Optus_Yifan template 2_Front page" xfId="3383" xr:uid="{00000000-0005-0000-0000-00003F0A0000}"/>
    <cellStyle name="—_GS Assumptions-F_EM-Optus_Yifan template 2_LT assets" xfId="3384" xr:uid="{00000000-0005-0000-0000-0000400A0000}"/>
    <cellStyle name="—_GS Assumptions-F_EM-Optus_Yifan template 2_Monthly" xfId="3385" xr:uid="{00000000-0005-0000-0000-0000410A0000}"/>
    <cellStyle name="—_GS Assumptions-F_EM-Optus_Yifan template 2_P&amp;L" xfId="3386" xr:uid="{00000000-0005-0000-0000-0000420A0000}"/>
    <cellStyle name="—_GS Assumptions-F_EM-Optus_Yifan template 2_Valuation" xfId="3387" xr:uid="{00000000-0005-0000-0000-0000430A0000}"/>
    <cellStyle name="—_GS Assumptions-F_GlobalValuation_Japan" xfId="3388" xr:uid="{00000000-0005-0000-0000-0000440A0000}"/>
    <cellStyle name="—_GS Assumptions-F_honam -Quantum 220704" xfId="4890" xr:uid="{00000000-0005-0000-0000-0000450A0000}"/>
    <cellStyle name="—_GS Assumptions-F_JT CROCI" xfId="3389" xr:uid="{00000000-0005-0000-0000-0000460A0000}"/>
    <cellStyle name="—_GS Assumptions-F_KDDI CROCI" xfId="3390" xr:uid="{00000000-0005-0000-0000-0000470A0000}"/>
    <cellStyle name="—_GS Assumptions-F_Kelvin_SKT_dividend_Mar10_2003" xfId="4891" xr:uid="{00000000-0005-0000-0000-0000480A0000}"/>
    <cellStyle name="—_GS Assumptions-F_Kelvin_SKT_dividend_Mar10_2003_Beta" xfId="4892" xr:uid="{00000000-0005-0000-0000-0000490A0000}"/>
    <cellStyle name="—_GS Assumptions-F_Kelvin_SKT_dividend_Mar10_2003_Cashflow" xfId="4893" xr:uid="{00000000-0005-0000-0000-00004A0A0000}"/>
    <cellStyle name="—_GS Assumptions-F_Kelvin_SKT_dividend_Mar10_2003_Cashflow_Honghua MSTR" xfId="4894" xr:uid="{00000000-0005-0000-0000-00004B0A0000}"/>
    <cellStyle name="—_GS Assumptions-F_Kelvin_SKT_dividend_Mar10_2003_P&amp;L" xfId="4895" xr:uid="{00000000-0005-0000-0000-00004C0A0000}"/>
    <cellStyle name="—_GS Assumptions-F_Kelvin_SKT_dividend_Mar10_2003_P&amp;L_Honghua MSTR" xfId="4896" xr:uid="{00000000-0005-0000-0000-00004D0A0000}"/>
    <cellStyle name="—_GS Assumptions-F_Kelvin_SKT_dividend_Mar10_2003_PetroChina Master" xfId="4897" xr:uid="{00000000-0005-0000-0000-00004E0A0000}"/>
    <cellStyle name="—_GS Assumptions-F_Kelvin_SKT_dividend_Mar10_2003_PetroChina Master_WIP(20-F update)" xfId="4898" xr:uid="{00000000-0005-0000-0000-00004F0A0000}"/>
    <cellStyle name="—_GS Assumptions-F_Kelvin_SKT_dividend_Mar10_2003_PetroChina Master_WIP(20-F update)_Cashflow" xfId="4899" xr:uid="{00000000-0005-0000-0000-0000500A0000}"/>
    <cellStyle name="—_GS Assumptions-F_Kelvin_SKT_dividend_Mar10_2003_PetroChina Master_WIP(20-F update)_Cashflow_Honghua MSTR" xfId="4900" xr:uid="{00000000-0005-0000-0000-0000510A0000}"/>
    <cellStyle name="—_GS Assumptions-F_Kelvin_SKT_dividend_Mar10_2003_PetroChina Master_WIP(20-F update)_P&amp;L" xfId="4901" xr:uid="{00000000-0005-0000-0000-0000520A0000}"/>
    <cellStyle name="—_GS Assumptions-F_Kelvin_SKT_dividend_Mar10_2003_PetroChina Master_WIP(20-F update)_P&amp;L_Honghua MSTR" xfId="4902" xr:uid="{00000000-0005-0000-0000-0000530A0000}"/>
    <cellStyle name="—_GS Assumptions-F_Kelvin_SKT_dividend_Mar10_2003_PetroChina Master_WIP(20-F update)_Sinopec MSTR" xfId="4903" xr:uid="{00000000-0005-0000-0000-0000540A0000}"/>
    <cellStyle name="—_GS Assumptions-F_Kelvin_SKT_dividend_Mar10_2003_PetroChina Master_WIP(20-F update)_Sinopec MSTR Wip" xfId="4904" xr:uid="{00000000-0005-0000-0000-0000550A0000}"/>
    <cellStyle name="—_GS Assumptions-F_Kelvin_SKT_dividend_Mar10_2003_PetroChina Master_WIP(20-F update)_Sinopec MSTR_WIP_KK" xfId="4905" xr:uid="{00000000-0005-0000-0000-0000560A0000}"/>
    <cellStyle name="—_GS Assumptions-F_Kelvin_SKT_dividend_Mar10_2003_Sinopec MSTR" xfId="4906" xr:uid="{00000000-0005-0000-0000-0000570A0000}"/>
    <cellStyle name="—_GS Assumptions-F_new-Sub" xfId="3391" xr:uid="{00000000-0005-0000-0000-0000580A0000}"/>
    <cellStyle name="—_GS Assumptions-F_Novatek forecast 280404" xfId="3392" xr:uid="{00000000-0005-0000-0000-0000590A0000}"/>
    <cellStyle name="—_GS Assumptions-F_NTT CROCI" xfId="3393" xr:uid="{00000000-0005-0000-0000-00005A0A0000}"/>
    <cellStyle name="—_GS Assumptions-F_NTT proportionate" xfId="3394" xr:uid="{00000000-0005-0000-0000-00005B0A0000}"/>
    <cellStyle name="—_GS Assumptions-F_operating stats comp" xfId="3395" xr:uid="{00000000-0005-0000-0000-00005C0A0000}"/>
    <cellStyle name="—_GS Assumptions-F_operating stats comp_AUO consolidated 2004_02" xfId="3396" xr:uid="{00000000-0005-0000-0000-00005D0A0000}"/>
    <cellStyle name="—_GS Assumptions-F_operating stats comp_AUO forecast (GQ)2005_03" xfId="3397" xr:uid="{00000000-0005-0000-0000-00005E0A0000}"/>
    <cellStyle name="—_GS Assumptions-F_operating stats comp_new-Sub" xfId="3398" xr:uid="{00000000-0005-0000-0000-00005F0A0000}"/>
    <cellStyle name="—_GS Assumptions-F_operating stats comp_Novatek forecast 280404" xfId="3399" xr:uid="{00000000-0005-0000-0000-0000600A0000}"/>
    <cellStyle name="—_GS Assumptions-F_P&amp;L" xfId="4907" xr:uid="{00000000-0005-0000-0000-0000610A0000}"/>
    <cellStyle name="—_GS Assumptions-F_P&amp;L_Honghua MSTR" xfId="4908" xr:uid="{00000000-0005-0000-0000-0000620A0000}"/>
    <cellStyle name="—_GS Assumptions-F_PetroChina Master" xfId="4909" xr:uid="{00000000-0005-0000-0000-0000630A0000}"/>
    <cellStyle name="—_GS Assumptions-F_PetroChina Master_WIP(20-F update)" xfId="4910" xr:uid="{00000000-0005-0000-0000-0000640A0000}"/>
    <cellStyle name="—_GS Assumptions-F_PetroChina Master_WIP(20-F update)_Cashflow" xfId="4911" xr:uid="{00000000-0005-0000-0000-0000650A0000}"/>
    <cellStyle name="—_GS Assumptions-F_PetroChina Master_WIP(20-F update)_Cashflow_Honghua MSTR" xfId="4912" xr:uid="{00000000-0005-0000-0000-0000660A0000}"/>
    <cellStyle name="—_GS Assumptions-F_PetroChina Master_WIP(20-F update)_P&amp;L" xfId="4913" xr:uid="{00000000-0005-0000-0000-0000670A0000}"/>
    <cellStyle name="—_GS Assumptions-F_PetroChina Master_WIP(20-F update)_P&amp;L_Honghua MSTR" xfId="4914" xr:uid="{00000000-0005-0000-0000-0000680A0000}"/>
    <cellStyle name="—_GS Assumptions-F_PetroChina Master_WIP(20-F update)_Sinopec MSTR" xfId="4915" xr:uid="{00000000-0005-0000-0000-0000690A0000}"/>
    <cellStyle name="—_GS Assumptions-F_PetroChina Master_WIP(20-F update)_Sinopec MSTR Wip" xfId="4916" xr:uid="{00000000-0005-0000-0000-00006A0A0000}"/>
    <cellStyle name="—_GS Assumptions-F_PetroChina Master_WIP(20-F update)_Sinopec MSTR_WIP_KK" xfId="4917" xr:uid="{00000000-0005-0000-0000-00006B0A0000}"/>
    <cellStyle name="—_GS Assumptions-F_Sheet1" xfId="3400" xr:uid="{00000000-0005-0000-0000-00006C0A0000}"/>
    <cellStyle name="—_GS Assumptions-F_Sinopec MSTR" xfId="4918" xr:uid="{00000000-0005-0000-0000-00006D0A0000}"/>
    <cellStyle name="—_GS Assumptions-F_SK COrp - Quantum 290704" xfId="4919" xr:uid="{00000000-0005-0000-0000-00006E0A0000}"/>
    <cellStyle name="—_GS Assumptions-F_S-Oil-Quantum 260704" xfId="4920" xr:uid="{00000000-0005-0000-0000-00006F0A0000}"/>
    <cellStyle name="—_GS Assumptions-F_S-Oil-Quantum 260704_Beta" xfId="4921" xr:uid="{00000000-0005-0000-0000-0000700A0000}"/>
    <cellStyle name="—_GS Assumptions-F_S-Oil-Quantum 260704_Cashflow" xfId="4922" xr:uid="{00000000-0005-0000-0000-0000710A0000}"/>
    <cellStyle name="—_GS Assumptions-F_S-Oil-Quantum 260704_Cashflow_Honghua MSTR" xfId="4923" xr:uid="{00000000-0005-0000-0000-0000720A0000}"/>
    <cellStyle name="—_GS Assumptions-F_S-Oil-Quantum 260704_P&amp;L" xfId="4924" xr:uid="{00000000-0005-0000-0000-0000730A0000}"/>
    <cellStyle name="—_GS Assumptions-F_S-Oil-Quantum 260704_P&amp;L_Honghua MSTR" xfId="4925" xr:uid="{00000000-0005-0000-0000-0000740A0000}"/>
    <cellStyle name="—_GS Assumptions-F_S-Oil-Quantum 260704_PetroChina Master" xfId="4926" xr:uid="{00000000-0005-0000-0000-0000750A0000}"/>
    <cellStyle name="—_GS Assumptions-F_S-Oil-Quantum 260704_PetroChina Master_WIP(20-F update)" xfId="4927" xr:uid="{00000000-0005-0000-0000-0000760A0000}"/>
    <cellStyle name="—_GS Assumptions-F_S-Oil-Quantum 260704_PetroChina Master_WIP(20-F update)_Cashflow" xfId="4928" xr:uid="{00000000-0005-0000-0000-0000770A0000}"/>
    <cellStyle name="—_GS Assumptions-F_S-Oil-Quantum 260704_PetroChina Master_WIP(20-F update)_Cashflow_Honghua MSTR" xfId="4929" xr:uid="{00000000-0005-0000-0000-0000780A0000}"/>
    <cellStyle name="—_GS Assumptions-F_S-Oil-Quantum 260704_PetroChina Master_WIP(20-F update)_P&amp;L" xfId="4930" xr:uid="{00000000-0005-0000-0000-0000790A0000}"/>
    <cellStyle name="—_GS Assumptions-F_S-Oil-Quantum 260704_PetroChina Master_WIP(20-F update)_P&amp;L_Honghua MSTR" xfId="4931" xr:uid="{00000000-0005-0000-0000-00007A0A0000}"/>
    <cellStyle name="—_GS Assumptions-F_S-Oil-Quantum 260704_PetroChina Master_WIP(20-F update)_Sinopec MSTR" xfId="4932" xr:uid="{00000000-0005-0000-0000-00007B0A0000}"/>
    <cellStyle name="—_GS Assumptions-F_S-Oil-Quantum 260704_PetroChina Master_WIP(20-F update)_Sinopec MSTR Wip" xfId="4933" xr:uid="{00000000-0005-0000-0000-00007C0A0000}"/>
    <cellStyle name="—_GS Assumptions-F_S-Oil-Quantum 260704_PetroChina Master_WIP(20-F update)_Sinopec MSTR_WIP_KK" xfId="4934" xr:uid="{00000000-0005-0000-0000-00007D0A0000}"/>
    <cellStyle name="—_GS Assumptions-F_S-Oil-Quantum 260704_Sinopec MSTR" xfId="4935" xr:uid="{00000000-0005-0000-0000-00007E0A0000}"/>
    <cellStyle name="—_GS Assumptions-F_Strategy_data_update" xfId="3401" xr:uid="{00000000-0005-0000-0000-00007F0A0000}"/>
    <cellStyle name="—_GS Assumptions-F_Strategy_data_update_AUO consolidated 2004_02" xfId="3402" xr:uid="{00000000-0005-0000-0000-0000800A0000}"/>
    <cellStyle name="—_GS Assumptions-F_Strategy_data_update_AUO forecast (GQ)2005_03" xfId="3403" xr:uid="{00000000-0005-0000-0000-0000810A0000}"/>
    <cellStyle name="—_GS Assumptions-F_Strategy_data_update_new-Sub" xfId="3404" xr:uid="{00000000-0005-0000-0000-0000820A0000}"/>
    <cellStyle name="—_GS Assumptions-F_Strategy_data_update_Novatek forecast 280404" xfId="3405" xr:uid="{00000000-0005-0000-0000-0000830A0000}"/>
    <cellStyle name="—_GS Assumptions-F_Yifan template 2" xfId="3406" xr:uid="{00000000-0005-0000-0000-0000840A0000}"/>
    <cellStyle name="—_GS Assumptions-F_Yifan template 2_BS" xfId="3407" xr:uid="{00000000-0005-0000-0000-0000850A0000}"/>
    <cellStyle name="—_GS Assumptions-F_Yifan template 2_Capex" xfId="3408" xr:uid="{00000000-0005-0000-0000-0000860A0000}"/>
    <cellStyle name="—_GS Assumptions-F_Yifan template 2_CF" xfId="3409" xr:uid="{00000000-0005-0000-0000-0000870A0000}"/>
    <cellStyle name="—_GS Assumptions-F_Yifan template 2_COFCO (506.HK)" xfId="3410" xr:uid="{00000000-0005-0000-0000-0000880A0000}"/>
    <cellStyle name="—_GS Assumptions-F_Yifan template 2_COFCO_051010" xfId="3411" xr:uid="{00000000-0005-0000-0000-0000890A0000}"/>
    <cellStyle name="—_GS Assumptions-F_Yifan template 2_COFCO_backup" xfId="3412" xr:uid="{00000000-0005-0000-0000-00008A0A0000}"/>
    <cellStyle name="—_GS Assumptions-F_Yifan template 2_DCF" xfId="3413" xr:uid="{00000000-0005-0000-0000-00008B0A0000}"/>
    <cellStyle name="—_GS Assumptions-F_Yifan template 2_Front page" xfId="3414" xr:uid="{00000000-0005-0000-0000-00008C0A0000}"/>
    <cellStyle name="—_GS Assumptions-F_Yifan template 2_LT assets" xfId="3415" xr:uid="{00000000-0005-0000-0000-00008D0A0000}"/>
    <cellStyle name="—_GS Assumptions-F_Yifan template 2_Monthly" xfId="3416" xr:uid="{00000000-0005-0000-0000-00008E0A0000}"/>
    <cellStyle name="—_GS Assumptions-F_Yifan template 2_P&amp;L" xfId="3417" xr:uid="{00000000-0005-0000-0000-00008F0A0000}"/>
    <cellStyle name="—_GS Assumptions-F_Yifan template 2_Valuation" xfId="3418" xr:uid="{00000000-0005-0000-0000-0000900A0000}"/>
    <cellStyle name="—_GS FPC-MSTR_external3" xfId="4936" xr:uid="{00000000-0005-0000-0000-0000910A0000}"/>
    <cellStyle name="—_GS_Balance" xfId="3419" xr:uid="{00000000-0005-0000-0000-0000920A0000}"/>
    <cellStyle name="—_GS_Balance 2" xfId="4937" xr:uid="{00000000-0005-0000-0000-0000930A0000}"/>
    <cellStyle name="—_GS_Balance_100902 Helen NTT FCF to be sent" xfId="3420" xr:uid="{00000000-0005-0000-0000-0000940A0000}"/>
    <cellStyle name="—_GS_Balance_AUO consolidated 2004_02" xfId="3421" xr:uid="{00000000-0005-0000-0000-0000950A0000}"/>
    <cellStyle name="—_GS_Balance_AUO forecast (GQ)2005_03" xfId="3422" xr:uid="{00000000-0005-0000-0000-0000960A0000}"/>
    <cellStyle name="—_GS_Balance_Beta" xfId="4938" xr:uid="{00000000-0005-0000-0000-0000970A0000}"/>
    <cellStyle name="—_GS_Balance_Book7" xfId="3423" xr:uid="{00000000-0005-0000-0000-0000980A0000}"/>
    <cellStyle name="—_GS_Balance_Book7_AUO consolidated 2004_02" xfId="3424" xr:uid="{00000000-0005-0000-0000-0000990A0000}"/>
    <cellStyle name="—_GS_Balance_Book7_AUO forecast (GQ)2005_03" xfId="3425" xr:uid="{00000000-0005-0000-0000-00009A0A0000}"/>
    <cellStyle name="—_GS_Balance_Book7_new-Sub" xfId="3426" xr:uid="{00000000-0005-0000-0000-00009B0A0000}"/>
    <cellStyle name="—_GS_Balance_Book7_Novatek forecast 280404" xfId="3427" xr:uid="{00000000-0005-0000-0000-00009C0A0000}"/>
    <cellStyle name="—_GS_Balance_BS" xfId="3428" xr:uid="{00000000-0005-0000-0000-00009D0A0000}"/>
    <cellStyle name="—_GS_Balance_BS_BS" xfId="3429" xr:uid="{00000000-0005-0000-0000-00009E0A0000}"/>
    <cellStyle name="—_GS_Balance_BS_Capex" xfId="3430" xr:uid="{00000000-0005-0000-0000-00009F0A0000}"/>
    <cellStyle name="—_GS_Balance_BS_CF" xfId="3431" xr:uid="{00000000-0005-0000-0000-0000A00A0000}"/>
    <cellStyle name="—_GS_Balance_BS_COFCO (506.HK)" xfId="3432" xr:uid="{00000000-0005-0000-0000-0000A10A0000}"/>
    <cellStyle name="—_GS_Balance_BS_COFCO_051010" xfId="3433" xr:uid="{00000000-0005-0000-0000-0000A20A0000}"/>
    <cellStyle name="—_GS_Balance_BS_COFCO_backup" xfId="3434" xr:uid="{00000000-0005-0000-0000-0000A30A0000}"/>
    <cellStyle name="—_GS_Balance_BS_DCF" xfId="3435" xr:uid="{00000000-0005-0000-0000-0000A40A0000}"/>
    <cellStyle name="—_GS_Balance_BS_Front page" xfId="3436" xr:uid="{00000000-0005-0000-0000-0000A50A0000}"/>
    <cellStyle name="—_GS_Balance_BS_LT assets" xfId="3437" xr:uid="{00000000-0005-0000-0000-0000A60A0000}"/>
    <cellStyle name="—_GS_Balance_BS_Monthly" xfId="3438" xr:uid="{00000000-0005-0000-0000-0000A70A0000}"/>
    <cellStyle name="—_GS_Balance_BS_P&amp;L" xfId="3439" xr:uid="{00000000-0005-0000-0000-0000A80A0000}"/>
    <cellStyle name="—_GS_Balance_BS_Valuation" xfId="3440" xr:uid="{00000000-0005-0000-0000-0000A90A0000}"/>
    <cellStyle name="—_GS_Balance_Cashflow" xfId="4939" xr:uid="{00000000-0005-0000-0000-0000AA0A0000}"/>
    <cellStyle name="—_GS_Balance_Cashflow_Honghua MSTR" xfId="4940" xr:uid="{00000000-0005-0000-0000-0000AB0A0000}"/>
    <cellStyle name="—_GS_Balance_Cheng Shin Model" xfId="3441" xr:uid="{00000000-0005-0000-0000-0000AC0A0000}"/>
    <cellStyle name="—_GS_Balance_DoCoMo table 10July2000" xfId="3442" xr:uid="{00000000-0005-0000-0000-0000AD0A0000}"/>
    <cellStyle name="—_GS_Balance_DoCoMo table 10July2000_AUO consolidated 2004_02" xfId="3443" xr:uid="{00000000-0005-0000-0000-0000AE0A0000}"/>
    <cellStyle name="—_GS_Balance_DoCoMo table 10July2000_AUO forecast (GQ)2005_03" xfId="3444" xr:uid="{00000000-0005-0000-0000-0000AF0A0000}"/>
    <cellStyle name="—_GS_Balance_DoCoMo table 10July2000_new-Sub" xfId="3445" xr:uid="{00000000-0005-0000-0000-0000B00A0000}"/>
    <cellStyle name="—_GS_Balance_DoCoMo table 10July2000_Novatek forecast 280404" xfId="3446" xr:uid="{00000000-0005-0000-0000-0000B10A0000}"/>
    <cellStyle name="—_GS_Balance_earnings" xfId="3447" xr:uid="{00000000-0005-0000-0000-0000B20A0000}"/>
    <cellStyle name="—_GS_Balance_earnings_AUO consolidated 2004_02" xfId="3448" xr:uid="{00000000-0005-0000-0000-0000B30A0000}"/>
    <cellStyle name="—_GS_Balance_earnings_AUO forecast (GQ)2005_03" xfId="3449" xr:uid="{00000000-0005-0000-0000-0000B40A0000}"/>
    <cellStyle name="—_GS_Balance_earnings_new-Sub" xfId="3450" xr:uid="{00000000-0005-0000-0000-0000B50A0000}"/>
    <cellStyle name="—_GS_Balance_earnings_Novatek forecast 280404" xfId="3451" xr:uid="{00000000-0005-0000-0000-0000B60A0000}"/>
    <cellStyle name="—_GS_Balance_EM_CMHK" xfId="3452" xr:uid="{00000000-0005-0000-0000-0000B70A0000}"/>
    <cellStyle name="—_GS_Balance_EM_CMHK_AUO consolidated 2004_02" xfId="3453" xr:uid="{00000000-0005-0000-0000-0000B80A0000}"/>
    <cellStyle name="—_GS_Balance_EM_CMHK_AUO forecast (GQ)2005_03" xfId="3454" xr:uid="{00000000-0005-0000-0000-0000B90A0000}"/>
    <cellStyle name="—_GS_Balance_EM_CMHK_new-Sub" xfId="3455" xr:uid="{00000000-0005-0000-0000-0000BA0A0000}"/>
    <cellStyle name="—_GS_Balance_EM_CMHK_Novatek forecast 280404" xfId="3456" xr:uid="{00000000-0005-0000-0000-0000BB0A0000}"/>
    <cellStyle name="—_GS_Balance_EM_FETone_new" xfId="3457" xr:uid="{00000000-0005-0000-0000-0000BC0A0000}"/>
    <cellStyle name="—_GS_Balance_EM_FETone_new_AUO consolidated 2004_02" xfId="3458" xr:uid="{00000000-0005-0000-0000-0000BD0A0000}"/>
    <cellStyle name="—_GS_Balance_EM_FETone_new_AUO forecast (GQ)2005_03" xfId="3459" xr:uid="{00000000-0005-0000-0000-0000BE0A0000}"/>
    <cellStyle name="—_GS_Balance_EM_FETone_new_new-Sub" xfId="3460" xr:uid="{00000000-0005-0000-0000-0000BF0A0000}"/>
    <cellStyle name="—_GS_Balance_EM_FETone_new_Novatek forecast 280404" xfId="3461" xr:uid="{00000000-0005-0000-0000-0000C00A0000}"/>
    <cellStyle name="—_GS_Balance_EM_NZT" xfId="3462" xr:uid="{00000000-0005-0000-0000-0000C10A0000}"/>
    <cellStyle name="—_GS_Balance_EM_NZT_BS" xfId="3463" xr:uid="{00000000-0005-0000-0000-0000C20A0000}"/>
    <cellStyle name="—_GS_Balance_EM_NZT_BS_BS" xfId="3464" xr:uid="{00000000-0005-0000-0000-0000C30A0000}"/>
    <cellStyle name="—_GS_Balance_EM_NZT_BS_Capex" xfId="3465" xr:uid="{00000000-0005-0000-0000-0000C40A0000}"/>
    <cellStyle name="—_GS_Balance_EM_NZT_BS_CF" xfId="3466" xr:uid="{00000000-0005-0000-0000-0000C50A0000}"/>
    <cellStyle name="—_GS_Balance_EM_NZT_BS_COFCO (506.HK)" xfId="3467" xr:uid="{00000000-0005-0000-0000-0000C60A0000}"/>
    <cellStyle name="—_GS_Balance_EM_NZT_BS_COFCO_051010" xfId="3468" xr:uid="{00000000-0005-0000-0000-0000C70A0000}"/>
    <cellStyle name="—_GS_Balance_EM_NZT_BS_COFCO_backup" xfId="3469" xr:uid="{00000000-0005-0000-0000-0000C80A0000}"/>
    <cellStyle name="—_GS_Balance_EM_NZT_BS_DCF" xfId="3470" xr:uid="{00000000-0005-0000-0000-0000C90A0000}"/>
    <cellStyle name="—_GS_Balance_EM_NZT_BS_Front page" xfId="3471" xr:uid="{00000000-0005-0000-0000-0000CA0A0000}"/>
    <cellStyle name="—_GS_Balance_EM_NZT_BS_LT assets" xfId="3472" xr:uid="{00000000-0005-0000-0000-0000CB0A0000}"/>
    <cellStyle name="—_GS_Balance_EM_NZT_BS_Monthly" xfId="3473" xr:uid="{00000000-0005-0000-0000-0000CC0A0000}"/>
    <cellStyle name="—_GS_Balance_EM_NZT_BS_P&amp;L" xfId="3474" xr:uid="{00000000-0005-0000-0000-0000CD0A0000}"/>
    <cellStyle name="—_GS_Balance_EM_NZT_BS_Valuation" xfId="3475" xr:uid="{00000000-0005-0000-0000-0000CE0A0000}"/>
    <cellStyle name="—_GS_Balance_EM_NZT_Yifan template 2" xfId="3476" xr:uid="{00000000-0005-0000-0000-0000CF0A0000}"/>
    <cellStyle name="—_GS_Balance_EM_NZT_Yifan template 2_BS" xfId="3477" xr:uid="{00000000-0005-0000-0000-0000D00A0000}"/>
    <cellStyle name="—_GS_Balance_EM_NZT_Yifan template 2_Capex" xfId="3478" xr:uid="{00000000-0005-0000-0000-0000D10A0000}"/>
    <cellStyle name="—_GS_Balance_EM_NZT_Yifan template 2_CF" xfId="3479" xr:uid="{00000000-0005-0000-0000-0000D20A0000}"/>
    <cellStyle name="—_GS_Balance_EM_NZT_Yifan template 2_COFCO (506.HK)" xfId="3480" xr:uid="{00000000-0005-0000-0000-0000D30A0000}"/>
    <cellStyle name="—_GS_Balance_EM_NZT_Yifan template 2_COFCO_051010" xfId="3481" xr:uid="{00000000-0005-0000-0000-0000D40A0000}"/>
    <cellStyle name="—_GS_Balance_EM_NZT_Yifan template 2_COFCO_backup" xfId="3482" xr:uid="{00000000-0005-0000-0000-0000D50A0000}"/>
    <cellStyle name="—_GS_Balance_EM_NZT_Yifan template 2_DCF" xfId="3483" xr:uid="{00000000-0005-0000-0000-0000D60A0000}"/>
    <cellStyle name="—_GS_Balance_EM_NZT_Yifan template 2_Front page" xfId="3484" xr:uid="{00000000-0005-0000-0000-0000D70A0000}"/>
    <cellStyle name="—_GS_Balance_EM_NZT_Yifan template 2_LT assets" xfId="3485" xr:uid="{00000000-0005-0000-0000-0000D80A0000}"/>
    <cellStyle name="—_GS_Balance_EM_NZT_Yifan template 2_Monthly" xfId="3486" xr:uid="{00000000-0005-0000-0000-0000D90A0000}"/>
    <cellStyle name="—_GS_Balance_EM_NZT_Yifan template 2_P&amp;L" xfId="3487" xr:uid="{00000000-0005-0000-0000-0000DA0A0000}"/>
    <cellStyle name="—_GS_Balance_EM_NZT_Yifan template 2_Valuation" xfId="3488" xr:uid="{00000000-0005-0000-0000-0000DB0A0000}"/>
    <cellStyle name="—_GS_Balance_EM_TCC_new" xfId="3489" xr:uid="{00000000-0005-0000-0000-0000DC0A0000}"/>
    <cellStyle name="—_GS_Balance_EM_TCC_new_AUO consolidated 2004_02" xfId="3490" xr:uid="{00000000-0005-0000-0000-0000DD0A0000}"/>
    <cellStyle name="—_GS_Balance_EM_TCC_new_AUO forecast (GQ)2005_03" xfId="3491" xr:uid="{00000000-0005-0000-0000-0000DE0A0000}"/>
    <cellStyle name="—_GS_Balance_EM_TCC_new_new-Sub" xfId="3492" xr:uid="{00000000-0005-0000-0000-0000DF0A0000}"/>
    <cellStyle name="—_GS_Balance_EM_TCC_new_Novatek forecast 280404" xfId="3493" xr:uid="{00000000-0005-0000-0000-0000E00A0000}"/>
    <cellStyle name="—_GS_Balance_EM-Optus" xfId="3494" xr:uid="{00000000-0005-0000-0000-0000E10A0000}"/>
    <cellStyle name="—_GS_Balance_EM-Optus_AUO consolidated 2004_02" xfId="3495" xr:uid="{00000000-0005-0000-0000-0000E20A0000}"/>
    <cellStyle name="—_GS_Balance_EM-Optus_AUO forecast (GQ)2005_03" xfId="3496" xr:uid="{00000000-0005-0000-0000-0000E30A0000}"/>
    <cellStyle name="—_GS_Balance_EM-Optus_BS" xfId="3497" xr:uid="{00000000-0005-0000-0000-0000E40A0000}"/>
    <cellStyle name="—_GS_Balance_EM-Optus_BS_BS" xfId="3498" xr:uid="{00000000-0005-0000-0000-0000E50A0000}"/>
    <cellStyle name="—_GS_Balance_EM-Optus_BS_Capex" xfId="3499" xr:uid="{00000000-0005-0000-0000-0000E60A0000}"/>
    <cellStyle name="—_GS_Balance_EM-Optus_BS_CF" xfId="3500" xr:uid="{00000000-0005-0000-0000-0000E70A0000}"/>
    <cellStyle name="—_GS_Balance_EM-Optus_BS_COFCO (506.HK)" xfId="3501" xr:uid="{00000000-0005-0000-0000-0000E80A0000}"/>
    <cellStyle name="—_GS_Balance_EM-Optus_BS_COFCO_051010" xfId="3502" xr:uid="{00000000-0005-0000-0000-0000E90A0000}"/>
    <cellStyle name="—_GS_Balance_EM-Optus_BS_COFCO_backup" xfId="3503" xr:uid="{00000000-0005-0000-0000-0000EA0A0000}"/>
    <cellStyle name="—_GS_Balance_EM-Optus_BS_DCF" xfId="3504" xr:uid="{00000000-0005-0000-0000-0000EB0A0000}"/>
    <cellStyle name="—_GS_Balance_EM-Optus_BS_Front page" xfId="3505" xr:uid="{00000000-0005-0000-0000-0000EC0A0000}"/>
    <cellStyle name="—_GS_Balance_EM-Optus_BS_LT assets" xfId="3506" xr:uid="{00000000-0005-0000-0000-0000ED0A0000}"/>
    <cellStyle name="—_GS_Balance_EM-Optus_BS_Monthly" xfId="3507" xr:uid="{00000000-0005-0000-0000-0000EE0A0000}"/>
    <cellStyle name="—_GS_Balance_EM-Optus_BS_P&amp;L" xfId="3508" xr:uid="{00000000-0005-0000-0000-0000EF0A0000}"/>
    <cellStyle name="—_GS_Balance_EM-Optus_BS_Valuation" xfId="3509" xr:uid="{00000000-0005-0000-0000-0000F00A0000}"/>
    <cellStyle name="—_GS_Balance_EM-Optus_Cheng Shin Model" xfId="3510" xr:uid="{00000000-0005-0000-0000-0000F10A0000}"/>
    <cellStyle name="—_GS_Balance_EM-Optus_new-Sub" xfId="3511" xr:uid="{00000000-0005-0000-0000-0000F20A0000}"/>
    <cellStyle name="—_GS_Balance_EM-Optus_Novatek forecast 280404" xfId="3512" xr:uid="{00000000-0005-0000-0000-0000F30A0000}"/>
    <cellStyle name="—_GS_Balance_EM-Optus_Yifan template 2" xfId="3513" xr:uid="{00000000-0005-0000-0000-0000F40A0000}"/>
    <cellStyle name="—_GS_Balance_EM-Optus_Yifan template 2_BS" xfId="3514" xr:uid="{00000000-0005-0000-0000-0000F50A0000}"/>
    <cellStyle name="—_GS_Balance_EM-Optus_Yifan template 2_Capex" xfId="3515" xr:uid="{00000000-0005-0000-0000-0000F60A0000}"/>
    <cellStyle name="—_GS_Balance_EM-Optus_Yifan template 2_CF" xfId="3516" xr:uid="{00000000-0005-0000-0000-0000F70A0000}"/>
    <cellStyle name="—_GS_Balance_EM-Optus_Yifan template 2_COFCO (506.HK)" xfId="3517" xr:uid="{00000000-0005-0000-0000-0000F80A0000}"/>
    <cellStyle name="—_GS_Balance_EM-Optus_Yifan template 2_COFCO_051010" xfId="3518" xr:uid="{00000000-0005-0000-0000-0000F90A0000}"/>
    <cellStyle name="—_GS_Balance_EM-Optus_Yifan template 2_COFCO_backup" xfId="3519" xr:uid="{00000000-0005-0000-0000-0000FA0A0000}"/>
    <cellStyle name="—_GS_Balance_EM-Optus_Yifan template 2_DCF" xfId="3520" xr:uid="{00000000-0005-0000-0000-0000FB0A0000}"/>
    <cellStyle name="—_GS_Balance_EM-Optus_Yifan template 2_Front page" xfId="3521" xr:uid="{00000000-0005-0000-0000-0000FC0A0000}"/>
    <cellStyle name="—_GS_Balance_EM-Optus_Yifan template 2_LT assets" xfId="3522" xr:uid="{00000000-0005-0000-0000-0000FD0A0000}"/>
    <cellStyle name="—_GS_Balance_EM-Optus_Yifan template 2_Monthly" xfId="3523" xr:uid="{00000000-0005-0000-0000-0000FE0A0000}"/>
    <cellStyle name="—_GS_Balance_EM-Optus_Yifan template 2_P&amp;L" xfId="3524" xr:uid="{00000000-0005-0000-0000-0000FF0A0000}"/>
    <cellStyle name="—_GS_Balance_EM-Optus_Yifan template 2_Valuation" xfId="3525" xr:uid="{00000000-0005-0000-0000-0000000B0000}"/>
    <cellStyle name="—_GS_Balance_GlobalValuation_Japan" xfId="3526" xr:uid="{00000000-0005-0000-0000-0000010B0000}"/>
    <cellStyle name="—_GS_Balance_honam -Quantum 220704" xfId="4941" xr:uid="{00000000-0005-0000-0000-0000020B0000}"/>
    <cellStyle name="—_GS_Balance_JT CROCI" xfId="3527" xr:uid="{00000000-0005-0000-0000-0000030B0000}"/>
    <cellStyle name="—_GS_Balance_KDDI CROCI" xfId="3528" xr:uid="{00000000-0005-0000-0000-0000040B0000}"/>
    <cellStyle name="—_GS_Balance_Kelvin_SKT_dividend_Mar10_2003" xfId="4942" xr:uid="{00000000-0005-0000-0000-0000050B0000}"/>
    <cellStyle name="—_GS_Balance_Kelvin_SKT_dividend_Mar10_2003_Beta" xfId="4943" xr:uid="{00000000-0005-0000-0000-0000060B0000}"/>
    <cellStyle name="—_GS_Balance_Kelvin_SKT_dividend_Mar10_2003_Cashflow" xfId="4944" xr:uid="{00000000-0005-0000-0000-0000070B0000}"/>
    <cellStyle name="—_GS_Balance_Kelvin_SKT_dividend_Mar10_2003_Cashflow_Honghua MSTR" xfId="4945" xr:uid="{00000000-0005-0000-0000-0000080B0000}"/>
    <cellStyle name="—_GS_Balance_Kelvin_SKT_dividend_Mar10_2003_P&amp;L" xfId="4946" xr:uid="{00000000-0005-0000-0000-0000090B0000}"/>
    <cellStyle name="—_GS_Balance_Kelvin_SKT_dividend_Mar10_2003_P&amp;L_Honghua MSTR" xfId="4947" xr:uid="{00000000-0005-0000-0000-00000A0B0000}"/>
    <cellStyle name="—_GS_Balance_Kelvin_SKT_dividend_Mar10_2003_PetroChina Master" xfId="4948" xr:uid="{00000000-0005-0000-0000-00000B0B0000}"/>
    <cellStyle name="—_GS_Balance_Kelvin_SKT_dividend_Mar10_2003_PetroChina Master_WIP(20-F update)" xfId="4949" xr:uid="{00000000-0005-0000-0000-00000C0B0000}"/>
    <cellStyle name="—_GS_Balance_Kelvin_SKT_dividend_Mar10_2003_PetroChina Master_WIP(20-F update)_Cashflow" xfId="4950" xr:uid="{00000000-0005-0000-0000-00000D0B0000}"/>
    <cellStyle name="—_GS_Balance_Kelvin_SKT_dividend_Mar10_2003_PetroChina Master_WIP(20-F update)_Cashflow_Honghua MSTR" xfId="4951" xr:uid="{00000000-0005-0000-0000-00000E0B0000}"/>
    <cellStyle name="—_GS_Balance_Kelvin_SKT_dividend_Mar10_2003_PetroChina Master_WIP(20-F update)_P&amp;L" xfId="4952" xr:uid="{00000000-0005-0000-0000-00000F0B0000}"/>
    <cellStyle name="—_GS_Balance_Kelvin_SKT_dividend_Mar10_2003_PetroChina Master_WIP(20-F update)_P&amp;L_Honghua MSTR" xfId="4953" xr:uid="{00000000-0005-0000-0000-0000100B0000}"/>
    <cellStyle name="—_GS_Balance_Kelvin_SKT_dividend_Mar10_2003_PetroChina Master_WIP(20-F update)_Sinopec MSTR" xfId="4954" xr:uid="{00000000-0005-0000-0000-0000110B0000}"/>
    <cellStyle name="—_GS_Balance_Kelvin_SKT_dividend_Mar10_2003_PetroChina Master_WIP(20-F update)_Sinopec MSTR Wip" xfId="4955" xr:uid="{00000000-0005-0000-0000-0000120B0000}"/>
    <cellStyle name="—_GS_Balance_Kelvin_SKT_dividend_Mar10_2003_PetroChina Master_WIP(20-F update)_Sinopec MSTR_WIP_KK" xfId="4956" xr:uid="{00000000-0005-0000-0000-0000130B0000}"/>
    <cellStyle name="—_GS_Balance_Kelvin_SKT_dividend_Mar10_2003_Sinopec MSTR" xfId="4957" xr:uid="{00000000-0005-0000-0000-0000140B0000}"/>
    <cellStyle name="—_GS_Balance_new-Sub" xfId="3529" xr:uid="{00000000-0005-0000-0000-0000150B0000}"/>
    <cellStyle name="—_GS_Balance_Novatek forecast 280404" xfId="3530" xr:uid="{00000000-0005-0000-0000-0000160B0000}"/>
    <cellStyle name="—_GS_Balance_NTT CROCI" xfId="3531" xr:uid="{00000000-0005-0000-0000-0000170B0000}"/>
    <cellStyle name="—_GS_Balance_NTT proportionate" xfId="3532" xr:uid="{00000000-0005-0000-0000-0000180B0000}"/>
    <cellStyle name="—_GS_Balance_operating stats comp" xfId="3533" xr:uid="{00000000-0005-0000-0000-0000190B0000}"/>
    <cellStyle name="—_GS_Balance_operating stats comp_AUO consolidated 2004_02" xfId="3534" xr:uid="{00000000-0005-0000-0000-00001A0B0000}"/>
    <cellStyle name="—_GS_Balance_operating stats comp_AUO forecast (GQ)2005_03" xfId="3535" xr:uid="{00000000-0005-0000-0000-00001B0B0000}"/>
    <cellStyle name="—_GS_Balance_operating stats comp_new-Sub" xfId="3536" xr:uid="{00000000-0005-0000-0000-00001C0B0000}"/>
    <cellStyle name="—_GS_Balance_operating stats comp_Novatek forecast 280404" xfId="3537" xr:uid="{00000000-0005-0000-0000-00001D0B0000}"/>
    <cellStyle name="—_GS_Balance_P&amp;L" xfId="4958" xr:uid="{00000000-0005-0000-0000-00001E0B0000}"/>
    <cellStyle name="—_GS_Balance_P&amp;L_Honghua MSTR" xfId="4959" xr:uid="{00000000-0005-0000-0000-00001F0B0000}"/>
    <cellStyle name="—_GS_Balance_PetroChina Master" xfId="4960" xr:uid="{00000000-0005-0000-0000-0000200B0000}"/>
    <cellStyle name="—_GS_Balance_PetroChina Master_WIP(20-F update)" xfId="4961" xr:uid="{00000000-0005-0000-0000-0000210B0000}"/>
    <cellStyle name="—_GS_Balance_PetroChina Master_WIP(20-F update)_Cashflow" xfId="4962" xr:uid="{00000000-0005-0000-0000-0000220B0000}"/>
    <cellStyle name="—_GS_Balance_PetroChina Master_WIP(20-F update)_Cashflow_Honghua MSTR" xfId="4963" xr:uid="{00000000-0005-0000-0000-0000230B0000}"/>
    <cellStyle name="—_GS_Balance_PetroChina Master_WIP(20-F update)_P&amp;L" xfId="4964" xr:uid="{00000000-0005-0000-0000-0000240B0000}"/>
    <cellStyle name="—_GS_Balance_PetroChina Master_WIP(20-F update)_P&amp;L_Honghua MSTR" xfId="4965" xr:uid="{00000000-0005-0000-0000-0000250B0000}"/>
    <cellStyle name="—_GS_Balance_PetroChina Master_WIP(20-F update)_Sinopec MSTR" xfId="4966" xr:uid="{00000000-0005-0000-0000-0000260B0000}"/>
    <cellStyle name="—_GS_Balance_PetroChina Master_WIP(20-F update)_Sinopec MSTR Wip" xfId="4967" xr:uid="{00000000-0005-0000-0000-0000270B0000}"/>
    <cellStyle name="—_GS_Balance_PetroChina Master_WIP(20-F update)_Sinopec MSTR_WIP_KK" xfId="4968" xr:uid="{00000000-0005-0000-0000-0000280B0000}"/>
    <cellStyle name="—_GS_Balance_Sheet1" xfId="3538" xr:uid="{00000000-0005-0000-0000-0000290B0000}"/>
    <cellStyle name="—_GS_Balance_Sinopec MSTR" xfId="4969" xr:uid="{00000000-0005-0000-0000-00002A0B0000}"/>
    <cellStyle name="—_GS_Balance_SK COrp - Quantum 290704" xfId="4970" xr:uid="{00000000-0005-0000-0000-00002B0B0000}"/>
    <cellStyle name="—_GS_Balance_S-Oil-Quantum 260704" xfId="4971" xr:uid="{00000000-0005-0000-0000-00002C0B0000}"/>
    <cellStyle name="—_GS_Balance_S-Oil-Quantum 260704_Beta" xfId="4972" xr:uid="{00000000-0005-0000-0000-00002D0B0000}"/>
    <cellStyle name="—_GS_Balance_S-Oil-Quantum 260704_Cashflow" xfId="4973" xr:uid="{00000000-0005-0000-0000-00002E0B0000}"/>
    <cellStyle name="—_GS_Balance_S-Oil-Quantum 260704_Cashflow_Honghua MSTR" xfId="4974" xr:uid="{00000000-0005-0000-0000-00002F0B0000}"/>
    <cellStyle name="—_GS_Balance_S-Oil-Quantum 260704_P&amp;L" xfId="4975" xr:uid="{00000000-0005-0000-0000-0000300B0000}"/>
    <cellStyle name="—_GS_Balance_S-Oil-Quantum 260704_P&amp;L_Honghua MSTR" xfId="4976" xr:uid="{00000000-0005-0000-0000-0000310B0000}"/>
    <cellStyle name="—_GS_Balance_S-Oil-Quantum 260704_PetroChina Master" xfId="4977" xr:uid="{00000000-0005-0000-0000-0000320B0000}"/>
    <cellStyle name="—_GS_Balance_S-Oil-Quantum 260704_PetroChina Master_WIP(20-F update)" xfId="4978" xr:uid="{00000000-0005-0000-0000-0000330B0000}"/>
    <cellStyle name="—_GS_Balance_S-Oil-Quantum 260704_PetroChina Master_WIP(20-F update)_Cashflow" xfId="4979" xr:uid="{00000000-0005-0000-0000-0000340B0000}"/>
    <cellStyle name="—_GS_Balance_S-Oil-Quantum 260704_PetroChina Master_WIP(20-F update)_Cashflow_Honghua MSTR" xfId="4980" xr:uid="{00000000-0005-0000-0000-0000350B0000}"/>
    <cellStyle name="—_GS_Balance_S-Oil-Quantum 260704_PetroChina Master_WIP(20-F update)_P&amp;L" xfId="4981" xr:uid="{00000000-0005-0000-0000-0000360B0000}"/>
    <cellStyle name="—_GS_Balance_S-Oil-Quantum 260704_PetroChina Master_WIP(20-F update)_P&amp;L_Honghua MSTR" xfId="4982" xr:uid="{00000000-0005-0000-0000-0000370B0000}"/>
    <cellStyle name="—_GS_Balance_S-Oil-Quantum 260704_PetroChina Master_WIP(20-F update)_Sinopec MSTR" xfId="4983" xr:uid="{00000000-0005-0000-0000-0000380B0000}"/>
    <cellStyle name="—_GS_Balance_S-Oil-Quantum 260704_PetroChina Master_WIP(20-F update)_Sinopec MSTR Wip" xfId="4984" xr:uid="{00000000-0005-0000-0000-0000390B0000}"/>
    <cellStyle name="—_GS_Balance_S-Oil-Quantum 260704_PetroChina Master_WIP(20-F update)_Sinopec MSTR_WIP_KK" xfId="4985" xr:uid="{00000000-0005-0000-0000-00003A0B0000}"/>
    <cellStyle name="—_GS_Balance_S-Oil-Quantum 260704_Sinopec MSTR" xfId="4986" xr:uid="{00000000-0005-0000-0000-00003B0B0000}"/>
    <cellStyle name="—_GS_Balance_Strategy_data_update" xfId="3539" xr:uid="{00000000-0005-0000-0000-00003C0B0000}"/>
    <cellStyle name="—_GS_Balance_Strategy_data_update_AUO consolidated 2004_02" xfId="3540" xr:uid="{00000000-0005-0000-0000-00003D0B0000}"/>
    <cellStyle name="—_GS_Balance_Strategy_data_update_AUO forecast (GQ)2005_03" xfId="3541" xr:uid="{00000000-0005-0000-0000-00003E0B0000}"/>
    <cellStyle name="—_GS_Balance_Strategy_data_update_new-Sub" xfId="3542" xr:uid="{00000000-0005-0000-0000-00003F0B0000}"/>
    <cellStyle name="—_GS_Balance_Strategy_data_update_Novatek forecast 280404" xfId="3543" xr:uid="{00000000-0005-0000-0000-0000400B0000}"/>
    <cellStyle name="—_GS_Balance_Yifan template 2" xfId="3544" xr:uid="{00000000-0005-0000-0000-0000410B0000}"/>
    <cellStyle name="—_GS_Balance_Yifan template 2_BS" xfId="3545" xr:uid="{00000000-0005-0000-0000-0000420B0000}"/>
    <cellStyle name="—_GS_Balance_Yifan template 2_Capex" xfId="3546" xr:uid="{00000000-0005-0000-0000-0000430B0000}"/>
    <cellStyle name="—_GS_Balance_Yifan template 2_CF" xfId="3547" xr:uid="{00000000-0005-0000-0000-0000440B0000}"/>
    <cellStyle name="—_GS_Balance_Yifan template 2_COFCO (506.HK)" xfId="3548" xr:uid="{00000000-0005-0000-0000-0000450B0000}"/>
    <cellStyle name="—_GS_Balance_Yifan template 2_COFCO_051010" xfId="3549" xr:uid="{00000000-0005-0000-0000-0000460B0000}"/>
    <cellStyle name="—_GS_Balance_Yifan template 2_COFCO_backup" xfId="3550" xr:uid="{00000000-0005-0000-0000-0000470B0000}"/>
    <cellStyle name="—_GS_Balance_Yifan template 2_DCF" xfId="3551" xr:uid="{00000000-0005-0000-0000-0000480B0000}"/>
    <cellStyle name="—_GS_Balance_Yifan template 2_Front page" xfId="3552" xr:uid="{00000000-0005-0000-0000-0000490B0000}"/>
    <cellStyle name="—_GS_Balance_Yifan template 2_LT assets" xfId="3553" xr:uid="{00000000-0005-0000-0000-00004A0B0000}"/>
    <cellStyle name="—_GS_Balance_Yifan template 2_Monthly" xfId="3554" xr:uid="{00000000-0005-0000-0000-00004B0B0000}"/>
    <cellStyle name="—_GS_Balance_Yifan template 2_P&amp;L" xfId="3555" xr:uid="{00000000-0005-0000-0000-00004C0B0000}"/>
    <cellStyle name="—_GS_Balance_Yifan template 2_Valuation" xfId="3556" xr:uid="{00000000-0005-0000-0000-00004D0B0000}"/>
    <cellStyle name="—_GS_Cash " xfId="4" xr:uid="{00000000-0005-0000-0000-00004E0B0000}"/>
    <cellStyle name="—_GS_Cash  (2)" xfId="3557" xr:uid="{00000000-0005-0000-0000-00004F0B0000}"/>
    <cellStyle name="—_GS_Cash  (2) 2" xfId="4987" xr:uid="{00000000-0005-0000-0000-0000500B0000}"/>
    <cellStyle name="—_GS_Cash  (2)_100902 Helen NTT FCF to be sent" xfId="3558" xr:uid="{00000000-0005-0000-0000-0000510B0000}"/>
    <cellStyle name="—_GS_Cash  (2)_AUO consolidated 2004_02" xfId="3559" xr:uid="{00000000-0005-0000-0000-0000520B0000}"/>
    <cellStyle name="—_GS_Cash  (2)_AUO forecast (GQ)2005_03" xfId="3560" xr:uid="{00000000-0005-0000-0000-0000530B0000}"/>
    <cellStyle name="—_GS_Cash  (2)_Beta" xfId="4988" xr:uid="{00000000-0005-0000-0000-0000540B0000}"/>
    <cellStyle name="—_GS_Cash  (2)_Book7" xfId="3561" xr:uid="{00000000-0005-0000-0000-0000550B0000}"/>
    <cellStyle name="—_GS_Cash  (2)_Book7_AUO consolidated 2004_02" xfId="3562" xr:uid="{00000000-0005-0000-0000-0000560B0000}"/>
    <cellStyle name="—_GS_Cash  (2)_Book7_AUO forecast (GQ)2005_03" xfId="3563" xr:uid="{00000000-0005-0000-0000-0000570B0000}"/>
    <cellStyle name="—_GS_Cash  (2)_Book7_new-Sub" xfId="3564" xr:uid="{00000000-0005-0000-0000-0000580B0000}"/>
    <cellStyle name="—_GS_Cash  (2)_Book7_Novatek forecast 280404" xfId="3565" xr:uid="{00000000-0005-0000-0000-0000590B0000}"/>
    <cellStyle name="—_GS_Cash  (2)_BS" xfId="3566" xr:uid="{00000000-0005-0000-0000-00005A0B0000}"/>
    <cellStyle name="—_GS_Cash  (2)_BS_BS" xfId="3567" xr:uid="{00000000-0005-0000-0000-00005B0B0000}"/>
    <cellStyle name="—_GS_Cash  (2)_BS_Capex" xfId="3568" xr:uid="{00000000-0005-0000-0000-00005C0B0000}"/>
    <cellStyle name="—_GS_Cash  (2)_BS_CF" xfId="3569" xr:uid="{00000000-0005-0000-0000-00005D0B0000}"/>
    <cellStyle name="—_GS_Cash  (2)_BS_COFCO (506.HK)" xfId="3570" xr:uid="{00000000-0005-0000-0000-00005E0B0000}"/>
    <cellStyle name="—_GS_Cash  (2)_BS_COFCO_051010" xfId="3571" xr:uid="{00000000-0005-0000-0000-00005F0B0000}"/>
    <cellStyle name="—_GS_Cash  (2)_BS_COFCO_backup" xfId="3572" xr:uid="{00000000-0005-0000-0000-0000600B0000}"/>
    <cellStyle name="—_GS_Cash  (2)_BS_DCF" xfId="3573" xr:uid="{00000000-0005-0000-0000-0000610B0000}"/>
    <cellStyle name="—_GS_Cash  (2)_BS_Front page" xfId="3574" xr:uid="{00000000-0005-0000-0000-0000620B0000}"/>
    <cellStyle name="—_GS_Cash  (2)_BS_LT assets" xfId="3575" xr:uid="{00000000-0005-0000-0000-0000630B0000}"/>
    <cellStyle name="—_GS_Cash  (2)_BS_Monthly" xfId="3576" xr:uid="{00000000-0005-0000-0000-0000640B0000}"/>
    <cellStyle name="—_GS_Cash  (2)_BS_P&amp;L" xfId="3577" xr:uid="{00000000-0005-0000-0000-0000650B0000}"/>
    <cellStyle name="—_GS_Cash  (2)_BS_Valuation" xfId="3578" xr:uid="{00000000-0005-0000-0000-0000660B0000}"/>
    <cellStyle name="—_GS_Cash  (2)_Cashflow" xfId="4989" xr:uid="{00000000-0005-0000-0000-0000670B0000}"/>
    <cellStyle name="—_GS_Cash  (2)_Cashflow_Honghua MSTR" xfId="4990" xr:uid="{00000000-0005-0000-0000-0000680B0000}"/>
    <cellStyle name="—_GS_Cash  (2)_Cheng Shin Model" xfId="3579" xr:uid="{00000000-0005-0000-0000-0000690B0000}"/>
    <cellStyle name="—_GS_Cash  (2)_DoCoMo table 10July2000" xfId="3580" xr:uid="{00000000-0005-0000-0000-00006A0B0000}"/>
    <cellStyle name="—_GS_Cash  (2)_DoCoMo table 10July2000_AUO consolidated 2004_02" xfId="3581" xr:uid="{00000000-0005-0000-0000-00006B0B0000}"/>
    <cellStyle name="—_GS_Cash  (2)_DoCoMo table 10July2000_AUO forecast (GQ)2005_03" xfId="3582" xr:uid="{00000000-0005-0000-0000-00006C0B0000}"/>
    <cellStyle name="—_GS_Cash  (2)_DoCoMo table 10July2000_new-Sub" xfId="3583" xr:uid="{00000000-0005-0000-0000-00006D0B0000}"/>
    <cellStyle name="—_GS_Cash  (2)_DoCoMo table 10July2000_Novatek forecast 280404" xfId="3584" xr:uid="{00000000-0005-0000-0000-00006E0B0000}"/>
    <cellStyle name="—_GS_Cash  (2)_earnings" xfId="3585" xr:uid="{00000000-0005-0000-0000-00006F0B0000}"/>
    <cellStyle name="—_GS_Cash  (2)_earnings_AUO consolidated 2004_02" xfId="3586" xr:uid="{00000000-0005-0000-0000-0000700B0000}"/>
    <cellStyle name="—_GS_Cash  (2)_earnings_AUO forecast (GQ)2005_03" xfId="3587" xr:uid="{00000000-0005-0000-0000-0000710B0000}"/>
    <cellStyle name="—_GS_Cash  (2)_earnings_new-Sub" xfId="3588" xr:uid="{00000000-0005-0000-0000-0000720B0000}"/>
    <cellStyle name="—_GS_Cash  (2)_earnings_Novatek forecast 280404" xfId="3589" xr:uid="{00000000-0005-0000-0000-0000730B0000}"/>
    <cellStyle name="—_GS_Cash  (2)_EM_CMHK" xfId="3590" xr:uid="{00000000-0005-0000-0000-0000740B0000}"/>
    <cellStyle name="—_GS_Cash  (2)_EM_CMHK_AUO consolidated 2004_02" xfId="3591" xr:uid="{00000000-0005-0000-0000-0000750B0000}"/>
    <cellStyle name="—_GS_Cash  (2)_EM_CMHK_AUO forecast (GQ)2005_03" xfId="3592" xr:uid="{00000000-0005-0000-0000-0000760B0000}"/>
    <cellStyle name="—_GS_Cash  (2)_EM_CMHK_new-Sub" xfId="3593" xr:uid="{00000000-0005-0000-0000-0000770B0000}"/>
    <cellStyle name="—_GS_Cash  (2)_EM_CMHK_Novatek forecast 280404" xfId="3594" xr:uid="{00000000-0005-0000-0000-0000780B0000}"/>
    <cellStyle name="—_GS_Cash  (2)_EM_FETone_new" xfId="3595" xr:uid="{00000000-0005-0000-0000-0000790B0000}"/>
    <cellStyle name="—_GS_Cash  (2)_EM_FETone_new_AUO consolidated 2004_02" xfId="3596" xr:uid="{00000000-0005-0000-0000-00007A0B0000}"/>
    <cellStyle name="—_GS_Cash  (2)_EM_FETone_new_AUO forecast (GQ)2005_03" xfId="3597" xr:uid="{00000000-0005-0000-0000-00007B0B0000}"/>
    <cellStyle name="—_GS_Cash  (2)_EM_FETone_new_new-Sub" xfId="3598" xr:uid="{00000000-0005-0000-0000-00007C0B0000}"/>
    <cellStyle name="—_GS_Cash  (2)_EM_FETone_new_Novatek forecast 280404" xfId="3599" xr:uid="{00000000-0005-0000-0000-00007D0B0000}"/>
    <cellStyle name="—_GS_Cash  (2)_EM_NZT" xfId="3600" xr:uid="{00000000-0005-0000-0000-00007E0B0000}"/>
    <cellStyle name="—_GS_Cash  (2)_EM_NZT_BS" xfId="3601" xr:uid="{00000000-0005-0000-0000-00007F0B0000}"/>
    <cellStyle name="—_GS_Cash  (2)_EM_NZT_BS_BS" xfId="3602" xr:uid="{00000000-0005-0000-0000-0000800B0000}"/>
    <cellStyle name="—_GS_Cash  (2)_EM_NZT_BS_Capex" xfId="3603" xr:uid="{00000000-0005-0000-0000-0000810B0000}"/>
    <cellStyle name="—_GS_Cash  (2)_EM_NZT_BS_CF" xfId="3604" xr:uid="{00000000-0005-0000-0000-0000820B0000}"/>
    <cellStyle name="—_GS_Cash  (2)_EM_NZT_BS_COFCO (506.HK)" xfId="3605" xr:uid="{00000000-0005-0000-0000-0000830B0000}"/>
    <cellStyle name="—_GS_Cash  (2)_EM_NZT_BS_COFCO_051010" xfId="3606" xr:uid="{00000000-0005-0000-0000-0000840B0000}"/>
    <cellStyle name="—_GS_Cash  (2)_EM_NZT_BS_COFCO_backup" xfId="3607" xr:uid="{00000000-0005-0000-0000-0000850B0000}"/>
    <cellStyle name="—_GS_Cash  (2)_EM_NZT_BS_DCF" xfId="3608" xr:uid="{00000000-0005-0000-0000-0000860B0000}"/>
    <cellStyle name="—_GS_Cash  (2)_EM_NZT_BS_Front page" xfId="3609" xr:uid="{00000000-0005-0000-0000-0000870B0000}"/>
    <cellStyle name="—_GS_Cash  (2)_EM_NZT_BS_LT assets" xfId="3610" xr:uid="{00000000-0005-0000-0000-0000880B0000}"/>
    <cellStyle name="—_GS_Cash  (2)_EM_NZT_BS_Monthly" xfId="3611" xr:uid="{00000000-0005-0000-0000-0000890B0000}"/>
    <cellStyle name="—_GS_Cash  (2)_EM_NZT_BS_P&amp;L" xfId="3612" xr:uid="{00000000-0005-0000-0000-00008A0B0000}"/>
    <cellStyle name="—_GS_Cash  (2)_EM_NZT_BS_Valuation" xfId="3613" xr:uid="{00000000-0005-0000-0000-00008B0B0000}"/>
    <cellStyle name="—_GS_Cash  (2)_EM_NZT_Yifan template 2" xfId="3614" xr:uid="{00000000-0005-0000-0000-00008C0B0000}"/>
    <cellStyle name="—_GS_Cash  (2)_EM_NZT_Yifan template 2_BS" xfId="3615" xr:uid="{00000000-0005-0000-0000-00008D0B0000}"/>
    <cellStyle name="—_GS_Cash  (2)_EM_NZT_Yifan template 2_Capex" xfId="3616" xr:uid="{00000000-0005-0000-0000-00008E0B0000}"/>
    <cellStyle name="—_GS_Cash  (2)_EM_NZT_Yifan template 2_CF" xfId="3617" xr:uid="{00000000-0005-0000-0000-00008F0B0000}"/>
    <cellStyle name="—_GS_Cash  (2)_EM_NZT_Yifan template 2_COFCO (506.HK)" xfId="3618" xr:uid="{00000000-0005-0000-0000-0000900B0000}"/>
    <cellStyle name="—_GS_Cash  (2)_EM_NZT_Yifan template 2_COFCO_051010" xfId="3619" xr:uid="{00000000-0005-0000-0000-0000910B0000}"/>
    <cellStyle name="—_GS_Cash  (2)_EM_NZT_Yifan template 2_COFCO_backup" xfId="3620" xr:uid="{00000000-0005-0000-0000-0000920B0000}"/>
    <cellStyle name="—_GS_Cash  (2)_EM_NZT_Yifan template 2_DCF" xfId="3621" xr:uid="{00000000-0005-0000-0000-0000930B0000}"/>
    <cellStyle name="—_GS_Cash  (2)_EM_NZT_Yifan template 2_Front page" xfId="3622" xr:uid="{00000000-0005-0000-0000-0000940B0000}"/>
    <cellStyle name="—_GS_Cash  (2)_EM_NZT_Yifan template 2_LT assets" xfId="3623" xr:uid="{00000000-0005-0000-0000-0000950B0000}"/>
    <cellStyle name="—_GS_Cash  (2)_EM_NZT_Yifan template 2_Monthly" xfId="3624" xr:uid="{00000000-0005-0000-0000-0000960B0000}"/>
    <cellStyle name="—_GS_Cash  (2)_EM_NZT_Yifan template 2_P&amp;L" xfId="3625" xr:uid="{00000000-0005-0000-0000-0000970B0000}"/>
    <cellStyle name="—_GS_Cash  (2)_EM_NZT_Yifan template 2_Valuation" xfId="3626" xr:uid="{00000000-0005-0000-0000-0000980B0000}"/>
    <cellStyle name="—_GS_Cash  (2)_EM_TCC_new" xfId="3627" xr:uid="{00000000-0005-0000-0000-0000990B0000}"/>
    <cellStyle name="—_GS_Cash  (2)_EM_TCC_new_AUO consolidated 2004_02" xfId="3628" xr:uid="{00000000-0005-0000-0000-00009A0B0000}"/>
    <cellStyle name="—_GS_Cash  (2)_EM_TCC_new_AUO forecast (GQ)2005_03" xfId="3629" xr:uid="{00000000-0005-0000-0000-00009B0B0000}"/>
    <cellStyle name="—_GS_Cash  (2)_EM_TCC_new_new-Sub" xfId="3630" xr:uid="{00000000-0005-0000-0000-00009C0B0000}"/>
    <cellStyle name="—_GS_Cash  (2)_EM_TCC_new_Novatek forecast 280404" xfId="3631" xr:uid="{00000000-0005-0000-0000-00009D0B0000}"/>
    <cellStyle name="—_GS_Cash  (2)_EM-Optus" xfId="3632" xr:uid="{00000000-0005-0000-0000-00009E0B0000}"/>
    <cellStyle name="—_GS_Cash  (2)_EM-Optus_AUO consolidated 2004_02" xfId="3633" xr:uid="{00000000-0005-0000-0000-00009F0B0000}"/>
    <cellStyle name="—_GS_Cash  (2)_EM-Optus_AUO forecast (GQ)2005_03" xfId="3634" xr:uid="{00000000-0005-0000-0000-0000A00B0000}"/>
    <cellStyle name="—_GS_Cash  (2)_EM-Optus_BS" xfId="3635" xr:uid="{00000000-0005-0000-0000-0000A10B0000}"/>
    <cellStyle name="—_GS_Cash  (2)_EM-Optus_BS_BS" xfId="3636" xr:uid="{00000000-0005-0000-0000-0000A20B0000}"/>
    <cellStyle name="—_GS_Cash  (2)_EM-Optus_BS_Capex" xfId="3637" xr:uid="{00000000-0005-0000-0000-0000A30B0000}"/>
    <cellStyle name="—_GS_Cash  (2)_EM-Optus_BS_CF" xfId="3638" xr:uid="{00000000-0005-0000-0000-0000A40B0000}"/>
    <cellStyle name="—_GS_Cash  (2)_EM-Optus_BS_COFCO (506.HK)" xfId="3639" xr:uid="{00000000-0005-0000-0000-0000A50B0000}"/>
    <cellStyle name="—_GS_Cash  (2)_EM-Optus_BS_COFCO_051010" xfId="3640" xr:uid="{00000000-0005-0000-0000-0000A60B0000}"/>
    <cellStyle name="—_GS_Cash  (2)_EM-Optus_BS_COFCO_backup" xfId="3641" xr:uid="{00000000-0005-0000-0000-0000A70B0000}"/>
    <cellStyle name="—_GS_Cash  (2)_EM-Optus_BS_DCF" xfId="3642" xr:uid="{00000000-0005-0000-0000-0000A80B0000}"/>
    <cellStyle name="—_GS_Cash  (2)_EM-Optus_BS_Front page" xfId="3643" xr:uid="{00000000-0005-0000-0000-0000A90B0000}"/>
    <cellStyle name="—_GS_Cash  (2)_EM-Optus_BS_LT assets" xfId="3644" xr:uid="{00000000-0005-0000-0000-0000AA0B0000}"/>
    <cellStyle name="—_GS_Cash  (2)_EM-Optus_BS_Monthly" xfId="3645" xr:uid="{00000000-0005-0000-0000-0000AB0B0000}"/>
    <cellStyle name="—_GS_Cash  (2)_EM-Optus_BS_P&amp;L" xfId="3646" xr:uid="{00000000-0005-0000-0000-0000AC0B0000}"/>
    <cellStyle name="—_GS_Cash  (2)_EM-Optus_BS_Valuation" xfId="3647" xr:uid="{00000000-0005-0000-0000-0000AD0B0000}"/>
    <cellStyle name="—_GS_Cash  (2)_EM-Optus_Cheng Shin Model" xfId="3648" xr:uid="{00000000-0005-0000-0000-0000AE0B0000}"/>
    <cellStyle name="—_GS_Cash  (2)_EM-Optus_new-Sub" xfId="3649" xr:uid="{00000000-0005-0000-0000-0000AF0B0000}"/>
    <cellStyle name="—_GS_Cash  (2)_EM-Optus_Novatek forecast 280404" xfId="3650" xr:uid="{00000000-0005-0000-0000-0000B00B0000}"/>
    <cellStyle name="—_GS_Cash  (2)_EM-Optus_Yifan template 2" xfId="3651" xr:uid="{00000000-0005-0000-0000-0000B10B0000}"/>
    <cellStyle name="—_GS_Cash  (2)_EM-Optus_Yifan template 2_BS" xfId="3652" xr:uid="{00000000-0005-0000-0000-0000B20B0000}"/>
    <cellStyle name="—_GS_Cash  (2)_EM-Optus_Yifan template 2_Capex" xfId="3653" xr:uid="{00000000-0005-0000-0000-0000B30B0000}"/>
    <cellStyle name="—_GS_Cash  (2)_EM-Optus_Yifan template 2_CF" xfId="3654" xr:uid="{00000000-0005-0000-0000-0000B40B0000}"/>
    <cellStyle name="—_GS_Cash  (2)_EM-Optus_Yifan template 2_COFCO (506.HK)" xfId="3655" xr:uid="{00000000-0005-0000-0000-0000B50B0000}"/>
    <cellStyle name="—_GS_Cash  (2)_EM-Optus_Yifan template 2_COFCO_051010" xfId="3656" xr:uid="{00000000-0005-0000-0000-0000B60B0000}"/>
    <cellStyle name="—_GS_Cash  (2)_EM-Optus_Yifan template 2_COFCO_backup" xfId="3657" xr:uid="{00000000-0005-0000-0000-0000B70B0000}"/>
    <cellStyle name="—_GS_Cash  (2)_EM-Optus_Yifan template 2_DCF" xfId="3658" xr:uid="{00000000-0005-0000-0000-0000B80B0000}"/>
    <cellStyle name="—_GS_Cash  (2)_EM-Optus_Yifan template 2_Front page" xfId="3659" xr:uid="{00000000-0005-0000-0000-0000B90B0000}"/>
    <cellStyle name="—_GS_Cash  (2)_EM-Optus_Yifan template 2_LT assets" xfId="3660" xr:uid="{00000000-0005-0000-0000-0000BA0B0000}"/>
    <cellStyle name="—_GS_Cash  (2)_EM-Optus_Yifan template 2_Monthly" xfId="3661" xr:uid="{00000000-0005-0000-0000-0000BB0B0000}"/>
    <cellStyle name="—_GS_Cash  (2)_EM-Optus_Yifan template 2_P&amp;L" xfId="3662" xr:uid="{00000000-0005-0000-0000-0000BC0B0000}"/>
    <cellStyle name="—_GS_Cash  (2)_EM-Optus_Yifan template 2_Valuation" xfId="3663" xr:uid="{00000000-0005-0000-0000-0000BD0B0000}"/>
    <cellStyle name="—_GS_Cash  (2)_GlobalValuation_Japan" xfId="3664" xr:uid="{00000000-0005-0000-0000-0000BE0B0000}"/>
    <cellStyle name="—_GS_Cash  (2)_honam -Quantum 220704" xfId="4991" xr:uid="{00000000-0005-0000-0000-0000BF0B0000}"/>
    <cellStyle name="—_GS_Cash  (2)_JT CROCI" xfId="3665" xr:uid="{00000000-0005-0000-0000-0000C00B0000}"/>
    <cellStyle name="—_GS_Cash  (2)_KDDI CROCI" xfId="3666" xr:uid="{00000000-0005-0000-0000-0000C10B0000}"/>
    <cellStyle name="—_GS_Cash  (2)_Kelvin_SKT_dividend_Mar10_2003" xfId="4992" xr:uid="{00000000-0005-0000-0000-0000C20B0000}"/>
    <cellStyle name="—_GS_Cash  (2)_Kelvin_SKT_dividend_Mar10_2003_Beta" xfId="4993" xr:uid="{00000000-0005-0000-0000-0000C30B0000}"/>
    <cellStyle name="—_GS_Cash  (2)_Kelvin_SKT_dividend_Mar10_2003_Cashflow" xfId="4994" xr:uid="{00000000-0005-0000-0000-0000C40B0000}"/>
    <cellStyle name="—_GS_Cash  (2)_Kelvin_SKT_dividend_Mar10_2003_Cashflow_Honghua MSTR" xfId="4995" xr:uid="{00000000-0005-0000-0000-0000C50B0000}"/>
    <cellStyle name="—_GS_Cash  (2)_Kelvin_SKT_dividend_Mar10_2003_P&amp;L" xfId="4996" xr:uid="{00000000-0005-0000-0000-0000C60B0000}"/>
    <cellStyle name="—_GS_Cash  (2)_Kelvin_SKT_dividend_Mar10_2003_P&amp;L_Honghua MSTR" xfId="4997" xr:uid="{00000000-0005-0000-0000-0000C70B0000}"/>
    <cellStyle name="—_GS_Cash  (2)_Kelvin_SKT_dividend_Mar10_2003_PetroChina Master" xfId="4998" xr:uid="{00000000-0005-0000-0000-0000C80B0000}"/>
    <cellStyle name="—_GS_Cash  (2)_Kelvin_SKT_dividend_Mar10_2003_PetroChina Master_WIP(20-F update)" xfId="4999" xr:uid="{00000000-0005-0000-0000-0000C90B0000}"/>
    <cellStyle name="—_GS_Cash  (2)_Kelvin_SKT_dividend_Mar10_2003_PetroChina Master_WIP(20-F update)_Cashflow" xfId="5000" xr:uid="{00000000-0005-0000-0000-0000CA0B0000}"/>
    <cellStyle name="—_GS_Cash  (2)_Kelvin_SKT_dividend_Mar10_2003_PetroChina Master_WIP(20-F update)_Cashflow_Honghua MSTR" xfId="5001" xr:uid="{00000000-0005-0000-0000-0000CB0B0000}"/>
    <cellStyle name="—_GS_Cash  (2)_Kelvin_SKT_dividend_Mar10_2003_PetroChina Master_WIP(20-F update)_P&amp;L" xfId="5002" xr:uid="{00000000-0005-0000-0000-0000CC0B0000}"/>
    <cellStyle name="—_GS_Cash  (2)_Kelvin_SKT_dividend_Mar10_2003_PetroChina Master_WIP(20-F update)_P&amp;L_Honghua MSTR" xfId="5003" xr:uid="{00000000-0005-0000-0000-0000CD0B0000}"/>
    <cellStyle name="—_GS_Cash  (2)_Kelvin_SKT_dividend_Mar10_2003_PetroChina Master_WIP(20-F update)_Sinopec MSTR" xfId="5004" xr:uid="{00000000-0005-0000-0000-0000CE0B0000}"/>
    <cellStyle name="—_GS_Cash  (2)_Kelvin_SKT_dividend_Mar10_2003_PetroChina Master_WIP(20-F update)_Sinopec MSTR Wip" xfId="5005" xr:uid="{00000000-0005-0000-0000-0000CF0B0000}"/>
    <cellStyle name="—_GS_Cash  (2)_Kelvin_SKT_dividend_Mar10_2003_PetroChina Master_WIP(20-F update)_Sinopec MSTR_WIP_KK" xfId="5006" xr:uid="{00000000-0005-0000-0000-0000D00B0000}"/>
    <cellStyle name="—_GS_Cash  (2)_Kelvin_SKT_dividend_Mar10_2003_Sinopec MSTR" xfId="5007" xr:uid="{00000000-0005-0000-0000-0000D10B0000}"/>
    <cellStyle name="—_GS_Cash  (2)_new-Sub" xfId="3667" xr:uid="{00000000-0005-0000-0000-0000D20B0000}"/>
    <cellStyle name="—_GS_Cash  (2)_Novatek forecast 280404" xfId="3668" xr:uid="{00000000-0005-0000-0000-0000D30B0000}"/>
    <cellStyle name="—_GS_Cash  (2)_NTT CROCI" xfId="3669" xr:uid="{00000000-0005-0000-0000-0000D40B0000}"/>
    <cellStyle name="—_GS_Cash  (2)_NTT proportionate" xfId="3670" xr:uid="{00000000-0005-0000-0000-0000D50B0000}"/>
    <cellStyle name="—_GS_Cash  (2)_operating stats comp" xfId="3671" xr:uid="{00000000-0005-0000-0000-0000D60B0000}"/>
    <cellStyle name="—_GS_Cash  (2)_operating stats comp_AUO consolidated 2004_02" xfId="3672" xr:uid="{00000000-0005-0000-0000-0000D70B0000}"/>
    <cellStyle name="—_GS_Cash  (2)_operating stats comp_AUO forecast (GQ)2005_03" xfId="3673" xr:uid="{00000000-0005-0000-0000-0000D80B0000}"/>
    <cellStyle name="—_GS_Cash  (2)_operating stats comp_new-Sub" xfId="3674" xr:uid="{00000000-0005-0000-0000-0000D90B0000}"/>
    <cellStyle name="—_GS_Cash  (2)_operating stats comp_Novatek forecast 280404" xfId="3675" xr:uid="{00000000-0005-0000-0000-0000DA0B0000}"/>
    <cellStyle name="—_GS_Cash  (2)_P&amp;L" xfId="5008" xr:uid="{00000000-0005-0000-0000-0000DB0B0000}"/>
    <cellStyle name="—_GS_Cash  (2)_P&amp;L_Honghua MSTR" xfId="5009" xr:uid="{00000000-0005-0000-0000-0000DC0B0000}"/>
    <cellStyle name="—_GS_Cash  (2)_PetroChina Master" xfId="5010" xr:uid="{00000000-0005-0000-0000-0000DD0B0000}"/>
    <cellStyle name="—_GS_Cash  (2)_PetroChina Master_WIP(20-F update)" xfId="5011" xr:uid="{00000000-0005-0000-0000-0000DE0B0000}"/>
    <cellStyle name="—_GS_Cash  (2)_PetroChina Master_WIP(20-F update)_Cashflow" xfId="5012" xr:uid="{00000000-0005-0000-0000-0000DF0B0000}"/>
    <cellStyle name="—_GS_Cash  (2)_PetroChina Master_WIP(20-F update)_Cashflow_Honghua MSTR" xfId="5013" xr:uid="{00000000-0005-0000-0000-0000E00B0000}"/>
    <cellStyle name="—_GS_Cash  (2)_PetroChina Master_WIP(20-F update)_P&amp;L" xfId="5014" xr:uid="{00000000-0005-0000-0000-0000E10B0000}"/>
    <cellStyle name="—_GS_Cash  (2)_PetroChina Master_WIP(20-F update)_P&amp;L_Honghua MSTR" xfId="5015" xr:uid="{00000000-0005-0000-0000-0000E20B0000}"/>
    <cellStyle name="—_GS_Cash  (2)_PetroChina Master_WIP(20-F update)_Sinopec MSTR" xfId="5016" xr:uid="{00000000-0005-0000-0000-0000E30B0000}"/>
    <cellStyle name="—_GS_Cash  (2)_PetroChina Master_WIP(20-F update)_Sinopec MSTR Wip" xfId="5017" xr:uid="{00000000-0005-0000-0000-0000E40B0000}"/>
    <cellStyle name="—_GS_Cash  (2)_PetroChina Master_WIP(20-F update)_Sinopec MSTR_WIP_KK" xfId="5018" xr:uid="{00000000-0005-0000-0000-0000E50B0000}"/>
    <cellStyle name="—_GS_Cash  (2)_Sheet1" xfId="3676" xr:uid="{00000000-0005-0000-0000-0000E60B0000}"/>
    <cellStyle name="—_GS_Cash  (2)_Sinopec MSTR" xfId="5019" xr:uid="{00000000-0005-0000-0000-0000E70B0000}"/>
    <cellStyle name="—_GS_Cash  (2)_SK COrp - Quantum 290704" xfId="5020" xr:uid="{00000000-0005-0000-0000-0000E80B0000}"/>
    <cellStyle name="—_GS_Cash  (2)_S-Oil-Quantum 260704" xfId="5021" xr:uid="{00000000-0005-0000-0000-0000E90B0000}"/>
    <cellStyle name="—_GS_Cash  (2)_S-Oil-Quantum 260704_Beta" xfId="5022" xr:uid="{00000000-0005-0000-0000-0000EA0B0000}"/>
    <cellStyle name="—_GS_Cash  (2)_S-Oil-Quantum 260704_Cashflow" xfId="5023" xr:uid="{00000000-0005-0000-0000-0000EB0B0000}"/>
    <cellStyle name="—_GS_Cash  (2)_S-Oil-Quantum 260704_Cashflow_Honghua MSTR" xfId="5024" xr:uid="{00000000-0005-0000-0000-0000EC0B0000}"/>
    <cellStyle name="—_GS_Cash  (2)_S-Oil-Quantum 260704_P&amp;L" xfId="5025" xr:uid="{00000000-0005-0000-0000-0000ED0B0000}"/>
    <cellStyle name="—_GS_Cash  (2)_S-Oil-Quantum 260704_P&amp;L_Honghua MSTR" xfId="5026" xr:uid="{00000000-0005-0000-0000-0000EE0B0000}"/>
    <cellStyle name="—_GS_Cash  (2)_S-Oil-Quantum 260704_PetroChina Master" xfId="5027" xr:uid="{00000000-0005-0000-0000-0000EF0B0000}"/>
    <cellStyle name="—_GS_Cash  (2)_S-Oil-Quantum 260704_PetroChina Master_WIP(20-F update)" xfId="5028" xr:uid="{00000000-0005-0000-0000-0000F00B0000}"/>
    <cellStyle name="—_GS_Cash  (2)_S-Oil-Quantum 260704_PetroChina Master_WIP(20-F update)_Cashflow" xfId="5029" xr:uid="{00000000-0005-0000-0000-0000F10B0000}"/>
    <cellStyle name="—_GS_Cash  (2)_S-Oil-Quantum 260704_PetroChina Master_WIP(20-F update)_Cashflow_Honghua MSTR" xfId="5030" xr:uid="{00000000-0005-0000-0000-0000F20B0000}"/>
    <cellStyle name="—_GS_Cash  (2)_S-Oil-Quantum 260704_PetroChina Master_WIP(20-F update)_P&amp;L" xfId="5031" xr:uid="{00000000-0005-0000-0000-0000F30B0000}"/>
    <cellStyle name="—_GS_Cash  (2)_S-Oil-Quantum 260704_PetroChina Master_WIP(20-F update)_P&amp;L_Honghua MSTR" xfId="5032" xr:uid="{00000000-0005-0000-0000-0000F40B0000}"/>
    <cellStyle name="—_GS_Cash  (2)_S-Oil-Quantum 260704_PetroChina Master_WIP(20-F update)_Sinopec MSTR" xfId="5033" xr:uid="{00000000-0005-0000-0000-0000F50B0000}"/>
    <cellStyle name="—_GS_Cash  (2)_S-Oil-Quantum 260704_PetroChina Master_WIP(20-F update)_Sinopec MSTR Wip" xfId="5034" xr:uid="{00000000-0005-0000-0000-0000F60B0000}"/>
    <cellStyle name="—_GS_Cash  (2)_S-Oil-Quantum 260704_PetroChina Master_WIP(20-F update)_Sinopec MSTR_WIP_KK" xfId="5035" xr:uid="{00000000-0005-0000-0000-0000F70B0000}"/>
    <cellStyle name="—_GS_Cash  (2)_S-Oil-Quantum 260704_Sinopec MSTR" xfId="5036" xr:uid="{00000000-0005-0000-0000-0000F80B0000}"/>
    <cellStyle name="—_GS_Cash  (2)_Strategy_data_update" xfId="3677" xr:uid="{00000000-0005-0000-0000-0000F90B0000}"/>
    <cellStyle name="—_GS_Cash  (2)_Strategy_data_update_AUO consolidated 2004_02" xfId="3678" xr:uid="{00000000-0005-0000-0000-0000FA0B0000}"/>
    <cellStyle name="—_GS_Cash  (2)_Strategy_data_update_AUO forecast (GQ)2005_03" xfId="3679" xr:uid="{00000000-0005-0000-0000-0000FB0B0000}"/>
    <cellStyle name="—_GS_Cash  (2)_Strategy_data_update_new-Sub" xfId="3680" xr:uid="{00000000-0005-0000-0000-0000FC0B0000}"/>
    <cellStyle name="—_GS_Cash  (2)_Strategy_data_update_Novatek forecast 280404" xfId="3681" xr:uid="{00000000-0005-0000-0000-0000FD0B0000}"/>
    <cellStyle name="—_GS_Cash  (2)_Yifan template 2" xfId="3682" xr:uid="{00000000-0005-0000-0000-0000FE0B0000}"/>
    <cellStyle name="—_GS_Cash  (2)_Yifan template 2_BS" xfId="3683" xr:uid="{00000000-0005-0000-0000-0000FF0B0000}"/>
    <cellStyle name="—_GS_Cash  (2)_Yifan template 2_Capex" xfId="3684" xr:uid="{00000000-0005-0000-0000-0000000C0000}"/>
    <cellStyle name="—_GS_Cash  (2)_Yifan template 2_CF" xfId="3685" xr:uid="{00000000-0005-0000-0000-0000010C0000}"/>
    <cellStyle name="—_GS_Cash  (2)_Yifan template 2_COFCO (506.HK)" xfId="3686" xr:uid="{00000000-0005-0000-0000-0000020C0000}"/>
    <cellStyle name="—_GS_Cash  (2)_Yifan template 2_COFCO_051010" xfId="3687" xr:uid="{00000000-0005-0000-0000-0000030C0000}"/>
    <cellStyle name="—_GS_Cash  (2)_Yifan template 2_COFCO_backup" xfId="3688" xr:uid="{00000000-0005-0000-0000-0000040C0000}"/>
    <cellStyle name="—_GS_Cash  (2)_Yifan template 2_DCF" xfId="3689" xr:uid="{00000000-0005-0000-0000-0000050C0000}"/>
    <cellStyle name="—_GS_Cash  (2)_Yifan template 2_Front page" xfId="3690" xr:uid="{00000000-0005-0000-0000-0000060C0000}"/>
    <cellStyle name="—_GS_Cash  (2)_Yifan template 2_LT assets" xfId="3691" xr:uid="{00000000-0005-0000-0000-0000070C0000}"/>
    <cellStyle name="—_GS_Cash  (2)_Yifan template 2_Monthly" xfId="3692" xr:uid="{00000000-0005-0000-0000-0000080C0000}"/>
    <cellStyle name="—_GS_Cash  (2)_Yifan template 2_P&amp;L" xfId="3693" xr:uid="{00000000-0005-0000-0000-0000090C0000}"/>
    <cellStyle name="—_GS_Cash  (2)_Yifan template 2_Valuation" xfId="3694" xr:uid="{00000000-0005-0000-0000-00000A0C0000}"/>
    <cellStyle name="—_GS_Cash  2" xfId="7015" xr:uid="{00000000-0005-0000-0000-00000B0C0000}"/>
    <cellStyle name="—_GS_Cash _100902 Helen NTT FCF to be sent" xfId="3695" xr:uid="{00000000-0005-0000-0000-00000C0C0000}"/>
    <cellStyle name="—_GS_Cash _1st take" xfId="10853" xr:uid="{00000000-0005-0000-0000-00000D0C0000}"/>
    <cellStyle name="—_GS_Cash _AsiaInfo Model 110308" xfId="3696" xr:uid="{00000000-0005-0000-0000-00000E0C0000}"/>
    <cellStyle name="—_GS_Cash _AUO consolidated 2004_02" xfId="3697" xr:uid="{00000000-0005-0000-0000-00000F0C0000}"/>
    <cellStyle name="—_GS_Cash _AUO forecast (GQ)2005_03" xfId="3698" xr:uid="{00000000-0005-0000-0000-0000100C0000}"/>
    <cellStyle name="—_GS_Cash _Beta" xfId="5037" xr:uid="{00000000-0005-0000-0000-0000110C0000}"/>
    <cellStyle name="—_GS_Cash _Book7" xfId="3699" xr:uid="{00000000-0005-0000-0000-0000120C0000}"/>
    <cellStyle name="—_GS_Cash _Book7_AUO consolidated 2004_02" xfId="3700" xr:uid="{00000000-0005-0000-0000-0000130C0000}"/>
    <cellStyle name="—_GS_Cash _Book7_AUO forecast (GQ)2005_03" xfId="3701" xr:uid="{00000000-0005-0000-0000-0000140C0000}"/>
    <cellStyle name="—_GS_Cash _Book7_new-Sub" xfId="3702" xr:uid="{00000000-0005-0000-0000-0000150C0000}"/>
    <cellStyle name="—_GS_Cash _Book7_Novatek forecast 280404" xfId="3703" xr:uid="{00000000-0005-0000-0000-0000160C0000}"/>
    <cellStyle name="—_GS_Cash _BS" xfId="3704" xr:uid="{00000000-0005-0000-0000-0000170C0000}"/>
    <cellStyle name="—_GS_Cash _BS_BS" xfId="3705" xr:uid="{00000000-0005-0000-0000-0000180C0000}"/>
    <cellStyle name="—_GS_Cash _BS_Capex" xfId="3706" xr:uid="{00000000-0005-0000-0000-0000190C0000}"/>
    <cellStyle name="—_GS_Cash _BS_CF" xfId="3707" xr:uid="{00000000-0005-0000-0000-00001A0C0000}"/>
    <cellStyle name="—_GS_Cash _BS_COFCO (506.HK)" xfId="3708" xr:uid="{00000000-0005-0000-0000-00001B0C0000}"/>
    <cellStyle name="—_GS_Cash _BS_COFCO_051010" xfId="3709" xr:uid="{00000000-0005-0000-0000-00001C0C0000}"/>
    <cellStyle name="—_GS_Cash _BS_COFCO_backup" xfId="3710" xr:uid="{00000000-0005-0000-0000-00001D0C0000}"/>
    <cellStyle name="—_GS_Cash _BS_DCF" xfId="3711" xr:uid="{00000000-0005-0000-0000-00001E0C0000}"/>
    <cellStyle name="—_GS_Cash _BS_Front page" xfId="3712" xr:uid="{00000000-0005-0000-0000-00001F0C0000}"/>
    <cellStyle name="—_GS_Cash _BS_LT assets" xfId="3713" xr:uid="{00000000-0005-0000-0000-0000200C0000}"/>
    <cellStyle name="—_GS_Cash _BS_Monthly" xfId="3714" xr:uid="{00000000-0005-0000-0000-0000210C0000}"/>
    <cellStyle name="—_GS_Cash _BS_P&amp;L" xfId="3715" xr:uid="{00000000-0005-0000-0000-0000220C0000}"/>
    <cellStyle name="—_GS_Cash _BS_Valuation" xfId="3716" xr:uid="{00000000-0005-0000-0000-0000230C0000}"/>
    <cellStyle name="—_GS_Cash _Cashflow" xfId="5038" xr:uid="{00000000-0005-0000-0000-0000240C0000}"/>
    <cellStyle name="—_GS_Cash _Cashflow_Honghua MSTR" xfId="5039" xr:uid="{00000000-0005-0000-0000-0000250C0000}"/>
    <cellStyle name="—_GS_Cash _Cheng Shin Model" xfId="3717" xr:uid="{00000000-0005-0000-0000-0000260C0000}"/>
    <cellStyle name="—_GS_Cash _DoCoMo table 10July2000" xfId="3718" xr:uid="{00000000-0005-0000-0000-0000270C0000}"/>
    <cellStyle name="—_GS_Cash _DoCoMo table 10July2000_AUO consolidated 2004_02" xfId="3719" xr:uid="{00000000-0005-0000-0000-0000280C0000}"/>
    <cellStyle name="—_GS_Cash _DoCoMo table 10July2000_AUO forecast (GQ)2005_03" xfId="3720" xr:uid="{00000000-0005-0000-0000-0000290C0000}"/>
    <cellStyle name="—_GS_Cash _DoCoMo table 10July2000_new-Sub" xfId="3721" xr:uid="{00000000-0005-0000-0000-00002A0C0000}"/>
    <cellStyle name="—_GS_Cash _DoCoMo table 10July2000_Novatek forecast 280404" xfId="3722" xr:uid="{00000000-0005-0000-0000-00002B0C0000}"/>
    <cellStyle name="—_GS_Cash _earnings" xfId="3723" xr:uid="{00000000-0005-0000-0000-00002C0C0000}"/>
    <cellStyle name="—_GS_Cash _earnings_AUO consolidated 2004_02" xfId="3724" xr:uid="{00000000-0005-0000-0000-00002D0C0000}"/>
    <cellStyle name="—_GS_Cash _earnings_AUO forecast (GQ)2005_03" xfId="3725" xr:uid="{00000000-0005-0000-0000-00002E0C0000}"/>
    <cellStyle name="—_GS_Cash _earnings_new-Sub" xfId="3726" xr:uid="{00000000-0005-0000-0000-00002F0C0000}"/>
    <cellStyle name="—_GS_Cash _earnings_Novatek forecast 280404" xfId="3727" xr:uid="{00000000-0005-0000-0000-0000300C0000}"/>
    <cellStyle name="—_GS_Cash _EM_CMHK" xfId="3728" xr:uid="{00000000-0005-0000-0000-0000310C0000}"/>
    <cellStyle name="—_GS_Cash _EM_CMHK_AUO consolidated 2004_02" xfId="3729" xr:uid="{00000000-0005-0000-0000-0000320C0000}"/>
    <cellStyle name="—_GS_Cash _EM_CMHK_AUO forecast (GQ)2005_03" xfId="3730" xr:uid="{00000000-0005-0000-0000-0000330C0000}"/>
    <cellStyle name="—_GS_Cash _EM_CMHK_new-Sub" xfId="3731" xr:uid="{00000000-0005-0000-0000-0000340C0000}"/>
    <cellStyle name="—_GS_Cash _EM_CMHK_Novatek forecast 280404" xfId="3732" xr:uid="{00000000-0005-0000-0000-0000350C0000}"/>
    <cellStyle name="—_GS_Cash _EM_FETone_new" xfId="3733" xr:uid="{00000000-0005-0000-0000-0000360C0000}"/>
    <cellStyle name="—_GS_Cash _EM_FETone_new_AUO consolidated 2004_02" xfId="3734" xr:uid="{00000000-0005-0000-0000-0000370C0000}"/>
    <cellStyle name="—_GS_Cash _EM_FETone_new_AUO forecast (GQ)2005_03" xfId="3735" xr:uid="{00000000-0005-0000-0000-0000380C0000}"/>
    <cellStyle name="—_GS_Cash _EM_FETone_new_new-Sub" xfId="3736" xr:uid="{00000000-0005-0000-0000-0000390C0000}"/>
    <cellStyle name="—_GS_Cash _EM_FETone_new_Novatek forecast 280404" xfId="3737" xr:uid="{00000000-0005-0000-0000-00003A0C0000}"/>
    <cellStyle name="—_GS_Cash _EM_NZT" xfId="3738" xr:uid="{00000000-0005-0000-0000-00003B0C0000}"/>
    <cellStyle name="—_GS_Cash _EM_NZT_BS" xfId="3739" xr:uid="{00000000-0005-0000-0000-00003C0C0000}"/>
    <cellStyle name="—_GS_Cash _EM_NZT_BS_BS" xfId="3740" xr:uid="{00000000-0005-0000-0000-00003D0C0000}"/>
    <cellStyle name="—_GS_Cash _EM_NZT_BS_Capex" xfId="3741" xr:uid="{00000000-0005-0000-0000-00003E0C0000}"/>
    <cellStyle name="—_GS_Cash _EM_NZT_BS_CF" xfId="3742" xr:uid="{00000000-0005-0000-0000-00003F0C0000}"/>
    <cellStyle name="—_GS_Cash _EM_NZT_BS_COFCO (506.HK)" xfId="3743" xr:uid="{00000000-0005-0000-0000-0000400C0000}"/>
    <cellStyle name="—_GS_Cash _EM_NZT_BS_COFCO_051010" xfId="3744" xr:uid="{00000000-0005-0000-0000-0000410C0000}"/>
    <cellStyle name="—_GS_Cash _EM_NZT_BS_COFCO_backup" xfId="3745" xr:uid="{00000000-0005-0000-0000-0000420C0000}"/>
    <cellStyle name="—_GS_Cash _EM_NZT_BS_DCF" xfId="3746" xr:uid="{00000000-0005-0000-0000-0000430C0000}"/>
    <cellStyle name="—_GS_Cash _EM_NZT_BS_Front page" xfId="3747" xr:uid="{00000000-0005-0000-0000-0000440C0000}"/>
    <cellStyle name="—_GS_Cash _EM_NZT_BS_LT assets" xfId="3748" xr:uid="{00000000-0005-0000-0000-0000450C0000}"/>
    <cellStyle name="—_GS_Cash _EM_NZT_BS_Monthly" xfId="3749" xr:uid="{00000000-0005-0000-0000-0000460C0000}"/>
    <cellStyle name="—_GS_Cash _EM_NZT_BS_P&amp;L" xfId="3750" xr:uid="{00000000-0005-0000-0000-0000470C0000}"/>
    <cellStyle name="—_GS_Cash _EM_NZT_BS_Valuation" xfId="3751" xr:uid="{00000000-0005-0000-0000-0000480C0000}"/>
    <cellStyle name="—_GS_Cash _EM_NZT_Yifan template 2" xfId="3752" xr:uid="{00000000-0005-0000-0000-0000490C0000}"/>
    <cellStyle name="—_GS_Cash _EM_NZT_Yifan template 2_BS" xfId="3753" xr:uid="{00000000-0005-0000-0000-00004A0C0000}"/>
    <cellStyle name="—_GS_Cash _EM_NZT_Yifan template 2_Capex" xfId="3754" xr:uid="{00000000-0005-0000-0000-00004B0C0000}"/>
    <cellStyle name="—_GS_Cash _EM_NZT_Yifan template 2_CF" xfId="3755" xr:uid="{00000000-0005-0000-0000-00004C0C0000}"/>
    <cellStyle name="—_GS_Cash _EM_NZT_Yifan template 2_COFCO (506.HK)" xfId="3756" xr:uid="{00000000-0005-0000-0000-00004D0C0000}"/>
    <cellStyle name="—_GS_Cash _EM_NZT_Yifan template 2_COFCO_051010" xfId="3757" xr:uid="{00000000-0005-0000-0000-00004E0C0000}"/>
    <cellStyle name="—_GS_Cash _EM_NZT_Yifan template 2_COFCO_backup" xfId="3758" xr:uid="{00000000-0005-0000-0000-00004F0C0000}"/>
    <cellStyle name="—_GS_Cash _EM_NZT_Yifan template 2_DCF" xfId="3759" xr:uid="{00000000-0005-0000-0000-0000500C0000}"/>
    <cellStyle name="—_GS_Cash _EM_NZT_Yifan template 2_Front page" xfId="3760" xr:uid="{00000000-0005-0000-0000-0000510C0000}"/>
    <cellStyle name="—_GS_Cash _EM_NZT_Yifan template 2_LT assets" xfId="3761" xr:uid="{00000000-0005-0000-0000-0000520C0000}"/>
    <cellStyle name="—_GS_Cash _EM_NZT_Yifan template 2_Monthly" xfId="3762" xr:uid="{00000000-0005-0000-0000-0000530C0000}"/>
    <cellStyle name="—_GS_Cash _EM_NZT_Yifan template 2_P&amp;L" xfId="3763" xr:uid="{00000000-0005-0000-0000-0000540C0000}"/>
    <cellStyle name="—_GS_Cash _EM_NZT_Yifan template 2_Valuation" xfId="3764" xr:uid="{00000000-0005-0000-0000-0000550C0000}"/>
    <cellStyle name="—_GS_Cash _EM_TCC_new" xfId="3765" xr:uid="{00000000-0005-0000-0000-0000560C0000}"/>
    <cellStyle name="—_GS_Cash _EM_TCC_new_AUO consolidated 2004_02" xfId="3766" xr:uid="{00000000-0005-0000-0000-0000570C0000}"/>
    <cellStyle name="—_GS_Cash _EM_TCC_new_AUO forecast (GQ)2005_03" xfId="3767" xr:uid="{00000000-0005-0000-0000-0000580C0000}"/>
    <cellStyle name="—_GS_Cash _EM_TCC_new_new-Sub" xfId="3768" xr:uid="{00000000-0005-0000-0000-0000590C0000}"/>
    <cellStyle name="—_GS_Cash _EM_TCC_new_Novatek forecast 280404" xfId="3769" xr:uid="{00000000-0005-0000-0000-00005A0C0000}"/>
    <cellStyle name="—_GS_Cash _EM-Optus" xfId="3770" xr:uid="{00000000-0005-0000-0000-00005B0C0000}"/>
    <cellStyle name="—_GS_Cash _EM-Optus_AUO consolidated 2004_02" xfId="3771" xr:uid="{00000000-0005-0000-0000-00005C0C0000}"/>
    <cellStyle name="—_GS_Cash _EM-Optus_AUO forecast (GQ)2005_03" xfId="3772" xr:uid="{00000000-0005-0000-0000-00005D0C0000}"/>
    <cellStyle name="—_GS_Cash _EM-Optus_BS" xfId="3773" xr:uid="{00000000-0005-0000-0000-00005E0C0000}"/>
    <cellStyle name="—_GS_Cash _EM-Optus_BS_BS" xfId="3774" xr:uid="{00000000-0005-0000-0000-00005F0C0000}"/>
    <cellStyle name="—_GS_Cash _EM-Optus_BS_Capex" xfId="3775" xr:uid="{00000000-0005-0000-0000-0000600C0000}"/>
    <cellStyle name="—_GS_Cash _EM-Optus_BS_CF" xfId="3776" xr:uid="{00000000-0005-0000-0000-0000610C0000}"/>
    <cellStyle name="—_GS_Cash _EM-Optus_BS_COFCO (506.HK)" xfId="3777" xr:uid="{00000000-0005-0000-0000-0000620C0000}"/>
    <cellStyle name="—_GS_Cash _EM-Optus_BS_COFCO_051010" xfId="3778" xr:uid="{00000000-0005-0000-0000-0000630C0000}"/>
    <cellStyle name="—_GS_Cash _EM-Optus_BS_COFCO_backup" xfId="3779" xr:uid="{00000000-0005-0000-0000-0000640C0000}"/>
    <cellStyle name="—_GS_Cash _EM-Optus_BS_DCF" xfId="3780" xr:uid="{00000000-0005-0000-0000-0000650C0000}"/>
    <cellStyle name="—_GS_Cash _EM-Optus_BS_Front page" xfId="3781" xr:uid="{00000000-0005-0000-0000-0000660C0000}"/>
    <cellStyle name="—_GS_Cash _EM-Optus_BS_LT assets" xfId="3782" xr:uid="{00000000-0005-0000-0000-0000670C0000}"/>
    <cellStyle name="—_GS_Cash _EM-Optus_BS_Monthly" xfId="3783" xr:uid="{00000000-0005-0000-0000-0000680C0000}"/>
    <cellStyle name="—_GS_Cash _EM-Optus_BS_P&amp;L" xfId="3784" xr:uid="{00000000-0005-0000-0000-0000690C0000}"/>
    <cellStyle name="—_GS_Cash _EM-Optus_BS_Valuation" xfId="3785" xr:uid="{00000000-0005-0000-0000-00006A0C0000}"/>
    <cellStyle name="—_GS_Cash _EM-Optus_Cheng Shin Model" xfId="3786" xr:uid="{00000000-0005-0000-0000-00006B0C0000}"/>
    <cellStyle name="—_GS_Cash _EM-Optus_new-Sub" xfId="3787" xr:uid="{00000000-0005-0000-0000-00006C0C0000}"/>
    <cellStyle name="—_GS_Cash _EM-Optus_Novatek forecast 280404" xfId="3788" xr:uid="{00000000-0005-0000-0000-00006D0C0000}"/>
    <cellStyle name="—_GS_Cash _EM-Optus_Yifan template 2" xfId="3789" xr:uid="{00000000-0005-0000-0000-00006E0C0000}"/>
    <cellStyle name="—_GS_Cash _EM-Optus_Yifan template 2_BS" xfId="3790" xr:uid="{00000000-0005-0000-0000-00006F0C0000}"/>
    <cellStyle name="—_GS_Cash _EM-Optus_Yifan template 2_Capex" xfId="3791" xr:uid="{00000000-0005-0000-0000-0000700C0000}"/>
    <cellStyle name="—_GS_Cash _EM-Optus_Yifan template 2_CF" xfId="3792" xr:uid="{00000000-0005-0000-0000-0000710C0000}"/>
    <cellStyle name="—_GS_Cash _EM-Optus_Yifan template 2_COFCO (506.HK)" xfId="3793" xr:uid="{00000000-0005-0000-0000-0000720C0000}"/>
    <cellStyle name="—_GS_Cash _EM-Optus_Yifan template 2_COFCO_051010" xfId="3794" xr:uid="{00000000-0005-0000-0000-0000730C0000}"/>
    <cellStyle name="—_GS_Cash _EM-Optus_Yifan template 2_COFCO_backup" xfId="3795" xr:uid="{00000000-0005-0000-0000-0000740C0000}"/>
    <cellStyle name="—_GS_Cash _EM-Optus_Yifan template 2_DCF" xfId="3796" xr:uid="{00000000-0005-0000-0000-0000750C0000}"/>
    <cellStyle name="—_GS_Cash _EM-Optus_Yifan template 2_Front page" xfId="3797" xr:uid="{00000000-0005-0000-0000-0000760C0000}"/>
    <cellStyle name="—_GS_Cash _EM-Optus_Yifan template 2_LT assets" xfId="3798" xr:uid="{00000000-0005-0000-0000-0000770C0000}"/>
    <cellStyle name="—_GS_Cash _EM-Optus_Yifan template 2_Monthly" xfId="3799" xr:uid="{00000000-0005-0000-0000-0000780C0000}"/>
    <cellStyle name="—_GS_Cash _EM-Optus_Yifan template 2_P&amp;L" xfId="3800" xr:uid="{00000000-0005-0000-0000-0000790C0000}"/>
    <cellStyle name="—_GS_Cash _EM-Optus_Yifan template 2_Valuation" xfId="3801" xr:uid="{00000000-0005-0000-0000-00007A0C0000}"/>
    <cellStyle name="—_GS_Cash _FX" xfId="5040" xr:uid="{00000000-0005-0000-0000-00007B0C0000}"/>
    <cellStyle name="—_GS_Cash _FX_Honghua MSTR" xfId="5041" xr:uid="{00000000-0005-0000-0000-00007C0C0000}"/>
    <cellStyle name="—_GS_Cash _GlobalValuation_Japan" xfId="3802" xr:uid="{00000000-0005-0000-0000-00007D0C0000}"/>
    <cellStyle name="—_GS_Cash _honam -Quantum 220704" xfId="5042" xr:uid="{00000000-0005-0000-0000-00007E0C0000}"/>
    <cellStyle name="—_GS_Cash _JT CROCI" xfId="3803" xr:uid="{00000000-0005-0000-0000-00007F0C0000}"/>
    <cellStyle name="—_GS_Cash _KDDI CROCI" xfId="3804" xr:uid="{00000000-0005-0000-0000-0000800C0000}"/>
    <cellStyle name="—_GS_Cash _Kelvin_SKT_dividend_Mar10_2003" xfId="5043" xr:uid="{00000000-0005-0000-0000-0000810C0000}"/>
    <cellStyle name="—_GS_Cash _Kelvin_SKT_dividend_Mar10_2003_Beta" xfId="5044" xr:uid="{00000000-0005-0000-0000-0000820C0000}"/>
    <cellStyle name="—_GS_Cash _Kelvin_SKT_dividend_Mar10_2003_Cashflow" xfId="5045" xr:uid="{00000000-0005-0000-0000-0000830C0000}"/>
    <cellStyle name="—_GS_Cash _Kelvin_SKT_dividend_Mar10_2003_Cashflow_Honghua MSTR" xfId="5046" xr:uid="{00000000-0005-0000-0000-0000840C0000}"/>
    <cellStyle name="—_GS_Cash _Kelvin_SKT_dividend_Mar10_2003_P&amp;L" xfId="5047" xr:uid="{00000000-0005-0000-0000-0000850C0000}"/>
    <cellStyle name="—_GS_Cash _Kelvin_SKT_dividend_Mar10_2003_P&amp;L_Honghua MSTR" xfId="5048" xr:uid="{00000000-0005-0000-0000-0000860C0000}"/>
    <cellStyle name="—_GS_Cash _Kelvin_SKT_dividend_Mar10_2003_PetroChina Master" xfId="5049" xr:uid="{00000000-0005-0000-0000-0000870C0000}"/>
    <cellStyle name="—_GS_Cash _Kelvin_SKT_dividend_Mar10_2003_PetroChina Master_WIP(20-F update)" xfId="5050" xr:uid="{00000000-0005-0000-0000-0000880C0000}"/>
    <cellStyle name="—_GS_Cash _Kelvin_SKT_dividend_Mar10_2003_PetroChina Master_WIP(20-F update)_Cashflow" xfId="5051" xr:uid="{00000000-0005-0000-0000-0000890C0000}"/>
    <cellStyle name="—_GS_Cash _Kelvin_SKT_dividend_Mar10_2003_PetroChina Master_WIP(20-F update)_Cashflow_Honghua MSTR" xfId="5052" xr:uid="{00000000-0005-0000-0000-00008A0C0000}"/>
    <cellStyle name="—_GS_Cash _Kelvin_SKT_dividend_Mar10_2003_PetroChina Master_WIP(20-F update)_P&amp;L" xfId="5053" xr:uid="{00000000-0005-0000-0000-00008B0C0000}"/>
    <cellStyle name="—_GS_Cash _Kelvin_SKT_dividend_Mar10_2003_PetroChina Master_WIP(20-F update)_P&amp;L_Honghua MSTR" xfId="5054" xr:uid="{00000000-0005-0000-0000-00008C0C0000}"/>
    <cellStyle name="—_GS_Cash _Kelvin_SKT_dividend_Mar10_2003_PetroChina Master_WIP(20-F update)_Sinopec MSTR" xfId="5055" xr:uid="{00000000-0005-0000-0000-00008D0C0000}"/>
    <cellStyle name="—_GS_Cash _Kelvin_SKT_dividend_Mar10_2003_PetroChina Master_WIP(20-F update)_Sinopec MSTR Wip" xfId="5056" xr:uid="{00000000-0005-0000-0000-00008E0C0000}"/>
    <cellStyle name="—_GS_Cash _Kelvin_SKT_dividend_Mar10_2003_PetroChina Master_WIP(20-F update)_Sinopec MSTR_WIP_KK" xfId="5057" xr:uid="{00000000-0005-0000-0000-00008F0C0000}"/>
    <cellStyle name="—_GS_Cash _Kelvin_SKT_dividend_Mar10_2003_Sinopec MSTR" xfId="5058" xr:uid="{00000000-0005-0000-0000-0000900C0000}"/>
    <cellStyle name="—_GS_Cash _Model" xfId="5059" xr:uid="{00000000-0005-0000-0000-0000910C0000}"/>
    <cellStyle name="—_GS_Cash _Model-Parent" xfId="10854" xr:uid="{00000000-0005-0000-0000-0000920C0000}"/>
    <cellStyle name="—_GS_Cash _new-Sub" xfId="3805" xr:uid="{00000000-0005-0000-0000-0000930C0000}"/>
    <cellStyle name="—_GS_Cash _Novatek forecast 280404" xfId="3806" xr:uid="{00000000-0005-0000-0000-0000940C0000}"/>
    <cellStyle name="—_GS_Cash _NTT CROCI" xfId="3807" xr:uid="{00000000-0005-0000-0000-0000950C0000}"/>
    <cellStyle name="—_GS_Cash _NTT proportionate" xfId="3808" xr:uid="{00000000-0005-0000-0000-0000960C0000}"/>
    <cellStyle name="—_GS_Cash _operating stats comp" xfId="3809" xr:uid="{00000000-0005-0000-0000-0000970C0000}"/>
    <cellStyle name="—_GS_Cash _operating stats comp_AUO consolidated 2004_02" xfId="3810" xr:uid="{00000000-0005-0000-0000-0000980C0000}"/>
    <cellStyle name="—_GS_Cash _operating stats comp_AUO forecast (GQ)2005_03" xfId="3811" xr:uid="{00000000-0005-0000-0000-0000990C0000}"/>
    <cellStyle name="—_GS_Cash _operating stats comp_new-Sub" xfId="3812" xr:uid="{00000000-0005-0000-0000-00009A0C0000}"/>
    <cellStyle name="—_GS_Cash _operating stats comp_Novatek forecast 280404" xfId="3813" xr:uid="{00000000-0005-0000-0000-00009B0C0000}"/>
    <cellStyle name="—_GS_Cash _P&amp;L" xfId="5060" xr:uid="{00000000-0005-0000-0000-00009C0C0000}"/>
    <cellStyle name="—_GS_Cash _P&amp;L_Honghua MSTR" xfId="5061" xr:uid="{00000000-0005-0000-0000-00009D0C0000}"/>
    <cellStyle name="—_GS_Cash _PetroChina Master" xfId="5062" xr:uid="{00000000-0005-0000-0000-00009E0C0000}"/>
    <cellStyle name="—_GS_Cash _PetroChina Master_WIP(20-F update)" xfId="5063" xr:uid="{00000000-0005-0000-0000-00009F0C0000}"/>
    <cellStyle name="—_GS_Cash _PetroChina Master_WIP(20-F update)_Cashflow" xfId="5064" xr:uid="{00000000-0005-0000-0000-0000A00C0000}"/>
    <cellStyle name="—_GS_Cash _PetroChina Master_WIP(20-F update)_Cashflow_Honghua MSTR" xfId="5065" xr:uid="{00000000-0005-0000-0000-0000A10C0000}"/>
    <cellStyle name="—_GS_Cash _PetroChina Master_WIP(20-F update)_P&amp;L" xfId="5066" xr:uid="{00000000-0005-0000-0000-0000A20C0000}"/>
    <cellStyle name="—_GS_Cash _PetroChina Master_WIP(20-F update)_P&amp;L_Honghua MSTR" xfId="5067" xr:uid="{00000000-0005-0000-0000-0000A30C0000}"/>
    <cellStyle name="—_GS_Cash _PetroChina Master_WIP(20-F update)_Sinopec MSTR" xfId="5068" xr:uid="{00000000-0005-0000-0000-0000A40C0000}"/>
    <cellStyle name="—_GS_Cash _PetroChina Master_WIP(20-F update)_Sinopec MSTR Wip" xfId="5069" xr:uid="{00000000-0005-0000-0000-0000A50C0000}"/>
    <cellStyle name="—_GS_Cash _PetroChina Master_WIP(20-F update)_Sinopec MSTR_WIP_KK" xfId="5070" xr:uid="{00000000-0005-0000-0000-0000A60C0000}"/>
    <cellStyle name="—_GS_Cash _QP_0883.HK" xfId="5071" xr:uid="{00000000-0005-0000-0000-0000A70C0000}"/>
    <cellStyle name="—_GS_Cash _QP_2408.TW" xfId="10855" xr:uid="{00000000-0005-0000-0000-0000A80C0000}"/>
    <cellStyle name="—_GS_Cash _QP_5387.TW" xfId="10856" xr:uid="{00000000-0005-0000-0000-0000A90C0000}"/>
    <cellStyle name="—_GS_Cash _Ratios" xfId="5072" xr:uid="{00000000-0005-0000-0000-0000AA0C0000}"/>
    <cellStyle name="—_GS_Cash _Raw Data" xfId="5073" xr:uid="{00000000-0005-0000-0000-0000AB0C0000}"/>
    <cellStyle name="—_GS_Cash _Revenue" xfId="5074" xr:uid="{00000000-0005-0000-0000-0000AC0C0000}"/>
    <cellStyle name="—_GS_Cash _Sheet1" xfId="3814" xr:uid="{00000000-0005-0000-0000-0000AD0C0000}"/>
    <cellStyle name="—_GS_Cash _Sheet1 2" xfId="5075" xr:uid="{00000000-0005-0000-0000-0000AE0C0000}"/>
    <cellStyle name="—_GS_Cash _Sheet1_Honghua MSTR" xfId="5076" xr:uid="{00000000-0005-0000-0000-0000AF0C0000}"/>
    <cellStyle name="—_GS_Cash _Sheet2" xfId="5077" xr:uid="{00000000-0005-0000-0000-0000B00C0000}"/>
    <cellStyle name="—_GS_Cash _Sheet2_Honghua MSTR" xfId="5078" xr:uid="{00000000-0005-0000-0000-0000B10C0000}"/>
    <cellStyle name="—_GS_Cash _Sinopec MSTR" xfId="5079" xr:uid="{00000000-0005-0000-0000-0000B20C0000}"/>
    <cellStyle name="—_GS_Cash _SK COrp - Quantum 290704" xfId="5080" xr:uid="{00000000-0005-0000-0000-0000B30C0000}"/>
    <cellStyle name="—_GS_Cash _S-Oil-Quantum 260704" xfId="5081" xr:uid="{00000000-0005-0000-0000-0000B40C0000}"/>
    <cellStyle name="—_GS_Cash _S-Oil-Quantum 260704_Beta" xfId="5082" xr:uid="{00000000-0005-0000-0000-0000B50C0000}"/>
    <cellStyle name="—_GS_Cash _S-Oil-Quantum 260704_Cashflow" xfId="5083" xr:uid="{00000000-0005-0000-0000-0000B60C0000}"/>
    <cellStyle name="—_GS_Cash _S-Oil-Quantum 260704_Cashflow_Honghua MSTR" xfId="5084" xr:uid="{00000000-0005-0000-0000-0000B70C0000}"/>
    <cellStyle name="—_GS_Cash _S-Oil-Quantum 260704_P&amp;L" xfId="5085" xr:uid="{00000000-0005-0000-0000-0000B80C0000}"/>
    <cellStyle name="—_GS_Cash _S-Oil-Quantum 260704_P&amp;L_Honghua MSTR" xfId="5086" xr:uid="{00000000-0005-0000-0000-0000B90C0000}"/>
    <cellStyle name="—_GS_Cash _S-Oil-Quantum 260704_PetroChina Master" xfId="5087" xr:uid="{00000000-0005-0000-0000-0000BA0C0000}"/>
    <cellStyle name="—_GS_Cash _S-Oil-Quantum 260704_PetroChina Master_WIP(20-F update)" xfId="5088" xr:uid="{00000000-0005-0000-0000-0000BB0C0000}"/>
    <cellStyle name="—_GS_Cash _S-Oil-Quantum 260704_PetroChina Master_WIP(20-F update)_Cashflow" xfId="5089" xr:uid="{00000000-0005-0000-0000-0000BC0C0000}"/>
    <cellStyle name="—_GS_Cash _S-Oil-Quantum 260704_PetroChina Master_WIP(20-F update)_Cashflow_Honghua MSTR" xfId="5090" xr:uid="{00000000-0005-0000-0000-0000BD0C0000}"/>
    <cellStyle name="—_GS_Cash _S-Oil-Quantum 260704_PetroChina Master_WIP(20-F update)_P&amp;L" xfId="5091" xr:uid="{00000000-0005-0000-0000-0000BE0C0000}"/>
    <cellStyle name="—_GS_Cash _S-Oil-Quantum 260704_PetroChina Master_WIP(20-F update)_P&amp;L_Honghua MSTR" xfId="5092" xr:uid="{00000000-0005-0000-0000-0000BF0C0000}"/>
    <cellStyle name="—_GS_Cash _S-Oil-Quantum 260704_PetroChina Master_WIP(20-F update)_Sinopec MSTR" xfId="5093" xr:uid="{00000000-0005-0000-0000-0000C00C0000}"/>
    <cellStyle name="—_GS_Cash _S-Oil-Quantum 260704_PetroChina Master_WIP(20-F update)_Sinopec MSTR Wip" xfId="5094" xr:uid="{00000000-0005-0000-0000-0000C10C0000}"/>
    <cellStyle name="—_GS_Cash _S-Oil-Quantum 260704_PetroChina Master_WIP(20-F update)_Sinopec MSTR_WIP_KK" xfId="5095" xr:uid="{00000000-0005-0000-0000-0000C20C0000}"/>
    <cellStyle name="—_GS_Cash _S-Oil-Quantum 260704_Sinopec MSTR" xfId="5096" xr:uid="{00000000-0005-0000-0000-0000C30C0000}"/>
    <cellStyle name="—_GS_Cash _Strategy_data_update" xfId="3815" xr:uid="{00000000-0005-0000-0000-0000C40C0000}"/>
    <cellStyle name="—_GS_Cash _Strategy_data_update_AUO consolidated 2004_02" xfId="3816" xr:uid="{00000000-0005-0000-0000-0000C50C0000}"/>
    <cellStyle name="—_GS_Cash _Strategy_data_update_AUO forecast (GQ)2005_03" xfId="3817" xr:uid="{00000000-0005-0000-0000-0000C60C0000}"/>
    <cellStyle name="—_GS_Cash _Strategy_data_update_new-Sub" xfId="3818" xr:uid="{00000000-0005-0000-0000-0000C70C0000}"/>
    <cellStyle name="—_GS_Cash _Strategy_data_update_Novatek forecast 280404" xfId="3819" xr:uid="{00000000-0005-0000-0000-0000C80C0000}"/>
    <cellStyle name="—_GS_Cash _UMC Model - WIP" xfId="10857" xr:uid="{00000000-0005-0000-0000-0000C90C0000}"/>
    <cellStyle name="—_GS_Cash _Valuation" xfId="5097" xr:uid="{00000000-0005-0000-0000-0000CA0C0000}"/>
    <cellStyle name="—_GS_Cash _Yifan template 2" xfId="3820" xr:uid="{00000000-0005-0000-0000-0000CB0C0000}"/>
    <cellStyle name="—_GS_Cash _Yifan template 2_BS" xfId="3821" xr:uid="{00000000-0005-0000-0000-0000CC0C0000}"/>
    <cellStyle name="—_GS_Cash _Yifan template 2_Capex" xfId="3822" xr:uid="{00000000-0005-0000-0000-0000CD0C0000}"/>
    <cellStyle name="—_GS_Cash _Yifan template 2_CF" xfId="3823" xr:uid="{00000000-0005-0000-0000-0000CE0C0000}"/>
    <cellStyle name="—_GS_Cash _Yifan template 2_COFCO (506.HK)" xfId="3824" xr:uid="{00000000-0005-0000-0000-0000CF0C0000}"/>
    <cellStyle name="—_GS_Cash _Yifan template 2_COFCO_051010" xfId="3825" xr:uid="{00000000-0005-0000-0000-0000D00C0000}"/>
    <cellStyle name="—_GS_Cash _Yifan template 2_COFCO_backup" xfId="3826" xr:uid="{00000000-0005-0000-0000-0000D10C0000}"/>
    <cellStyle name="—_GS_Cash _Yifan template 2_DCF" xfId="3827" xr:uid="{00000000-0005-0000-0000-0000D20C0000}"/>
    <cellStyle name="—_GS_Cash _Yifan template 2_Front page" xfId="3828" xr:uid="{00000000-0005-0000-0000-0000D30C0000}"/>
    <cellStyle name="—_GS_Cash _Yifan template 2_LT assets" xfId="3829" xr:uid="{00000000-0005-0000-0000-0000D40C0000}"/>
    <cellStyle name="—_GS_Cash _Yifan template 2_Monthly" xfId="3830" xr:uid="{00000000-0005-0000-0000-0000D50C0000}"/>
    <cellStyle name="—_GS_Cash _Yifan template 2_P&amp;L" xfId="3831" xr:uid="{00000000-0005-0000-0000-0000D60C0000}"/>
    <cellStyle name="—_GS_Cash _Yifan template 2_Valuation" xfId="3832" xr:uid="{00000000-0005-0000-0000-0000D70C0000}"/>
    <cellStyle name="—_GS_DCF" xfId="3833" xr:uid="{00000000-0005-0000-0000-0000D80C0000}"/>
    <cellStyle name="—_GS_DCF 2" xfId="5098" xr:uid="{00000000-0005-0000-0000-0000D90C0000}"/>
    <cellStyle name="—_GS_DCF_100902 Helen NTT FCF to be sent" xfId="3834" xr:uid="{00000000-0005-0000-0000-0000DA0C0000}"/>
    <cellStyle name="—_GS_DCF_AUO consolidated 2004_02" xfId="3835" xr:uid="{00000000-0005-0000-0000-0000DB0C0000}"/>
    <cellStyle name="—_GS_DCF_AUO forecast (GQ)2005_03" xfId="3836" xr:uid="{00000000-0005-0000-0000-0000DC0C0000}"/>
    <cellStyle name="—_GS_DCF_Beta" xfId="5099" xr:uid="{00000000-0005-0000-0000-0000DD0C0000}"/>
    <cellStyle name="—_GS_DCF_Book7" xfId="3837" xr:uid="{00000000-0005-0000-0000-0000DE0C0000}"/>
    <cellStyle name="—_GS_DCF_Book7_AUO consolidated 2004_02" xfId="3838" xr:uid="{00000000-0005-0000-0000-0000DF0C0000}"/>
    <cellStyle name="—_GS_DCF_Book7_AUO forecast (GQ)2005_03" xfId="3839" xr:uid="{00000000-0005-0000-0000-0000E00C0000}"/>
    <cellStyle name="—_GS_DCF_Book7_new-Sub" xfId="3840" xr:uid="{00000000-0005-0000-0000-0000E10C0000}"/>
    <cellStyle name="—_GS_DCF_Book7_Novatek forecast 280404" xfId="3841" xr:uid="{00000000-0005-0000-0000-0000E20C0000}"/>
    <cellStyle name="—_GS_DCF_BS" xfId="3842" xr:uid="{00000000-0005-0000-0000-0000E30C0000}"/>
    <cellStyle name="—_GS_DCF_BS_BS" xfId="3843" xr:uid="{00000000-0005-0000-0000-0000E40C0000}"/>
    <cellStyle name="—_GS_DCF_BS_Capex" xfId="3844" xr:uid="{00000000-0005-0000-0000-0000E50C0000}"/>
    <cellStyle name="—_GS_DCF_BS_CF" xfId="3845" xr:uid="{00000000-0005-0000-0000-0000E60C0000}"/>
    <cellStyle name="—_GS_DCF_BS_COFCO (506.HK)" xfId="3846" xr:uid="{00000000-0005-0000-0000-0000E70C0000}"/>
    <cellStyle name="—_GS_DCF_BS_COFCO_051010" xfId="3847" xr:uid="{00000000-0005-0000-0000-0000E80C0000}"/>
    <cellStyle name="—_GS_DCF_BS_COFCO_backup" xfId="3848" xr:uid="{00000000-0005-0000-0000-0000E90C0000}"/>
    <cellStyle name="—_GS_DCF_BS_DCF" xfId="3849" xr:uid="{00000000-0005-0000-0000-0000EA0C0000}"/>
    <cellStyle name="—_GS_DCF_BS_Front page" xfId="3850" xr:uid="{00000000-0005-0000-0000-0000EB0C0000}"/>
    <cellStyle name="—_GS_DCF_BS_LT assets" xfId="3851" xr:uid="{00000000-0005-0000-0000-0000EC0C0000}"/>
    <cellStyle name="—_GS_DCF_BS_Monthly" xfId="3852" xr:uid="{00000000-0005-0000-0000-0000ED0C0000}"/>
    <cellStyle name="—_GS_DCF_BS_P&amp;L" xfId="3853" xr:uid="{00000000-0005-0000-0000-0000EE0C0000}"/>
    <cellStyle name="—_GS_DCF_BS_Valuation" xfId="3854" xr:uid="{00000000-0005-0000-0000-0000EF0C0000}"/>
    <cellStyle name="—_GS_DCF_Cashflow" xfId="5100" xr:uid="{00000000-0005-0000-0000-0000F00C0000}"/>
    <cellStyle name="—_GS_DCF_Cashflow_Honghua MSTR" xfId="5101" xr:uid="{00000000-0005-0000-0000-0000F10C0000}"/>
    <cellStyle name="—_GS_DCF_Cheng Shin Model" xfId="3855" xr:uid="{00000000-0005-0000-0000-0000F20C0000}"/>
    <cellStyle name="—_GS_DCF_DoCoMo table 10July2000" xfId="3856" xr:uid="{00000000-0005-0000-0000-0000F30C0000}"/>
    <cellStyle name="—_GS_DCF_DoCoMo table 10July2000_AUO consolidated 2004_02" xfId="3857" xr:uid="{00000000-0005-0000-0000-0000F40C0000}"/>
    <cellStyle name="—_GS_DCF_DoCoMo table 10July2000_AUO forecast (GQ)2005_03" xfId="3858" xr:uid="{00000000-0005-0000-0000-0000F50C0000}"/>
    <cellStyle name="—_GS_DCF_DoCoMo table 10July2000_new-Sub" xfId="3859" xr:uid="{00000000-0005-0000-0000-0000F60C0000}"/>
    <cellStyle name="—_GS_DCF_DoCoMo table 10July2000_Novatek forecast 280404" xfId="3860" xr:uid="{00000000-0005-0000-0000-0000F70C0000}"/>
    <cellStyle name="—_GS_DCF_earnings" xfId="3861" xr:uid="{00000000-0005-0000-0000-0000F80C0000}"/>
    <cellStyle name="—_GS_DCF_earnings_AUO consolidated 2004_02" xfId="3862" xr:uid="{00000000-0005-0000-0000-0000F90C0000}"/>
    <cellStyle name="—_GS_DCF_earnings_AUO forecast (GQ)2005_03" xfId="3863" xr:uid="{00000000-0005-0000-0000-0000FA0C0000}"/>
    <cellStyle name="—_GS_DCF_earnings_new-Sub" xfId="3864" xr:uid="{00000000-0005-0000-0000-0000FB0C0000}"/>
    <cellStyle name="—_GS_DCF_earnings_Novatek forecast 280404" xfId="3865" xr:uid="{00000000-0005-0000-0000-0000FC0C0000}"/>
    <cellStyle name="—_GS_DCF_EM_CMHK" xfId="3866" xr:uid="{00000000-0005-0000-0000-0000FD0C0000}"/>
    <cellStyle name="—_GS_DCF_EM_CMHK_AUO consolidated 2004_02" xfId="3867" xr:uid="{00000000-0005-0000-0000-0000FE0C0000}"/>
    <cellStyle name="—_GS_DCF_EM_CMHK_AUO forecast (GQ)2005_03" xfId="3868" xr:uid="{00000000-0005-0000-0000-0000FF0C0000}"/>
    <cellStyle name="—_GS_DCF_EM_CMHK_new-Sub" xfId="3869" xr:uid="{00000000-0005-0000-0000-0000000D0000}"/>
    <cellStyle name="—_GS_DCF_EM_CMHK_Novatek forecast 280404" xfId="3870" xr:uid="{00000000-0005-0000-0000-0000010D0000}"/>
    <cellStyle name="—_GS_DCF_EM_FETone_new" xfId="3871" xr:uid="{00000000-0005-0000-0000-0000020D0000}"/>
    <cellStyle name="—_GS_DCF_EM_FETone_new_AUO consolidated 2004_02" xfId="3872" xr:uid="{00000000-0005-0000-0000-0000030D0000}"/>
    <cellStyle name="—_GS_DCF_EM_FETone_new_AUO forecast (GQ)2005_03" xfId="3873" xr:uid="{00000000-0005-0000-0000-0000040D0000}"/>
    <cellStyle name="—_GS_DCF_EM_FETone_new_new-Sub" xfId="3874" xr:uid="{00000000-0005-0000-0000-0000050D0000}"/>
    <cellStyle name="—_GS_DCF_EM_FETone_new_Novatek forecast 280404" xfId="3875" xr:uid="{00000000-0005-0000-0000-0000060D0000}"/>
    <cellStyle name="—_GS_DCF_EM_NZT" xfId="3876" xr:uid="{00000000-0005-0000-0000-0000070D0000}"/>
    <cellStyle name="—_GS_DCF_EM_NZT_BS" xfId="3877" xr:uid="{00000000-0005-0000-0000-0000080D0000}"/>
    <cellStyle name="—_GS_DCF_EM_NZT_BS_BS" xfId="3878" xr:uid="{00000000-0005-0000-0000-0000090D0000}"/>
    <cellStyle name="—_GS_DCF_EM_NZT_BS_Capex" xfId="3879" xr:uid="{00000000-0005-0000-0000-00000A0D0000}"/>
    <cellStyle name="—_GS_DCF_EM_NZT_BS_CF" xfId="3880" xr:uid="{00000000-0005-0000-0000-00000B0D0000}"/>
    <cellStyle name="—_GS_DCF_EM_NZT_BS_COFCO (506.HK)" xfId="3881" xr:uid="{00000000-0005-0000-0000-00000C0D0000}"/>
    <cellStyle name="—_GS_DCF_EM_NZT_BS_COFCO_051010" xfId="3882" xr:uid="{00000000-0005-0000-0000-00000D0D0000}"/>
    <cellStyle name="—_GS_DCF_EM_NZT_BS_COFCO_backup" xfId="3883" xr:uid="{00000000-0005-0000-0000-00000E0D0000}"/>
    <cellStyle name="—_GS_DCF_EM_NZT_BS_DCF" xfId="3884" xr:uid="{00000000-0005-0000-0000-00000F0D0000}"/>
    <cellStyle name="—_GS_DCF_EM_NZT_BS_Front page" xfId="3885" xr:uid="{00000000-0005-0000-0000-0000100D0000}"/>
    <cellStyle name="—_GS_DCF_EM_NZT_BS_LT assets" xfId="3886" xr:uid="{00000000-0005-0000-0000-0000110D0000}"/>
    <cellStyle name="—_GS_DCF_EM_NZT_BS_Monthly" xfId="3887" xr:uid="{00000000-0005-0000-0000-0000120D0000}"/>
    <cellStyle name="—_GS_DCF_EM_NZT_BS_P&amp;L" xfId="3888" xr:uid="{00000000-0005-0000-0000-0000130D0000}"/>
    <cellStyle name="—_GS_DCF_EM_NZT_BS_Valuation" xfId="3889" xr:uid="{00000000-0005-0000-0000-0000140D0000}"/>
    <cellStyle name="—_GS_DCF_EM_NZT_Yifan template 2" xfId="3890" xr:uid="{00000000-0005-0000-0000-0000150D0000}"/>
    <cellStyle name="—_GS_DCF_EM_NZT_Yifan template 2_BS" xfId="3891" xr:uid="{00000000-0005-0000-0000-0000160D0000}"/>
    <cellStyle name="—_GS_DCF_EM_NZT_Yifan template 2_Capex" xfId="3892" xr:uid="{00000000-0005-0000-0000-0000170D0000}"/>
    <cellStyle name="—_GS_DCF_EM_NZT_Yifan template 2_CF" xfId="3893" xr:uid="{00000000-0005-0000-0000-0000180D0000}"/>
    <cellStyle name="—_GS_DCF_EM_NZT_Yifan template 2_COFCO (506.HK)" xfId="3894" xr:uid="{00000000-0005-0000-0000-0000190D0000}"/>
    <cellStyle name="—_GS_DCF_EM_NZT_Yifan template 2_COFCO_051010" xfId="3895" xr:uid="{00000000-0005-0000-0000-00001A0D0000}"/>
    <cellStyle name="—_GS_DCF_EM_NZT_Yifan template 2_COFCO_backup" xfId="3896" xr:uid="{00000000-0005-0000-0000-00001B0D0000}"/>
    <cellStyle name="—_GS_DCF_EM_NZT_Yifan template 2_DCF" xfId="3897" xr:uid="{00000000-0005-0000-0000-00001C0D0000}"/>
    <cellStyle name="—_GS_DCF_EM_NZT_Yifan template 2_Front page" xfId="3898" xr:uid="{00000000-0005-0000-0000-00001D0D0000}"/>
    <cellStyle name="—_GS_DCF_EM_NZT_Yifan template 2_LT assets" xfId="3899" xr:uid="{00000000-0005-0000-0000-00001E0D0000}"/>
    <cellStyle name="—_GS_DCF_EM_NZT_Yifan template 2_Monthly" xfId="3900" xr:uid="{00000000-0005-0000-0000-00001F0D0000}"/>
    <cellStyle name="—_GS_DCF_EM_NZT_Yifan template 2_P&amp;L" xfId="3901" xr:uid="{00000000-0005-0000-0000-0000200D0000}"/>
    <cellStyle name="—_GS_DCF_EM_NZT_Yifan template 2_Valuation" xfId="3902" xr:uid="{00000000-0005-0000-0000-0000210D0000}"/>
    <cellStyle name="—_GS_DCF_EM_TCC_new" xfId="3903" xr:uid="{00000000-0005-0000-0000-0000220D0000}"/>
    <cellStyle name="—_GS_DCF_EM_TCC_new_AUO consolidated 2004_02" xfId="3904" xr:uid="{00000000-0005-0000-0000-0000230D0000}"/>
    <cellStyle name="—_GS_DCF_EM_TCC_new_AUO forecast (GQ)2005_03" xfId="3905" xr:uid="{00000000-0005-0000-0000-0000240D0000}"/>
    <cellStyle name="—_GS_DCF_EM_TCC_new_new-Sub" xfId="3906" xr:uid="{00000000-0005-0000-0000-0000250D0000}"/>
    <cellStyle name="—_GS_DCF_EM_TCC_new_Novatek forecast 280404" xfId="3907" xr:uid="{00000000-0005-0000-0000-0000260D0000}"/>
    <cellStyle name="—_GS_DCF_EM-Optus" xfId="3908" xr:uid="{00000000-0005-0000-0000-0000270D0000}"/>
    <cellStyle name="—_GS_DCF_EM-Optus_AUO consolidated 2004_02" xfId="3909" xr:uid="{00000000-0005-0000-0000-0000280D0000}"/>
    <cellStyle name="—_GS_DCF_EM-Optus_AUO forecast (GQ)2005_03" xfId="3910" xr:uid="{00000000-0005-0000-0000-0000290D0000}"/>
    <cellStyle name="—_GS_DCF_EM-Optus_BS" xfId="3911" xr:uid="{00000000-0005-0000-0000-00002A0D0000}"/>
    <cellStyle name="—_GS_DCF_EM-Optus_BS_BS" xfId="3912" xr:uid="{00000000-0005-0000-0000-00002B0D0000}"/>
    <cellStyle name="—_GS_DCF_EM-Optus_BS_Capex" xfId="3913" xr:uid="{00000000-0005-0000-0000-00002C0D0000}"/>
    <cellStyle name="—_GS_DCF_EM-Optus_BS_CF" xfId="3914" xr:uid="{00000000-0005-0000-0000-00002D0D0000}"/>
    <cellStyle name="—_GS_DCF_EM-Optus_BS_COFCO (506.HK)" xfId="3915" xr:uid="{00000000-0005-0000-0000-00002E0D0000}"/>
    <cellStyle name="—_GS_DCF_EM-Optus_new-Sub" xfId="3916" xr:uid="{00000000-0005-0000-0000-00002F0D0000}"/>
    <cellStyle name="—_GS_DCF_GlobalValuation_Japan" xfId="10858" xr:uid="{00000000-0005-0000-0000-0000300D0000}"/>
    <cellStyle name="—_GS_DCF_honam -Quantum 220704" xfId="5102" xr:uid="{00000000-0005-0000-0000-0000310D0000}"/>
    <cellStyle name="—_GS_DCF_JT CROCI" xfId="10859" xr:uid="{00000000-0005-0000-0000-0000320D0000}"/>
    <cellStyle name="—_GS_DCF_KDDI CROCI" xfId="10860" xr:uid="{00000000-0005-0000-0000-0000330D0000}"/>
    <cellStyle name="—_GS_DCF_Kelvin_SKT_dividend_Mar10_2003" xfId="5103" xr:uid="{00000000-0005-0000-0000-0000340D0000}"/>
    <cellStyle name="—_GS_DCF_Kelvin_SKT_dividend_Mar10_2003_Beta" xfId="5104" xr:uid="{00000000-0005-0000-0000-0000350D0000}"/>
    <cellStyle name="—_GS_DCF_Kelvin_SKT_dividend_Mar10_2003_Cashflow" xfId="5105" xr:uid="{00000000-0005-0000-0000-0000360D0000}"/>
    <cellStyle name="—_GS_DCF_Kelvin_SKT_dividend_Mar10_2003_Cashflow_Honghua MSTR" xfId="5106" xr:uid="{00000000-0005-0000-0000-0000370D0000}"/>
    <cellStyle name="—_GS_DCF_Kelvin_SKT_dividend_Mar10_2003_P&amp;L" xfId="5107" xr:uid="{00000000-0005-0000-0000-0000380D0000}"/>
    <cellStyle name="—_GS_DCF_Kelvin_SKT_dividend_Mar10_2003_P&amp;L_Honghua MSTR" xfId="5108" xr:uid="{00000000-0005-0000-0000-0000390D0000}"/>
    <cellStyle name="—_GS_DCF_Kelvin_SKT_dividend_Mar10_2003_PetroChina Master" xfId="5109" xr:uid="{00000000-0005-0000-0000-00003A0D0000}"/>
    <cellStyle name="—_GS_DCF_Kelvin_SKT_dividend_Mar10_2003_PetroChina Master_WIP(20-F update)" xfId="5110" xr:uid="{00000000-0005-0000-0000-00003B0D0000}"/>
    <cellStyle name="—_GS_DCF_Kelvin_SKT_dividend_Mar10_2003_PetroChina Master_WIP(20-F update)_Cashflow" xfId="5111" xr:uid="{00000000-0005-0000-0000-00003C0D0000}"/>
    <cellStyle name="—_GS_DCF_Kelvin_SKT_dividend_Mar10_2003_PetroChina Master_WIP(20-F update)_Cashflow_Honghua MSTR" xfId="5112" xr:uid="{00000000-0005-0000-0000-00003D0D0000}"/>
    <cellStyle name="—_GS_DCF_Kelvin_SKT_dividend_Mar10_2003_PetroChina Master_WIP(20-F update)_P&amp;L" xfId="5113" xr:uid="{00000000-0005-0000-0000-00003E0D0000}"/>
    <cellStyle name="—_GS_DCF_Kelvin_SKT_dividend_Mar10_2003_PetroChina Master_WIP(20-F update)_P&amp;L_Honghua MSTR" xfId="5114" xr:uid="{00000000-0005-0000-0000-00003F0D0000}"/>
    <cellStyle name="—_GS_DCF_Kelvin_SKT_dividend_Mar10_2003_PetroChina Master_WIP(20-F update)_Sinopec MSTR" xfId="5115" xr:uid="{00000000-0005-0000-0000-0000400D0000}"/>
    <cellStyle name="—_GS_DCF_Kelvin_SKT_dividend_Mar10_2003_PetroChina Master_WIP(20-F update)_Sinopec MSTR Wip" xfId="5116" xr:uid="{00000000-0005-0000-0000-0000410D0000}"/>
    <cellStyle name="—_GS_DCF_Kelvin_SKT_dividend_Mar10_2003_PetroChina Master_WIP(20-F update)_Sinopec MSTR_WIP_KK" xfId="5117" xr:uid="{00000000-0005-0000-0000-0000420D0000}"/>
    <cellStyle name="—_GS_DCF_Kelvin_SKT_dividend_Mar10_2003_Sinopec MSTR" xfId="5118" xr:uid="{00000000-0005-0000-0000-0000430D0000}"/>
    <cellStyle name="—_GS_DCF_new-Sub" xfId="3917" xr:uid="{00000000-0005-0000-0000-0000440D0000}"/>
    <cellStyle name="—_GS_DCF_NTT CROCI" xfId="10861" xr:uid="{00000000-0005-0000-0000-0000450D0000}"/>
    <cellStyle name="—_GS_DCF_NTT proportionate" xfId="10862" xr:uid="{00000000-0005-0000-0000-0000460D0000}"/>
    <cellStyle name="—_GS_DCF_operating stats comp" xfId="3918" xr:uid="{00000000-0005-0000-0000-0000470D0000}"/>
    <cellStyle name="—_GS_DCF_operating stats comp_new-Sub" xfId="3919" xr:uid="{00000000-0005-0000-0000-0000480D0000}"/>
    <cellStyle name="—_GS_DCF_P&amp;L" xfId="5119" xr:uid="{00000000-0005-0000-0000-0000490D0000}"/>
    <cellStyle name="—_GS_DCF_P&amp;L_Honghua MSTR" xfId="5120" xr:uid="{00000000-0005-0000-0000-00004A0D0000}"/>
    <cellStyle name="—_GS_DCF_PetroChina Master" xfId="5121" xr:uid="{00000000-0005-0000-0000-00004B0D0000}"/>
    <cellStyle name="—_GS_DCF_PetroChina Master_WIP(20-F update)" xfId="5122" xr:uid="{00000000-0005-0000-0000-00004C0D0000}"/>
    <cellStyle name="—_GS_DCF_PetroChina Master_WIP(20-F update)_Cashflow" xfId="5123" xr:uid="{00000000-0005-0000-0000-00004D0D0000}"/>
    <cellStyle name="—_GS_DCF_PetroChina Master_WIP(20-F update)_Cashflow_Honghua MSTR" xfId="5124" xr:uid="{00000000-0005-0000-0000-00004E0D0000}"/>
    <cellStyle name="—_GS_DCF_PetroChina Master_WIP(20-F update)_P&amp;L" xfId="5125" xr:uid="{00000000-0005-0000-0000-00004F0D0000}"/>
    <cellStyle name="—_GS_DCF_PetroChina Master_WIP(20-F update)_P&amp;L_Honghua MSTR" xfId="5126" xr:uid="{00000000-0005-0000-0000-0000500D0000}"/>
    <cellStyle name="—_GS_DCF_PetroChina Master_WIP(20-F update)_Sinopec MSTR" xfId="5127" xr:uid="{00000000-0005-0000-0000-0000510D0000}"/>
    <cellStyle name="—_GS_DCF_PetroChina Master_WIP(20-F update)_Sinopec MSTR Wip" xfId="5128" xr:uid="{00000000-0005-0000-0000-0000520D0000}"/>
    <cellStyle name="—_GS_DCF_PetroChina Master_WIP(20-F update)_Sinopec MSTR_WIP_KK" xfId="5129" xr:uid="{00000000-0005-0000-0000-0000530D0000}"/>
    <cellStyle name="—_GS_DCF_Sheet1" xfId="10863" xr:uid="{00000000-0005-0000-0000-0000540D0000}"/>
    <cellStyle name="—_GS_DCF_Sinopec MSTR" xfId="5130" xr:uid="{00000000-0005-0000-0000-0000550D0000}"/>
    <cellStyle name="—_GS_DCF_SK COrp - Quantum 290704" xfId="5131" xr:uid="{00000000-0005-0000-0000-0000560D0000}"/>
    <cellStyle name="—_GS_DCF_S-Oil-Quantum 260704" xfId="5132" xr:uid="{00000000-0005-0000-0000-0000570D0000}"/>
    <cellStyle name="—_GS_DCF_S-Oil-Quantum 260704_Beta" xfId="5133" xr:uid="{00000000-0005-0000-0000-0000580D0000}"/>
    <cellStyle name="—_GS_DCF_S-Oil-Quantum 260704_Cashflow" xfId="5134" xr:uid="{00000000-0005-0000-0000-0000590D0000}"/>
    <cellStyle name="—_GS_DCF_S-Oil-Quantum 260704_Cashflow_Honghua MSTR" xfId="5135" xr:uid="{00000000-0005-0000-0000-00005A0D0000}"/>
    <cellStyle name="—_GS_DCF_S-Oil-Quantum 260704_P&amp;L" xfId="5136" xr:uid="{00000000-0005-0000-0000-00005B0D0000}"/>
    <cellStyle name="—_GS_DCF_S-Oil-Quantum 260704_P&amp;L_Honghua MSTR" xfId="5137" xr:uid="{00000000-0005-0000-0000-00005C0D0000}"/>
    <cellStyle name="—_GS_DCF_S-Oil-Quantum 260704_PetroChina Master" xfId="5138" xr:uid="{00000000-0005-0000-0000-00005D0D0000}"/>
    <cellStyle name="—_GS_DCF_S-Oil-Quantum 260704_PetroChina Master_WIP(20-F update)" xfId="5139" xr:uid="{00000000-0005-0000-0000-00005E0D0000}"/>
    <cellStyle name="—_GS_DCF_S-Oil-Quantum 260704_PetroChina Master_WIP(20-F update)_Cashflow" xfId="5140" xr:uid="{00000000-0005-0000-0000-00005F0D0000}"/>
    <cellStyle name="—_GS_DCF_S-Oil-Quantum 260704_PetroChina Master_WIP(20-F update)_Cashflow_Honghua MSTR" xfId="5141" xr:uid="{00000000-0005-0000-0000-0000600D0000}"/>
    <cellStyle name="—_GS_DCF_S-Oil-Quantum 260704_PetroChina Master_WIP(20-F update)_P&amp;L" xfId="5142" xr:uid="{00000000-0005-0000-0000-0000610D0000}"/>
    <cellStyle name="—_GS_DCF_S-Oil-Quantum 260704_PetroChina Master_WIP(20-F update)_P&amp;L_Honghua MSTR" xfId="5143" xr:uid="{00000000-0005-0000-0000-0000620D0000}"/>
    <cellStyle name="—_GS_DCF_S-Oil-Quantum 260704_PetroChina Master_WIP(20-F update)_Sinopec MSTR" xfId="5144" xr:uid="{00000000-0005-0000-0000-0000630D0000}"/>
    <cellStyle name="—_GS_DCF_S-Oil-Quantum 260704_PetroChina Master_WIP(20-F update)_Sinopec MSTR Wip" xfId="5145" xr:uid="{00000000-0005-0000-0000-0000640D0000}"/>
    <cellStyle name="—_GS_DCF_S-Oil-Quantum 260704_PetroChina Master_WIP(20-F update)_Sinopec MSTR_WIP_KK" xfId="5146" xr:uid="{00000000-0005-0000-0000-0000650D0000}"/>
    <cellStyle name="—_GS_DCF_S-Oil-Quantum 260704_Sinopec MSTR" xfId="5147" xr:uid="{00000000-0005-0000-0000-0000660D0000}"/>
    <cellStyle name="—_GS_DCF_Strategy_data_update" xfId="3920" xr:uid="{00000000-0005-0000-0000-0000670D0000}"/>
    <cellStyle name="—_GS_DCF_Strategy_data_update_new-Sub" xfId="3921" xr:uid="{00000000-0005-0000-0000-0000680D0000}"/>
    <cellStyle name="—_GS_PNL" xfId="3922" xr:uid="{00000000-0005-0000-0000-0000690D0000}"/>
    <cellStyle name="—_GS_PNL 2" xfId="5148" xr:uid="{00000000-0005-0000-0000-00006A0D0000}"/>
    <cellStyle name="—_GS_PNL_100902 Helen NTT FCF to be sent" xfId="10864" xr:uid="{00000000-0005-0000-0000-00006B0D0000}"/>
    <cellStyle name="—_GS_PNL_Beta" xfId="5149" xr:uid="{00000000-0005-0000-0000-00006C0D0000}"/>
    <cellStyle name="—_GS_PNL_Book7" xfId="3923" xr:uid="{00000000-0005-0000-0000-00006D0D0000}"/>
    <cellStyle name="—_GS_PNL_Book7_new-Sub" xfId="3924" xr:uid="{00000000-0005-0000-0000-00006E0D0000}"/>
    <cellStyle name="—_GS_PNL_Cashflow" xfId="5150" xr:uid="{00000000-0005-0000-0000-00006F0D0000}"/>
    <cellStyle name="—_GS_PNL_Cashflow_Honghua MSTR" xfId="5151" xr:uid="{00000000-0005-0000-0000-0000700D0000}"/>
    <cellStyle name="—_GS_PNL_DoCoMo table 10July2000" xfId="3925" xr:uid="{00000000-0005-0000-0000-0000710D0000}"/>
    <cellStyle name="—_GS_PNL_DoCoMo table 10July2000_new-Sub" xfId="3926" xr:uid="{00000000-0005-0000-0000-0000720D0000}"/>
    <cellStyle name="—_GS_PNL_earnings" xfId="3927" xr:uid="{00000000-0005-0000-0000-0000730D0000}"/>
    <cellStyle name="—_GS_PNL_earnings_new-Sub" xfId="3928" xr:uid="{00000000-0005-0000-0000-0000740D0000}"/>
    <cellStyle name="—_GS_PNL_EM_CMHK" xfId="3929" xr:uid="{00000000-0005-0000-0000-0000750D0000}"/>
    <cellStyle name="—_GS_PNL_EM_CMHK_new-Sub" xfId="3930" xr:uid="{00000000-0005-0000-0000-0000760D0000}"/>
    <cellStyle name="—_GS_PNL_EM_FETone_new" xfId="3931" xr:uid="{00000000-0005-0000-0000-0000770D0000}"/>
    <cellStyle name="—_GS_PNL_EM_FETone_new_new-Sub" xfId="3932" xr:uid="{00000000-0005-0000-0000-0000780D0000}"/>
    <cellStyle name="—_GS_PNL_EM_TCC_new" xfId="3933" xr:uid="{00000000-0005-0000-0000-0000790D0000}"/>
    <cellStyle name="—_GS_PNL_EM_TCC_new_new-Sub" xfId="3934" xr:uid="{00000000-0005-0000-0000-00007A0D0000}"/>
    <cellStyle name="—_GS_PNL_EM-Optus" xfId="3935" xr:uid="{00000000-0005-0000-0000-00007B0D0000}"/>
    <cellStyle name="—_GS_PNL_EM-Optus_new-Sub" xfId="3936" xr:uid="{00000000-0005-0000-0000-00007C0D0000}"/>
    <cellStyle name="—_GS_PNL_GlobalValuation_Japan" xfId="10865" xr:uid="{00000000-0005-0000-0000-00007D0D0000}"/>
    <cellStyle name="—_GS_PNL_honam -Quantum 220704" xfId="5152" xr:uid="{00000000-0005-0000-0000-00007E0D0000}"/>
    <cellStyle name="—_GS_PNL_JT CROCI" xfId="10866" xr:uid="{00000000-0005-0000-0000-00007F0D0000}"/>
    <cellStyle name="—_GS_PNL_KDDI CROCI" xfId="10867" xr:uid="{00000000-0005-0000-0000-0000800D0000}"/>
    <cellStyle name="—_GS_PNL_Kelvin_SKT_dividend_Mar10_2003" xfId="5153" xr:uid="{00000000-0005-0000-0000-0000810D0000}"/>
    <cellStyle name="—_GS_PNL_Kelvin_SKT_dividend_Mar10_2003_Beta" xfId="5154" xr:uid="{00000000-0005-0000-0000-0000820D0000}"/>
    <cellStyle name="—_GS_PNL_Kelvin_SKT_dividend_Mar10_2003_Cashflow" xfId="5155" xr:uid="{00000000-0005-0000-0000-0000830D0000}"/>
    <cellStyle name="—_GS_PNL_Kelvin_SKT_dividend_Mar10_2003_Cashflow_Honghua MSTR" xfId="5156" xr:uid="{00000000-0005-0000-0000-0000840D0000}"/>
    <cellStyle name="—_GS_PNL_Kelvin_SKT_dividend_Mar10_2003_P&amp;L" xfId="5157" xr:uid="{00000000-0005-0000-0000-0000850D0000}"/>
    <cellStyle name="—_GS_PNL_Kelvin_SKT_dividend_Mar10_2003_P&amp;L_Honghua MSTR" xfId="5158" xr:uid="{00000000-0005-0000-0000-0000860D0000}"/>
    <cellStyle name="—_GS_PNL_Kelvin_SKT_dividend_Mar10_2003_PetroChina Master" xfId="5159" xr:uid="{00000000-0005-0000-0000-0000870D0000}"/>
    <cellStyle name="—_GS_PNL_Kelvin_SKT_dividend_Mar10_2003_PetroChina Master_WIP(20-F update)" xfId="5160" xr:uid="{00000000-0005-0000-0000-0000880D0000}"/>
    <cellStyle name="—_GS_PNL_Kelvin_SKT_dividend_Mar10_2003_PetroChina Master_WIP(20-F update)_Cashflow" xfId="5161" xr:uid="{00000000-0005-0000-0000-0000890D0000}"/>
    <cellStyle name="—_GS_PNL_Kelvin_SKT_dividend_Mar10_2003_PetroChina Master_WIP(20-F update)_Cashflow_Honghua MSTR" xfId="5162" xr:uid="{00000000-0005-0000-0000-00008A0D0000}"/>
    <cellStyle name="—_GS_PNL_Kelvin_SKT_dividend_Mar10_2003_PetroChina Master_WIP(20-F update)_P&amp;L" xfId="5163" xr:uid="{00000000-0005-0000-0000-00008B0D0000}"/>
    <cellStyle name="—_GS_PNL_Kelvin_SKT_dividend_Mar10_2003_PetroChina Master_WIP(20-F update)_P&amp;L_Honghua MSTR" xfId="5164" xr:uid="{00000000-0005-0000-0000-00008C0D0000}"/>
    <cellStyle name="—_GS_PNL_Kelvin_SKT_dividend_Mar10_2003_PetroChina Master_WIP(20-F update)_Sinopec MSTR" xfId="5165" xr:uid="{00000000-0005-0000-0000-00008D0D0000}"/>
    <cellStyle name="—_GS_PNL_Kelvin_SKT_dividend_Mar10_2003_PetroChina Master_WIP(20-F update)_Sinopec MSTR Wip" xfId="5166" xr:uid="{00000000-0005-0000-0000-00008E0D0000}"/>
    <cellStyle name="—_GS_PNL_Kelvin_SKT_dividend_Mar10_2003_PetroChina Master_WIP(20-F update)_Sinopec MSTR_WIP_KK" xfId="5167" xr:uid="{00000000-0005-0000-0000-00008F0D0000}"/>
    <cellStyle name="—_GS_PNL_Kelvin_SKT_dividend_Mar10_2003_Sinopec MSTR" xfId="5168" xr:uid="{00000000-0005-0000-0000-0000900D0000}"/>
    <cellStyle name="—_GS_PNL_new-Sub" xfId="3937" xr:uid="{00000000-0005-0000-0000-0000910D0000}"/>
    <cellStyle name="—_GS_PNL_NTT CROCI" xfId="10868" xr:uid="{00000000-0005-0000-0000-0000920D0000}"/>
    <cellStyle name="—_GS_PNL_NTT proportionate" xfId="10869" xr:uid="{00000000-0005-0000-0000-0000930D0000}"/>
    <cellStyle name="—_GS_PNL_operating stats comp" xfId="3938" xr:uid="{00000000-0005-0000-0000-0000940D0000}"/>
    <cellStyle name="—_GS_PNL_operating stats comp_new-Sub" xfId="3939" xr:uid="{00000000-0005-0000-0000-0000950D0000}"/>
    <cellStyle name="—_GS_PNL_P&amp;L" xfId="5169" xr:uid="{00000000-0005-0000-0000-0000960D0000}"/>
    <cellStyle name="—_GS_PNL_P&amp;L_Honghua MSTR" xfId="5170" xr:uid="{00000000-0005-0000-0000-0000970D0000}"/>
    <cellStyle name="—_GS_PNL_PetroChina Master" xfId="5171" xr:uid="{00000000-0005-0000-0000-0000980D0000}"/>
    <cellStyle name="—_GS_PNL_PetroChina Master_WIP(20-F update)" xfId="5172" xr:uid="{00000000-0005-0000-0000-0000990D0000}"/>
    <cellStyle name="—_GS_PNL_PetroChina Master_WIP(20-F update)_Cashflow" xfId="5173" xr:uid="{00000000-0005-0000-0000-00009A0D0000}"/>
    <cellStyle name="—_GS_PNL_PetroChina Master_WIP(20-F update)_Cashflow_Honghua MSTR" xfId="5174" xr:uid="{00000000-0005-0000-0000-00009B0D0000}"/>
    <cellStyle name="—_GS_PNL_PetroChina Master_WIP(20-F update)_P&amp;L" xfId="5175" xr:uid="{00000000-0005-0000-0000-00009C0D0000}"/>
    <cellStyle name="—_GS_PNL_PetroChina Master_WIP(20-F update)_P&amp;L_Honghua MSTR" xfId="5176" xr:uid="{00000000-0005-0000-0000-00009D0D0000}"/>
    <cellStyle name="—_GS_PNL_PetroChina Master_WIP(20-F update)_Sinopec MSTR" xfId="5177" xr:uid="{00000000-0005-0000-0000-00009E0D0000}"/>
    <cellStyle name="—_GS_PNL_PetroChina Master_WIP(20-F update)_Sinopec MSTR Wip" xfId="5178" xr:uid="{00000000-0005-0000-0000-00009F0D0000}"/>
    <cellStyle name="—_GS_PNL_PetroChina Master_WIP(20-F update)_Sinopec MSTR_WIP_KK" xfId="5179" xr:uid="{00000000-0005-0000-0000-0000A00D0000}"/>
    <cellStyle name="—_GS_PNL_Sheet1" xfId="10870" xr:uid="{00000000-0005-0000-0000-0000A10D0000}"/>
    <cellStyle name="—_GS_PNL_Sinopec MSTR" xfId="5180" xr:uid="{00000000-0005-0000-0000-0000A20D0000}"/>
    <cellStyle name="—_GS_PNL_SK COrp - Quantum 290704" xfId="5181" xr:uid="{00000000-0005-0000-0000-0000A30D0000}"/>
    <cellStyle name="—_GS_PNL_S-Oil-Quantum 260704" xfId="5182" xr:uid="{00000000-0005-0000-0000-0000A40D0000}"/>
    <cellStyle name="—_GS_PNL_S-Oil-Quantum 260704_Beta" xfId="5183" xr:uid="{00000000-0005-0000-0000-0000A50D0000}"/>
    <cellStyle name="—_GS_PNL_S-Oil-Quantum 260704_Cashflow" xfId="5184" xr:uid="{00000000-0005-0000-0000-0000A60D0000}"/>
    <cellStyle name="—_GS_PNL_S-Oil-Quantum 260704_Cashflow_Honghua MSTR" xfId="5185" xr:uid="{00000000-0005-0000-0000-0000A70D0000}"/>
    <cellStyle name="—_GS_PNL_S-Oil-Quantum 260704_P&amp;L" xfId="5186" xr:uid="{00000000-0005-0000-0000-0000A80D0000}"/>
    <cellStyle name="—_GS_PNL_S-Oil-Quantum 260704_P&amp;L_Honghua MSTR" xfId="5187" xr:uid="{00000000-0005-0000-0000-0000A90D0000}"/>
    <cellStyle name="—_GS_PNL_S-Oil-Quantum 260704_PetroChina Master" xfId="5188" xr:uid="{00000000-0005-0000-0000-0000AA0D0000}"/>
    <cellStyle name="—_GS_PNL_S-Oil-Quantum 260704_PetroChina Master_WIP(20-F update)" xfId="5189" xr:uid="{00000000-0005-0000-0000-0000AB0D0000}"/>
    <cellStyle name="—_GS_PNL_S-Oil-Quantum 260704_PetroChina Master_WIP(20-F update)_Cashflow" xfId="5190" xr:uid="{00000000-0005-0000-0000-0000AC0D0000}"/>
    <cellStyle name="—_GS_PNL_S-Oil-Quantum 260704_PetroChina Master_WIP(20-F update)_Cashflow_Honghua MSTR" xfId="5191" xr:uid="{00000000-0005-0000-0000-0000AD0D0000}"/>
    <cellStyle name="—_GS_PNL_S-Oil-Quantum 260704_PetroChina Master_WIP(20-F update)_P&amp;L" xfId="5192" xr:uid="{00000000-0005-0000-0000-0000AE0D0000}"/>
    <cellStyle name="—_GS_PNL_S-Oil-Quantum 260704_PetroChina Master_WIP(20-F update)_P&amp;L_Honghua MSTR" xfId="5193" xr:uid="{00000000-0005-0000-0000-0000AF0D0000}"/>
    <cellStyle name="—_GS_PNL_S-Oil-Quantum 260704_PetroChina Master_WIP(20-F update)_Sinopec MSTR" xfId="5194" xr:uid="{00000000-0005-0000-0000-0000B00D0000}"/>
    <cellStyle name="—_GS_PNL_S-Oil-Quantum 260704_PetroChina Master_WIP(20-F update)_Sinopec MSTR Wip" xfId="5195" xr:uid="{00000000-0005-0000-0000-0000B10D0000}"/>
    <cellStyle name="—_GS_PNL_S-Oil-Quantum 260704_PetroChina Master_WIP(20-F update)_Sinopec MSTR_WIP_KK" xfId="5196" xr:uid="{00000000-0005-0000-0000-0000B20D0000}"/>
    <cellStyle name="—_GS_PNL_S-Oil-Quantum 260704_Sinopec MSTR" xfId="5197" xr:uid="{00000000-0005-0000-0000-0000B30D0000}"/>
    <cellStyle name="—_GS_PNL_Strategy_data_update" xfId="3940" xr:uid="{00000000-0005-0000-0000-0000B40D0000}"/>
    <cellStyle name="—_GS_PNL_Strategy_data_update_new-Sub" xfId="3941" xr:uid="{00000000-0005-0000-0000-0000B50D0000}"/>
    <cellStyle name="_GSJBW 250506hub1" xfId="7016" xr:uid="{00000000-0005-0000-0000-0000B60D0000}"/>
    <cellStyle name="_GSJBW 250506hub2" xfId="7017" xr:uid="{00000000-0005-0000-0000-0000B70D0000}"/>
    <cellStyle name="_GSJBW 250506hub3" xfId="7018" xr:uid="{00000000-0005-0000-0000-0000B80D0000}"/>
    <cellStyle name="_Heading" xfId="3942" xr:uid="{00000000-0005-0000-0000-0000B90D0000}"/>
    <cellStyle name="_Heading_prestemp" xfId="7459" xr:uid="{00000000-0005-0000-0000-0000BA0D0000}"/>
    <cellStyle name="_Highlight" xfId="3943" xr:uid="{00000000-0005-0000-0000-0000BB0D0000}"/>
    <cellStyle name="—_Honam Master" xfId="5198" xr:uid="{00000000-0005-0000-0000-0000BC0D0000}"/>
    <cellStyle name="—_honam -Quantum 220704" xfId="5199" xr:uid="{00000000-0005-0000-0000-0000BD0D0000}"/>
    <cellStyle name="—_I&amp;O Report Tables" xfId="3944" xr:uid="{00000000-0005-0000-0000-0000BE0D0000}"/>
    <cellStyle name="—_I&amp;O Report Tables 2" xfId="5200" xr:uid="{00000000-0005-0000-0000-0000BF0D0000}"/>
    <cellStyle name="—_I&amp;O Report Tables_Beta" xfId="5201" xr:uid="{00000000-0005-0000-0000-0000C00D0000}"/>
    <cellStyle name="—_I&amp;O Report Tables_Beta_1" xfId="5202" xr:uid="{00000000-0005-0000-0000-0000C10D0000}"/>
    <cellStyle name="—_I&amp;O Report Tables_Book1" xfId="5203" xr:uid="{00000000-0005-0000-0000-0000C20D0000}"/>
    <cellStyle name="—_I&amp;O Report Tables_Book2" xfId="5204" xr:uid="{00000000-0005-0000-0000-0000C30D0000}"/>
    <cellStyle name="—_I&amp;O Report Tables_Book2_Beta" xfId="5205" xr:uid="{00000000-0005-0000-0000-0000C40D0000}"/>
    <cellStyle name="—_I&amp;O Report Tables_Book2_Cashflow" xfId="5206" xr:uid="{00000000-0005-0000-0000-0000C50D0000}"/>
    <cellStyle name="—_I&amp;O Report Tables_Book2_Cashflow_Honghua MSTR" xfId="5207" xr:uid="{00000000-0005-0000-0000-0000C60D0000}"/>
    <cellStyle name="—_I&amp;O Report Tables_Book2_P&amp;L" xfId="5208" xr:uid="{00000000-0005-0000-0000-0000C70D0000}"/>
    <cellStyle name="—_I&amp;O Report Tables_Book2_P&amp;L_Honghua MSTR" xfId="5209" xr:uid="{00000000-0005-0000-0000-0000C80D0000}"/>
    <cellStyle name="—_I&amp;O Report Tables_Book2_PetroChina Master" xfId="5210" xr:uid="{00000000-0005-0000-0000-0000C90D0000}"/>
    <cellStyle name="—_I&amp;O Report Tables_Book2_PetroChina Master_WIP(20-F update)" xfId="5211" xr:uid="{00000000-0005-0000-0000-0000CA0D0000}"/>
    <cellStyle name="—_I&amp;O Report Tables_Book2_PetroChina Master_WIP(20-F update)_Cashflow" xfId="5212" xr:uid="{00000000-0005-0000-0000-0000CB0D0000}"/>
    <cellStyle name="—_I&amp;O Report Tables_Book2_PetroChina Master_WIP(20-F update)_Cashflow_Honghua MSTR" xfId="5213" xr:uid="{00000000-0005-0000-0000-0000CC0D0000}"/>
    <cellStyle name="—_I&amp;O Report Tables_Book2_PetroChina Master_WIP(20-F update)_P&amp;L" xfId="5214" xr:uid="{00000000-0005-0000-0000-0000CD0D0000}"/>
    <cellStyle name="—_I&amp;O Report Tables_Book2_PetroChina Master_WIP(20-F update)_P&amp;L_Honghua MSTR" xfId="5215" xr:uid="{00000000-0005-0000-0000-0000CE0D0000}"/>
    <cellStyle name="—_I&amp;O Report Tables_Book2_PetroChina Master_WIP(20-F update)_Sinopec MSTR" xfId="5216" xr:uid="{00000000-0005-0000-0000-0000CF0D0000}"/>
    <cellStyle name="—_I&amp;O Report Tables_Book2_PetroChina Master_WIP(20-F update)_Sinopec MSTR Wip" xfId="5217" xr:uid="{00000000-0005-0000-0000-0000D00D0000}"/>
    <cellStyle name="—_I&amp;O Report Tables_Book2_PetroChina Master_WIP(20-F update)_Sinopec MSTR_WIP_KK" xfId="5218" xr:uid="{00000000-0005-0000-0000-0000D10D0000}"/>
    <cellStyle name="—_I&amp;O Report Tables_Book2_Sinopec MSTR" xfId="5219" xr:uid="{00000000-0005-0000-0000-0000D20D0000}"/>
    <cellStyle name="—_I&amp;O Report Tables_Book3" xfId="5220" xr:uid="{00000000-0005-0000-0000-0000D30D0000}"/>
    <cellStyle name="—_I&amp;O Report Tables_Book3_Beta" xfId="5221" xr:uid="{00000000-0005-0000-0000-0000D40D0000}"/>
    <cellStyle name="—_I&amp;O Report Tables_Book3_Cashflow" xfId="5222" xr:uid="{00000000-0005-0000-0000-0000D50D0000}"/>
    <cellStyle name="—_I&amp;O Report Tables_Book3_Cashflow_Honghua MSTR" xfId="5223" xr:uid="{00000000-0005-0000-0000-0000D60D0000}"/>
    <cellStyle name="—_I&amp;O Report Tables_Book3_P&amp;L" xfId="5224" xr:uid="{00000000-0005-0000-0000-0000D70D0000}"/>
    <cellStyle name="—_I&amp;O Report Tables_Book3_P&amp;L_Honghua MSTR" xfId="5225" xr:uid="{00000000-0005-0000-0000-0000D80D0000}"/>
    <cellStyle name="—_I&amp;O Report Tables_Book3_PetroChina Master" xfId="5226" xr:uid="{00000000-0005-0000-0000-0000D90D0000}"/>
    <cellStyle name="—_I&amp;O Report Tables_Book3_PetroChina Master_WIP(20-F update)" xfId="5227" xr:uid="{00000000-0005-0000-0000-0000DA0D0000}"/>
    <cellStyle name="—_I&amp;O Report Tables_Book3_PetroChina Master_WIP(20-F update)_Cashflow" xfId="5228" xr:uid="{00000000-0005-0000-0000-0000DB0D0000}"/>
    <cellStyle name="—_I&amp;O Report Tables_Book3_PetroChina Master_WIP(20-F update)_Cashflow_Honghua MSTR" xfId="5229" xr:uid="{00000000-0005-0000-0000-0000DC0D0000}"/>
    <cellStyle name="—_I&amp;O Report Tables_Book3_PetroChina Master_WIP(20-F update)_P&amp;L" xfId="5230" xr:uid="{00000000-0005-0000-0000-0000DD0D0000}"/>
    <cellStyle name="—_I&amp;O Report Tables_Book3_PetroChina Master_WIP(20-F update)_P&amp;L_Honghua MSTR" xfId="5231" xr:uid="{00000000-0005-0000-0000-0000DE0D0000}"/>
    <cellStyle name="—_I&amp;O Report Tables_Book3_PetroChina Master_WIP(20-F update)_Sinopec MSTR" xfId="5232" xr:uid="{00000000-0005-0000-0000-0000DF0D0000}"/>
    <cellStyle name="—_I&amp;O Report Tables_Book3_PetroChina Master_WIP(20-F update)_Sinopec MSTR Wip" xfId="5233" xr:uid="{00000000-0005-0000-0000-0000E00D0000}"/>
    <cellStyle name="—_I&amp;O Report Tables_Book3_PetroChina Master_WIP(20-F update)_Sinopec MSTR_WIP_KK" xfId="5234" xr:uid="{00000000-0005-0000-0000-0000E10D0000}"/>
    <cellStyle name="—_I&amp;O Report Tables_Book3_Sinopec MSTR" xfId="5235" xr:uid="{00000000-0005-0000-0000-0000E20D0000}"/>
    <cellStyle name="—_I&amp;O Report Tables_Book7" xfId="3945" xr:uid="{00000000-0005-0000-0000-0000E30D0000}"/>
    <cellStyle name="—_I&amp;O Report Tables_Book7_new-Sub" xfId="3946" xr:uid="{00000000-0005-0000-0000-0000E40D0000}"/>
    <cellStyle name="—_I&amp;O Report Tables_BPCL Master" xfId="5236" xr:uid="{00000000-0005-0000-0000-0000E50D0000}"/>
    <cellStyle name="—_I&amp;O Report Tables_BPCL Master_Beta" xfId="5237" xr:uid="{00000000-0005-0000-0000-0000E60D0000}"/>
    <cellStyle name="—_I&amp;O Report Tables_BPCL Master_Cashflow" xfId="5238" xr:uid="{00000000-0005-0000-0000-0000E70D0000}"/>
    <cellStyle name="—_I&amp;O Report Tables_BPCL Master_Cashflow_Honghua MSTR" xfId="5239" xr:uid="{00000000-0005-0000-0000-0000E80D0000}"/>
    <cellStyle name="—_I&amp;O Report Tables_BPCL Master_P&amp;L" xfId="5240" xr:uid="{00000000-0005-0000-0000-0000E90D0000}"/>
    <cellStyle name="—_I&amp;O Report Tables_BPCL Master_P&amp;L_Honghua MSTR" xfId="5241" xr:uid="{00000000-0005-0000-0000-0000EA0D0000}"/>
    <cellStyle name="—_I&amp;O Report Tables_BPCL Master_PetroChina Master" xfId="5242" xr:uid="{00000000-0005-0000-0000-0000EB0D0000}"/>
    <cellStyle name="—_I&amp;O Report Tables_BPCL Master_PetroChina Master_WIP(20-F update)" xfId="5243" xr:uid="{00000000-0005-0000-0000-0000EC0D0000}"/>
    <cellStyle name="—_I&amp;O Report Tables_BPCL Master_PetroChina Master_WIP(20-F update)_Cashflow" xfId="5244" xr:uid="{00000000-0005-0000-0000-0000ED0D0000}"/>
    <cellStyle name="—_I&amp;O Report Tables_BPCL Master_PetroChina Master_WIP(20-F update)_Cashflow_Honghua MSTR" xfId="5245" xr:uid="{00000000-0005-0000-0000-0000EE0D0000}"/>
    <cellStyle name="—_I&amp;O Report Tables_BPCL Master_PetroChina Master_WIP(20-F update)_P&amp;L" xfId="5246" xr:uid="{00000000-0005-0000-0000-0000EF0D0000}"/>
    <cellStyle name="—_I&amp;O Report Tables_BPCL Master_PetroChina Master_WIP(20-F update)_P&amp;L_Honghua MSTR" xfId="5247" xr:uid="{00000000-0005-0000-0000-0000F00D0000}"/>
    <cellStyle name="—_I&amp;O Report Tables_BPCL Master_PetroChina Master_WIP(20-F update)_Sinopec MSTR" xfId="5248" xr:uid="{00000000-0005-0000-0000-0000F10D0000}"/>
    <cellStyle name="—_I&amp;O Report Tables_BPCL Master_PetroChina Master_WIP(20-F update)_Sinopec MSTR Wip" xfId="5249" xr:uid="{00000000-0005-0000-0000-0000F20D0000}"/>
    <cellStyle name="—_I&amp;O Report Tables_BPCL Master_PetroChina Master_WIP(20-F update)_Sinopec MSTR_WIP_KK" xfId="5250" xr:uid="{00000000-0005-0000-0000-0000F30D0000}"/>
    <cellStyle name="—_I&amp;O Report Tables_BPCL Master_Sinopec MSTR" xfId="5251" xr:uid="{00000000-0005-0000-0000-0000F40D0000}"/>
    <cellStyle name="—_I&amp;O Report Tables_candicetables" xfId="3947" xr:uid="{00000000-0005-0000-0000-0000F50D0000}"/>
    <cellStyle name="—_I&amp;O Report Tables_candicetables 2" xfId="5252" xr:uid="{00000000-0005-0000-0000-0000F60D0000}"/>
    <cellStyle name="—_I&amp;O Report Tables_candicetables_Beta" xfId="5253" xr:uid="{00000000-0005-0000-0000-0000F70D0000}"/>
    <cellStyle name="—_I&amp;O Report Tables_candicetables_Beta_1" xfId="5254" xr:uid="{00000000-0005-0000-0000-0000F80D0000}"/>
    <cellStyle name="—_I&amp;O Report Tables_candicetables_Book1" xfId="5255" xr:uid="{00000000-0005-0000-0000-0000F90D0000}"/>
    <cellStyle name="—_I&amp;O Report Tables_candicetables_Book2" xfId="5256" xr:uid="{00000000-0005-0000-0000-0000FA0D0000}"/>
    <cellStyle name="—_I&amp;O Report Tables_candicetables_Book2_Beta" xfId="5257" xr:uid="{00000000-0005-0000-0000-0000FB0D0000}"/>
    <cellStyle name="—_I&amp;O Report Tables_candicetables_Book2_Cashflow" xfId="5258" xr:uid="{00000000-0005-0000-0000-0000FC0D0000}"/>
    <cellStyle name="—_I&amp;O Report Tables_candicetables_Book2_Cashflow_Honghua MSTR" xfId="5259" xr:uid="{00000000-0005-0000-0000-0000FD0D0000}"/>
    <cellStyle name="—_I&amp;O Report Tables_candicetables_Book2_P&amp;L" xfId="5260" xr:uid="{00000000-0005-0000-0000-0000FE0D0000}"/>
    <cellStyle name="—_I&amp;O Report Tables_candicetables_Book2_P&amp;L_Honghua MSTR" xfId="5261" xr:uid="{00000000-0005-0000-0000-0000FF0D0000}"/>
    <cellStyle name="—_I&amp;O Report Tables_candicetables_Book2_PetroChina Master" xfId="5262" xr:uid="{00000000-0005-0000-0000-0000000E0000}"/>
    <cellStyle name="—_I&amp;O Report Tables_candicetables_Book2_PetroChina Master_WIP(20-F update)" xfId="5263" xr:uid="{00000000-0005-0000-0000-0000010E0000}"/>
    <cellStyle name="—_I&amp;O Report Tables_candicetables_Book2_PetroChina Master_WIP(20-F update)_Cashflow" xfId="5264" xr:uid="{00000000-0005-0000-0000-0000020E0000}"/>
    <cellStyle name="—_I&amp;O Report Tables_candicetables_Book2_PetroChina Master_WIP(20-F update)_Cashflow_Honghua MSTR" xfId="5265" xr:uid="{00000000-0005-0000-0000-0000030E0000}"/>
    <cellStyle name="—_I&amp;O Report Tables_candicetables_Book2_PetroChina Master_WIP(20-F update)_P&amp;L" xfId="5266" xr:uid="{00000000-0005-0000-0000-0000040E0000}"/>
    <cellStyle name="—_I&amp;O Report Tables_candicetables_Book2_PetroChina Master_WIP(20-F update)_P&amp;L_Honghua MSTR" xfId="5267" xr:uid="{00000000-0005-0000-0000-0000050E0000}"/>
    <cellStyle name="—_I&amp;O Report Tables_candicetables_Book2_PetroChina Master_WIP(20-F update)_Sinopec MSTR" xfId="5268" xr:uid="{00000000-0005-0000-0000-0000060E0000}"/>
    <cellStyle name="—_I&amp;O Report Tables_candicetables_Book2_PetroChina Master_WIP(20-F update)_Sinopec MSTR Wip" xfId="5269" xr:uid="{00000000-0005-0000-0000-0000070E0000}"/>
    <cellStyle name="—_I&amp;O Report Tables_candicetables_Book2_PetroChina Master_WIP(20-F update)_Sinopec MSTR_WIP_KK" xfId="5270" xr:uid="{00000000-0005-0000-0000-0000080E0000}"/>
    <cellStyle name="—_I&amp;O Report Tables_candicetables_Book2_Sinopec MSTR" xfId="5271" xr:uid="{00000000-0005-0000-0000-0000090E0000}"/>
    <cellStyle name="—_I&amp;O Report Tables_candicetables_Book3" xfId="5272" xr:uid="{00000000-0005-0000-0000-00000A0E0000}"/>
    <cellStyle name="—_I&amp;O Report Tables_candicetables_Book3_Beta" xfId="5273" xr:uid="{00000000-0005-0000-0000-00000B0E0000}"/>
    <cellStyle name="—_I&amp;O Report Tables_candicetables_Book3_Cashflow" xfId="5274" xr:uid="{00000000-0005-0000-0000-00000C0E0000}"/>
    <cellStyle name="—_I&amp;O Report Tables_candicetables_Book3_Cashflow_Honghua MSTR" xfId="5275" xr:uid="{00000000-0005-0000-0000-00000D0E0000}"/>
    <cellStyle name="—_I&amp;O Report Tables_candicetables_Book3_P&amp;L" xfId="5276" xr:uid="{00000000-0005-0000-0000-00000E0E0000}"/>
    <cellStyle name="—_I&amp;O Report Tables_candicetables_Book3_P&amp;L_Honghua MSTR" xfId="5277" xr:uid="{00000000-0005-0000-0000-00000F0E0000}"/>
    <cellStyle name="—_I&amp;O Report Tables_candicetables_Book3_PetroChina Master" xfId="5278" xr:uid="{00000000-0005-0000-0000-0000100E0000}"/>
    <cellStyle name="—_I&amp;O Report Tables_candicetables_Book3_PetroChina Master_WIP(20-F update)" xfId="5279" xr:uid="{00000000-0005-0000-0000-0000110E0000}"/>
    <cellStyle name="—_I&amp;O Report Tables_candicetables_Book3_PetroChina Master_WIP(20-F update)_Cashflow" xfId="5280" xr:uid="{00000000-0005-0000-0000-0000120E0000}"/>
    <cellStyle name="—_I&amp;O Report Tables_candicetables_Book3_PetroChina Master_WIP(20-F update)_Cashflow_Honghua MSTR" xfId="5281" xr:uid="{00000000-0005-0000-0000-0000130E0000}"/>
    <cellStyle name="—_I&amp;O Report Tables_candicetables_Book3_PetroChina Master_WIP(20-F update)_P&amp;L" xfId="5282" xr:uid="{00000000-0005-0000-0000-0000140E0000}"/>
    <cellStyle name="—_I&amp;O Report Tables_candicetables_Book3_PetroChina Master_WIP(20-F update)_P&amp;L_Honghua MSTR" xfId="5283" xr:uid="{00000000-0005-0000-0000-0000150E0000}"/>
    <cellStyle name="—_I&amp;O Report Tables_candicetables_Book3_PetroChina Master_WIP(20-F update)_Sinopec MSTR" xfId="5284" xr:uid="{00000000-0005-0000-0000-0000160E0000}"/>
    <cellStyle name="—_I&amp;O Report Tables_candicetables_Book3_PetroChina Master_WIP(20-F update)_Sinopec MSTR Wip" xfId="5285" xr:uid="{00000000-0005-0000-0000-0000170E0000}"/>
    <cellStyle name="—_I&amp;O Report Tables_candicetables_Book3_PetroChina Master_WIP(20-F update)_Sinopec MSTR_WIP_KK" xfId="5286" xr:uid="{00000000-0005-0000-0000-0000180E0000}"/>
    <cellStyle name="—_I&amp;O Report Tables_candicetables_Book3_Sinopec MSTR" xfId="5287" xr:uid="{00000000-0005-0000-0000-0000190E0000}"/>
    <cellStyle name="—_I&amp;O Report Tables_candicetables_Book7" xfId="3948" xr:uid="{00000000-0005-0000-0000-00001A0E0000}"/>
    <cellStyle name="—_I&amp;O Report Tables_candicetables_Book7_new-Sub" xfId="3949" xr:uid="{00000000-0005-0000-0000-00001B0E0000}"/>
    <cellStyle name="—_I&amp;O Report Tables_candicetables_BPCL Master" xfId="5288" xr:uid="{00000000-0005-0000-0000-00001C0E0000}"/>
    <cellStyle name="—_I&amp;O Report Tables_candicetables_BPCL Master_Beta" xfId="5289" xr:uid="{00000000-0005-0000-0000-00001D0E0000}"/>
    <cellStyle name="—_I&amp;O Report Tables_candicetables_BPCL Master_Cashflow" xfId="5290" xr:uid="{00000000-0005-0000-0000-00001E0E0000}"/>
    <cellStyle name="—_I&amp;O Report Tables_candicetables_BPCL Master_Cashflow_Honghua MSTR" xfId="5291" xr:uid="{00000000-0005-0000-0000-00001F0E0000}"/>
    <cellStyle name="—_I&amp;O Report Tables_candicetables_BPCL Master_P&amp;L" xfId="5292" xr:uid="{00000000-0005-0000-0000-0000200E0000}"/>
    <cellStyle name="—_I&amp;O Report Tables_candicetables_BPCL Master_P&amp;L_Honghua MSTR" xfId="5293" xr:uid="{00000000-0005-0000-0000-0000210E0000}"/>
    <cellStyle name="—_I&amp;O Report Tables_candicetables_BPCL Master_PetroChina Master" xfId="5294" xr:uid="{00000000-0005-0000-0000-0000220E0000}"/>
    <cellStyle name="—_I&amp;O Report Tables_candicetables_BPCL Master_PetroChina Master_WIP(20-F update)" xfId="5295" xr:uid="{00000000-0005-0000-0000-0000230E0000}"/>
    <cellStyle name="—_I&amp;O Report Tables_candicetables_BPCL Master_PetroChina Master_WIP(20-F update)_Cashflow" xfId="5296" xr:uid="{00000000-0005-0000-0000-0000240E0000}"/>
    <cellStyle name="—_I&amp;O Report Tables_candicetables_BPCL Master_PetroChina Master_WIP(20-F update)_Cashflow_Honghua MSTR" xfId="5297" xr:uid="{00000000-0005-0000-0000-0000250E0000}"/>
    <cellStyle name="—_I&amp;O Report Tables_candicetables_BPCL Master_PetroChina Master_WIP(20-F update)_P&amp;L" xfId="5298" xr:uid="{00000000-0005-0000-0000-0000260E0000}"/>
    <cellStyle name="—_I&amp;O Report Tables_candicetables_BPCL Master_PetroChina Master_WIP(20-F update)_P&amp;L_Honghua MSTR" xfId="5299" xr:uid="{00000000-0005-0000-0000-0000270E0000}"/>
    <cellStyle name="—_I&amp;O Report Tables_candicetables_BPCL Master_PetroChina Master_WIP(20-F update)_Sinopec MSTR" xfId="5300" xr:uid="{00000000-0005-0000-0000-0000280E0000}"/>
    <cellStyle name="—_I&amp;O Report Tables_candicetables_BPCL Master_PetroChina Master_WIP(20-F update)_Sinopec MSTR Wip" xfId="5301" xr:uid="{00000000-0005-0000-0000-0000290E0000}"/>
    <cellStyle name="—_I&amp;O Report Tables_candicetables_BPCL Master_PetroChina Master_WIP(20-F update)_Sinopec MSTR_WIP_KK" xfId="5302" xr:uid="{00000000-0005-0000-0000-00002A0E0000}"/>
    <cellStyle name="—_I&amp;O Report Tables_candicetables_BPCL Master_Sinopec MSTR" xfId="5303" xr:uid="{00000000-0005-0000-0000-00002B0E0000}"/>
    <cellStyle name="—_I&amp;O Report Tables_candicetables_Cashflow" xfId="5304" xr:uid="{00000000-0005-0000-0000-00002C0E0000}"/>
    <cellStyle name="—_I&amp;O Report Tables_candicetables_Cashflow_Honghua MSTR" xfId="5305" xr:uid="{00000000-0005-0000-0000-00002D0E0000}"/>
    <cellStyle name="—_I&amp;O Report Tables_candicetables_CNOOC Master" xfId="5306" xr:uid="{00000000-0005-0000-0000-00002E0E0000}"/>
    <cellStyle name="—_I&amp;O Report Tables_candicetables_CNOOC Master_1" xfId="5307" xr:uid="{00000000-0005-0000-0000-00002F0E0000}"/>
    <cellStyle name="—_I&amp;O Report Tables_candicetables_CNOOC Master_Beta" xfId="5308" xr:uid="{00000000-0005-0000-0000-0000300E0000}"/>
    <cellStyle name="—_I&amp;O Report Tables_candicetables_CNOOC Master_Cashflow" xfId="5309" xr:uid="{00000000-0005-0000-0000-0000310E0000}"/>
    <cellStyle name="—_I&amp;O Report Tables_candicetables_CNOOC Master_Cashflow_Honghua MSTR" xfId="5310" xr:uid="{00000000-0005-0000-0000-0000320E0000}"/>
    <cellStyle name="—_I&amp;O Report Tables_candicetables_CNOOC Master_P&amp;L" xfId="5311" xr:uid="{00000000-0005-0000-0000-0000330E0000}"/>
    <cellStyle name="—_I&amp;O Report Tables_candicetables_CNOOC Master_P&amp;L_Honghua MSTR" xfId="5312" xr:uid="{00000000-0005-0000-0000-0000340E0000}"/>
    <cellStyle name="—_I&amp;O Report Tables_candicetables_CNOOC Master_PetroChina Master" xfId="5313" xr:uid="{00000000-0005-0000-0000-0000350E0000}"/>
    <cellStyle name="—_I&amp;O Report Tables_candicetables_CNOOC Master_PetroChina Master_WIP(20-F update)" xfId="5314" xr:uid="{00000000-0005-0000-0000-0000360E0000}"/>
    <cellStyle name="—_I&amp;O Report Tables_candicetables_CNOOC Master_PetroChina Master_WIP(20-F update)_Cashflow" xfId="5315" xr:uid="{00000000-0005-0000-0000-0000370E0000}"/>
    <cellStyle name="—_I&amp;O Report Tables_candicetables_CNOOC Master_PetroChina Master_WIP(20-F update)_Cashflow_Honghua MSTR" xfId="5316" xr:uid="{00000000-0005-0000-0000-0000380E0000}"/>
    <cellStyle name="—_I&amp;O Report Tables_candicetables_CNOOC Master_PetroChina Master_WIP(20-F update)_P&amp;L" xfId="5317" xr:uid="{00000000-0005-0000-0000-0000390E0000}"/>
    <cellStyle name="—_I&amp;O Report Tables_candicetables_CNOOC Master_PetroChina Master_WIP(20-F update)_P&amp;L_Honghua MSTR" xfId="5318" xr:uid="{00000000-0005-0000-0000-00003A0E0000}"/>
    <cellStyle name="—_I&amp;O Report Tables_candicetables_CNOOC Master_PetroChina Master_WIP(20-F update)_Sinopec MSTR" xfId="5319" xr:uid="{00000000-0005-0000-0000-00003B0E0000}"/>
    <cellStyle name="—_I&amp;O Report Tables_candicetables_CNOOC Master_PetroChina Master_WIP(20-F update)_Sinopec MSTR Wip" xfId="5320" xr:uid="{00000000-0005-0000-0000-00003C0E0000}"/>
    <cellStyle name="—_I&amp;O Report Tables_candicetables_CNOOC Master_PetroChina Master_WIP(20-F update)_Sinopec MSTR_WIP_KK" xfId="5321" xr:uid="{00000000-0005-0000-0000-00003D0E0000}"/>
    <cellStyle name="—_I&amp;O Report Tables_candicetables_CNOOC Master_Sinopec MSTR" xfId="5322" xr:uid="{00000000-0005-0000-0000-00003E0E0000}"/>
    <cellStyle name="—_I&amp;O Report Tables_candicetables_CNPC (HK) Master" xfId="5323" xr:uid="{00000000-0005-0000-0000-00003F0E0000}"/>
    <cellStyle name="—_I&amp;O Report Tables_candicetables_DCF" xfId="5324" xr:uid="{00000000-0005-0000-0000-0000400E0000}"/>
    <cellStyle name="—_I&amp;O Report Tables_candicetables_DCF 08" xfId="5325" xr:uid="{00000000-0005-0000-0000-0000410E0000}"/>
    <cellStyle name="—_I&amp;O Report Tables_candicetables_DoCoMo table 10July2000" xfId="3950" xr:uid="{00000000-0005-0000-0000-0000420E0000}"/>
    <cellStyle name="—_I&amp;O Report Tables_candicetables_earnings" xfId="3951" xr:uid="{00000000-0005-0000-0000-0000430E0000}"/>
    <cellStyle name="—_I&amp;O Report Tables_candicetables_earnings_new-Sub" xfId="3952" xr:uid="{00000000-0005-0000-0000-0000440E0000}"/>
    <cellStyle name="—_I&amp;O Report Tables_candicetables_EM_FETone_new" xfId="3953" xr:uid="{00000000-0005-0000-0000-0000450E0000}"/>
    <cellStyle name="—_I&amp;O Report Tables_candicetables_EM_FETone_new_new-Sub" xfId="3954" xr:uid="{00000000-0005-0000-0000-0000460E0000}"/>
    <cellStyle name="—_I&amp;O Report Tables_candicetables_EM_TCC_new" xfId="3955" xr:uid="{00000000-0005-0000-0000-0000470E0000}"/>
    <cellStyle name="—_I&amp;O Report Tables_candicetables_EM_TCC_new_new-Sub" xfId="3956" xr:uid="{00000000-0005-0000-0000-0000480E0000}"/>
    <cellStyle name="—_I&amp;O Report Tables_candicetables_Honam Master" xfId="5326" xr:uid="{00000000-0005-0000-0000-0000490E0000}"/>
    <cellStyle name="—_I&amp;O Report Tables_candicetables_honam -Quantum 220704" xfId="5327" xr:uid="{00000000-0005-0000-0000-00004A0E0000}"/>
    <cellStyle name="—_I&amp;O Report Tables_candicetables_Kelvin_SKT_dividend_Mar10_2003" xfId="5328" xr:uid="{00000000-0005-0000-0000-00004B0E0000}"/>
    <cellStyle name="—_I&amp;O Report Tables_candicetables_Kelvin_SKT_dividend_Mar10_2003_Beta" xfId="5329" xr:uid="{00000000-0005-0000-0000-00004C0E0000}"/>
    <cellStyle name="—_I&amp;O Report Tables_candicetables_Kelvin_SKT_dividend_Mar10_2003_Cashflow" xfId="5330" xr:uid="{00000000-0005-0000-0000-00004D0E0000}"/>
    <cellStyle name="—_I&amp;O Report Tables_candicetables_Kelvin_SKT_dividend_Mar10_2003_Cashflow_Honghua MSTR" xfId="5331" xr:uid="{00000000-0005-0000-0000-00004E0E0000}"/>
    <cellStyle name="—_I&amp;O Report Tables_candicetables_Kelvin_SKT_dividend_Mar10_2003_P&amp;L" xfId="5332" xr:uid="{00000000-0005-0000-0000-00004F0E0000}"/>
    <cellStyle name="—_I&amp;O Report Tables_candicetables_Kelvin_SKT_dividend_Mar10_2003_P&amp;L_Honghua MSTR" xfId="5333" xr:uid="{00000000-0005-0000-0000-0000500E0000}"/>
    <cellStyle name="—_I&amp;O Report Tables_candicetables_Kelvin_SKT_dividend_Mar10_2003_PetroChina Master" xfId="5334" xr:uid="{00000000-0005-0000-0000-0000510E0000}"/>
    <cellStyle name="—_I&amp;O Report Tables_candicetables_Kelvin_SKT_dividend_Mar10_2003_PetroChina Master_WIP(20-F update)" xfId="5335" xr:uid="{00000000-0005-0000-0000-0000520E0000}"/>
    <cellStyle name="—_I&amp;O Report Tables_candicetables_Kelvin_SKT_dividend_Mar10_2003_PetroChina Master_WIP(20-F update)_Cashflow" xfId="5336" xr:uid="{00000000-0005-0000-0000-0000530E0000}"/>
    <cellStyle name="—_I&amp;O Report Tables_candicetables_Kelvin_SKT_dividend_Mar10_2003_PetroChina Master_WIP(20-F update)_Cashflow_Honghua MSTR" xfId="5337" xr:uid="{00000000-0005-0000-0000-0000540E0000}"/>
    <cellStyle name="—_I&amp;O Report Tables_candicetables_Kelvin_SKT_dividend_Mar10_2003_PetroChina Master_WIP(20-F update)_P&amp;L" xfId="5338" xr:uid="{00000000-0005-0000-0000-0000550E0000}"/>
    <cellStyle name="—_I&amp;O Report Tables_candicetables_Kelvin_SKT_dividend_Mar10_2003_PetroChina Master_WIP(20-F update)_P&amp;L_Honghua MSTR" xfId="5339" xr:uid="{00000000-0005-0000-0000-0000560E0000}"/>
    <cellStyle name="—_I&amp;O Report Tables_candicetables_Kelvin_SKT_dividend_Mar10_2003_PetroChina Master_WIP(20-F update)_Sinopec MSTR" xfId="5340" xr:uid="{00000000-0005-0000-0000-0000570E0000}"/>
    <cellStyle name="—_I&amp;O Report Tables_candicetables_Kelvin_SKT_dividend_Mar10_2003_PetroChina Master_WIP(20-F update)_Sinopec MSTR Wip" xfId="5341" xr:uid="{00000000-0005-0000-0000-0000580E0000}"/>
    <cellStyle name="—_I&amp;O Report Tables_candicetables_Kelvin_SKT_dividend_Mar10_2003_PetroChina Master_WIP(20-F update)_Sinopec MSTR_WIP_KK" xfId="5342" xr:uid="{00000000-0005-0000-0000-0000590E0000}"/>
    <cellStyle name="—_I&amp;O Report Tables_candicetables_Kelvin_SKT_dividend_Mar10_2003_Sinopec MSTR" xfId="5343" xr:uid="{00000000-0005-0000-0000-00005A0E0000}"/>
    <cellStyle name="—_I&amp;O Report Tables_candicetables_new-Sub" xfId="3957" xr:uid="{00000000-0005-0000-0000-00005B0E0000}"/>
    <cellStyle name="—_I&amp;O Report Tables_candicetables_operating stats comp" xfId="3958" xr:uid="{00000000-0005-0000-0000-00005C0E0000}"/>
    <cellStyle name="—_I&amp;O Report Tables_candicetables_operating stats comp_new-Sub" xfId="3959" xr:uid="{00000000-0005-0000-0000-00005D0E0000}"/>
    <cellStyle name="—_I&amp;O Report Tables_candicetables_P&amp;L" xfId="5344" xr:uid="{00000000-0005-0000-0000-00005E0E0000}"/>
    <cellStyle name="—_I&amp;O Report Tables_candicetables_P&amp;L_Honghua MSTR" xfId="5345" xr:uid="{00000000-0005-0000-0000-00005F0E0000}"/>
    <cellStyle name="—_I&amp;O Report Tables_candicetables_PetroChina Master" xfId="5346" xr:uid="{00000000-0005-0000-0000-0000600E0000}"/>
    <cellStyle name="—_I&amp;O Report Tables_candicetables_PetroChina Master_WIP(20-F update)" xfId="5347" xr:uid="{00000000-0005-0000-0000-0000610E0000}"/>
    <cellStyle name="—_I&amp;O Report Tables_candicetables_PetroChina Master_WIP(20-F update)_Cashflow" xfId="5348" xr:uid="{00000000-0005-0000-0000-0000620E0000}"/>
    <cellStyle name="—_I&amp;O Report Tables_candicetables_PetroChina Master_WIP(20-F update)_Cashflow_Honghua MSTR" xfId="5349" xr:uid="{00000000-0005-0000-0000-0000630E0000}"/>
    <cellStyle name="—_I&amp;O Report Tables_candicetables_PetroChina Master_WIP(20-F update)_P&amp;L" xfId="5350" xr:uid="{00000000-0005-0000-0000-0000640E0000}"/>
    <cellStyle name="—_I&amp;O Report Tables_candicetables_PetroChina Master_WIP(20-F update)_P&amp;L_Honghua MSTR" xfId="5351" xr:uid="{00000000-0005-0000-0000-0000650E0000}"/>
    <cellStyle name="—_I&amp;O Report Tables_candicetables_PetroChina Master_WIP(20-F update)_Sinopec MSTR" xfId="5352" xr:uid="{00000000-0005-0000-0000-0000660E0000}"/>
    <cellStyle name="—_I&amp;O Report Tables_candicetables_PetroChina Master_WIP(20-F update)_Sinopec MSTR Wip" xfId="5353" xr:uid="{00000000-0005-0000-0000-0000670E0000}"/>
    <cellStyle name="—_I&amp;O Report Tables_candicetables_PetroChina Master_WIP(20-F update)_Sinopec MSTR_WIP_KK" xfId="5354" xr:uid="{00000000-0005-0000-0000-0000680E0000}"/>
    <cellStyle name="—_I&amp;O Report Tables_candicetables_Profit" xfId="5355" xr:uid="{00000000-0005-0000-0000-0000690E0000}"/>
    <cellStyle name="—_I&amp;O Report Tables_candicetables_PTTEP MASTER" xfId="5356" xr:uid="{00000000-0005-0000-0000-00006A0E0000}"/>
    <cellStyle name="—_I&amp;O Report Tables_candicetables_PTTEP MASTER WIP" xfId="5357" xr:uid="{00000000-0005-0000-0000-00006B0E0000}"/>
    <cellStyle name="—_I&amp;O Report Tables_candicetables_Sheet1" xfId="5358" xr:uid="{00000000-0005-0000-0000-00006C0E0000}"/>
    <cellStyle name="—_I&amp;O Report Tables_candicetables_Sinopec MSTR" xfId="5359" xr:uid="{00000000-0005-0000-0000-00006D0E0000}"/>
    <cellStyle name="—_I&amp;O Report Tables_candicetables_SK COrp - Quantum 290704" xfId="5360" xr:uid="{00000000-0005-0000-0000-00006E0E0000}"/>
    <cellStyle name="—_I&amp;O Report Tables_candicetables_SK MSTR" xfId="5361" xr:uid="{00000000-0005-0000-0000-00006F0E0000}"/>
    <cellStyle name="—_I&amp;O Report Tables_candicetables_SK MSTR_Beta" xfId="5362" xr:uid="{00000000-0005-0000-0000-0000700E0000}"/>
    <cellStyle name="—_I&amp;O Report Tables_candicetables_SK MSTR_Cashflow" xfId="5363" xr:uid="{00000000-0005-0000-0000-0000710E0000}"/>
    <cellStyle name="—_I&amp;O Report Tables_candicetables_SK MSTR_Cashflow_Honghua MSTR" xfId="5364" xr:uid="{00000000-0005-0000-0000-0000720E0000}"/>
    <cellStyle name="—_I&amp;O Report Tables_candicetables_SK MSTR_P&amp;L" xfId="5365" xr:uid="{00000000-0005-0000-0000-0000730E0000}"/>
    <cellStyle name="—_I&amp;O Report Tables_candicetables_SK MSTR_P&amp;L_Honghua MSTR" xfId="5366" xr:uid="{00000000-0005-0000-0000-0000740E0000}"/>
    <cellStyle name="—_I&amp;O Report Tables_candicetables_SK MSTR_PetroChina Master" xfId="5367" xr:uid="{00000000-0005-0000-0000-0000750E0000}"/>
    <cellStyle name="—_I&amp;O Report Tables_candicetables_SK MSTR_PetroChina Master_WIP(20-F update)" xfId="5368" xr:uid="{00000000-0005-0000-0000-0000760E0000}"/>
    <cellStyle name="—_I&amp;O Report Tables_candicetables_SK MSTR_PetroChina Master_WIP(20-F update)_Cashflow" xfId="5369" xr:uid="{00000000-0005-0000-0000-0000770E0000}"/>
    <cellStyle name="—_I&amp;O Report Tables_candicetables_SK MSTR_PetroChina Master_WIP(20-F update)_Cashflow_Honghua MSTR" xfId="5370" xr:uid="{00000000-0005-0000-0000-0000780E0000}"/>
    <cellStyle name="—_I&amp;O Report Tables_candicetables_SK MSTR_PetroChina Master_WIP(20-F update)_P&amp;L" xfId="5371" xr:uid="{00000000-0005-0000-0000-0000790E0000}"/>
    <cellStyle name="—_I&amp;O Report Tables_candicetables_SK MSTR_PetroChina Master_WIP(20-F update)_P&amp;L_Honghua MSTR" xfId="5372" xr:uid="{00000000-0005-0000-0000-00007A0E0000}"/>
    <cellStyle name="—_I&amp;O Report Tables_candicetables_SK MSTR_PetroChina Master_WIP(20-F update)_Sinopec MSTR" xfId="5373" xr:uid="{00000000-0005-0000-0000-00007B0E0000}"/>
    <cellStyle name="—_I&amp;O Report Tables_candicetables_SK MSTR_PetroChina Master_WIP(20-F update)_Sinopec MSTR Wip" xfId="5374" xr:uid="{00000000-0005-0000-0000-00007C0E0000}"/>
    <cellStyle name="—_I&amp;O Report Tables_candicetables_SK MSTR_PetroChina Master_WIP(20-F update)_Sinopec MSTR_WIP_KK" xfId="5375" xr:uid="{00000000-0005-0000-0000-00007D0E0000}"/>
    <cellStyle name="—_I&amp;O Report Tables_candicetables_SK MSTR_Sinopec MSTR" xfId="5376" xr:uid="{00000000-0005-0000-0000-00007E0E0000}"/>
    <cellStyle name="—_I&amp;O Report Tables_candicetables_S-Oil Master" xfId="5377" xr:uid="{00000000-0005-0000-0000-00007F0E0000}"/>
    <cellStyle name="—_I&amp;O Report Tables_candicetables_S-Oil Master KK New" xfId="5378" xr:uid="{00000000-0005-0000-0000-0000800E0000}"/>
    <cellStyle name="—_I&amp;O Report Tables_candicetables_S-Oil Master KK New_Beta" xfId="5379" xr:uid="{00000000-0005-0000-0000-0000810E0000}"/>
    <cellStyle name="—_I&amp;O Report Tables_candicetables_S-Oil Master KK New_Cashflow" xfId="5380" xr:uid="{00000000-0005-0000-0000-0000820E0000}"/>
    <cellStyle name="—_I&amp;O Report Tables_candicetables_S-Oil Master KK New_Cashflow_Honghua MSTR" xfId="5381" xr:uid="{00000000-0005-0000-0000-0000830E0000}"/>
    <cellStyle name="—_I&amp;O Report Tables_candicetables_S-Oil Master KK New_P&amp;L" xfId="5382" xr:uid="{00000000-0005-0000-0000-0000840E0000}"/>
    <cellStyle name="—_I&amp;O Report Tables_candicetables_S-Oil Master KK New_P&amp;L_Honghua MSTR" xfId="5383" xr:uid="{00000000-0005-0000-0000-0000850E0000}"/>
    <cellStyle name="—_I&amp;O Report Tables_candicetables_S-Oil Master KK New_PetroChina Master" xfId="5384" xr:uid="{00000000-0005-0000-0000-0000860E0000}"/>
    <cellStyle name="—_I&amp;O Report Tables_candicetables_S-Oil Master KK New_PetroChina Master_WIP(20-F update)" xfId="5385" xr:uid="{00000000-0005-0000-0000-0000870E0000}"/>
    <cellStyle name="—_I&amp;O Report Tables_candicetables_S-Oil Master KK New_PetroChina Master_WIP(20-F update)_Cashflow" xfId="5386" xr:uid="{00000000-0005-0000-0000-0000880E0000}"/>
    <cellStyle name="—_I&amp;O Report Tables_candicetables_S-Oil Master KK New_PetroChina Master_WIP(20-F update)_Cashflow_Honghua MSTR" xfId="5387" xr:uid="{00000000-0005-0000-0000-0000890E0000}"/>
    <cellStyle name="—_I&amp;O Report Tables_candicetables_S-Oil Master KK New_PetroChina Master_WIP(20-F update)_P&amp;L" xfId="5388" xr:uid="{00000000-0005-0000-0000-00008A0E0000}"/>
    <cellStyle name="—_I&amp;O Report Tables_candicetables_S-Oil Master KK New_PetroChina Master_WIP(20-F update)_P&amp;L_Honghua MSTR" xfId="5389" xr:uid="{00000000-0005-0000-0000-00008B0E0000}"/>
    <cellStyle name="—_I&amp;O Report Tables_candicetables_S-Oil Master KK New_PetroChina Master_WIP(20-F update)_Sinopec MSTR" xfId="5390" xr:uid="{00000000-0005-0000-0000-00008C0E0000}"/>
    <cellStyle name="—_I&amp;O Report Tables_candicetables_S-Oil Master KK New_PetroChina Master_WIP(20-F update)_Sinopec MSTR Wip" xfId="5391" xr:uid="{00000000-0005-0000-0000-00008D0E0000}"/>
    <cellStyle name="—_I&amp;O Report Tables_candicetables_S-Oil Master KK New_PetroChina Master_WIP(20-F update)_Sinopec MSTR_WIP_KK" xfId="5392" xr:uid="{00000000-0005-0000-0000-00008E0E0000}"/>
    <cellStyle name="—_I&amp;O Report Tables_candicetables_S-Oil Master KK New_Sinopec MSTR" xfId="5393" xr:uid="{00000000-0005-0000-0000-00008F0E0000}"/>
    <cellStyle name="—_I&amp;O Report Tables_candicetables_S-Oil Master_Beta" xfId="5394" xr:uid="{00000000-0005-0000-0000-0000900E0000}"/>
    <cellStyle name="—_I&amp;O Report Tables_candicetables_S-Oil Master_Cashflow" xfId="5395" xr:uid="{00000000-0005-0000-0000-0000910E0000}"/>
    <cellStyle name="—_I&amp;O Report Tables_candicetables_S-Oil Master_Cashflow_Honghua MSTR" xfId="5396" xr:uid="{00000000-0005-0000-0000-0000920E0000}"/>
    <cellStyle name="—_I&amp;O Report Tables_candicetables_S-Oil Master_P&amp;L" xfId="5397" xr:uid="{00000000-0005-0000-0000-0000930E0000}"/>
    <cellStyle name="—_I&amp;O Report Tables_candicetables_S-Oil Master_P&amp;L_Honghua MSTR" xfId="5398" xr:uid="{00000000-0005-0000-0000-0000940E0000}"/>
    <cellStyle name="—_I&amp;O Report Tables_candicetables_S-Oil Master_PetroChina Master" xfId="5399" xr:uid="{00000000-0005-0000-0000-0000950E0000}"/>
    <cellStyle name="—_I&amp;O Report Tables_candicetables_S-Oil Master_PetroChina Master_WIP(20-F update)" xfId="5400" xr:uid="{00000000-0005-0000-0000-0000960E0000}"/>
    <cellStyle name="—_I&amp;O Report Tables_candicetables_S-Oil Master_PetroChina Master_WIP(20-F update)_Cashflow" xfId="5401" xr:uid="{00000000-0005-0000-0000-0000970E0000}"/>
    <cellStyle name="—_I&amp;O Report Tables_candicetables_S-Oil Master_PetroChina Master_WIP(20-F update)_Cashflow_Honghua MSTR" xfId="5402" xr:uid="{00000000-0005-0000-0000-0000980E0000}"/>
    <cellStyle name="—_I&amp;O Report Tables_candicetables_S-Oil Master_PetroChina Master_WIP(20-F update)_P&amp;L" xfId="5403" xr:uid="{00000000-0005-0000-0000-0000990E0000}"/>
    <cellStyle name="—_I&amp;O Report Tables_candicetables_S-Oil Master_PetroChina Master_WIP(20-F update)_P&amp;L_Honghua MSTR" xfId="5404" xr:uid="{00000000-0005-0000-0000-00009A0E0000}"/>
    <cellStyle name="—_I&amp;O Report Tables_candicetables_S-Oil Master_PetroChina Master_WIP(20-F update)_Sinopec MSTR" xfId="5405" xr:uid="{00000000-0005-0000-0000-00009B0E0000}"/>
    <cellStyle name="—_I&amp;O Report Tables_candicetables_S-Oil Master_PetroChina Master_WIP(20-F update)_Sinopec MSTR Wip" xfId="5406" xr:uid="{00000000-0005-0000-0000-00009C0E0000}"/>
    <cellStyle name="—_I&amp;O Report Tables_candicetables_S-Oil Master_PetroChina Master_WIP(20-F update)_Sinopec MSTR_WIP_KK" xfId="5407" xr:uid="{00000000-0005-0000-0000-00009D0E0000}"/>
    <cellStyle name="—_I&amp;O Report Tables_candicetables_S-Oil Master_Sinopec MSTR" xfId="5408" xr:uid="{00000000-0005-0000-0000-00009E0E0000}"/>
    <cellStyle name="—_I&amp;O Report Tables_candicetables_S-Oil-Quantum 260704" xfId="5409" xr:uid="{00000000-0005-0000-0000-00009F0E0000}"/>
    <cellStyle name="—_I&amp;O Report Tables_candicetables_S-Oil-Quantum 260704_Beta" xfId="5410" xr:uid="{00000000-0005-0000-0000-0000A00E0000}"/>
    <cellStyle name="—_I&amp;O Report Tables_candicetables_S-Oil-Quantum 260704_Cashflow" xfId="5411" xr:uid="{00000000-0005-0000-0000-0000A10E0000}"/>
    <cellStyle name="—_I&amp;O Report Tables_candicetables_S-Oil-Quantum 260704_Cashflow_Honghua MSTR" xfId="5412" xr:uid="{00000000-0005-0000-0000-0000A20E0000}"/>
    <cellStyle name="—_I&amp;O Report Tables_candicetables_S-Oil-Quantum 260704_P&amp;L" xfId="5413" xr:uid="{00000000-0005-0000-0000-0000A30E0000}"/>
    <cellStyle name="—_I&amp;O Report Tables_candicetables_S-Oil-Quantum 260704_P&amp;L_Honghua MSTR" xfId="5414" xr:uid="{00000000-0005-0000-0000-0000A40E0000}"/>
    <cellStyle name="—_I&amp;O Report Tables_candicetables_S-Oil-Quantum 260704_PetroChina Master" xfId="5415" xr:uid="{00000000-0005-0000-0000-0000A50E0000}"/>
    <cellStyle name="—_I&amp;O Report Tables_candicetables_S-Oil-Quantum 260704_PetroChina Master_WIP(20-F update)" xfId="5416" xr:uid="{00000000-0005-0000-0000-0000A60E0000}"/>
    <cellStyle name="—_I&amp;O Report Tables_candicetables_S-Oil-Quantum 260704_PetroChina Master_WIP(20-F update)_Cashflow" xfId="5417" xr:uid="{00000000-0005-0000-0000-0000A70E0000}"/>
    <cellStyle name="—_I&amp;O Report Tables_candicetables_S-Oil-Quantum 260704_PetroChina Master_WIP(20-F update)_Cashflow_Honghua MSTR" xfId="5418" xr:uid="{00000000-0005-0000-0000-0000A80E0000}"/>
    <cellStyle name="—_I&amp;O Report Tables_candicetables_S-Oil-Quantum 260704_PetroChina Master_WIP(20-F update)_P&amp;L" xfId="5419" xr:uid="{00000000-0005-0000-0000-0000A90E0000}"/>
    <cellStyle name="—_I&amp;O Report Tables_candicetables_S-Oil-Quantum 260704_PetroChina Master_WIP(20-F update)_P&amp;L_Honghua MSTR" xfId="5420" xr:uid="{00000000-0005-0000-0000-0000AA0E0000}"/>
    <cellStyle name="—_I&amp;O Report Tables_candicetables_S-Oil-Quantum 260704_PetroChina Master_WIP(20-F update)_Sinopec MSTR" xfId="5421" xr:uid="{00000000-0005-0000-0000-0000AB0E0000}"/>
    <cellStyle name="—_I&amp;O Report Tables_candicetables_S-Oil-Quantum 260704_PetroChina Master_WIP(20-F update)_Sinopec MSTR Wip" xfId="5422" xr:uid="{00000000-0005-0000-0000-0000AC0E0000}"/>
    <cellStyle name="—_I&amp;O Report Tables_candicetables_S-Oil-Quantum 260704_PetroChina Master_WIP(20-F update)_Sinopec MSTR_WIP_KK" xfId="5423" xr:uid="{00000000-0005-0000-0000-0000AD0E0000}"/>
    <cellStyle name="—_I&amp;O Report Tables_candicetables_S-Oil-Quantum 260704_Sinopec MSTR" xfId="5424" xr:uid="{00000000-0005-0000-0000-0000AE0E0000}"/>
    <cellStyle name="—_I&amp;O Report Tables_candicetables_Strategy_data_update" xfId="3960" xr:uid="{00000000-0005-0000-0000-0000AF0E0000}"/>
    <cellStyle name="—_I&amp;O Report Tables_candicetables_Strategy_data_update_new-Sub" xfId="3961" xr:uid="{00000000-0005-0000-0000-0000B00E0000}"/>
    <cellStyle name="—_I&amp;O Report Tables_Cashflow" xfId="5425" xr:uid="{00000000-0005-0000-0000-0000B10E0000}"/>
    <cellStyle name="—_I&amp;O Report Tables_Cashflow_Honghua MSTR" xfId="5426" xr:uid="{00000000-0005-0000-0000-0000B20E0000}"/>
    <cellStyle name="—_I&amp;O Report Tables_CNOOC Master" xfId="5427" xr:uid="{00000000-0005-0000-0000-0000B30E0000}"/>
    <cellStyle name="—_I&amp;O Report Tables_CNOOC Master_1" xfId="5428" xr:uid="{00000000-0005-0000-0000-0000B40E0000}"/>
    <cellStyle name="—_I&amp;O Report Tables_CNOOC Master_Beta" xfId="5429" xr:uid="{00000000-0005-0000-0000-0000B50E0000}"/>
    <cellStyle name="—_I&amp;O Report Tables_CNOOC Master_Cashflow" xfId="5430" xr:uid="{00000000-0005-0000-0000-0000B60E0000}"/>
    <cellStyle name="—_I&amp;O Report Tables_CNOOC Master_Cashflow_Honghua MSTR" xfId="5431" xr:uid="{00000000-0005-0000-0000-0000B70E0000}"/>
    <cellStyle name="—_I&amp;O Report Tables_CNOOC Master_P&amp;L" xfId="5432" xr:uid="{00000000-0005-0000-0000-0000B80E0000}"/>
    <cellStyle name="—_I&amp;O Report Tables_CNOOC Master_P&amp;L_Honghua MSTR" xfId="5433" xr:uid="{00000000-0005-0000-0000-0000B90E0000}"/>
    <cellStyle name="—_I&amp;O Report Tables_CNOOC Master_PetroChina Master" xfId="5434" xr:uid="{00000000-0005-0000-0000-0000BA0E0000}"/>
    <cellStyle name="—_I&amp;O Report Tables_CNOOC Master_PetroChina Master_WIP(20-F update)" xfId="5435" xr:uid="{00000000-0005-0000-0000-0000BB0E0000}"/>
    <cellStyle name="—_I&amp;O Report Tables_CNOOC Master_PetroChina Master_WIP(20-F update)_Cashflow" xfId="5436" xr:uid="{00000000-0005-0000-0000-0000BC0E0000}"/>
    <cellStyle name="—_I&amp;O Report Tables_CNOOC Master_PetroChina Master_WIP(20-F update)_Cashflow_Honghua MSTR" xfId="5437" xr:uid="{00000000-0005-0000-0000-0000BD0E0000}"/>
    <cellStyle name="—_I&amp;O Report Tables_CNOOC Master_PetroChina Master_WIP(20-F update)_P&amp;L" xfId="5438" xr:uid="{00000000-0005-0000-0000-0000BE0E0000}"/>
    <cellStyle name="—_I&amp;O Report Tables_CNOOC Master_PetroChina Master_WIP(20-F update)_P&amp;L_Honghua MSTR" xfId="5439" xr:uid="{00000000-0005-0000-0000-0000BF0E0000}"/>
    <cellStyle name="—_I&amp;O Report Tables_CNOOC Master_PetroChina Master_WIP(20-F update)_Sinopec MSTR" xfId="5440" xr:uid="{00000000-0005-0000-0000-0000C00E0000}"/>
    <cellStyle name="—_I&amp;O Report Tables_CNOOC Master_PetroChina Master_WIP(20-F update)_Sinopec MSTR Wip" xfId="5441" xr:uid="{00000000-0005-0000-0000-0000C10E0000}"/>
    <cellStyle name="—_I&amp;O Report Tables_CNOOC Master_PetroChina Master_WIP(20-F update)_Sinopec MSTR_WIP_KK" xfId="5442" xr:uid="{00000000-0005-0000-0000-0000C20E0000}"/>
    <cellStyle name="—_I&amp;O Report Tables_CNOOC Master_Sinopec MSTR" xfId="5443" xr:uid="{00000000-0005-0000-0000-0000C30E0000}"/>
    <cellStyle name="—_I&amp;O Report Tables_CNPC (HK) Master" xfId="5444" xr:uid="{00000000-0005-0000-0000-0000C40E0000}"/>
    <cellStyle name="—_I&amp;O Report Tables_DCF" xfId="5445" xr:uid="{00000000-0005-0000-0000-0000C50E0000}"/>
    <cellStyle name="—_I&amp;O Report Tables_DCF 08" xfId="5446" xr:uid="{00000000-0005-0000-0000-0000C60E0000}"/>
    <cellStyle name="—_I&amp;O Report Tables_DoCoMo table 10July2000" xfId="3962" xr:uid="{00000000-0005-0000-0000-0000C70E0000}"/>
    <cellStyle name="—_I&amp;O Report Tables_earnings" xfId="3963" xr:uid="{00000000-0005-0000-0000-0000C80E0000}"/>
    <cellStyle name="—_I&amp;O Report Tables_earnings_new-Sub" xfId="3964" xr:uid="{00000000-0005-0000-0000-0000C90E0000}"/>
    <cellStyle name="—_I&amp;O Report Tables_EM_FETone_new" xfId="3965" xr:uid="{00000000-0005-0000-0000-0000CA0E0000}"/>
    <cellStyle name="—_I&amp;O Report Tables_EM_FETone_new_new-Sub" xfId="3966" xr:uid="{00000000-0005-0000-0000-0000CB0E0000}"/>
    <cellStyle name="—_I&amp;O Report Tables_EM_TCC_new" xfId="3967" xr:uid="{00000000-0005-0000-0000-0000CC0E0000}"/>
    <cellStyle name="—_I&amp;O Report Tables_EM_TCC_new_new-Sub" xfId="3968" xr:uid="{00000000-0005-0000-0000-0000CD0E0000}"/>
    <cellStyle name="—_I&amp;O Report Tables_Honam Master" xfId="5447" xr:uid="{00000000-0005-0000-0000-0000CE0E0000}"/>
    <cellStyle name="—_I&amp;O Report Tables_honam -Quantum 220704" xfId="5448" xr:uid="{00000000-0005-0000-0000-0000CF0E0000}"/>
    <cellStyle name="—_I&amp;O Report Tables_Kelvin_SKT_dividend_Mar10_2003" xfId="5449" xr:uid="{00000000-0005-0000-0000-0000D00E0000}"/>
    <cellStyle name="—_I&amp;O Report Tables_Kelvin_SKT_dividend_Mar10_2003_Beta" xfId="5450" xr:uid="{00000000-0005-0000-0000-0000D10E0000}"/>
    <cellStyle name="—_I&amp;O Report Tables_Kelvin_SKT_dividend_Mar10_2003_Cashflow" xfId="5451" xr:uid="{00000000-0005-0000-0000-0000D20E0000}"/>
    <cellStyle name="—_I&amp;O Report Tables_Kelvin_SKT_dividend_Mar10_2003_Cashflow_Honghua MSTR" xfId="5452" xr:uid="{00000000-0005-0000-0000-0000D30E0000}"/>
    <cellStyle name="—_I&amp;O Report Tables_Kelvin_SKT_dividend_Mar10_2003_P&amp;L" xfId="5453" xr:uid="{00000000-0005-0000-0000-0000D40E0000}"/>
    <cellStyle name="—_I&amp;O Report Tables_Kelvin_SKT_dividend_Mar10_2003_P&amp;L_Honghua MSTR" xfId="5454" xr:uid="{00000000-0005-0000-0000-0000D50E0000}"/>
    <cellStyle name="—_I&amp;O Report Tables_Kelvin_SKT_dividend_Mar10_2003_PetroChina Master" xfId="5455" xr:uid="{00000000-0005-0000-0000-0000D60E0000}"/>
    <cellStyle name="—_I&amp;O Report Tables_Kelvin_SKT_dividend_Mar10_2003_PetroChina Master_WIP(20-F update)" xfId="5456" xr:uid="{00000000-0005-0000-0000-0000D70E0000}"/>
    <cellStyle name="—_I&amp;O Report Tables_Kelvin_SKT_dividend_Mar10_2003_PetroChina Master_WIP(20-F update)_Cashflow" xfId="5457" xr:uid="{00000000-0005-0000-0000-0000D80E0000}"/>
    <cellStyle name="—_I&amp;O Report Tables_Kelvin_SKT_dividend_Mar10_2003_PetroChina Master_WIP(20-F update)_Cashflow_Honghua MSTR" xfId="5458" xr:uid="{00000000-0005-0000-0000-0000D90E0000}"/>
    <cellStyle name="—_I&amp;O Report Tables_Kelvin_SKT_dividend_Mar10_2003_PetroChina Master_WIP(20-F update)_P&amp;L" xfId="5459" xr:uid="{00000000-0005-0000-0000-0000DA0E0000}"/>
    <cellStyle name="—_I&amp;O Report Tables_Kelvin_SKT_dividend_Mar10_2003_PetroChina Master_WIP(20-F update)_P&amp;L_Honghua MSTR" xfId="5460" xr:uid="{00000000-0005-0000-0000-0000DB0E0000}"/>
    <cellStyle name="—_I&amp;O Report Tables_Kelvin_SKT_dividend_Mar10_2003_PetroChina Master_WIP(20-F update)_Sinopec MSTR" xfId="5461" xr:uid="{00000000-0005-0000-0000-0000DC0E0000}"/>
    <cellStyle name="—_I&amp;O Report Tables_Kelvin_SKT_dividend_Mar10_2003_PetroChina Master_WIP(20-F update)_Sinopec MSTR Wip" xfId="5462" xr:uid="{00000000-0005-0000-0000-0000DD0E0000}"/>
    <cellStyle name="—_I&amp;O Report Tables_Kelvin_SKT_dividend_Mar10_2003_PetroChina Master_WIP(20-F update)_Sinopec MSTR_WIP_KK" xfId="5463" xr:uid="{00000000-0005-0000-0000-0000DE0E0000}"/>
    <cellStyle name="—_I&amp;O Report Tables_Kelvin_SKT_dividend_Mar10_2003_Sinopec MSTR" xfId="5464" xr:uid="{00000000-0005-0000-0000-0000DF0E0000}"/>
    <cellStyle name="—_I&amp;O Report Tables_new-Sub" xfId="3969" xr:uid="{00000000-0005-0000-0000-0000E00E0000}"/>
    <cellStyle name="—_I&amp;O Report Tables_operating stats comp" xfId="3970" xr:uid="{00000000-0005-0000-0000-0000E10E0000}"/>
    <cellStyle name="—_I&amp;O Report Tables_operating stats comp_new-Sub" xfId="3971" xr:uid="{00000000-0005-0000-0000-0000E20E0000}"/>
    <cellStyle name="—_I&amp;O Report Tables_P&amp;L" xfId="5465" xr:uid="{00000000-0005-0000-0000-0000E30E0000}"/>
    <cellStyle name="—_I&amp;O Report Tables_P&amp;L_Honghua MSTR" xfId="5466" xr:uid="{00000000-0005-0000-0000-0000E40E0000}"/>
    <cellStyle name="—_I&amp;O Report Tables_PetroChina Master" xfId="5467" xr:uid="{00000000-0005-0000-0000-0000E50E0000}"/>
    <cellStyle name="—_I&amp;O Report Tables_PetroChina Master_WIP(20-F update)" xfId="5468" xr:uid="{00000000-0005-0000-0000-0000E60E0000}"/>
    <cellStyle name="—_I&amp;O Report Tables_PetroChina Master_WIP(20-F update)_Cashflow" xfId="5469" xr:uid="{00000000-0005-0000-0000-0000E70E0000}"/>
    <cellStyle name="—_I&amp;O Report Tables_PetroChina Master_WIP(20-F update)_Cashflow_Honghua MSTR" xfId="5470" xr:uid="{00000000-0005-0000-0000-0000E80E0000}"/>
    <cellStyle name="—_I&amp;O Report Tables_PetroChina Master_WIP(20-F update)_P&amp;L" xfId="5471" xr:uid="{00000000-0005-0000-0000-0000E90E0000}"/>
    <cellStyle name="—_I&amp;O Report Tables_PetroChina Master_WIP(20-F update)_P&amp;L_Honghua MSTR" xfId="5472" xr:uid="{00000000-0005-0000-0000-0000EA0E0000}"/>
    <cellStyle name="—_I&amp;O Report Tables_PetroChina Master_WIP(20-F update)_Sinopec MSTR" xfId="5473" xr:uid="{00000000-0005-0000-0000-0000EB0E0000}"/>
    <cellStyle name="—_I&amp;O Report Tables_PetroChina Master_WIP(20-F update)_Sinopec MSTR Wip" xfId="5474" xr:uid="{00000000-0005-0000-0000-0000EC0E0000}"/>
    <cellStyle name="—_I&amp;O Report Tables_PetroChina Master_WIP(20-F update)_Sinopec MSTR_WIP_KK" xfId="5475" xr:uid="{00000000-0005-0000-0000-0000ED0E0000}"/>
    <cellStyle name="—_I&amp;O Report Tables_Profit" xfId="5476" xr:uid="{00000000-0005-0000-0000-0000EE0E0000}"/>
    <cellStyle name="—_I&amp;O Report Tables_PTTEP MASTER" xfId="5477" xr:uid="{00000000-0005-0000-0000-0000EF0E0000}"/>
    <cellStyle name="—_I&amp;O Report Tables_PTTEP MASTER WIP" xfId="5478" xr:uid="{00000000-0005-0000-0000-0000F00E0000}"/>
    <cellStyle name="—_I&amp;O Report Tables_Sheet1" xfId="5479" xr:uid="{00000000-0005-0000-0000-0000F10E0000}"/>
    <cellStyle name="—_I&amp;O Report Tables_Sinopec MSTR" xfId="5480" xr:uid="{00000000-0005-0000-0000-0000F20E0000}"/>
    <cellStyle name="—_I&amp;O Report Tables_SK COrp - Quantum 290704" xfId="5481" xr:uid="{00000000-0005-0000-0000-0000F30E0000}"/>
    <cellStyle name="—_I&amp;O Report Tables_SK MSTR" xfId="5482" xr:uid="{00000000-0005-0000-0000-0000F40E0000}"/>
    <cellStyle name="—_I&amp;O Report Tables_SK MSTR_Beta" xfId="5483" xr:uid="{00000000-0005-0000-0000-0000F50E0000}"/>
    <cellStyle name="—_I&amp;O Report Tables_SK MSTR_Cashflow" xfId="5484" xr:uid="{00000000-0005-0000-0000-0000F60E0000}"/>
    <cellStyle name="—_I&amp;O Report Tables_SK MSTR_Cashflow_Honghua MSTR" xfId="5485" xr:uid="{00000000-0005-0000-0000-0000F70E0000}"/>
    <cellStyle name="—_I&amp;O Report Tables_SK MSTR_P&amp;L" xfId="5486" xr:uid="{00000000-0005-0000-0000-0000F80E0000}"/>
    <cellStyle name="—_I&amp;O Report Tables_SK MSTR_P&amp;L_Honghua MSTR" xfId="5487" xr:uid="{00000000-0005-0000-0000-0000F90E0000}"/>
    <cellStyle name="—_I&amp;O Report Tables_SK MSTR_PetroChina Master" xfId="5488" xr:uid="{00000000-0005-0000-0000-0000FA0E0000}"/>
    <cellStyle name="—_I&amp;O Report Tables_SK MSTR_PetroChina Master_WIP(20-F update)" xfId="5489" xr:uid="{00000000-0005-0000-0000-0000FB0E0000}"/>
    <cellStyle name="—_I&amp;O Report Tables_SK MSTR_PetroChina Master_WIP(20-F update)_Cashflow" xfId="5490" xr:uid="{00000000-0005-0000-0000-0000FC0E0000}"/>
    <cellStyle name="—_I&amp;O Report Tables_SK MSTR_PetroChina Master_WIP(20-F update)_Cashflow_Honghua MSTR" xfId="5491" xr:uid="{00000000-0005-0000-0000-0000FD0E0000}"/>
    <cellStyle name="—_I&amp;O Report Tables_SK MSTR_PetroChina Master_WIP(20-F update)_P&amp;L" xfId="5492" xr:uid="{00000000-0005-0000-0000-0000FE0E0000}"/>
    <cellStyle name="—_I&amp;O Report Tables_SK MSTR_PetroChina Master_WIP(20-F update)_P&amp;L_Honghua MSTR" xfId="5493" xr:uid="{00000000-0005-0000-0000-0000FF0E0000}"/>
    <cellStyle name="—_I&amp;O Report Tables_SK MSTR_PetroChina Master_WIP(20-F update)_Sinopec MSTR" xfId="5494" xr:uid="{00000000-0005-0000-0000-0000000F0000}"/>
    <cellStyle name="—_I&amp;O Report Tables_SK MSTR_PetroChina Master_WIP(20-F update)_Sinopec MSTR Wip" xfId="5495" xr:uid="{00000000-0005-0000-0000-0000010F0000}"/>
    <cellStyle name="—_I&amp;O Report Tables_SK MSTR_PetroChina Master_WIP(20-F update)_Sinopec MSTR_WIP_KK" xfId="5496" xr:uid="{00000000-0005-0000-0000-0000020F0000}"/>
    <cellStyle name="—_I&amp;O Report Tables_SK MSTR_Sinopec MSTR" xfId="5497" xr:uid="{00000000-0005-0000-0000-0000030F0000}"/>
    <cellStyle name="—_I&amp;O Report Tables_S-Oil Master" xfId="5498" xr:uid="{00000000-0005-0000-0000-0000040F0000}"/>
    <cellStyle name="—_I&amp;O Report Tables_S-Oil Master KK New" xfId="5499" xr:uid="{00000000-0005-0000-0000-0000050F0000}"/>
    <cellStyle name="—_I&amp;O Report Tables_S-Oil Master KK New_Beta" xfId="5500" xr:uid="{00000000-0005-0000-0000-0000060F0000}"/>
    <cellStyle name="—_I&amp;O Report Tables_S-Oil Master KK New_Cashflow" xfId="5501" xr:uid="{00000000-0005-0000-0000-0000070F0000}"/>
    <cellStyle name="—_I&amp;O Report Tables_S-Oil Master KK New_Cashflow_Honghua MSTR" xfId="5502" xr:uid="{00000000-0005-0000-0000-0000080F0000}"/>
    <cellStyle name="—_I&amp;O Report Tables_S-Oil Master KK New_P&amp;L" xfId="5503" xr:uid="{00000000-0005-0000-0000-0000090F0000}"/>
    <cellStyle name="—_I&amp;O Report Tables_S-Oil Master KK New_P&amp;L_Honghua MSTR" xfId="5504" xr:uid="{00000000-0005-0000-0000-00000A0F0000}"/>
    <cellStyle name="—_I&amp;O Report Tables_S-Oil Master KK New_PetroChina Master" xfId="5505" xr:uid="{00000000-0005-0000-0000-00000B0F0000}"/>
    <cellStyle name="—_I&amp;O Report Tables_S-Oil Master KK New_PetroChina Master_WIP(20-F update)" xfId="5506" xr:uid="{00000000-0005-0000-0000-00000C0F0000}"/>
    <cellStyle name="—_I&amp;O Report Tables_S-Oil Master KK New_PetroChina Master_WIP(20-F update)_Cashflow" xfId="5507" xr:uid="{00000000-0005-0000-0000-00000D0F0000}"/>
    <cellStyle name="—_I&amp;O Report Tables_S-Oil Master KK New_PetroChina Master_WIP(20-F update)_Cashflow_Honghua MSTR" xfId="5508" xr:uid="{00000000-0005-0000-0000-00000E0F0000}"/>
    <cellStyle name="—_I&amp;O Report Tables_S-Oil Master KK New_PetroChina Master_WIP(20-F update)_P&amp;L" xfId="5509" xr:uid="{00000000-0005-0000-0000-00000F0F0000}"/>
    <cellStyle name="—_I&amp;O Report Tables_S-Oil Master KK New_PetroChina Master_WIP(20-F update)_P&amp;L_Honghua MSTR" xfId="5510" xr:uid="{00000000-0005-0000-0000-0000100F0000}"/>
    <cellStyle name="—_I&amp;O Report Tables_S-Oil Master KK New_PetroChina Master_WIP(20-F update)_Sinopec MSTR" xfId="5511" xr:uid="{00000000-0005-0000-0000-0000110F0000}"/>
    <cellStyle name="—_I&amp;O Report Tables_S-Oil Master KK New_PetroChina Master_WIP(20-F update)_Sinopec MSTR Wip" xfId="5512" xr:uid="{00000000-0005-0000-0000-0000120F0000}"/>
    <cellStyle name="—_I&amp;O Report Tables_S-Oil Master KK New_PetroChina Master_WIP(20-F update)_Sinopec MSTR_WIP_KK" xfId="5513" xr:uid="{00000000-0005-0000-0000-0000130F0000}"/>
    <cellStyle name="—_I&amp;O Report Tables_S-Oil Master KK New_Sinopec MSTR" xfId="5514" xr:uid="{00000000-0005-0000-0000-0000140F0000}"/>
    <cellStyle name="—_I&amp;O Report Tables_S-Oil Master_Beta" xfId="5515" xr:uid="{00000000-0005-0000-0000-0000150F0000}"/>
    <cellStyle name="—_I&amp;O Report Tables_S-Oil Master_Cashflow" xfId="5516" xr:uid="{00000000-0005-0000-0000-0000160F0000}"/>
    <cellStyle name="—_I&amp;O Report Tables_S-Oil Master_Cashflow_Honghua MSTR" xfId="5517" xr:uid="{00000000-0005-0000-0000-0000170F0000}"/>
    <cellStyle name="—_I&amp;O Report Tables_S-Oil Master_P&amp;L" xfId="5518" xr:uid="{00000000-0005-0000-0000-0000180F0000}"/>
    <cellStyle name="—_I&amp;O Report Tables_S-Oil Master_P&amp;L_Honghua MSTR" xfId="5519" xr:uid="{00000000-0005-0000-0000-0000190F0000}"/>
    <cellStyle name="—_I&amp;O Report Tables_S-Oil Master_PetroChina Master" xfId="5520" xr:uid="{00000000-0005-0000-0000-00001A0F0000}"/>
    <cellStyle name="—_I&amp;O Report Tables_S-Oil Master_PetroChina Master_WIP(20-F update)" xfId="5521" xr:uid="{00000000-0005-0000-0000-00001B0F0000}"/>
    <cellStyle name="—_I&amp;O Report Tables_S-Oil Master_PetroChina Master_WIP(20-F update)_Cashflow" xfId="5522" xr:uid="{00000000-0005-0000-0000-00001C0F0000}"/>
    <cellStyle name="—_I&amp;O Report Tables_S-Oil Master_PetroChina Master_WIP(20-F update)_Cashflow_Honghua MSTR" xfId="5523" xr:uid="{00000000-0005-0000-0000-00001D0F0000}"/>
    <cellStyle name="—_I&amp;O Report Tables_S-Oil Master_PetroChina Master_WIP(20-F update)_P&amp;L" xfId="5524" xr:uid="{00000000-0005-0000-0000-00001E0F0000}"/>
    <cellStyle name="—_I&amp;O Report Tables_S-Oil Master_PetroChina Master_WIP(20-F update)_P&amp;L_Honghua MSTR" xfId="5525" xr:uid="{00000000-0005-0000-0000-00001F0F0000}"/>
    <cellStyle name="—_I&amp;O Report Tables_S-Oil Master_PetroChina Master_WIP(20-F update)_Sinopec MSTR" xfId="5526" xr:uid="{00000000-0005-0000-0000-0000200F0000}"/>
    <cellStyle name="—_I&amp;O Report Tables_S-Oil Master_PetroChina Master_WIP(20-F update)_Sinopec MSTR Wip" xfId="5527" xr:uid="{00000000-0005-0000-0000-0000210F0000}"/>
    <cellStyle name="—_I&amp;O Report Tables_S-Oil Master_PetroChina Master_WIP(20-F update)_Sinopec MSTR_WIP_KK" xfId="5528" xr:uid="{00000000-0005-0000-0000-0000220F0000}"/>
    <cellStyle name="—_I&amp;O Report Tables_S-Oil Master_Sinopec MSTR" xfId="5529" xr:uid="{00000000-0005-0000-0000-0000230F0000}"/>
    <cellStyle name="—_I&amp;O Report Tables_S-Oil-Quantum 260704" xfId="5530" xr:uid="{00000000-0005-0000-0000-0000240F0000}"/>
    <cellStyle name="—_I&amp;O Report Tables_S-Oil-Quantum 260704_Beta" xfId="5531" xr:uid="{00000000-0005-0000-0000-0000250F0000}"/>
    <cellStyle name="—_I&amp;O Report Tables_S-Oil-Quantum 260704_Cashflow" xfId="5532" xr:uid="{00000000-0005-0000-0000-0000260F0000}"/>
    <cellStyle name="—_I&amp;O Report Tables_S-Oil-Quantum 260704_Cashflow_Honghua MSTR" xfId="5533" xr:uid="{00000000-0005-0000-0000-0000270F0000}"/>
    <cellStyle name="—_I&amp;O Report Tables_S-Oil-Quantum 260704_P&amp;L" xfId="5534" xr:uid="{00000000-0005-0000-0000-0000280F0000}"/>
    <cellStyle name="—_I&amp;O Report Tables_S-Oil-Quantum 260704_P&amp;L_Honghua MSTR" xfId="5535" xr:uid="{00000000-0005-0000-0000-0000290F0000}"/>
    <cellStyle name="—_I&amp;O Report Tables_S-Oil-Quantum 260704_PetroChina Master" xfId="5536" xr:uid="{00000000-0005-0000-0000-00002A0F0000}"/>
    <cellStyle name="—_I&amp;O Report Tables_S-Oil-Quantum 260704_PetroChina Master_WIP(20-F update)" xfId="5537" xr:uid="{00000000-0005-0000-0000-00002B0F0000}"/>
    <cellStyle name="—_I&amp;O Report Tables_S-Oil-Quantum 260704_PetroChina Master_WIP(20-F update)_Cashflow" xfId="5538" xr:uid="{00000000-0005-0000-0000-00002C0F0000}"/>
    <cellStyle name="—_I&amp;O Report Tables_S-Oil-Quantum 260704_PetroChina Master_WIP(20-F update)_Cashflow_Honghua MSTR" xfId="5539" xr:uid="{00000000-0005-0000-0000-00002D0F0000}"/>
    <cellStyle name="—_I&amp;O Report Tables_S-Oil-Quantum 260704_PetroChina Master_WIP(20-F update)_P&amp;L" xfId="5540" xr:uid="{00000000-0005-0000-0000-00002E0F0000}"/>
    <cellStyle name="—_I&amp;O Report Tables_S-Oil-Quantum 260704_PetroChina Master_WIP(20-F update)_P&amp;L_Honghua MSTR" xfId="5541" xr:uid="{00000000-0005-0000-0000-00002F0F0000}"/>
    <cellStyle name="—_I&amp;O Report Tables_S-Oil-Quantum 260704_PetroChina Master_WIP(20-F update)_Sinopec MSTR" xfId="5542" xr:uid="{00000000-0005-0000-0000-0000300F0000}"/>
    <cellStyle name="—_I&amp;O Report Tables_S-Oil-Quantum 260704_PetroChina Master_WIP(20-F update)_Sinopec MSTR Wip" xfId="5543" xr:uid="{00000000-0005-0000-0000-0000310F0000}"/>
    <cellStyle name="—_I&amp;O Report Tables_S-Oil-Quantum 260704_PetroChina Master_WIP(20-F update)_Sinopec MSTR_WIP_KK" xfId="5544" xr:uid="{00000000-0005-0000-0000-0000320F0000}"/>
    <cellStyle name="—_I&amp;O Report Tables_S-Oil-Quantum 260704_Sinopec MSTR" xfId="5545" xr:uid="{00000000-0005-0000-0000-0000330F0000}"/>
    <cellStyle name="—_I&amp;O Report Tables_Strategy_data_update" xfId="3972" xr:uid="{00000000-0005-0000-0000-0000340F0000}"/>
    <cellStyle name="—_I&amp;O Report Tables_Strategy_data_update_new-Sub" xfId="3973" xr:uid="{00000000-0005-0000-0000-0000350F0000}"/>
    <cellStyle name="_IPO Budget" xfId="3974" xr:uid="{00000000-0005-0000-0000-0000360F0000}"/>
    <cellStyle name="_IT marketing chart" xfId="3975" xr:uid="{00000000-0005-0000-0000-0000370F0000}"/>
    <cellStyle name="_Jinduicheng Molybdenum_July 2009" xfId="5546" xr:uid="{00000000-0005-0000-0000-0000380F0000}"/>
    <cellStyle name="—_JT CROCI" xfId="10871" xr:uid="{00000000-0005-0000-0000-0000390F0000}"/>
    <cellStyle name="—_KDDI CROCI" xfId="10872" xr:uid="{00000000-0005-0000-0000-00003A0F0000}"/>
    <cellStyle name="—_Kelvin_SKT_dividend_Mar10_2003" xfId="5547" xr:uid="{00000000-0005-0000-0000-00003B0F0000}"/>
    <cellStyle name="—_Kelvin_SKT_dividend_Mar10_2003_Beta" xfId="5548" xr:uid="{00000000-0005-0000-0000-00003C0F0000}"/>
    <cellStyle name="—_Kelvin_SKT_dividend_Mar10_2003_Cashflow" xfId="5549" xr:uid="{00000000-0005-0000-0000-00003D0F0000}"/>
    <cellStyle name="—_Kelvin_SKT_dividend_Mar10_2003_Cashflow_Honghua MSTR" xfId="5550" xr:uid="{00000000-0005-0000-0000-00003E0F0000}"/>
    <cellStyle name="—_Kelvin_SKT_dividend_Mar10_2003_P&amp;L" xfId="5551" xr:uid="{00000000-0005-0000-0000-00003F0F0000}"/>
    <cellStyle name="—_Kelvin_SKT_dividend_Mar10_2003_P&amp;L_Honghua MSTR" xfId="5552" xr:uid="{00000000-0005-0000-0000-0000400F0000}"/>
    <cellStyle name="—_Kelvin_SKT_dividend_Mar10_2003_PetroChina Master" xfId="5553" xr:uid="{00000000-0005-0000-0000-0000410F0000}"/>
    <cellStyle name="—_Kelvin_SKT_dividend_Mar10_2003_PetroChina Master_WIP(20-F update)" xfId="5554" xr:uid="{00000000-0005-0000-0000-0000420F0000}"/>
    <cellStyle name="—_Kelvin_SKT_dividend_Mar10_2003_PetroChina Master_WIP(20-F update)_Cashflow" xfId="5555" xr:uid="{00000000-0005-0000-0000-0000430F0000}"/>
    <cellStyle name="—_Kelvin_SKT_dividend_Mar10_2003_PetroChina Master_WIP(20-F update)_Cashflow_Honghua MSTR" xfId="5556" xr:uid="{00000000-0005-0000-0000-0000440F0000}"/>
    <cellStyle name="—_Kelvin_SKT_dividend_Mar10_2003_PetroChina Master_WIP(20-F update)_P&amp;L" xfId="5557" xr:uid="{00000000-0005-0000-0000-0000450F0000}"/>
    <cellStyle name="—_Kelvin_SKT_dividend_Mar10_2003_PetroChina Master_WIP(20-F update)_P&amp;L_Honghua MSTR" xfId="5558" xr:uid="{00000000-0005-0000-0000-0000460F0000}"/>
    <cellStyle name="—_Kelvin_SKT_dividend_Mar10_2003_PetroChina Master_WIP(20-F update)_Sinopec MSTR" xfId="5559" xr:uid="{00000000-0005-0000-0000-0000470F0000}"/>
    <cellStyle name="—_Kelvin_SKT_dividend_Mar10_2003_PetroChina Master_WIP(20-F update)_Sinopec MSTR Wip" xfId="5560" xr:uid="{00000000-0005-0000-0000-0000480F0000}"/>
    <cellStyle name="—_Kelvin_SKT_dividend_Mar10_2003_PetroChina Master_WIP(20-F update)_Sinopec MSTR_WIP_KK" xfId="5561" xr:uid="{00000000-0005-0000-0000-0000490F0000}"/>
    <cellStyle name="—_Kelvin_SKT_dividend_Mar10_2003_Sinopec MSTR" xfId="5562" xr:uid="{00000000-0005-0000-0000-00004A0F0000}"/>
    <cellStyle name="—_Kelvin_SKT_dividend_Mar10_2003_Sinopec MSTR Wip" xfId="5563" xr:uid="{00000000-0005-0000-0000-00004B0F0000}"/>
    <cellStyle name="—_Kelvin_SKT_dividend_Mar10_2003_Sinopec MSTR_WIP_KK" xfId="5564" xr:uid="{00000000-0005-0000-0000-00004C0F0000}"/>
    <cellStyle name="—_Kelvin_SKT_dividend_Mar10_2003_Sinopec MSTR-WIP_20F update" xfId="5565" xr:uid="{00000000-0005-0000-0000-00004D0F0000}"/>
    <cellStyle name="_Master DB YR 2001 for Routers" xfId="10873" xr:uid="{00000000-0005-0000-0000-00004E0F0000}"/>
    <cellStyle name="_Master DB YR 2001 for Routers_2315_Comp Sheet" xfId="10874" xr:uid="{00000000-0005-0000-0000-00004F0F0000}"/>
    <cellStyle name="_Master DB YR 2001 for Routers_2315_Mitac_WIP v4" xfId="10875" xr:uid="{00000000-0005-0000-0000-0000500F0000}"/>
    <cellStyle name="_Master DB YR 2001 for Routers_2474tw - WIP" xfId="10876" xr:uid="{00000000-0005-0000-0000-0000510F0000}"/>
    <cellStyle name="_Master DB YR 2001 for Routers_3231tw_WIP 070105" xfId="10877" xr:uid="{00000000-0005-0000-0000-0000520F0000}"/>
    <cellStyle name="_Master DB YR 2001 for Routers_ASUSTeK - 090507 (Updated DCF)" xfId="10878" xr:uid="{00000000-0005-0000-0000-0000530F0000}"/>
    <cellStyle name="_Master DB YR 2001 for Routers_Unimicron Model" xfId="10879" xr:uid="{00000000-0005-0000-0000-0000540F0000}"/>
    <cellStyle name="_MDA breakdown for revenue 2004 to 2006 revised for VSOE on Aug 2 07" xfId="3976" xr:uid="{00000000-0005-0000-0000-0000550F0000}"/>
    <cellStyle name="_Model" xfId="5566" xr:uid="{00000000-0005-0000-0000-0000560F0000}"/>
    <cellStyle name="_Model_1" xfId="5567" xr:uid="{00000000-0005-0000-0000-0000570F0000}"/>
    <cellStyle name="_Model-Parent" xfId="10880" xr:uid="{00000000-0005-0000-0000-0000580F0000}"/>
    <cellStyle name="_Multiple" xfId="3977" xr:uid="{00000000-0005-0000-0000-0000590F0000}"/>
    <cellStyle name="_Multiple 2" xfId="7019" xr:uid="{00000000-0005-0000-0000-00005A0F0000}"/>
    <cellStyle name="_Multiple_01 adj for merger plan" xfId="7460" xr:uid="{00000000-0005-0000-0000-00005B0F0000}"/>
    <cellStyle name="_Multiple_Ability to Pay Analysis" xfId="7461" xr:uid="{00000000-0005-0000-0000-00005C0F0000}"/>
    <cellStyle name="_Multiple_AFL" xfId="7462" xr:uid="{00000000-0005-0000-0000-00005D0F0000}"/>
    <cellStyle name="_Multiple_AIZ" xfId="7463" xr:uid="{00000000-0005-0000-0000-00005E0F0000}"/>
    <cellStyle name="_Multiple_AMP" xfId="7464" xr:uid="{00000000-0005-0000-0000-00005F0F0000}"/>
    <cellStyle name="_Multiple_Balance Sheet" xfId="7465" xr:uid="{00000000-0005-0000-0000-0000600F0000}"/>
    <cellStyle name="_Multiple_Base" xfId="10881" xr:uid="{00000000-0005-0000-0000-0000610F0000}"/>
    <cellStyle name="_Multiple_Book1" xfId="7020" xr:uid="{00000000-0005-0000-0000-0000620F0000}"/>
    <cellStyle name="_Multiple_Book1_Book2" xfId="7021" xr:uid="{00000000-0005-0000-0000-0000630F0000}"/>
    <cellStyle name="_Multiple_Book1_Jazztel model 16DP3-Exhibits" xfId="7022" xr:uid="{00000000-0005-0000-0000-0000640F0000}"/>
    <cellStyle name="_Multiple_Book1_Jazztel model 18DP-exhibits" xfId="7023" xr:uid="{00000000-0005-0000-0000-0000650F0000}"/>
    <cellStyle name="_Multiple_Book1_Jazztel model 18DP-exhibits_KPNMobileMay01" xfId="7024" xr:uid="{00000000-0005-0000-0000-0000660F0000}"/>
    <cellStyle name="_Multiple_Book1_Jazztel model 18DP-exhibits_T_MOBIL2" xfId="7025" xr:uid="{00000000-0005-0000-0000-0000670F0000}"/>
    <cellStyle name="_Multiple_Book1_Jazztel model 18DP-exhibits_T_MOBIL2_Book2" xfId="7026" xr:uid="{00000000-0005-0000-0000-0000680F0000}"/>
    <cellStyle name="_Multiple_Book1_Jazztel model 18DP-exhibits_T_MOBIL2_TDC-2Aug2001_UPD" xfId="7027" xr:uid="{00000000-0005-0000-0000-0000690F0000}"/>
    <cellStyle name="_Multiple_Book1_Jazztel1" xfId="7028" xr:uid="{00000000-0005-0000-0000-00006A0F0000}"/>
    <cellStyle name="_Multiple_Book1_T_MOBIL2" xfId="7029" xr:uid="{00000000-0005-0000-0000-00006B0F0000}"/>
    <cellStyle name="_Multiple_Book1_TDC-2Aug2001_UPD" xfId="7030" xr:uid="{00000000-0005-0000-0000-00006C0F0000}"/>
    <cellStyle name="_Multiple_Book11" xfId="7031" xr:uid="{00000000-0005-0000-0000-00006D0F0000}"/>
    <cellStyle name="_Multiple_Book11_Book2" xfId="7032" xr:uid="{00000000-0005-0000-0000-00006E0F0000}"/>
    <cellStyle name="_Multiple_Book11_Jazztel model 16DP3-Exhibits" xfId="7033" xr:uid="{00000000-0005-0000-0000-00006F0F0000}"/>
    <cellStyle name="_Multiple_Book11_Jazztel model 18DP-exhibits" xfId="7034" xr:uid="{00000000-0005-0000-0000-0000700F0000}"/>
    <cellStyle name="_Multiple_Book11_Jazztel model 18DP-exhibits_KPNMobileMay01" xfId="7035" xr:uid="{00000000-0005-0000-0000-0000710F0000}"/>
    <cellStyle name="_Multiple_Book11_Jazztel model 18DP-exhibits_T_MOBIL2" xfId="7036" xr:uid="{00000000-0005-0000-0000-0000720F0000}"/>
    <cellStyle name="_Multiple_Book11_Jazztel model 18DP-exhibits_T_MOBIL2_Book2" xfId="7037" xr:uid="{00000000-0005-0000-0000-0000730F0000}"/>
    <cellStyle name="_Multiple_Book11_Jazztel model 18DP-exhibits_T_MOBIL2_TDC-2Aug2001_UPD" xfId="7038" xr:uid="{00000000-0005-0000-0000-0000740F0000}"/>
    <cellStyle name="_Multiple_Book11_Jazztel1" xfId="7039" xr:uid="{00000000-0005-0000-0000-0000750F0000}"/>
    <cellStyle name="_Multiple_Book11_T_MOBIL2" xfId="7040" xr:uid="{00000000-0005-0000-0000-0000760F0000}"/>
    <cellStyle name="_Multiple_Book11_TDC-2Aug2001_UPD" xfId="7041" xr:uid="{00000000-0005-0000-0000-0000770F0000}"/>
    <cellStyle name="_Multiple_Book12" xfId="7042" xr:uid="{00000000-0005-0000-0000-0000780F0000}"/>
    <cellStyle name="_Multiple_Book12_Book2" xfId="7043" xr:uid="{00000000-0005-0000-0000-0000790F0000}"/>
    <cellStyle name="_Multiple_Book12_Jazztel model 16DP3-Exhibits" xfId="7044" xr:uid="{00000000-0005-0000-0000-00007A0F0000}"/>
    <cellStyle name="_Multiple_Book12_Jazztel model 18DP-exhibits" xfId="7045" xr:uid="{00000000-0005-0000-0000-00007B0F0000}"/>
    <cellStyle name="_Multiple_Book12_Jazztel model 18DP-exhibits_KPNMobileMay01" xfId="7046" xr:uid="{00000000-0005-0000-0000-00007C0F0000}"/>
    <cellStyle name="_Multiple_Book12_Jazztel model 18DP-exhibits_T_MOBIL2" xfId="7047" xr:uid="{00000000-0005-0000-0000-00007D0F0000}"/>
    <cellStyle name="_Multiple_Book12_Jazztel model 18DP-exhibits_T_MOBIL2_Book2" xfId="7048" xr:uid="{00000000-0005-0000-0000-00007E0F0000}"/>
    <cellStyle name="_Multiple_Book12_Jazztel model 18DP-exhibits_T_MOBIL2_TDC-2Aug2001_UPD" xfId="7049" xr:uid="{00000000-0005-0000-0000-00007F0F0000}"/>
    <cellStyle name="_Multiple_Book12_Jazztel1" xfId="7050" xr:uid="{00000000-0005-0000-0000-0000800F0000}"/>
    <cellStyle name="_Multiple_Book12_T_MOBIL2" xfId="7051" xr:uid="{00000000-0005-0000-0000-0000810F0000}"/>
    <cellStyle name="_Multiple_Book12_TDC-2Aug2001_UPD" xfId="7052" xr:uid="{00000000-0005-0000-0000-0000820F0000}"/>
    <cellStyle name="_Multiple_Book29" xfId="7466" xr:uid="{00000000-0005-0000-0000-0000830F0000}"/>
    <cellStyle name="_Multiple_Book3" xfId="7467" xr:uid="{00000000-0005-0000-0000-0000840F0000}"/>
    <cellStyle name="_Multiple_Book3_1" xfId="7468" xr:uid="{00000000-0005-0000-0000-0000850F0000}"/>
    <cellStyle name="_Multiple_CNO" xfId="7469" xr:uid="{00000000-0005-0000-0000-0000860F0000}"/>
    <cellStyle name="_Multiple_DCF Alexander Forbes" xfId="7470" xr:uid="{00000000-0005-0000-0000-0000870F0000}"/>
    <cellStyle name="_Multiple_DCF Summary pages" xfId="7053" xr:uid="{00000000-0005-0000-0000-0000880F0000}"/>
    <cellStyle name="_Multiple_DCF Summary pages_Book2" xfId="7054" xr:uid="{00000000-0005-0000-0000-0000890F0000}"/>
    <cellStyle name="_Multiple_DCF Summary pages_Jazztel model 16DP3-Exhibits" xfId="7055" xr:uid="{00000000-0005-0000-0000-00008A0F0000}"/>
    <cellStyle name="_Multiple_DCF Summary pages_Jazztel model 18DP-exhibits" xfId="7056" xr:uid="{00000000-0005-0000-0000-00008B0F0000}"/>
    <cellStyle name="_Multiple_DCF Summary pages_Jazztel model 18DP-exhibits_KPNMobileMay01" xfId="7057" xr:uid="{00000000-0005-0000-0000-00008C0F0000}"/>
    <cellStyle name="_Multiple_DCF Summary pages_Jazztel model 18DP-exhibits_T_MOBIL2" xfId="7058" xr:uid="{00000000-0005-0000-0000-00008D0F0000}"/>
    <cellStyle name="_Multiple_DCF Summary pages_Jazztel model 18DP-exhibits_T_MOBIL2_Book2" xfId="7059" xr:uid="{00000000-0005-0000-0000-00008E0F0000}"/>
    <cellStyle name="_Multiple_DCF Summary pages_Jazztel model 18DP-exhibits_T_MOBIL2_TDC-2Aug2001_UPD" xfId="7060" xr:uid="{00000000-0005-0000-0000-00008F0F0000}"/>
    <cellStyle name="_Multiple_DCF Summary pages_Jazztel1" xfId="7061" xr:uid="{00000000-0005-0000-0000-0000900F0000}"/>
    <cellStyle name="_Multiple_DCF Summary pages_T_MOBIL2" xfId="7062" xr:uid="{00000000-0005-0000-0000-0000910F0000}"/>
    <cellStyle name="_Multiple_DCF Summary pages_TDC-2Aug2001_UPD" xfId="7063" xr:uid="{00000000-0005-0000-0000-0000920F0000}"/>
    <cellStyle name="_Multiple_fmbi counties" xfId="7471" xr:uid="{00000000-0005-0000-0000-0000930F0000}"/>
    <cellStyle name="_Multiple_FMBI MBHI Graphs" xfId="7472" xr:uid="{00000000-0005-0000-0000-0000940F0000}"/>
    <cellStyle name="_Multiple_FMBI MBHI Graphs 07102001" xfId="7473" xr:uid="{00000000-0005-0000-0000-0000950F0000}"/>
    <cellStyle name="_Multiple_FMBI MBHI Graphs_7601" xfId="7474" xr:uid="{00000000-0005-0000-0000-0000960F0000}"/>
    <cellStyle name="_Multiple_GNW" xfId="7475" xr:uid="{00000000-0005-0000-0000-0000970F0000}"/>
    <cellStyle name="_Multiple_Insurance Brokerage CSC_1Q2002" xfId="7476" xr:uid="{00000000-0005-0000-0000-0000980F0000}"/>
    <cellStyle name="_Multiple_Jazztel model 15-exhibits" xfId="7064" xr:uid="{00000000-0005-0000-0000-0000990F0000}"/>
    <cellStyle name="_Multiple_Jazztel model 15-exhibits bis" xfId="7065" xr:uid="{00000000-0005-0000-0000-00009A0F0000}"/>
    <cellStyle name="_Multiple_Jazztel model 15-exhibits_Book2" xfId="7066" xr:uid="{00000000-0005-0000-0000-00009B0F0000}"/>
    <cellStyle name="_Multiple_Jazztel model 15-exhibits_Jazztel model 16DP3-Exhibits" xfId="7067" xr:uid="{00000000-0005-0000-0000-00009C0F0000}"/>
    <cellStyle name="_Multiple_Jazztel model 15-exhibits_Jazztel model 18DP-exhibits" xfId="7068" xr:uid="{00000000-0005-0000-0000-00009D0F0000}"/>
    <cellStyle name="_Multiple_Jazztel model 15-exhibits_Jazztel model 18DP-exhibits_KPNMobileMay01" xfId="7069" xr:uid="{00000000-0005-0000-0000-00009E0F0000}"/>
    <cellStyle name="_Multiple_Jazztel model 15-exhibits_Jazztel model 18DP-exhibits_T_MOBIL2" xfId="7070" xr:uid="{00000000-0005-0000-0000-00009F0F0000}"/>
    <cellStyle name="_Multiple_Jazztel model 15-exhibits_Jazztel model 18DP-exhibits_T_MOBIL2_Book2" xfId="7071" xr:uid="{00000000-0005-0000-0000-0000A00F0000}"/>
    <cellStyle name="_Multiple_Jazztel model 15-exhibits_Jazztel model 18DP-exhibits_T_MOBIL2_TDC-2Aug2001_UPD" xfId="7072" xr:uid="{00000000-0005-0000-0000-0000A10F0000}"/>
    <cellStyle name="_Multiple_Jazztel model 15-exhibits_Jazztel1" xfId="7073" xr:uid="{00000000-0005-0000-0000-0000A20F0000}"/>
    <cellStyle name="_Multiple_Jazztel model 15-exhibits_T_MOBIL2" xfId="7074" xr:uid="{00000000-0005-0000-0000-0000A30F0000}"/>
    <cellStyle name="_Multiple_Jazztel model 15-exhibits_TDC-2Aug2001_UPD" xfId="7075" xr:uid="{00000000-0005-0000-0000-0000A40F0000}"/>
    <cellStyle name="_Multiple_Jazztel model 15-exhibits-Friso2" xfId="7076" xr:uid="{00000000-0005-0000-0000-0000A50F0000}"/>
    <cellStyle name="_Multiple_Jazztel model 15-exhibits-Friso2_Book2" xfId="7077" xr:uid="{00000000-0005-0000-0000-0000A60F0000}"/>
    <cellStyle name="_Multiple_Jazztel model 15-exhibits-Friso2_Jazztel model 16DP3-Exhibits" xfId="7078" xr:uid="{00000000-0005-0000-0000-0000A70F0000}"/>
    <cellStyle name="_Multiple_Jazztel model 15-exhibits-Friso2_Jazztel model 18DP-exhibits" xfId="7079" xr:uid="{00000000-0005-0000-0000-0000A80F0000}"/>
    <cellStyle name="_Multiple_Jazztel model 15-exhibits-Friso2_Jazztel model 18DP-exhibits_KPNMobileMay01" xfId="7080" xr:uid="{00000000-0005-0000-0000-0000A90F0000}"/>
    <cellStyle name="_Multiple_Jazztel model 15-exhibits-Friso2_Jazztel model 18DP-exhibits_T_MOBIL2" xfId="7081" xr:uid="{00000000-0005-0000-0000-0000AA0F0000}"/>
    <cellStyle name="_Multiple_Jazztel model 15-exhibits-Friso2_Jazztel model 18DP-exhibits_T_MOBIL2_Book2" xfId="7082" xr:uid="{00000000-0005-0000-0000-0000AB0F0000}"/>
    <cellStyle name="_Multiple_Jazztel model 15-exhibits-Friso2_Jazztel model 18DP-exhibits_T_MOBIL2_TDC-2Aug2001_UPD" xfId="7083" xr:uid="{00000000-0005-0000-0000-0000AC0F0000}"/>
    <cellStyle name="_Multiple_Jazztel model 15-exhibits-Friso2_Jazztel1" xfId="7084" xr:uid="{00000000-0005-0000-0000-0000AD0F0000}"/>
    <cellStyle name="_Multiple_Jazztel model 15-exhibits-Friso2_T_MOBIL2" xfId="7085" xr:uid="{00000000-0005-0000-0000-0000AE0F0000}"/>
    <cellStyle name="_Multiple_Jazztel model 15-exhibits-Friso2_TDC-2Aug2001_UPD" xfId="7086" xr:uid="{00000000-0005-0000-0000-0000AF0F0000}"/>
    <cellStyle name="_Multiple_Jazztel model 16DP2-Exhibits" xfId="7087" xr:uid="{00000000-0005-0000-0000-0000B00F0000}"/>
    <cellStyle name="_Multiple_Jazztel model 16DP2-Exhibits_T_MOBIL2" xfId="7088" xr:uid="{00000000-0005-0000-0000-0000B10F0000}"/>
    <cellStyle name="_Multiple_Jazztel model 16DP3-Exhibits" xfId="7089" xr:uid="{00000000-0005-0000-0000-0000B20F0000}"/>
    <cellStyle name="_Multiple_Jazztel model 16DP3-Exhibits_T_MOBIL2" xfId="7090" xr:uid="{00000000-0005-0000-0000-0000B30F0000}"/>
    <cellStyle name="_Multiple_JP" xfId="7477" xr:uid="{00000000-0005-0000-0000-0000B40F0000}"/>
    <cellStyle name="_Multiple_LNC" xfId="7478" xr:uid="{00000000-0005-0000-0000-0000B50F0000}"/>
    <cellStyle name="_Multiple_MET" xfId="7479" xr:uid="{00000000-0005-0000-0000-0000B60F0000}"/>
    <cellStyle name="_Multiple_MET04" xfId="7480" xr:uid="{00000000-0005-0000-0000-0000B70F0000}"/>
    <cellStyle name="_Multiple_NFS" xfId="7481" xr:uid="{00000000-0005-0000-0000-0000B80F0000}"/>
    <cellStyle name="_Multiple_Overseas" xfId="10882" xr:uid="{00000000-0005-0000-0000-0000B90F0000}"/>
    <cellStyle name="_Multiple_Overview3" xfId="7482" xr:uid="{00000000-0005-0000-0000-0000BA0F0000}"/>
    <cellStyle name="_Multiple_phil data" xfId="7483" xr:uid="{00000000-0005-0000-0000-0000BB0F0000}"/>
    <cellStyle name="_Multiple_Price Performance Charts" xfId="7484" xr:uid="{00000000-0005-0000-0000-0000BC0F0000}"/>
    <cellStyle name="_Multiple_PRU" xfId="7485" xr:uid="{00000000-0005-0000-0000-0000BD0F0000}"/>
    <cellStyle name="_Multiple_PRU04" xfId="7486" xr:uid="{00000000-0005-0000-0000-0000BE0F0000}"/>
    <cellStyle name="_Multiple_RiskReward" xfId="7487" xr:uid="{00000000-0005-0000-0000-0000BF0F0000}"/>
    <cellStyle name="_Multiple_SFG" xfId="7488" xr:uid="{00000000-0005-0000-0000-0000C00F0000}"/>
    <cellStyle name="_Multiple_Sheet1" xfId="7489" xr:uid="{00000000-0005-0000-0000-0000C10F0000}"/>
    <cellStyle name="_Multiple_Stock-QTR1 FDS" xfId="7490" xr:uid="{00000000-0005-0000-0000-0000C20F0000}"/>
    <cellStyle name="_Multiple_T_MOBIL2" xfId="7091" xr:uid="{00000000-0005-0000-0000-0000C30F0000}"/>
    <cellStyle name="_Multiple_TMK" xfId="7491" xr:uid="{00000000-0005-0000-0000-0000C40F0000}"/>
    <cellStyle name="_Multiple_Updated Valuation Changes" xfId="7492" xr:uid="{00000000-0005-0000-0000-0000C50F0000}"/>
    <cellStyle name="_Multiple_Valuation Graphs" xfId="7493" xr:uid="{00000000-0005-0000-0000-0000C60F0000}"/>
    <cellStyle name="_Multiple_xratio - historical mkt val" xfId="7494" xr:uid="{00000000-0005-0000-0000-0000C70F0000}"/>
    <cellStyle name="_MultipleSpace" xfId="3978" xr:uid="{00000000-0005-0000-0000-0000C80F0000}"/>
    <cellStyle name="_MultipleSpace 2" xfId="7092" xr:uid="{00000000-0005-0000-0000-0000C90F0000}"/>
    <cellStyle name="_MultipleSpace 3" xfId="7821" xr:uid="{00000000-0005-0000-0000-0000CA0F0000}"/>
    <cellStyle name="_MultipleSpace_01 adj for merger plan" xfId="7495" xr:uid="{00000000-0005-0000-0000-0000CB0F0000}"/>
    <cellStyle name="_MultipleSpace_Ability to Pay Analysis" xfId="7496" xr:uid="{00000000-0005-0000-0000-0000CC0F0000}"/>
    <cellStyle name="_MultipleSpace_AFL" xfId="7497" xr:uid="{00000000-0005-0000-0000-0000CD0F0000}"/>
    <cellStyle name="_MultipleSpace_AIZ" xfId="7498" xr:uid="{00000000-0005-0000-0000-0000CE0F0000}"/>
    <cellStyle name="_MultipleSpace_AMP" xfId="7499" xr:uid="{00000000-0005-0000-0000-0000CF0F0000}"/>
    <cellStyle name="_MultipleSpace_Balance Sheet" xfId="7500" xr:uid="{00000000-0005-0000-0000-0000D00F0000}"/>
    <cellStyle name="_MultipleSpace_Base" xfId="10883" xr:uid="{00000000-0005-0000-0000-0000D10F0000}"/>
    <cellStyle name="_MultipleSpace_Book1" xfId="7093" xr:uid="{00000000-0005-0000-0000-0000D20F0000}"/>
    <cellStyle name="_MultipleSpace_Book1_Jazztel" xfId="7094" xr:uid="{00000000-0005-0000-0000-0000D30F0000}"/>
    <cellStyle name="_MultipleSpace_Book1_Jazztel model 16DP3-Exhibits" xfId="7095" xr:uid="{00000000-0005-0000-0000-0000D40F0000}"/>
    <cellStyle name="_MultipleSpace_Book1_Jazztel model 18DP-exhibits" xfId="7096" xr:uid="{00000000-0005-0000-0000-0000D50F0000}"/>
    <cellStyle name="_MultipleSpace_Book1_Jazztel model 18DP-exhibits_KPNMobileMay01" xfId="7097" xr:uid="{00000000-0005-0000-0000-0000D60F0000}"/>
    <cellStyle name="_MultipleSpace_Book1_Jazztel model 18DP-exhibits_T_MOBIL2" xfId="7098" xr:uid="{00000000-0005-0000-0000-0000D70F0000}"/>
    <cellStyle name="_MultipleSpace_Book1_Jazztel model 18DP-exhibits_T_MOBIL2_Book2" xfId="7099" xr:uid="{00000000-0005-0000-0000-0000D80F0000}"/>
    <cellStyle name="_MultipleSpace_Book1_Jazztel model 18DP-exhibits_T_MOBIL2_Fidelity FixedTel - Summer" xfId="10884" xr:uid="{00000000-0005-0000-0000-0000D90F0000}"/>
    <cellStyle name="_MultipleSpace_Book1_Jazztel model 18DP-exhibits_T_MOBIL2_FixedTele" xfId="10885" xr:uid="{00000000-0005-0000-0000-0000DA0F0000}"/>
    <cellStyle name="_MultipleSpace_Book1_Jazztel model 18DP-exhibits_T_MOBIL2_TDC-2Aug2001_UPD" xfId="7100" xr:uid="{00000000-0005-0000-0000-0000DB0F0000}"/>
    <cellStyle name="_MultipleSpace_Book1_Jazztel1" xfId="7101" xr:uid="{00000000-0005-0000-0000-0000DC0F0000}"/>
    <cellStyle name="_MultipleSpace_Book1_Jazztel1_Book2" xfId="7102" xr:uid="{00000000-0005-0000-0000-0000DD0F0000}"/>
    <cellStyle name="_MultipleSpace_Book1_Jazztel1_TDC-2Aug2001_UPD" xfId="7103" xr:uid="{00000000-0005-0000-0000-0000DE0F0000}"/>
    <cellStyle name="_MultipleSpace_Book11" xfId="7104" xr:uid="{00000000-0005-0000-0000-0000DF0F0000}"/>
    <cellStyle name="_MultipleSpace_Book11_Jazztel" xfId="7105" xr:uid="{00000000-0005-0000-0000-0000E00F0000}"/>
    <cellStyle name="_MultipleSpace_Book11_Jazztel model 16DP3-Exhibits" xfId="7106" xr:uid="{00000000-0005-0000-0000-0000E10F0000}"/>
    <cellStyle name="_MultipleSpace_Book11_Jazztel model 18DP-exhibits" xfId="7107" xr:uid="{00000000-0005-0000-0000-0000E20F0000}"/>
    <cellStyle name="_MultipleSpace_Book11_Jazztel model 18DP-exhibits_KPNMobileMay01" xfId="7108" xr:uid="{00000000-0005-0000-0000-0000E30F0000}"/>
    <cellStyle name="_MultipleSpace_Book11_Jazztel model 18DP-exhibits_T_MOBIL2" xfId="7109" xr:uid="{00000000-0005-0000-0000-0000E40F0000}"/>
    <cellStyle name="_MultipleSpace_Book11_Jazztel model 18DP-exhibits_T_MOBIL2_Book2" xfId="7110" xr:uid="{00000000-0005-0000-0000-0000E50F0000}"/>
    <cellStyle name="_MultipleSpace_Book11_Jazztel model 18DP-exhibits_T_MOBIL2_Fidelity FixedTel - Summer" xfId="10886" xr:uid="{00000000-0005-0000-0000-0000E60F0000}"/>
    <cellStyle name="_MultipleSpace_Book11_Jazztel model 18DP-exhibits_T_MOBIL2_FixedTele" xfId="10887" xr:uid="{00000000-0005-0000-0000-0000E70F0000}"/>
    <cellStyle name="_MultipleSpace_Book11_Jazztel model 18DP-exhibits_T_MOBIL2_TDC-2Aug2001_UPD" xfId="7111" xr:uid="{00000000-0005-0000-0000-0000E80F0000}"/>
    <cellStyle name="_MultipleSpace_Book11_Jazztel1" xfId="7112" xr:uid="{00000000-0005-0000-0000-0000E90F0000}"/>
    <cellStyle name="_MultipleSpace_Book11_Jazztel1_Book2" xfId="7113" xr:uid="{00000000-0005-0000-0000-0000EA0F0000}"/>
    <cellStyle name="_MultipleSpace_Book11_Jazztel1_TDC-2Aug2001_UPD" xfId="7114" xr:uid="{00000000-0005-0000-0000-0000EB0F0000}"/>
    <cellStyle name="_MultipleSpace_Book12" xfId="7115" xr:uid="{00000000-0005-0000-0000-0000EC0F0000}"/>
    <cellStyle name="_MultipleSpace_Book12_Jazztel" xfId="7116" xr:uid="{00000000-0005-0000-0000-0000ED0F0000}"/>
    <cellStyle name="_MultipleSpace_Book12_Jazztel model 16DP3-Exhibits" xfId="7117" xr:uid="{00000000-0005-0000-0000-0000EE0F0000}"/>
    <cellStyle name="_MultipleSpace_Book12_Jazztel model 18DP-exhibits" xfId="7118" xr:uid="{00000000-0005-0000-0000-0000EF0F0000}"/>
    <cellStyle name="_MultipleSpace_Book12_Jazztel model 18DP-exhibits_KPNMobileMay01" xfId="7119" xr:uid="{00000000-0005-0000-0000-0000F00F0000}"/>
    <cellStyle name="_MultipleSpace_Book12_Jazztel model 18DP-exhibits_T_MOBIL2" xfId="7120" xr:uid="{00000000-0005-0000-0000-0000F10F0000}"/>
    <cellStyle name="_MultipleSpace_Book12_Jazztel model 18DP-exhibits_T_MOBIL2_Book2" xfId="7121" xr:uid="{00000000-0005-0000-0000-0000F20F0000}"/>
    <cellStyle name="_MultipleSpace_Book12_Jazztel model 18DP-exhibits_T_MOBIL2_Fidelity FixedTel - Summer" xfId="10888" xr:uid="{00000000-0005-0000-0000-0000F30F0000}"/>
    <cellStyle name="_MultipleSpace_Book12_Jazztel model 18DP-exhibits_T_MOBIL2_FixedTele" xfId="10889" xr:uid="{00000000-0005-0000-0000-0000F40F0000}"/>
    <cellStyle name="_MultipleSpace_Book12_Jazztel model 18DP-exhibits_T_MOBIL2_TDC-2Aug2001_UPD" xfId="7122" xr:uid="{00000000-0005-0000-0000-0000F50F0000}"/>
    <cellStyle name="_MultipleSpace_Book12_Jazztel1" xfId="7123" xr:uid="{00000000-0005-0000-0000-0000F60F0000}"/>
    <cellStyle name="_MultipleSpace_Book12_Jazztel1_Book2" xfId="7124" xr:uid="{00000000-0005-0000-0000-0000F70F0000}"/>
    <cellStyle name="_MultipleSpace_Book12_Jazztel1_TDC-2Aug2001_UPD" xfId="7125" xr:uid="{00000000-0005-0000-0000-0000F80F0000}"/>
    <cellStyle name="_MultipleSpace_Book29" xfId="7501" xr:uid="{00000000-0005-0000-0000-0000F90F0000}"/>
    <cellStyle name="_MultipleSpace_Book3" xfId="7502" xr:uid="{00000000-0005-0000-0000-0000FA0F0000}"/>
    <cellStyle name="_MultipleSpace_Book3_1" xfId="7503" xr:uid="{00000000-0005-0000-0000-0000FB0F0000}"/>
    <cellStyle name="_MultipleSpace_CNO" xfId="7504" xr:uid="{00000000-0005-0000-0000-0000FC0F0000}"/>
    <cellStyle name="_MultipleSpace_DCF Alexander Forbes" xfId="7505" xr:uid="{00000000-0005-0000-0000-0000FD0F0000}"/>
    <cellStyle name="_MultipleSpace_DCF Summary pages" xfId="7126" xr:uid="{00000000-0005-0000-0000-0000FE0F0000}"/>
    <cellStyle name="_MultipleSpace_DCF Summary pages_Jazztel" xfId="7127" xr:uid="{00000000-0005-0000-0000-0000FF0F0000}"/>
    <cellStyle name="_MultipleSpace_DCF Summary pages_Jazztel model 16DP3-Exhibits" xfId="7128" xr:uid="{00000000-0005-0000-0000-000000100000}"/>
    <cellStyle name="_MultipleSpace_DCF Summary pages_Jazztel model 18DP-exhibits" xfId="7129" xr:uid="{00000000-0005-0000-0000-000001100000}"/>
    <cellStyle name="_MultipleSpace_DCF Summary pages_Jazztel model 18DP-exhibits_KPNMobileMay01" xfId="7130" xr:uid="{00000000-0005-0000-0000-000002100000}"/>
    <cellStyle name="_MultipleSpace_DCF Summary pages_Jazztel model 18DP-exhibits_T_MOBIL2" xfId="7131" xr:uid="{00000000-0005-0000-0000-000003100000}"/>
    <cellStyle name="_MultipleSpace_DCF Summary pages_Jazztel model 18DP-exhibits_T_MOBIL2_Book2" xfId="7132" xr:uid="{00000000-0005-0000-0000-000004100000}"/>
    <cellStyle name="_MultipleSpace_DCF Summary pages_Jazztel model 18DP-exhibits_T_MOBIL2_Fidelity FixedTel - Summer" xfId="10890" xr:uid="{00000000-0005-0000-0000-000005100000}"/>
    <cellStyle name="_MultipleSpace_DCF Summary pages_Jazztel model 18DP-exhibits_T_MOBIL2_FixedTele" xfId="10891" xr:uid="{00000000-0005-0000-0000-000006100000}"/>
    <cellStyle name="_MultipleSpace_DCF Summary pages_Jazztel model 18DP-exhibits_T_MOBIL2_TDC-2Aug2001_UPD" xfId="7133" xr:uid="{00000000-0005-0000-0000-000007100000}"/>
    <cellStyle name="_MultipleSpace_DCF Summary pages_Jazztel1" xfId="7134" xr:uid="{00000000-0005-0000-0000-000008100000}"/>
    <cellStyle name="_MultipleSpace_DCF Summary pages_Jazztel1_Book2" xfId="7135" xr:uid="{00000000-0005-0000-0000-000009100000}"/>
    <cellStyle name="_MultipleSpace_DCF Summary pages_Jazztel1_TDC-2Aug2001_UPD" xfId="7136" xr:uid="{00000000-0005-0000-0000-00000A100000}"/>
    <cellStyle name="_MultipleSpace_fmbi counties" xfId="7506" xr:uid="{00000000-0005-0000-0000-00000B100000}"/>
    <cellStyle name="_MultipleSpace_FMBI MBHI Graphs" xfId="7507" xr:uid="{00000000-0005-0000-0000-00000C100000}"/>
    <cellStyle name="_MultipleSpace_FMBI MBHI Graphs 07102001" xfId="7508" xr:uid="{00000000-0005-0000-0000-00000D100000}"/>
    <cellStyle name="_MultipleSpace_FMBI MBHI Graphs_7601" xfId="7509" xr:uid="{00000000-0005-0000-0000-00000E100000}"/>
    <cellStyle name="_MultipleSpace_GNW" xfId="7510" xr:uid="{00000000-0005-0000-0000-00000F100000}"/>
    <cellStyle name="_MultipleSpace_Insurance Brokerage CSC_1Q2002" xfId="7511" xr:uid="{00000000-0005-0000-0000-000010100000}"/>
    <cellStyle name="_MultipleSpace_Jazztel model 15-exhibits" xfId="7137" xr:uid="{00000000-0005-0000-0000-000011100000}"/>
    <cellStyle name="_MultipleSpace_Jazztel model 15-exhibits bis" xfId="7138" xr:uid="{00000000-0005-0000-0000-000012100000}"/>
    <cellStyle name="_MultipleSpace_Jazztel model 15-exhibits_Jazztel" xfId="7139" xr:uid="{00000000-0005-0000-0000-000013100000}"/>
    <cellStyle name="_MultipleSpace_Jazztel model 15-exhibits_Jazztel model 16DP3-Exhibits" xfId="7140" xr:uid="{00000000-0005-0000-0000-000014100000}"/>
    <cellStyle name="_MultipleSpace_Jazztel model 15-exhibits_Jazztel model 18DP-exhibits" xfId="7141" xr:uid="{00000000-0005-0000-0000-000015100000}"/>
    <cellStyle name="_MultipleSpace_Jazztel model 15-exhibits_Jazztel model 18DP-exhibits_KPNMobileMay01" xfId="7142" xr:uid="{00000000-0005-0000-0000-000016100000}"/>
    <cellStyle name="_MultipleSpace_Jazztel model 15-exhibits_Jazztel model 18DP-exhibits_T_MOBIL2" xfId="7143" xr:uid="{00000000-0005-0000-0000-000017100000}"/>
    <cellStyle name="_MultipleSpace_Jazztel model 15-exhibits_Jazztel model 18DP-exhibits_T_MOBIL2_Book2" xfId="7144" xr:uid="{00000000-0005-0000-0000-000018100000}"/>
    <cellStyle name="_MultipleSpace_Jazztel model 15-exhibits_Jazztel model 18DP-exhibits_T_MOBIL2_Fidelity FixedTel - Summer" xfId="10892" xr:uid="{00000000-0005-0000-0000-000019100000}"/>
    <cellStyle name="_MultipleSpace_Jazztel model 15-exhibits_Jazztel model 18DP-exhibits_T_MOBIL2_FixedTele" xfId="10893" xr:uid="{00000000-0005-0000-0000-00001A100000}"/>
    <cellStyle name="_MultipleSpace_Jazztel model 15-exhibits_Jazztel model 18DP-exhibits_T_MOBIL2_TDC-2Aug2001_UPD" xfId="7145" xr:uid="{00000000-0005-0000-0000-00001B100000}"/>
    <cellStyle name="_MultipleSpace_Jazztel model 15-exhibits_Jazztel1" xfId="7146" xr:uid="{00000000-0005-0000-0000-00001C100000}"/>
    <cellStyle name="_MultipleSpace_Jazztel model 15-exhibits_Jazztel1_Book2" xfId="7147" xr:uid="{00000000-0005-0000-0000-00001D100000}"/>
    <cellStyle name="_MultipleSpace_Jazztel model 15-exhibits_Jazztel1_TDC-2Aug2001_UPD" xfId="7148" xr:uid="{00000000-0005-0000-0000-00001E100000}"/>
    <cellStyle name="_MultipleSpace_Jazztel model 15-exhibits-Friso2" xfId="7149" xr:uid="{00000000-0005-0000-0000-00001F100000}"/>
    <cellStyle name="_MultipleSpace_Jazztel model 15-exhibits-Friso2_Jazztel" xfId="7150" xr:uid="{00000000-0005-0000-0000-000020100000}"/>
    <cellStyle name="_MultipleSpace_Jazztel model 15-exhibits-Friso2_Jazztel model 16DP3-Exhibits" xfId="7151" xr:uid="{00000000-0005-0000-0000-000021100000}"/>
    <cellStyle name="_MultipleSpace_Jazztel model 15-exhibits-Friso2_Jazztel model 18DP-exhibits" xfId="7152" xr:uid="{00000000-0005-0000-0000-000022100000}"/>
    <cellStyle name="_MultipleSpace_Jazztel model 15-exhibits-Friso2_Jazztel model 18DP-exhibits_KPNMobileMay01" xfId="7153" xr:uid="{00000000-0005-0000-0000-000023100000}"/>
    <cellStyle name="_MultipleSpace_Jazztel model 15-exhibits-Friso2_Jazztel model 18DP-exhibits_T_MOBIL2" xfId="7154" xr:uid="{00000000-0005-0000-0000-000024100000}"/>
    <cellStyle name="_MultipleSpace_Jazztel model 15-exhibits-Friso2_Jazztel model 18DP-exhibits_T_MOBIL2_Book2" xfId="7155" xr:uid="{00000000-0005-0000-0000-000025100000}"/>
    <cellStyle name="_MultipleSpace_Jazztel model 15-exhibits-Friso2_Jazztel model 18DP-exhibits_T_MOBIL2_Fidelity FixedTel - Summer" xfId="10894" xr:uid="{00000000-0005-0000-0000-000026100000}"/>
    <cellStyle name="_MultipleSpace_Jazztel model 15-exhibits-Friso2_Jazztel model 18DP-exhibits_T_MOBIL2_FixedTele" xfId="10895" xr:uid="{00000000-0005-0000-0000-000027100000}"/>
    <cellStyle name="_MultipleSpace_Jazztel model 15-exhibits-Friso2_Jazztel model 18DP-exhibits_T_MOBIL2_TDC-2Aug2001_UPD" xfId="7156" xr:uid="{00000000-0005-0000-0000-000028100000}"/>
    <cellStyle name="_MultipleSpace_Jazztel model 15-exhibits-Friso2_Jazztel1" xfId="7157" xr:uid="{00000000-0005-0000-0000-000029100000}"/>
    <cellStyle name="_MultipleSpace_Jazztel model 15-exhibits-Friso2_Jazztel1_Book2" xfId="7158" xr:uid="{00000000-0005-0000-0000-00002A100000}"/>
    <cellStyle name="_MultipleSpace_Jazztel model 15-exhibits-Friso2_Jazztel1_TDC-2Aug2001_UPD" xfId="7159" xr:uid="{00000000-0005-0000-0000-00002B100000}"/>
    <cellStyle name="_MultipleSpace_Jazztel model 16DP2-Exhibits" xfId="7160" xr:uid="{00000000-0005-0000-0000-00002C100000}"/>
    <cellStyle name="_MultipleSpace_Jazztel model 16DP3-Exhibits" xfId="7161" xr:uid="{00000000-0005-0000-0000-00002D100000}"/>
    <cellStyle name="_MultipleSpace_JP" xfId="7512" xr:uid="{00000000-0005-0000-0000-00002E100000}"/>
    <cellStyle name="_MultipleSpace_LNC" xfId="7513" xr:uid="{00000000-0005-0000-0000-00002F100000}"/>
    <cellStyle name="_MultipleSpace_MET" xfId="7514" xr:uid="{00000000-0005-0000-0000-000030100000}"/>
    <cellStyle name="_MultipleSpace_MET04" xfId="7515" xr:uid="{00000000-0005-0000-0000-000031100000}"/>
    <cellStyle name="_MultipleSpace_NFS" xfId="7516" xr:uid="{00000000-0005-0000-0000-000032100000}"/>
    <cellStyle name="_MultipleSpace_Overseas" xfId="10896" xr:uid="{00000000-0005-0000-0000-000033100000}"/>
    <cellStyle name="_MultipleSpace_Overview3" xfId="7517" xr:uid="{00000000-0005-0000-0000-000034100000}"/>
    <cellStyle name="_MultipleSpace_phil data" xfId="7518" xr:uid="{00000000-0005-0000-0000-000035100000}"/>
    <cellStyle name="_MultipleSpace_Price Performance Charts" xfId="7519" xr:uid="{00000000-0005-0000-0000-000036100000}"/>
    <cellStyle name="_MultipleSpace_PRU" xfId="7520" xr:uid="{00000000-0005-0000-0000-000037100000}"/>
    <cellStyle name="_MultipleSpace_PRU04" xfId="7521" xr:uid="{00000000-0005-0000-0000-000038100000}"/>
    <cellStyle name="_MultipleSpace_RiskReward" xfId="7522" xr:uid="{00000000-0005-0000-0000-000039100000}"/>
    <cellStyle name="_MultipleSpace_SFG" xfId="7523" xr:uid="{00000000-0005-0000-0000-00003A100000}"/>
    <cellStyle name="_MultipleSpace_Sheet1" xfId="7524" xr:uid="{00000000-0005-0000-0000-00003B100000}"/>
    <cellStyle name="_MultipleSpace_Stock-QTR1 FDS" xfId="7525" xr:uid="{00000000-0005-0000-0000-00003C100000}"/>
    <cellStyle name="_MultipleSpace_TMK" xfId="7526" xr:uid="{00000000-0005-0000-0000-00003D100000}"/>
    <cellStyle name="_MultipleSpace_Updated Valuation Changes" xfId="7527" xr:uid="{00000000-0005-0000-0000-00003E100000}"/>
    <cellStyle name="_MultipleSpace_Valuation Graphs" xfId="7528" xr:uid="{00000000-0005-0000-0000-00003F100000}"/>
    <cellStyle name="_MultipleSpace_xratio - historical mkt val" xfId="7529" xr:uid="{00000000-0005-0000-0000-000040100000}"/>
    <cellStyle name="—_new format1" xfId="5568" xr:uid="{00000000-0005-0000-0000-000041100000}"/>
    <cellStyle name="—_new format1 2" xfId="7162" xr:uid="{00000000-0005-0000-0000-000042100000}"/>
    <cellStyle name="—_new format1_Beta" xfId="5569" xr:uid="{00000000-0005-0000-0000-000043100000}"/>
    <cellStyle name="—_new format1_Book8" xfId="5570" xr:uid="{00000000-0005-0000-0000-000044100000}"/>
    <cellStyle name="—_new format1_Book8_Beta" xfId="5571" xr:uid="{00000000-0005-0000-0000-000045100000}"/>
    <cellStyle name="—_new format1_Book8_Cashflow" xfId="5572" xr:uid="{00000000-0005-0000-0000-000046100000}"/>
    <cellStyle name="—_new format1_Book8_Cashflow_Honghua MSTR" xfId="5573" xr:uid="{00000000-0005-0000-0000-000047100000}"/>
    <cellStyle name="—_new format1_Book8_P&amp;L" xfId="5574" xr:uid="{00000000-0005-0000-0000-000048100000}"/>
    <cellStyle name="—_new format1_Book8_P&amp;L_Honghua MSTR" xfId="5575" xr:uid="{00000000-0005-0000-0000-000049100000}"/>
    <cellStyle name="—_new format1_Book8_PetroChina Master" xfId="5576" xr:uid="{00000000-0005-0000-0000-00004A100000}"/>
    <cellStyle name="—_new format1_Book8_PetroChina Master_WIP(20-F update)" xfId="5577" xr:uid="{00000000-0005-0000-0000-00004B100000}"/>
    <cellStyle name="—_new format1_Book8_PetroChina Master_WIP(20-F update)_Cashflow" xfId="5578" xr:uid="{00000000-0005-0000-0000-00004C100000}"/>
    <cellStyle name="—_new format1_Book8_PetroChina Master_WIP(20-F update)_Cashflow_Honghua MSTR" xfId="5579" xr:uid="{00000000-0005-0000-0000-00004D100000}"/>
    <cellStyle name="—_new format1_Book8_PetroChina Master_WIP(20-F update)_P&amp;L" xfId="5580" xr:uid="{00000000-0005-0000-0000-00004E100000}"/>
    <cellStyle name="—_new format1_Book8_PetroChina Master_WIP(20-F update)_P&amp;L_Honghua MSTR" xfId="5581" xr:uid="{00000000-0005-0000-0000-00004F100000}"/>
    <cellStyle name="—_new format1_Book8_PetroChina Master_WIP(20-F update)_Sinopec MSTR" xfId="5582" xr:uid="{00000000-0005-0000-0000-000050100000}"/>
    <cellStyle name="—_new format1_Book8_PetroChina Master_WIP(20-F update)_Sinopec MSTR Wip" xfId="5583" xr:uid="{00000000-0005-0000-0000-000051100000}"/>
    <cellStyle name="—_new format1_Book8_PetroChina Master_WIP(20-F update)_Sinopec MSTR_WIP_KK" xfId="5584" xr:uid="{00000000-0005-0000-0000-000052100000}"/>
    <cellStyle name="—_new format1_Book8_Sinopec MSTR" xfId="5585" xr:uid="{00000000-0005-0000-0000-000053100000}"/>
    <cellStyle name="—_new format1_Book8_Sinopec MSTR Wip" xfId="5586" xr:uid="{00000000-0005-0000-0000-000054100000}"/>
    <cellStyle name="—_new format1_Book8_Sinopec MSTR_WIP_KK" xfId="5587" xr:uid="{00000000-0005-0000-0000-000055100000}"/>
    <cellStyle name="—_new format1_Book8_Sinopec MSTR-WIP_20F update" xfId="5588" xr:uid="{00000000-0005-0000-0000-000056100000}"/>
    <cellStyle name="—_new format1_Cashflow" xfId="5589" xr:uid="{00000000-0005-0000-0000-000057100000}"/>
    <cellStyle name="—_new format1_Cashflow_Honghua MSTR" xfId="5590" xr:uid="{00000000-0005-0000-0000-000058100000}"/>
    <cellStyle name="—_new format1_EM-LGT_Published" xfId="5591" xr:uid="{00000000-0005-0000-0000-000059100000}"/>
    <cellStyle name="—_new format1_EM-LGT_Published_Beta" xfId="5592" xr:uid="{00000000-0005-0000-0000-00005A100000}"/>
    <cellStyle name="—_new format1_EM-LGT_Published_Cashflow" xfId="5593" xr:uid="{00000000-0005-0000-0000-00005B100000}"/>
    <cellStyle name="—_new format1_EM-LGT_Published_Cashflow_Honghua MSTR" xfId="5594" xr:uid="{00000000-0005-0000-0000-00005C100000}"/>
    <cellStyle name="—_new format1_EM-LGT_Published_P&amp;L" xfId="5595" xr:uid="{00000000-0005-0000-0000-00005D100000}"/>
    <cellStyle name="—_new format1_EM-LGT_Published_P&amp;L_Honghua MSTR" xfId="5596" xr:uid="{00000000-0005-0000-0000-00005E100000}"/>
    <cellStyle name="—_new format1_EM-LGT_Published_PetroChina Master" xfId="5597" xr:uid="{00000000-0005-0000-0000-00005F100000}"/>
    <cellStyle name="—_new format1_EM-LGT_Published_PetroChina Master_WIP(20-F update)" xfId="5598" xr:uid="{00000000-0005-0000-0000-000060100000}"/>
    <cellStyle name="—_new format1_EM-LGT_Published_PetroChina Master_WIP(20-F update)_Cashflow" xfId="5599" xr:uid="{00000000-0005-0000-0000-000061100000}"/>
    <cellStyle name="—_new format1_EM-LGT_Published_PetroChina Master_WIP(20-F update)_Cashflow_Honghua MSTR" xfId="5600" xr:uid="{00000000-0005-0000-0000-000062100000}"/>
    <cellStyle name="—_new format1_EM-LGT_Published_PetroChina Master_WIP(20-F update)_P&amp;L" xfId="5601" xr:uid="{00000000-0005-0000-0000-000063100000}"/>
    <cellStyle name="—_new format1_EM-LGT_Published_PetroChina Master_WIP(20-F update)_P&amp;L_Honghua MSTR" xfId="5602" xr:uid="{00000000-0005-0000-0000-000064100000}"/>
    <cellStyle name="—_new format1_EM-LGT_Published_PetroChina Master_WIP(20-F update)_Sinopec MSTR" xfId="5603" xr:uid="{00000000-0005-0000-0000-000065100000}"/>
    <cellStyle name="—_new format1_EM-LGT_Published_PetroChina Master_WIP(20-F update)_Sinopec MSTR Wip" xfId="5604" xr:uid="{00000000-0005-0000-0000-000066100000}"/>
    <cellStyle name="—_new format1_EM-LGT_Published_PetroChina Master_WIP(20-F update)_Sinopec MSTR_WIP_KK" xfId="5605" xr:uid="{00000000-0005-0000-0000-000067100000}"/>
    <cellStyle name="—_new format1_EM-LGT_Published_Sinopec MSTR" xfId="5606" xr:uid="{00000000-0005-0000-0000-000068100000}"/>
    <cellStyle name="—_new format1_EM-LGT_Published_Sinopec MSTR Wip" xfId="5607" xr:uid="{00000000-0005-0000-0000-000069100000}"/>
    <cellStyle name="—_new format1_EM-LGT_Published_Sinopec MSTR_WIP_KK" xfId="5608" xr:uid="{00000000-0005-0000-0000-00006A100000}"/>
    <cellStyle name="—_new format1_EM-LGT_Published_Sinopec MSTR-WIP_20F update" xfId="5609" xr:uid="{00000000-0005-0000-0000-00006B100000}"/>
    <cellStyle name="—_new format1_P&amp;L" xfId="5610" xr:uid="{00000000-0005-0000-0000-00006C100000}"/>
    <cellStyle name="—_new format1_P&amp;L_Honghua MSTR" xfId="5611" xr:uid="{00000000-0005-0000-0000-00006D100000}"/>
    <cellStyle name="—_new format1_PetroChina Master" xfId="5612" xr:uid="{00000000-0005-0000-0000-00006E100000}"/>
    <cellStyle name="—_new format1_PetroChina Master_WIP(20-F update)" xfId="5613" xr:uid="{00000000-0005-0000-0000-00006F100000}"/>
    <cellStyle name="—_new format1_PetroChina Master_WIP(20-F update)_Cashflow" xfId="5614" xr:uid="{00000000-0005-0000-0000-000070100000}"/>
    <cellStyle name="—_new format1_PetroChina Master_WIP(20-F update)_Cashflow_Honghua MSTR" xfId="5615" xr:uid="{00000000-0005-0000-0000-000071100000}"/>
    <cellStyle name="—_new format1_PetroChina Master_WIP(20-F update)_P&amp;L" xfId="5616" xr:uid="{00000000-0005-0000-0000-000072100000}"/>
    <cellStyle name="—_new format1_PetroChina Master_WIP(20-F update)_P&amp;L_Honghua MSTR" xfId="5617" xr:uid="{00000000-0005-0000-0000-000073100000}"/>
    <cellStyle name="—_new format1_PetroChina Master_WIP(20-F update)_Sinopec MSTR" xfId="5618" xr:uid="{00000000-0005-0000-0000-000074100000}"/>
    <cellStyle name="—_new format1_PetroChina Master_WIP(20-F update)_Sinopec MSTR Wip" xfId="5619" xr:uid="{00000000-0005-0000-0000-000075100000}"/>
    <cellStyle name="—_new format1_PetroChina Master_WIP(20-F update)_Sinopec MSTR_WIP_KK" xfId="5620" xr:uid="{00000000-0005-0000-0000-000076100000}"/>
    <cellStyle name="—_new format1_Sinopec MSTR" xfId="5621" xr:uid="{00000000-0005-0000-0000-000077100000}"/>
    <cellStyle name="—_new format1_Sinopec MSTR Wip" xfId="5622" xr:uid="{00000000-0005-0000-0000-000078100000}"/>
    <cellStyle name="—_new format1_Sinopec MSTR_WIP_KK" xfId="5623" xr:uid="{00000000-0005-0000-0000-000079100000}"/>
    <cellStyle name="—_new format1_Sinopec MSTR-WIP_20F update" xfId="5624" xr:uid="{00000000-0005-0000-0000-00007A100000}"/>
    <cellStyle name="—_new format1_Telecom quarterly_final" xfId="5625" xr:uid="{00000000-0005-0000-0000-00007B100000}"/>
    <cellStyle name="—_new format1_Telecom quarterly_final_Beta" xfId="5626" xr:uid="{00000000-0005-0000-0000-00007C100000}"/>
    <cellStyle name="—_new format1_Telecom quarterly_final_Book8" xfId="5627" xr:uid="{00000000-0005-0000-0000-00007D100000}"/>
    <cellStyle name="—_new format1_Telecom quarterly_final_Book8_Beta" xfId="5628" xr:uid="{00000000-0005-0000-0000-00007E100000}"/>
    <cellStyle name="—_new format1_Telecom quarterly_final_Book8_Cashflow" xfId="5629" xr:uid="{00000000-0005-0000-0000-00007F100000}"/>
    <cellStyle name="—_new format1_Telecom quarterly_final_Book8_Cashflow_Honghua MSTR" xfId="5630" xr:uid="{00000000-0005-0000-0000-000080100000}"/>
    <cellStyle name="—_new format1_Telecom quarterly_final_Book8_P&amp;L" xfId="5631" xr:uid="{00000000-0005-0000-0000-000081100000}"/>
    <cellStyle name="—_new format1_Telecom quarterly_final_Book8_P&amp;L_Honghua MSTR" xfId="5632" xr:uid="{00000000-0005-0000-0000-000082100000}"/>
    <cellStyle name="—_new format1_Telecom quarterly_final_Book8_PetroChina Master" xfId="5633" xr:uid="{00000000-0005-0000-0000-000083100000}"/>
    <cellStyle name="—_new format1_Telecom quarterly_final_Book8_PetroChina Master_WIP(20-F update)" xfId="5634" xr:uid="{00000000-0005-0000-0000-000084100000}"/>
    <cellStyle name="—_new format1_Telecom quarterly_final_Book8_PetroChina Master_WIP(20-F update)_Cashflow" xfId="5635" xr:uid="{00000000-0005-0000-0000-000085100000}"/>
    <cellStyle name="—_new format1_Telecom quarterly_final_Book8_PetroChina Master_WIP(20-F update)_Cashflow_Honghua MSTR" xfId="5636" xr:uid="{00000000-0005-0000-0000-000086100000}"/>
    <cellStyle name="—_new format1_Telecom quarterly_final_Book8_PetroChina Master_WIP(20-F update)_P&amp;L" xfId="5637" xr:uid="{00000000-0005-0000-0000-000087100000}"/>
    <cellStyle name="—_new format1_Telecom quarterly_final_Book8_PetroChina Master_WIP(20-F update)_P&amp;L_Honghua MSTR" xfId="5638" xr:uid="{00000000-0005-0000-0000-000088100000}"/>
    <cellStyle name="—_new format1_Telecom quarterly_final_Book8_PetroChina Master_WIP(20-F update)_Sinopec MSTR" xfId="5639" xr:uid="{00000000-0005-0000-0000-000089100000}"/>
    <cellStyle name="—_new format1_Telecom quarterly_final_Book8_PetroChina Master_WIP(20-F update)_Sinopec MSTR Wip" xfId="5640" xr:uid="{00000000-0005-0000-0000-00008A100000}"/>
    <cellStyle name="—_new format1_Telecom quarterly_final_Book8_PetroChina Master_WIP(20-F update)_Sinopec MSTR_WIP_KK" xfId="5641" xr:uid="{00000000-0005-0000-0000-00008B100000}"/>
    <cellStyle name="—_new format1_Telecom quarterly_final_Book8_Sinopec MSTR" xfId="5642" xr:uid="{00000000-0005-0000-0000-00008C100000}"/>
    <cellStyle name="—_new format1_Telecom quarterly_final_Book8_Sinopec MSTR Wip" xfId="5643" xr:uid="{00000000-0005-0000-0000-00008D100000}"/>
    <cellStyle name="—_new format1_Telecom quarterly_final_Book8_Sinopec MSTR_WIP_KK" xfId="5644" xr:uid="{00000000-0005-0000-0000-00008E100000}"/>
    <cellStyle name="—_new format1_Telecom quarterly_final_Book8_Sinopec MSTR-WIP_20F update" xfId="5645" xr:uid="{00000000-0005-0000-0000-00008F100000}"/>
    <cellStyle name="—_new format1_Telecom quarterly_final_Cashflow" xfId="5646" xr:uid="{00000000-0005-0000-0000-000090100000}"/>
    <cellStyle name="—_new format1_Telecom quarterly_final_Cashflow_Honghua MSTR" xfId="5647" xr:uid="{00000000-0005-0000-0000-000091100000}"/>
    <cellStyle name="—_new format1_Telecom quarterly_final_EM-LGT_Published" xfId="5648" xr:uid="{00000000-0005-0000-0000-000092100000}"/>
    <cellStyle name="—_new format1_Telecom quarterly_final_EM-LGT_Published_Beta" xfId="5649" xr:uid="{00000000-0005-0000-0000-000093100000}"/>
    <cellStyle name="—_new format1_Telecom quarterly_final_EM-LGT_Published_Cashflow" xfId="5650" xr:uid="{00000000-0005-0000-0000-000094100000}"/>
    <cellStyle name="—_new format1_Telecom quarterly_final_EM-LGT_Published_Cashflow_Honghua MSTR" xfId="5651" xr:uid="{00000000-0005-0000-0000-000095100000}"/>
    <cellStyle name="—_new format1_Telecom quarterly_final_EM-LGT_Published_P&amp;L" xfId="5652" xr:uid="{00000000-0005-0000-0000-000096100000}"/>
    <cellStyle name="—_new format1_Telecom quarterly_final_EM-LGT_Published_P&amp;L_Honghua MSTR" xfId="5653" xr:uid="{00000000-0005-0000-0000-000097100000}"/>
    <cellStyle name="—_new format1_Telecom quarterly_final_EM-LGT_Published_PetroChina Master" xfId="5654" xr:uid="{00000000-0005-0000-0000-000098100000}"/>
    <cellStyle name="—_new format1_Telecom quarterly_final_EM-LGT_Published_PetroChina Master_WIP(20-F update)" xfId="5655" xr:uid="{00000000-0005-0000-0000-000099100000}"/>
    <cellStyle name="—_new format1_Telecom quarterly_final_EM-LGT_Published_PetroChina Master_WIP(20-F update)_Cashflow" xfId="5656" xr:uid="{00000000-0005-0000-0000-00009A100000}"/>
    <cellStyle name="—_new format1_Telecom quarterly_final_EM-LGT_Published_PetroChina Master_WIP(20-F update)_Cashflow_Honghua MSTR" xfId="5657" xr:uid="{00000000-0005-0000-0000-00009B100000}"/>
    <cellStyle name="—_new format1_Telecom quarterly_final_EM-LGT_Published_PetroChina Master_WIP(20-F update)_P&amp;L" xfId="5658" xr:uid="{00000000-0005-0000-0000-00009C100000}"/>
    <cellStyle name="—_new format1_Telecom quarterly_final_EM-LGT_Published_PetroChina Master_WIP(20-F update)_P&amp;L_Honghua MSTR" xfId="5659" xr:uid="{00000000-0005-0000-0000-00009D100000}"/>
    <cellStyle name="—_new format1_Telecom quarterly_final_EM-LGT_Published_PetroChina Master_WIP(20-F update)_Sinopec MSTR" xfId="5660" xr:uid="{00000000-0005-0000-0000-00009E100000}"/>
    <cellStyle name="—_new format1_Telecom quarterly_final_EM-LGT_Published_PetroChina Master_WIP(20-F update)_Sinopec MSTR Wip" xfId="5661" xr:uid="{00000000-0005-0000-0000-00009F100000}"/>
    <cellStyle name="—_new format1_Telecom quarterly_final_EM-LGT_Published_PetroChina Master_WIP(20-F update)_Sinopec MSTR_WIP_KK" xfId="5662" xr:uid="{00000000-0005-0000-0000-0000A0100000}"/>
    <cellStyle name="—_new format1_Telecom quarterly_final_EM-LGT_Published_Sinopec MSTR" xfId="5663" xr:uid="{00000000-0005-0000-0000-0000A1100000}"/>
    <cellStyle name="—_new format1_Telecom quarterly_final_EM-LGT_Published_Sinopec MSTR Wip" xfId="5664" xr:uid="{00000000-0005-0000-0000-0000A2100000}"/>
    <cellStyle name="—_new format1_Telecom quarterly_final_EM-LGT_Published_Sinopec MSTR_WIP_KK" xfId="5665" xr:uid="{00000000-0005-0000-0000-0000A3100000}"/>
    <cellStyle name="—_new format1_Telecom quarterly_final_EM-LGT_Published_Sinopec MSTR-WIP_20F update" xfId="5666" xr:uid="{00000000-0005-0000-0000-0000A4100000}"/>
    <cellStyle name="—_new format1_Telecom quarterly_final_P&amp;L" xfId="5667" xr:uid="{00000000-0005-0000-0000-0000A5100000}"/>
    <cellStyle name="—_new format1_Telecom quarterly_final_P&amp;L_Honghua MSTR" xfId="5668" xr:uid="{00000000-0005-0000-0000-0000A6100000}"/>
    <cellStyle name="—_new format1_Telecom quarterly_final_PetroChina Master" xfId="5669" xr:uid="{00000000-0005-0000-0000-0000A7100000}"/>
    <cellStyle name="—_new format1_Telecom quarterly_final_PetroChina Master_WIP(20-F update)" xfId="5670" xr:uid="{00000000-0005-0000-0000-0000A8100000}"/>
    <cellStyle name="—_new format1_Telecom quarterly_final_PetroChina Master_WIP(20-F update)_Cashflow" xfId="5671" xr:uid="{00000000-0005-0000-0000-0000A9100000}"/>
    <cellStyle name="—_new format1_Telecom quarterly_final_PetroChina Master_WIP(20-F update)_Cashflow_Honghua MSTR" xfId="5672" xr:uid="{00000000-0005-0000-0000-0000AA100000}"/>
    <cellStyle name="—_new format1_Telecom quarterly_final_PetroChina Master_WIP(20-F update)_P&amp;L" xfId="5673" xr:uid="{00000000-0005-0000-0000-0000AB100000}"/>
    <cellStyle name="—_new format1_Telecom quarterly_final_PetroChina Master_WIP(20-F update)_P&amp;L_Honghua MSTR" xfId="5674" xr:uid="{00000000-0005-0000-0000-0000AC100000}"/>
    <cellStyle name="—_new format1_Telecom quarterly_final_PetroChina Master_WIP(20-F update)_Sinopec MSTR" xfId="5675" xr:uid="{00000000-0005-0000-0000-0000AD100000}"/>
    <cellStyle name="—_new format1_Telecom quarterly_final_PetroChina Master_WIP(20-F update)_Sinopec MSTR Wip" xfId="5676" xr:uid="{00000000-0005-0000-0000-0000AE100000}"/>
    <cellStyle name="—_new format1_Telecom quarterly_final_PetroChina Master_WIP(20-F update)_Sinopec MSTR_WIP_KK" xfId="5677" xr:uid="{00000000-0005-0000-0000-0000AF100000}"/>
    <cellStyle name="—_new format1_Telecom quarterly_final_Sinopec MSTR" xfId="5678" xr:uid="{00000000-0005-0000-0000-0000B0100000}"/>
    <cellStyle name="—_new format1_Telecom quarterly_final_Sinopec MSTR Wip" xfId="5679" xr:uid="{00000000-0005-0000-0000-0000B1100000}"/>
    <cellStyle name="—_new format1_Telecom quarterly_final_Sinopec MSTR_WIP_KK" xfId="5680" xr:uid="{00000000-0005-0000-0000-0000B2100000}"/>
    <cellStyle name="—_new format1_Telecom quarterly_final_Sinopec MSTR-WIP_20F update" xfId="5681" xr:uid="{00000000-0005-0000-0000-0000B3100000}"/>
    <cellStyle name="_new-Sub" xfId="3979" xr:uid="{00000000-0005-0000-0000-0000B4100000}"/>
    <cellStyle name="_NEWTABL1" xfId="3980" xr:uid="{00000000-0005-0000-0000-0000B5100000}"/>
    <cellStyle name="—_NTT CROCI" xfId="10897" xr:uid="{00000000-0005-0000-0000-0000B6100000}"/>
    <cellStyle name="—_NTT proportionate" xfId="10898" xr:uid="{00000000-0005-0000-0000-0000B7100000}"/>
    <cellStyle name="—_ONGC master" xfId="5682" xr:uid="{00000000-0005-0000-0000-0000B8100000}"/>
    <cellStyle name="—_ONGC master_Beta" xfId="5683" xr:uid="{00000000-0005-0000-0000-0000B9100000}"/>
    <cellStyle name="—_ONGC master_Cashflow" xfId="5684" xr:uid="{00000000-0005-0000-0000-0000BA100000}"/>
    <cellStyle name="—_ONGC master_Cashflow_Honghua MSTR" xfId="5685" xr:uid="{00000000-0005-0000-0000-0000BB100000}"/>
    <cellStyle name="—_ONGC master_P&amp;L" xfId="5686" xr:uid="{00000000-0005-0000-0000-0000BC100000}"/>
    <cellStyle name="—_ONGC master_P&amp;L_Honghua MSTR" xfId="5687" xr:uid="{00000000-0005-0000-0000-0000BD100000}"/>
    <cellStyle name="—_ONGC master_PetroChina Master" xfId="5688" xr:uid="{00000000-0005-0000-0000-0000BE100000}"/>
    <cellStyle name="—_ONGC master_PetroChina Master_WIP(20-F update)" xfId="5689" xr:uid="{00000000-0005-0000-0000-0000BF100000}"/>
    <cellStyle name="—_ONGC master_PetroChina Master_WIP(20-F update)_Cashflow" xfId="5690" xr:uid="{00000000-0005-0000-0000-0000C0100000}"/>
    <cellStyle name="—_ONGC master_PetroChina Master_WIP(20-F update)_Cashflow_Honghua MSTR" xfId="5691" xr:uid="{00000000-0005-0000-0000-0000C1100000}"/>
    <cellStyle name="—_ONGC master_PetroChina Master_WIP(20-F update)_P&amp;L" xfId="5692" xr:uid="{00000000-0005-0000-0000-0000C2100000}"/>
    <cellStyle name="—_ONGC master_PetroChina Master_WIP(20-F update)_P&amp;L_Honghua MSTR" xfId="5693" xr:uid="{00000000-0005-0000-0000-0000C3100000}"/>
    <cellStyle name="—_ONGC master_PetroChina Master_WIP(20-F update)_Sinopec MSTR" xfId="5694" xr:uid="{00000000-0005-0000-0000-0000C4100000}"/>
    <cellStyle name="—_ONGC master_PetroChina Master_WIP(20-F update)_Sinopec MSTR Wip" xfId="5695" xr:uid="{00000000-0005-0000-0000-0000C5100000}"/>
    <cellStyle name="—_ONGC master_PetroChina Master_WIP(20-F update)_Sinopec MSTR_WIP_KK" xfId="5696" xr:uid="{00000000-0005-0000-0000-0000C6100000}"/>
    <cellStyle name="—_ONGC master_Sinopec MSTR" xfId="5697" xr:uid="{00000000-0005-0000-0000-0000C7100000}"/>
    <cellStyle name="—_operating stats comp" xfId="3981" xr:uid="{00000000-0005-0000-0000-0000C8100000}"/>
    <cellStyle name="—_operating stats comp_new-Sub" xfId="3982" xr:uid="{00000000-0005-0000-0000-0000C9100000}"/>
    <cellStyle name="_P&amp;L" xfId="5698" xr:uid="{00000000-0005-0000-0000-0000CA100000}"/>
    <cellStyle name="—_P&amp;L" xfId="5699" xr:uid="{00000000-0005-0000-0000-0000CB100000}"/>
    <cellStyle name="_P&amp;L_Honghua MSTR" xfId="5700" xr:uid="{00000000-0005-0000-0000-0000CC100000}"/>
    <cellStyle name="—_P&amp;L_Honghua MSTR" xfId="5701" xr:uid="{00000000-0005-0000-0000-0000CD100000}"/>
    <cellStyle name="_Percent" xfId="7163" xr:uid="{00000000-0005-0000-0000-0000CE100000}"/>
    <cellStyle name="_Percent_Book1" xfId="7164" xr:uid="{00000000-0005-0000-0000-0000CF100000}"/>
    <cellStyle name="_Percent_Book1_Jazztel model 16DP3-Exhibits" xfId="7165" xr:uid="{00000000-0005-0000-0000-0000D0100000}"/>
    <cellStyle name="_Percent_Book1_Jazztel model 16DP3-Exhibits_Book2" xfId="7166" xr:uid="{00000000-0005-0000-0000-0000D1100000}"/>
    <cellStyle name="_Percent_Book1_Jazztel model 16DP3-Exhibits_T_MOBIL2" xfId="7167" xr:uid="{00000000-0005-0000-0000-0000D2100000}"/>
    <cellStyle name="_Percent_Book1_Jazztel model 16DP3-Exhibits_TDC-2Aug2001_UPD" xfId="7168" xr:uid="{00000000-0005-0000-0000-0000D3100000}"/>
    <cellStyle name="_Percent_Book1_Jazztel model 18DP-exhibits" xfId="7169" xr:uid="{00000000-0005-0000-0000-0000D4100000}"/>
    <cellStyle name="_Percent_Book1_TDC-2Aug2001" xfId="7170" xr:uid="{00000000-0005-0000-0000-0000D5100000}"/>
    <cellStyle name="_Percent_Book1_TelenorAug01" xfId="7171" xr:uid="{00000000-0005-0000-0000-0000D6100000}"/>
    <cellStyle name="_Percent_Book11" xfId="7172" xr:uid="{00000000-0005-0000-0000-0000D7100000}"/>
    <cellStyle name="_Percent_Book11_Jazztel model 16DP3-Exhibits" xfId="7173" xr:uid="{00000000-0005-0000-0000-0000D8100000}"/>
    <cellStyle name="_Percent_Book11_Jazztel model 16DP3-Exhibits_Book2" xfId="7174" xr:uid="{00000000-0005-0000-0000-0000D9100000}"/>
    <cellStyle name="_Percent_Book11_Jazztel model 16DP3-Exhibits_T_MOBIL2" xfId="7175" xr:uid="{00000000-0005-0000-0000-0000DA100000}"/>
    <cellStyle name="_Percent_Book11_Jazztel model 16DP3-Exhibits_TDC-2Aug2001_UPD" xfId="7176" xr:uid="{00000000-0005-0000-0000-0000DB100000}"/>
    <cellStyle name="_Percent_Book11_Jazztel model 18DP-exhibits" xfId="7177" xr:uid="{00000000-0005-0000-0000-0000DC100000}"/>
    <cellStyle name="_Percent_Book11_TDC-2Aug2001" xfId="7178" xr:uid="{00000000-0005-0000-0000-0000DD100000}"/>
    <cellStyle name="_Percent_Book11_TelenorAug01" xfId="7179" xr:uid="{00000000-0005-0000-0000-0000DE100000}"/>
    <cellStyle name="_Percent_Book12" xfId="7180" xr:uid="{00000000-0005-0000-0000-0000DF100000}"/>
    <cellStyle name="_Percent_Book12_Jazztel model 16DP3-Exhibits" xfId="7181" xr:uid="{00000000-0005-0000-0000-0000E0100000}"/>
    <cellStyle name="_Percent_Book12_Jazztel model 16DP3-Exhibits_Book2" xfId="7182" xr:uid="{00000000-0005-0000-0000-0000E1100000}"/>
    <cellStyle name="_Percent_Book12_Jazztel model 16DP3-Exhibits_T_MOBIL2" xfId="7183" xr:uid="{00000000-0005-0000-0000-0000E2100000}"/>
    <cellStyle name="_Percent_Book12_Jazztel model 16DP3-Exhibits_TDC-2Aug2001_UPD" xfId="7184" xr:uid="{00000000-0005-0000-0000-0000E3100000}"/>
    <cellStyle name="_Percent_Book12_Jazztel model 18DP-exhibits" xfId="7185" xr:uid="{00000000-0005-0000-0000-0000E4100000}"/>
    <cellStyle name="_Percent_Book12_TDC-2Aug2001" xfId="7186" xr:uid="{00000000-0005-0000-0000-0000E5100000}"/>
    <cellStyle name="_Percent_Book12_TelenorAug01" xfId="7187" xr:uid="{00000000-0005-0000-0000-0000E6100000}"/>
    <cellStyle name="_Percent_DCF Alexander Forbes" xfId="7530" xr:uid="{00000000-0005-0000-0000-0000E7100000}"/>
    <cellStyle name="_Percent_DCF Summary pages" xfId="7188" xr:uid="{00000000-0005-0000-0000-0000E8100000}"/>
    <cellStyle name="_Percent_DCF Summary pages_Jazztel model 16DP3-Exhibits" xfId="7189" xr:uid="{00000000-0005-0000-0000-0000E9100000}"/>
    <cellStyle name="_Percent_DCF Summary pages_Jazztel model 16DP3-Exhibits_Book2" xfId="7190" xr:uid="{00000000-0005-0000-0000-0000EA100000}"/>
    <cellStyle name="_Percent_DCF Summary pages_Jazztel model 16DP3-Exhibits_T_MOBIL2" xfId="7191" xr:uid="{00000000-0005-0000-0000-0000EB100000}"/>
    <cellStyle name="_Percent_DCF Summary pages_Jazztel model 16DP3-Exhibits_TDC-2Aug2001_UPD" xfId="7192" xr:uid="{00000000-0005-0000-0000-0000EC100000}"/>
    <cellStyle name="_Percent_DCF Summary pages_Jazztel model 18DP-exhibits" xfId="7193" xr:uid="{00000000-0005-0000-0000-0000ED100000}"/>
    <cellStyle name="_Percent_DCF Summary pages_TDC-2Aug2001" xfId="7194" xr:uid="{00000000-0005-0000-0000-0000EE100000}"/>
    <cellStyle name="_Percent_DCF Summary pages_TelenorAug01" xfId="7195" xr:uid="{00000000-0005-0000-0000-0000EF100000}"/>
    <cellStyle name="_Percent_FMBI MBHI Graphs" xfId="7531" xr:uid="{00000000-0005-0000-0000-0000F0100000}"/>
    <cellStyle name="_Percent_FMBI MBHI Graphs 07102001" xfId="7532" xr:uid="{00000000-0005-0000-0000-0000F1100000}"/>
    <cellStyle name="_Percent_FMBI MBHI Graphs_7601" xfId="7533" xr:uid="{00000000-0005-0000-0000-0000F2100000}"/>
    <cellStyle name="_Percent_Jazztel model 15-exhibits" xfId="7196" xr:uid="{00000000-0005-0000-0000-0000F3100000}"/>
    <cellStyle name="_Percent_Jazztel model 15-exhibits bis" xfId="7197" xr:uid="{00000000-0005-0000-0000-0000F4100000}"/>
    <cellStyle name="_Percent_Jazztel model 15-exhibits bis_Book2" xfId="7198" xr:uid="{00000000-0005-0000-0000-0000F5100000}"/>
    <cellStyle name="_Percent_Jazztel model 15-exhibits bis_T_MOBIL2" xfId="7199" xr:uid="{00000000-0005-0000-0000-0000F6100000}"/>
    <cellStyle name="_Percent_Jazztel model 15-exhibits bis_TDC-2Aug2001_UPD" xfId="7200" xr:uid="{00000000-0005-0000-0000-0000F7100000}"/>
    <cellStyle name="_Percent_Jazztel model 15-exhibits_Jazztel model 16DP3-Exhibits" xfId="7201" xr:uid="{00000000-0005-0000-0000-0000F8100000}"/>
    <cellStyle name="_Percent_Jazztel model 15-exhibits_Jazztel model 16DP3-Exhibits_Book2" xfId="7202" xr:uid="{00000000-0005-0000-0000-0000F9100000}"/>
    <cellStyle name="_Percent_Jazztel model 15-exhibits_Jazztel model 16DP3-Exhibits_T_MOBIL2" xfId="7203" xr:uid="{00000000-0005-0000-0000-0000FA100000}"/>
    <cellStyle name="_Percent_Jazztel model 15-exhibits_Jazztel model 16DP3-Exhibits_TDC-2Aug2001_UPD" xfId="7204" xr:uid="{00000000-0005-0000-0000-0000FB100000}"/>
    <cellStyle name="_Percent_Jazztel model 15-exhibits_Jazztel model 18DP-exhibits" xfId="7205" xr:uid="{00000000-0005-0000-0000-0000FC100000}"/>
    <cellStyle name="_Percent_Jazztel model 15-exhibits_TDC-2Aug2001" xfId="7206" xr:uid="{00000000-0005-0000-0000-0000FD100000}"/>
    <cellStyle name="_Percent_Jazztel model 15-exhibits_TelenorAug01" xfId="7207" xr:uid="{00000000-0005-0000-0000-0000FE100000}"/>
    <cellStyle name="_Percent_Jazztel model 15-exhibits-Friso2" xfId="7208" xr:uid="{00000000-0005-0000-0000-0000FF100000}"/>
    <cellStyle name="_Percent_Jazztel model 15-exhibits-Friso2_Jazztel model 16DP3-Exhibits" xfId="7209" xr:uid="{00000000-0005-0000-0000-000000110000}"/>
    <cellStyle name="_Percent_Jazztel model 15-exhibits-Friso2_Jazztel model 16DP3-Exhibits_Book2" xfId="7210" xr:uid="{00000000-0005-0000-0000-000001110000}"/>
    <cellStyle name="_Percent_Jazztel model 15-exhibits-Friso2_Jazztel model 16DP3-Exhibits_T_MOBIL2" xfId="7211" xr:uid="{00000000-0005-0000-0000-000002110000}"/>
    <cellStyle name="_Percent_Jazztel model 15-exhibits-Friso2_Jazztel model 16DP3-Exhibits_TDC-2Aug2001_UPD" xfId="7212" xr:uid="{00000000-0005-0000-0000-000003110000}"/>
    <cellStyle name="_Percent_Jazztel model 15-exhibits-Friso2_Jazztel model 18DP-exhibits" xfId="7213" xr:uid="{00000000-0005-0000-0000-000004110000}"/>
    <cellStyle name="_Percent_Jazztel model 15-exhibits-Friso2_TDC-2Aug2001" xfId="7214" xr:uid="{00000000-0005-0000-0000-000005110000}"/>
    <cellStyle name="_Percent_Jazztel model 15-exhibits-Friso2_TelenorAug01" xfId="7215" xr:uid="{00000000-0005-0000-0000-000006110000}"/>
    <cellStyle name="_Percent_Jazztel model 16DP2-Exhibits" xfId="7216" xr:uid="{00000000-0005-0000-0000-000007110000}"/>
    <cellStyle name="_Percent_Jazztel model 16DP3-Exhibits" xfId="7217" xr:uid="{00000000-0005-0000-0000-000008110000}"/>
    <cellStyle name="_Percent_Overseas" xfId="10899" xr:uid="{00000000-0005-0000-0000-000009110000}"/>
    <cellStyle name="_PercentSpace" xfId="7218" xr:uid="{00000000-0005-0000-0000-00000A110000}"/>
    <cellStyle name="_PercentSpace_01 adj for merger plan" xfId="7534" xr:uid="{00000000-0005-0000-0000-00000B110000}"/>
    <cellStyle name="_PercentSpace_Book1" xfId="7219" xr:uid="{00000000-0005-0000-0000-00000C110000}"/>
    <cellStyle name="_PercentSpace_Book1_Jazztel model 16DP3-Exhibits" xfId="7220" xr:uid="{00000000-0005-0000-0000-00000D110000}"/>
    <cellStyle name="_PercentSpace_Book1_Jazztel model 16DP3-Exhibits_T_MOBIL2" xfId="7221" xr:uid="{00000000-0005-0000-0000-00000E110000}"/>
    <cellStyle name="_PercentSpace_Book1_Jazztel model 16DP3-Exhibits_T_MOBIL2_Book2" xfId="7222" xr:uid="{00000000-0005-0000-0000-00000F110000}"/>
    <cellStyle name="_PercentSpace_Book1_Jazztel model 16DP3-Exhibits_T_MOBIL2_TDC-2Aug2001_UPD" xfId="7223" xr:uid="{00000000-0005-0000-0000-000010110000}"/>
    <cellStyle name="_PercentSpace_Book1_Jazztel model 18DP-exhibits" xfId="7224" xr:uid="{00000000-0005-0000-0000-000011110000}"/>
    <cellStyle name="_PercentSpace_Book11" xfId="7225" xr:uid="{00000000-0005-0000-0000-000012110000}"/>
    <cellStyle name="_PercentSpace_Book11_Jazztel model 16DP3-Exhibits" xfId="7226" xr:uid="{00000000-0005-0000-0000-000013110000}"/>
    <cellStyle name="_PercentSpace_Book11_Jazztel model 16DP3-Exhibits_T_MOBIL2" xfId="7227" xr:uid="{00000000-0005-0000-0000-000014110000}"/>
    <cellStyle name="_PercentSpace_Book11_Jazztel model 16DP3-Exhibits_T_MOBIL2_Book2" xfId="7228" xr:uid="{00000000-0005-0000-0000-000015110000}"/>
    <cellStyle name="_PercentSpace_Book11_Jazztel model 16DP3-Exhibits_T_MOBIL2_TDC-2Aug2001_UPD" xfId="7229" xr:uid="{00000000-0005-0000-0000-000016110000}"/>
    <cellStyle name="_PercentSpace_Book11_Jazztel model 18DP-exhibits" xfId="7230" xr:uid="{00000000-0005-0000-0000-000017110000}"/>
    <cellStyle name="_PercentSpace_Book12" xfId="7231" xr:uid="{00000000-0005-0000-0000-000018110000}"/>
    <cellStyle name="_PercentSpace_Book12_Jazztel model 16DP3-Exhibits" xfId="7232" xr:uid="{00000000-0005-0000-0000-000019110000}"/>
    <cellStyle name="_PercentSpace_Book12_Jazztel model 16DP3-Exhibits_T_MOBIL2" xfId="7233" xr:uid="{00000000-0005-0000-0000-00001A110000}"/>
    <cellStyle name="_PercentSpace_Book12_Jazztel model 16DP3-Exhibits_T_MOBIL2_Book2" xfId="7234" xr:uid="{00000000-0005-0000-0000-00001B110000}"/>
    <cellStyle name="_PercentSpace_Book12_Jazztel model 16DP3-Exhibits_T_MOBIL2_TDC-2Aug2001_UPD" xfId="7235" xr:uid="{00000000-0005-0000-0000-00001C110000}"/>
    <cellStyle name="_PercentSpace_Book12_Jazztel model 18DP-exhibits" xfId="7236" xr:uid="{00000000-0005-0000-0000-00001D110000}"/>
    <cellStyle name="_PercentSpace_DCF Alexander Forbes" xfId="7535" xr:uid="{00000000-0005-0000-0000-00001E110000}"/>
    <cellStyle name="_PercentSpace_DCF Summary pages" xfId="7237" xr:uid="{00000000-0005-0000-0000-00001F110000}"/>
    <cellStyle name="_PercentSpace_DCF Summary pages_Jazztel model 16DP3-Exhibits" xfId="7238" xr:uid="{00000000-0005-0000-0000-000020110000}"/>
    <cellStyle name="_PercentSpace_DCF Summary pages_Jazztel model 16DP3-Exhibits_T_MOBIL2" xfId="7239" xr:uid="{00000000-0005-0000-0000-000021110000}"/>
    <cellStyle name="_PercentSpace_DCF Summary pages_Jazztel model 16DP3-Exhibits_T_MOBIL2_Book2" xfId="7240" xr:uid="{00000000-0005-0000-0000-000022110000}"/>
    <cellStyle name="_PercentSpace_DCF Summary pages_Jazztel model 16DP3-Exhibits_T_MOBIL2_TDC-2Aug2001_UPD" xfId="7241" xr:uid="{00000000-0005-0000-0000-000023110000}"/>
    <cellStyle name="_PercentSpace_DCF Summary pages_Jazztel model 18DP-exhibits" xfId="7242" xr:uid="{00000000-0005-0000-0000-000024110000}"/>
    <cellStyle name="_PercentSpace_FMBI MBHI Graphs" xfId="7536" xr:uid="{00000000-0005-0000-0000-000025110000}"/>
    <cellStyle name="_PercentSpace_FMBI MBHI Graphs 07102001" xfId="7537" xr:uid="{00000000-0005-0000-0000-000026110000}"/>
    <cellStyle name="_PercentSpace_FMBI MBHI Graphs_7601" xfId="7538" xr:uid="{00000000-0005-0000-0000-000027110000}"/>
    <cellStyle name="_PercentSpace_Jazztel model 15-exhibits" xfId="7243" xr:uid="{00000000-0005-0000-0000-000028110000}"/>
    <cellStyle name="_PercentSpace_Jazztel model 15-exhibits bis" xfId="7244" xr:uid="{00000000-0005-0000-0000-000029110000}"/>
    <cellStyle name="_PercentSpace_Jazztel model 15-exhibits bis_T_MOBIL2" xfId="7245" xr:uid="{00000000-0005-0000-0000-00002A110000}"/>
    <cellStyle name="_PercentSpace_Jazztel model 15-exhibits bis_T_MOBIL2_Book2" xfId="7246" xr:uid="{00000000-0005-0000-0000-00002B110000}"/>
    <cellStyle name="_PercentSpace_Jazztel model 15-exhibits bis_T_MOBIL2_TDC-2Aug2001_UPD" xfId="7247" xr:uid="{00000000-0005-0000-0000-00002C110000}"/>
    <cellStyle name="_PercentSpace_Jazztel model 15-exhibits_Jazztel model 16DP3-Exhibits" xfId="7248" xr:uid="{00000000-0005-0000-0000-00002D110000}"/>
    <cellStyle name="_PercentSpace_Jazztel model 15-exhibits_Jazztel model 16DP3-Exhibits_T_MOBIL2" xfId="7249" xr:uid="{00000000-0005-0000-0000-00002E110000}"/>
    <cellStyle name="_PercentSpace_Jazztel model 15-exhibits_Jazztel model 16DP3-Exhibits_T_MOBIL2_Book2" xfId="7250" xr:uid="{00000000-0005-0000-0000-00002F110000}"/>
    <cellStyle name="_PercentSpace_Jazztel model 15-exhibits_Jazztel model 16DP3-Exhibits_T_MOBIL2_TDC-2Aug2001_UPD" xfId="7251" xr:uid="{00000000-0005-0000-0000-000030110000}"/>
    <cellStyle name="_PercentSpace_Jazztel model 15-exhibits_Jazztel model 18DP-exhibits" xfId="7252" xr:uid="{00000000-0005-0000-0000-000031110000}"/>
    <cellStyle name="_PercentSpace_Jazztel model 15-exhibits-Friso2" xfId="7253" xr:uid="{00000000-0005-0000-0000-000032110000}"/>
    <cellStyle name="_PercentSpace_Jazztel model 15-exhibits-Friso2_Jazztel model 16DP3-Exhibits" xfId="7254" xr:uid="{00000000-0005-0000-0000-000033110000}"/>
    <cellStyle name="_PercentSpace_Jazztel model 15-exhibits-Friso2_Jazztel model 16DP3-Exhibits_T_MOBIL2" xfId="7255" xr:uid="{00000000-0005-0000-0000-000034110000}"/>
    <cellStyle name="_PercentSpace_Jazztel model 15-exhibits-Friso2_Jazztel model 16DP3-Exhibits_T_MOBIL2_Book2" xfId="7256" xr:uid="{00000000-0005-0000-0000-000035110000}"/>
    <cellStyle name="_PercentSpace_Jazztel model 15-exhibits-Friso2_Jazztel model 16DP3-Exhibits_T_MOBIL2_TDC-2Aug2001_UPD" xfId="7257" xr:uid="{00000000-0005-0000-0000-000036110000}"/>
    <cellStyle name="_PercentSpace_Jazztel model 15-exhibits-Friso2_Jazztel model 18DP-exhibits" xfId="7258" xr:uid="{00000000-0005-0000-0000-000037110000}"/>
    <cellStyle name="_PercentSpace_Jazztel model 16DP2-Exhibits" xfId="7259" xr:uid="{00000000-0005-0000-0000-000038110000}"/>
    <cellStyle name="_PercentSpace_Jazztel model 16DP3-Exhibits" xfId="7260" xr:uid="{00000000-0005-0000-0000-000039110000}"/>
    <cellStyle name="_PercentSpace_Overseas" xfId="10900" xr:uid="{00000000-0005-0000-0000-00003A110000}"/>
    <cellStyle name="_PetroChina Master" xfId="5702" xr:uid="{00000000-0005-0000-0000-00003B110000}"/>
    <cellStyle name="—_PetroChina Master" xfId="5703" xr:uid="{00000000-0005-0000-0000-00003C110000}"/>
    <cellStyle name="_PetroChina Master_WIP(20-F update)" xfId="5704" xr:uid="{00000000-0005-0000-0000-00003D110000}"/>
    <cellStyle name="—_PetroChina Master_WIP(20-F update)" xfId="5705" xr:uid="{00000000-0005-0000-0000-00003E110000}"/>
    <cellStyle name="_PetroChina Master_WIP(20-F update)_Cashflow" xfId="5706" xr:uid="{00000000-0005-0000-0000-00003F110000}"/>
    <cellStyle name="—_PetroChina Master_WIP(20-F update)_Cashflow" xfId="5707" xr:uid="{00000000-0005-0000-0000-000040110000}"/>
    <cellStyle name="_PetroChina Master_WIP(20-F update)_Cashflow_Honghua MSTR" xfId="5708" xr:uid="{00000000-0005-0000-0000-000041110000}"/>
    <cellStyle name="—_PetroChina Master_WIP(20-F update)_Cashflow_Honghua MSTR" xfId="5709" xr:uid="{00000000-0005-0000-0000-000042110000}"/>
    <cellStyle name="_PetroChina Master_WIP(20-F update)_P&amp;L" xfId="5710" xr:uid="{00000000-0005-0000-0000-000043110000}"/>
    <cellStyle name="—_PetroChina Master_WIP(20-F update)_P&amp;L" xfId="5711" xr:uid="{00000000-0005-0000-0000-000044110000}"/>
    <cellStyle name="_PetroChina Master_WIP(20-F update)_P&amp;L_Honghua MSTR" xfId="5712" xr:uid="{00000000-0005-0000-0000-000045110000}"/>
    <cellStyle name="—_PetroChina Master_WIP(20-F update)_P&amp;L_Honghua MSTR" xfId="5713" xr:uid="{00000000-0005-0000-0000-000046110000}"/>
    <cellStyle name="_PetroChina Master_WIP(20-F update)_Sinopec MSTR" xfId="5714" xr:uid="{00000000-0005-0000-0000-000047110000}"/>
    <cellStyle name="—_PetroChina Master_WIP(20-F update)_Sinopec MSTR" xfId="5715" xr:uid="{00000000-0005-0000-0000-000048110000}"/>
    <cellStyle name="_PetroChina Master_WIP(20-F update)_Sinopec MSTR Wip" xfId="5716" xr:uid="{00000000-0005-0000-0000-000049110000}"/>
    <cellStyle name="—_PetroChina Master_WIP(20-F update)_Sinopec MSTR Wip" xfId="5717" xr:uid="{00000000-0005-0000-0000-00004A110000}"/>
    <cellStyle name="_PetroChina Master_WIP(20-F update)_Sinopec MSTR_WIP_KK" xfId="5718" xr:uid="{00000000-0005-0000-0000-00004B110000}"/>
    <cellStyle name="—_PetroChina Master_WIP(20-F update)_Sinopec MSTR_WIP_KK" xfId="5719" xr:uid="{00000000-0005-0000-0000-00004C110000}"/>
    <cellStyle name="—_price chart1" xfId="3983" xr:uid="{00000000-0005-0000-0000-00004D110000}"/>
    <cellStyle name="—_price chart1_new-Sub" xfId="3984" xr:uid="{00000000-0005-0000-0000-00004E110000}"/>
    <cellStyle name="—_Profit" xfId="5720" xr:uid="{00000000-0005-0000-0000-00004F110000}"/>
    <cellStyle name="—_PTTEP MASTER" xfId="5721" xr:uid="{00000000-0005-0000-0000-000050110000}"/>
    <cellStyle name="—_PTTEP MASTER WIP" xfId="5722" xr:uid="{00000000-0005-0000-0000-000051110000}"/>
    <cellStyle name="—_PTTEP MASTER WIP_Beta" xfId="5723" xr:uid="{00000000-0005-0000-0000-000052110000}"/>
    <cellStyle name="—_PTTEP MASTER WIP_PetroChina Master_WIP(20-F update)" xfId="5724" xr:uid="{00000000-0005-0000-0000-000053110000}"/>
    <cellStyle name="—_PTTEP MASTER WIP_PetroChina Master_WIP(20-F update)_Cashflow" xfId="5725" xr:uid="{00000000-0005-0000-0000-000054110000}"/>
    <cellStyle name="—_PTTEP MASTER WIP_PetroChina Master_WIP(20-F update)_P&amp;L" xfId="5726" xr:uid="{00000000-0005-0000-0000-000055110000}"/>
    <cellStyle name="—_PTTEP MASTER WIP_Sinopec MSTR" xfId="5727" xr:uid="{00000000-0005-0000-0000-000056110000}"/>
    <cellStyle name="—_PTTEP MASTER WIP_Sinopec MSTR Wip" xfId="5728" xr:uid="{00000000-0005-0000-0000-000057110000}"/>
    <cellStyle name="—_PTTEP MASTER WIP_Sinopec MSTR_WIP_KK" xfId="5729" xr:uid="{00000000-0005-0000-0000-000058110000}"/>
    <cellStyle name="—_PTTEP MASTER WIP_Sinopec MSTR-WIP_20F update" xfId="5730" xr:uid="{00000000-0005-0000-0000-000059110000}"/>
    <cellStyle name="—_PTTEP MASTER_PV-10" xfId="5731" xr:uid="{00000000-0005-0000-0000-00005A110000}"/>
    <cellStyle name="—_PTTEP MASTER_PV-10_PetroChina Master_WIP(20-F update)" xfId="5732" xr:uid="{00000000-0005-0000-0000-00005B110000}"/>
    <cellStyle name="—_PTTEP MASTER_PV-10_PetroChina Master_WIP(20-F update)_Cashflow" xfId="5733" xr:uid="{00000000-0005-0000-0000-00005C110000}"/>
    <cellStyle name="—_PTTEP MASTER_PV-10_PetroChina Master_WIP(20-F update)_P&amp;L" xfId="5734" xr:uid="{00000000-0005-0000-0000-00005D110000}"/>
    <cellStyle name="—_PTTEP MASTER_PV-10_Sinopec MSTR" xfId="5735" xr:uid="{00000000-0005-0000-0000-00005E110000}"/>
    <cellStyle name="—_PTTEP MASTER_PV-10_Sinopec MSTR Wip" xfId="5736" xr:uid="{00000000-0005-0000-0000-00005F110000}"/>
    <cellStyle name="—_PTTEP MASTER_PV-10_Sinopec MSTR_WIP_KK" xfId="5737" xr:uid="{00000000-0005-0000-0000-000060110000}"/>
    <cellStyle name="—_PTTEP MASTER_PV-10_Sinopec MSTR-WIP_20F update" xfId="5738" xr:uid="{00000000-0005-0000-0000-000061110000}"/>
    <cellStyle name="—_PTTEP NAV 2003 wip" xfId="5739" xr:uid="{00000000-0005-0000-0000-000062110000}"/>
    <cellStyle name="—_PTTEP NAV 2003 wip_Beta" xfId="5740" xr:uid="{00000000-0005-0000-0000-000063110000}"/>
    <cellStyle name="—_PTTEP NAV 2003 wip_PetroChina Master_WIP(20-F update)" xfId="5741" xr:uid="{00000000-0005-0000-0000-000064110000}"/>
    <cellStyle name="—_PTTEP NAV 2003 wip_PetroChina Master_WIP(20-F update)_Cashflow" xfId="5742" xr:uid="{00000000-0005-0000-0000-000065110000}"/>
    <cellStyle name="—_PTTEP NAV 2003 wip_PetroChina Master_WIP(20-F update)_Cashflow_Honghua MSTR" xfId="5743" xr:uid="{00000000-0005-0000-0000-000066110000}"/>
    <cellStyle name="—_PTTEP NAV 2003 wip_PetroChina Master_WIP(20-F update)_P&amp;L" xfId="5744" xr:uid="{00000000-0005-0000-0000-000067110000}"/>
    <cellStyle name="—_PTTEP NAV 2003 wip_PetroChina Master_WIP(20-F update)_P&amp;L_Honghua MSTR" xfId="5745" xr:uid="{00000000-0005-0000-0000-000068110000}"/>
    <cellStyle name="—_PTTEP NAV 2003 wip_PetroChina Master_WIP(20-F update)_Sinopec MSTR" xfId="5746" xr:uid="{00000000-0005-0000-0000-000069110000}"/>
    <cellStyle name="—_PTTEP NAV 2003 wip_PetroChina Master_WIP(20-F update)_Sinopec MSTR Wip" xfId="5747" xr:uid="{00000000-0005-0000-0000-00006A110000}"/>
    <cellStyle name="—_PTTEP NAV 2003 wip_PetroChina Master_WIP(20-F update)_Sinopec MSTR_WIP_KK" xfId="5748" xr:uid="{00000000-0005-0000-0000-00006B110000}"/>
    <cellStyle name="_QP_0883.HK" xfId="5749" xr:uid="{00000000-0005-0000-0000-00006C110000}"/>
    <cellStyle name="_QP_2408.TW" xfId="10901" xr:uid="{00000000-0005-0000-0000-00006D110000}"/>
    <cellStyle name="_QP_5387.TW" xfId="10902" xr:uid="{00000000-0005-0000-0000-00006E110000}"/>
    <cellStyle name="—_qrtly" xfId="5750" xr:uid="{00000000-0005-0000-0000-00006F110000}"/>
    <cellStyle name="—_qrtly_Beta" xfId="5751" xr:uid="{00000000-0005-0000-0000-000070110000}"/>
    <cellStyle name="—_qrtly_Cashflow" xfId="5752" xr:uid="{00000000-0005-0000-0000-000071110000}"/>
    <cellStyle name="—_qrtly_Cashflow_Honghua MSTR" xfId="5753" xr:uid="{00000000-0005-0000-0000-000072110000}"/>
    <cellStyle name="—_qrtly_P&amp;L" xfId="5754" xr:uid="{00000000-0005-0000-0000-000073110000}"/>
    <cellStyle name="—_qrtly_P&amp;L_Honghua MSTR" xfId="5755" xr:uid="{00000000-0005-0000-0000-000074110000}"/>
    <cellStyle name="—_qrtly_PetroChina Master" xfId="5756" xr:uid="{00000000-0005-0000-0000-000075110000}"/>
    <cellStyle name="—_qrtly_PetroChina Master_WIP(20-F update)" xfId="5757" xr:uid="{00000000-0005-0000-0000-000076110000}"/>
    <cellStyle name="—_qrtly_PetroChina Master_WIP(20-F update)_Cashflow" xfId="5758" xr:uid="{00000000-0005-0000-0000-000077110000}"/>
    <cellStyle name="—_qrtly_PetroChina Master_WIP(20-F update)_Cashflow_Honghua MSTR" xfId="5759" xr:uid="{00000000-0005-0000-0000-000078110000}"/>
    <cellStyle name="—_qrtly_PetroChina Master_WIP(20-F update)_P&amp;L" xfId="5760" xr:uid="{00000000-0005-0000-0000-000079110000}"/>
    <cellStyle name="—_qrtly_PetroChina Master_WIP(20-F update)_P&amp;L_Honghua MSTR" xfId="5761" xr:uid="{00000000-0005-0000-0000-00007A110000}"/>
    <cellStyle name="—_qrtly_PetroChina Master_WIP(20-F update)_Sinopec MSTR" xfId="5762" xr:uid="{00000000-0005-0000-0000-00007B110000}"/>
    <cellStyle name="—_qrtly_PetroChina Master_WIP(20-F update)_Sinopec MSTR Wip" xfId="5763" xr:uid="{00000000-0005-0000-0000-00007C110000}"/>
    <cellStyle name="—_qrtly_PetroChina Master_WIP(20-F update)_Sinopec MSTR_WIP_KK" xfId="5764" xr:uid="{00000000-0005-0000-0000-00007D110000}"/>
    <cellStyle name="—_qrtly_Sinopec MSTR" xfId="5765" xr:uid="{00000000-0005-0000-0000-00007E110000}"/>
    <cellStyle name="—_qrtly_Sinopec MSTR Wip" xfId="5766" xr:uid="{00000000-0005-0000-0000-00007F110000}"/>
    <cellStyle name="—_qrtly_Sinopec MSTR_WIP_KK" xfId="5767" xr:uid="{00000000-0005-0000-0000-000080110000}"/>
    <cellStyle name="—_qrtly_Sinopec MSTR-WIP_20F update" xfId="5768" xr:uid="{00000000-0005-0000-0000-000081110000}"/>
    <cellStyle name="_Ratios" xfId="5769" xr:uid="{00000000-0005-0000-0000-000082110000}"/>
    <cellStyle name="_Raw Data" xfId="5770" xr:uid="{00000000-0005-0000-0000-000083110000}"/>
    <cellStyle name="_Raw Data_1" xfId="5771" xr:uid="{00000000-0005-0000-0000-000084110000}"/>
    <cellStyle name="—_report1198tables" xfId="3985" xr:uid="{00000000-0005-0000-0000-000085110000}"/>
    <cellStyle name="—_report1198tables 2" xfId="5772" xr:uid="{00000000-0005-0000-0000-000086110000}"/>
    <cellStyle name="—_report1198tables_20070309_Fidelity_Vigyan Rao_EJ_NPV cal for chinese oil and PTTEP" xfId="5773" xr:uid="{00000000-0005-0000-0000-000087110000}"/>
    <cellStyle name="—_report1198tables_20070309_Fidelity_Vigyan Rao_EJ_NPV cal for chinese oil and PTTEP_PetroChina Master_WIP(20-F update)" xfId="5774" xr:uid="{00000000-0005-0000-0000-000088110000}"/>
    <cellStyle name="—_report1198tables_20070309_Fidelity_Vigyan Rao_EJ_NPV cal for chinese oil and PTTEP_PetroChina Master_WIP(20-F update)_Cashflow" xfId="5775" xr:uid="{00000000-0005-0000-0000-000089110000}"/>
    <cellStyle name="—_report1198tables_20070309_Fidelity_Vigyan Rao_EJ_NPV cal for chinese oil and PTTEP_PetroChina Master_WIP(20-F update)_Cashflow_Honghua MSTR" xfId="5776" xr:uid="{00000000-0005-0000-0000-00008A110000}"/>
    <cellStyle name="—_report1198tables_20070309_Fidelity_Vigyan Rao_EJ_NPV cal for chinese oil and PTTEP_PetroChina Master_WIP(20-F update)_P&amp;L" xfId="5777" xr:uid="{00000000-0005-0000-0000-00008B110000}"/>
    <cellStyle name="—_report1198tables_20070309_Fidelity_Vigyan Rao_EJ_NPV cal for chinese oil and PTTEP_PetroChina Master_WIP(20-F update)_P&amp;L_Honghua MSTR" xfId="5778" xr:uid="{00000000-0005-0000-0000-00008C110000}"/>
    <cellStyle name="—_report1198tables_20070309_Fidelity_Vigyan Rao_EJ_NPV cal for chinese oil and PTTEP_PetroChina Master_WIP(20-F update)_Sinopec MSTR" xfId="5779" xr:uid="{00000000-0005-0000-0000-00008D110000}"/>
    <cellStyle name="—_report1198tables_20070309_Fidelity_Vigyan Rao_EJ_NPV cal for chinese oil and PTTEP_PetroChina Master_WIP(20-F update)_Sinopec MSTR Wip" xfId="5780" xr:uid="{00000000-0005-0000-0000-00008E110000}"/>
    <cellStyle name="—_report1198tables_20070309_Fidelity_Vigyan Rao_EJ_NPV cal for chinese oil and PTTEP_PetroChina Master_WIP(20-F update)_Sinopec MSTR_WIP_KK" xfId="5781" xr:uid="{00000000-0005-0000-0000-00008F110000}"/>
    <cellStyle name="—_report1198tables_anne" xfId="3986" xr:uid="{00000000-0005-0000-0000-000090110000}"/>
    <cellStyle name="—_report1198tables_anne 2" xfId="5782" xr:uid="{00000000-0005-0000-0000-000091110000}"/>
    <cellStyle name="—_report1198tables_anne_Beta" xfId="5783" xr:uid="{00000000-0005-0000-0000-000092110000}"/>
    <cellStyle name="—_report1198tables_anne_Book7" xfId="3987" xr:uid="{00000000-0005-0000-0000-000093110000}"/>
    <cellStyle name="—_report1198tables_anne_Book7_new-Sub" xfId="3988" xr:uid="{00000000-0005-0000-0000-000094110000}"/>
    <cellStyle name="—_report1198tables_anne_Cashflow" xfId="5784" xr:uid="{00000000-0005-0000-0000-000095110000}"/>
    <cellStyle name="—_report1198tables_anne_Cashflow_Honghua MSTR" xfId="5785" xr:uid="{00000000-0005-0000-0000-000096110000}"/>
    <cellStyle name="—_report1198tables_anne_DoCoMo table 10July2000" xfId="3989" xr:uid="{00000000-0005-0000-0000-000097110000}"/>
    <cellStyle name="—_report1198tables_anne_earnings" xfId="3990" xr:uid="{00000000-0005-0000-0000-000098110000}"/>
    <cellStyle name="—_report1198tables_anne_earnings_new-Sub" xfId="3991" xr:uid="{00000000-0005-0000-0000-000099110000}"/>
    <cellStyle name="—_report1198tables_anne_EM_FETone_new" xfId="3992" xr:uid="{00000000-0005-0000-0000-00009A110000}"/>
    <cellStyle name="—_report1198tables_anne_EM_FETone_new_new-Sub" xfId="3993" xr:uid="{00000000-0005-0000-0000-00009B110000}"/>
    <cellStyle name="—_report1198tables_anne_EM_TCC_new" xfId="3994" xr:uid="{00000000-0005-0000-0000-00009C110000}"/>
    <cellStyle name="—_report1198tables_anne_EM_TCC_new_new-Sub" xfId="3995" xr:uid="{00000000-0005-0000-0000-00009D110000}"/>
    <cellStyle name="—_report1198tables_anne_honam -Quantum 220704" xfId="5786" xr:uid="{00000000-0005-0000-0000-00009E110000}"/>
    <cellStyle name="—_report1198tables_anne_Kelvin_SKT_dividend_Mar10_2003" xfId="5787" xr:uid="{00000000-0005-0000-0000-00009F110000}"/>
    <cellStyle name="—_report1198tables_anne_Kelvin_SKT_dividend_Mar10_2003_Beta" xfId="5788" xr:uid="{00000000-0005-0000-0000-0000A0110000}"/>
    <cellStyle name="—_report1198tables_anne_Kelvin_SKT_dividend_Mar10_2003_Cashflow" xfId="5789" xr:uid="{00000000-0005-0000-0000-0000A1110000}"/>
    <cellStyle name="—_report1198tables_anne_Kelvin_SKT_dividend_Mar10_2003_Cashflow_Honghua MSTR" xfId="5790" xr:uid="{00000000-0005-0000-0000-0000A2110000}"/>
    <cellStyle name="—_report1198tables_anne_Kelvin_SKT_dividend_Mar10_2003_P&amp;L" xfId="5791" xr:uid="{00000000-0005-0000-0000-0000A3110000}"/>
    <cellStyle name="—_report1198tables_anne_Kelvin_SKT_dividend_Mar10_2003_P&amp;L_Honghua MSTR" xfId="5792" xr:uid="{00000000-0005-0000-0000-0000A4110000}"/>
    <cellStyle name="—_report1198tables_anne_Kelvin_SKT_dividend_Mar10_2003_PetroChina Master" xfId="5793" xr:uid="{00000000-0005-0000-0000-0000A5110000}"/>
    <cellStyle name="—_report1198tables_anne_Kelvin_SKT_dividend_Mar10_2003_PetroChina Master_WIP(20-F update)" xfId="5794" xr:uid="{00000000-0005-0000-0000-0000A6110000}"/>
    <cellStyle name="—_report1198tables_anne_Kelvin_SKT_dividend_Mar10_2003_PetroChina Master_WIP(20-F update)_Cashflow" xfId="5795" xr:uid="{00000000-0005-0000-0000-0000A7110000}"/>
    <cellStyle name="—_report1198tables_anne_Kelvin_SKT_dividend_Mar10_2003_PetroChina Master_WIP(20-F update)_Cashflow_Honghua MSTR" xfId="5796" xr:uid="{00000000-0005-0000-0000-0000A8110000}"/>
    <cellStyle name="—_report1198tables_anne_Kelvin_SKT_dividend_Mar10_2003_PetroChina Master_WIP(20-F update)_P&amp;L" xfId="5797" xr:uid="{00000000-0005-0000-0000-0000A9110000}"/>
    <cellStyle name="—_report1198tables_anne_Kelvin_SKT_dividend_Mar10_2003_PetroChina Master_WIP(20-F update)_P&amp;L_Honghua MSTR" xfId="5798" xr:uid="{00000000-0005-0000-0000-0000AA110000}"/>
    <cellStyle name="—_report1198tables_anne_Kelvin_SKT_dividend_Mar10_2003_PetroChina Master_WIP(20-F update)_Sinopec MSTR" xfId="5799" xr:uid="{00000000-0005-0000-0000-0000AB110000}"/>
    <cellStyle name="—_report1198tables_anne_Kelvin_SKT_dividend_Mar10_2003_PetroChina Master_WIP(20-F update)_Sinopec MSTR Wip" xfId="5800" xr:uid="{00000000-0005-0000-0000-0000AC110000}"/>
    <cellStyle name="—_report1198tables_anne_Kelvin_SKT_dividend_Mar10_2003_PetroChina Master_WIP(20-F update)_Sinopec MSTR_WIP_KK" xfId="5801" xr:uid="{00000000-0005-0000-0000-0000AD110000}"/>
    <cellStyle name="—_report1198tables_anne_Kelvin_SKT_dividend_Mar10_2003_Sinopec MSTR" xfId="5802" xr:uid="{00000000-0005-0000-0000-0000AE110000}"/>
    <cellStyle name="—_report1198tables_anne_new-Sub" xfId="3996" xr:uid="{00000000-0005-0000-0000-0000AF110000}"/>
    <cellStyle name="—_report1198tables_anne_operating stats comp" xfId="3997" xr:uid="{00000000-0005-0000-0000-0000B0110000}"/>
    <cellStyle name="—_report1198tables_anne_operating stats comp_new-Sub" xfId="3998" xr:uid="{00000000-0005-0000-0000-0000B1110000}"/>
    <cellStyle name="—_report1198tables_anne_P&amp;L" xfId="5803" xr:uid="{00000000-0005-0000-0000-0000B2110000}"/>
    <cellStyle name="—_report1198tables_anne_P&amp;L_Honghua MSTR" xfId="5804" xr:uid="{00000000-0005-0000-0000-0000B3110000}"/>
    <cellStyle name="—_report1198tables_anne_PetroChina Master" xfId="5805" xr:uid="{00000000-0005-0000-0000-0000B4110000}"/>
    <cellStyle name="—_report1198tables_anne_PetroChina Master_WIP(20-F update)" xfId="5806" xr:uid="{00000000-0005-0000-0000-0000B5110000}"/>
    <cellStyle name="—_report1198tables_anne_PetroChina Master_WIP(20-F update)_Cashflow" xfId="5807" xr:uid="{00000000-0005-0000-0000-0000B6110000}"/>
    <cellStyle name="—_report1198tables_anne_PetroChina Master_WIP(20-F update)_Cashflow_Honghua MSTR" xfId="5808" xr:uid="{00000000-0005-0000-0000-0000B7110000}"/>
    <cellStyle name="—_report1198tables_anne_PetroChina Master_WIP(20-F update)_P&amp;L" xfId="5809" xr:uid="{00000000-0005-0000-0000-0000B8110000}"/>
    <cellStyle name="—_report1198tables_anne_PetroChina Master_WIP(20-F update)_P&amp;L_Honghua MSTR" xfId="5810" xr:uid="{00000000-0005-0000-0000-0000B9110000}"/>
    <cellStyle name="—_report1198tables_anne_PetroChina Master_WIP(20-F update)_Sinopec MSTR" xfId="5811" xr:uid="{00000000-0005-0000-0000-0000BA110000}"/>
    <cellStyle name="—_report1198tables_anne_PetroChina Master_WIP(20-F update)_Sinopec MSTR Wip" xfId="5812" xr:uid="{00000000-0005-0000-0000-0000BB110000}"/>
    <cellStyle name="—_report1198tables_anne_PetroChina Master_WIP(20-F update)_Sinopec MSTR_WIP_KK" xfId="5813" xr:uid="{00000000-0005-0000-0000-0000BC110000}"/>
    <cellStyle name="—_report1198tables_anne_Sinopec MSTR" xfId="5814" xr:uid="{00000000-0005-0000-0000-0000BD110000}"/>
    <cellStyle name="—_report1198tables_anne_SK COrp - Quantum 290704" xfId="5815" xr:uid="{00000000-0005-0000-0000-0000BE110000}"/>
    <cellStyle name="—_report1198tables_anne_S-Oil-Quantum 260704" xfId="5816" xr:uid="{00000000-0005-0000-0000-0000BF110000}"/>
    <cellStyle name="—_report1198tables_anne_S-Oil-Quantum 260704_Beta" xfId="5817" xr:uid="{00000000-0005-0000-0000-0000C0110000}"/>
    <cellStyle name="—_report1198tables_anne_S-Oil-Quantum 260704_Cashflow" xfId="5818" xr:uid="{00000000-0005-0000-0000-0000C1110000}"/>
    <cellStyle name="—_report1198tables_anne_S-Oil-Quantum 260704_Cashflow_Honghua MSTR" xfId="5819" xr:uid="{00000000-0005-0000-0000-0000C2110000}"/>
    <cellStyle name="—_report1198tables_anne_S-Oil-Quantum 260704_P&amp;L" xfId="5820" xr:uid="{00000000-0005-0000-0000-0000C3110000}"/>
    <cellStyle name="—_report1198tables_anne_S-Oil-Quantum 260704_P&amp;L_Honghua MSTR" xfId="5821" xr:uid="{00000000-0005-0000-0000-0000C4110000}"/>
    <cellStyle name="—_report1198tables_anne_S-Oil-Quantum 260704_PetroChina Master" xfId="5822" xr:uid="{00000000-0005-0000-0000-0000C5110000}"/>
    <cellStyle name="—_report1198tables_anne_S-Oil-Quantum 260704_PetroChina Master_WIP(20-F update)" xfId="5823" xr:uid="{00000000-0005-0000-0000-0000C6110000}"/>
    <cellStyle name="—_report1198tables_anne_S-Oil-Quantum 260704_PetroChina Master_WIP(20-F update)_Cashflow" xfId="5824" xr:uid="{00000000-0005-0000-0000-0000C7110000}"/>
    <cellStyle name="—_report1198tables_anne_S-Oil-Quantum 260704_PetroChina Master_WIP(20-F update)_Cashflow_Honghua MSTR" xfId="5825" xr:uid="{00000000-0005-0000-0000-0000C8110000}"/>
    <cellStyle name="—_report1198tables_anne_S-Oil-Quantum 260704_PetroChina Master_WIP(20-F update)_P&amp;L" xfId="5826" xr:uid="{00000000-0005-0000-0000-0000C9110000}"/>
    <cellStyle name="—_report1198tables_anne_S-Oil-Quantum 260704_PetroChina Master_WIP(20-F update)_P&amp;L_Honghua MSTR" xfId="5827" xr:uid="{00000000-0005-0000-0000-0000CA110000}"/>
    <cellStyle name="—_report1198tables_anne_S-Oil-Quantum 260704_PetroChina Master_WIP(20-F update)_Sinopec MSTR" xfId="5828" xr:uid="{00000000-0005-0000-0000-0000CB110000}"/>
    <cellStyle name="—_report1198tables_anne_S-Oil-Quantum 260704_PetroChina Master_WIP(20-F update)_Sinopec MSTR Wip" xfId="5829" xr:uid="{00000000-0005-0000-0000-0000CC110000}"/>
    <cellStyle name="—_report1198tables_anne_S-Oil-Quantum 260704_PetroChina Master_WIP(20-F update)_Sinopec MSTR_WIP_KK" xfId="5830" xr:uid="{00000000-0005-0000-0000-0000CD110000}"/>
    <cellStyle name="—_report1198tables_anne_S-Oil-Quantum 260704_Sinopec MSTR" xfId="5831" xr:uid="{00000000-0005-0000-0000-0000CE110000}"/>
    <cellStyle name="—_report1198tables_anne_Strategy_data_update" xfId="3999" xr:uid="{00000000-0005-0000-0000-0000CF110000}"/>
    <cellStyle name="—_report1198tables_anne_Strategy_data_update_new-Sub" xfId="4000" xr:uid="{00000000-0005-0000-0000-0000D0110000}"/>
    <cellStyle name="—_report1198tables_Beta" xfId="5832" xr:uid="{00000000-0005-0000-0000-0000D1110000}"/>
    <cellStyle name="—_report1198tables_Book1" xfId="5833" xr:uid="{00000000-0005-0000-0000-0000D2110000}"/>
    <cellStyle name="—_report1198tables_Book1_Cashflow" xfId="5834" xr:uid="{00000000-0005-0000-0000-0000D3110000}"/>
    <cellStyle name="—_report1198tables_Book1_Cashflow_Honghua MSTR" xfId="5835" xr:uid="{00000000-0005-0000-0000-0000D4110000}"/>
    <cellStyle name="—_report1198tables_Book1_P&amp;L" xfId="5836" xr:uid="{00000000-0005-0000-0000-0000D5110000}"/>
    <cellStyle name="—_report1198tables_Book1_P&amp;L_Honghua MSTR" xfId="5837" xr:uid="{00000000-0005-0000-0000-0000D6110000}"/>
    <cellStyle name="—_report1198tables_Book1_PetroChina Master" xfId="5838" xr:uid="{00000000-0005-0000-0000-0000D7110000}"/>
    <cellStyle name="—_report1198tables_Book1_Sinopec MSTR" xfId="5839" xr:uid="{00000000-0005-0000-0000-0000D8110000}"/>
    <cellStyle name="—_report1198tables_Book1_Sinopec MSTR Wip" xfId="5840" xr:uid="{00000000-0005-0000-0000-0000D9110000}"/>
    <cellStyle name="—_report1198tables_Book1_Sinopec MSTR_WIP_KK" xfId="5841" xr:uid="{00000000-0005-0000-0000-0000DA110000}"/>
    <cellStyle name="—_report1198tables_Book2" xfId="5842" xr:uid="{00000000-0005-0000-0000-0000DB110000}"/>
    <cellStyle name="—_report1198tables_Book2_Beta" xfId="5843" xr:uid="{00000000-0005-0000-0000-0000DC110000}"/>
    <cellStyle name="—_report1198tables_Book2_Cashflow" xfId="5844" xr:uid="{00000000-0005-0000-0000-0000DD110000}"/>
    <cellStyle name="—_report1198tables_Book2_Cashflow_Honghua MSTR" xfId="5845" xr:uid="{00000000-0005-0000-0000-0000DE110000}"/>
    <cellStyle name="—_report1198tables_Book2_P&amp;L" xfId="5846" xr:uid="{00000000-0005-0000-0000-0000DF110000}"/>
    <cellStyle name="—_report1198tables_Book2_P&amp;L_Honghua MSTR" xfId="5847" xr:uid="{00000000-0005-0000-0000-0000E0110000}"/>
    <cellStyle name="—_report1198tables_Book2_PetroChina Master" xfId="5848" xr:uid="{00000000-0005-0000-0000-0000E1110000}"/>
    <cellStyle name="—_report1198tables_Book2_PetroChina Master_WIP(20-F update)" xfId="5849" xr:uid="{00000000-0005-0000-0000-0000E2110000}"/>
    <cellStyle name="—_report1198tables_Book2_PetroChina Master_WIP(20-F update)_Cashflow" xfId="5850" xr:uid="{00000000-0005-0000-0000-0000E3110000}"/>
    <cellStyle name="—_report1198tables_Book2_PetroChina Master_WIP(20-F update)_Cashflow_Honghua MSTR" xfId="5851" xr:uid="{00000000-0005-0000-0000-0000E4110000}"/>
    <cellStyle name="—_report1198tables_Book2_PetroChina Master_WIP(20-F update)_P&amp;L" xfId="5852" xr:uid="{00000000-0005-0000-0000-0000E5110000}"/>
    <cellStyle name="—_report1198tables_Book2_PetroChina Master_WIP(20-F update)_P&amp;L_Honghua MSTR" xfId="5853" xr:uid="{00000000-0005-0000-0000-0000E6110000}"/>
    <cellStyle name="—_report1198tables_Book2_PetroChina Master_WIP(20-F update)_Sinopec MSTR" xfId="5854" xr:uid="{00000000-0005-0000-0000-0000E7110000}"/>
    <cellStyle name="—_report1198tables_Book2_PetroChina Master_WIP(20-F update)_Sinopec MSTR Wip" xfId="5855" xr:uid="{00000000-0005-0000-0000-0000E8110000}"/>
    <cellStyle name="—_report1198tables_Book2_PetroChina Master_WIP(20-F update)_Sinopec MSTR_WIP_KK" xfId="5856" xr:uid="{00000000-0005-0000-0000-0000E9110000}"/>
    <cellStyle name="—_report1198tables_Book2_Sinopec MSTR" xfId="5857" xr:uid="{00000000-0005-0000-0000-0000EA110000}"/>
    <cellStyle name="—_report1198tables_Book3" xfId="5858" xr:uid="{00000000-0005-0000-0000-0000EB110000}"/>
    <cellStyle name="—_report1198tables_Book3_Beta" xfId="5859" xr:uid="{00000000-0005-0000-0000-0000EC110000}"/>
    <cellStyle name="—_report1198tables_Book3_Cashflow" xfId="5860" xr:uid="{00000000-0005-0000-0000-0000ED110000}"/>
    <cellStyle name="—_report1198tables_Book3_Cashflow_Honghua MSTR" xfId="5861" xr:uid="{00000000-0005-0000-0000-0000EE110000}"/>
    <cellStyle name="—_report1198tables_Book3_P&amp;L" xfId="5862" xr:uid="{00000000-0005-0000-0000-0000EF110000}"/>
    <cellStyle name="—_report1198tables_Book3_P&amp;L_Honghua MSTR" xfId="5863" xr:uid="{00000000-0005-0000-0000-0000F0110000}"/>
    <cellStyle name="—_report1198tables_Book3_PetroChina Master" xfId="5864" xr:uid="{00000000-0005-0000-0000-0000F1110000}"/>
    <cellStyle name="—_report1198tables_Book3_PetroChina Master_WIP(20-F update)" xfId="5865" xr:uid="{00000000-0005-0000-0000-0000F2110000}"/>
    <cellStyle name="—_report1198tables_Book3_PetroChina Master_WIP(20-F update)_Cashflow" xfId="5866" xr:uid="{00000000-0005-0000-0000-0000F3110000}"/>
    <cellStyle name="—_report1198tables_Book3_PetroChina Master_WIP(20-F update)_Cashflow_Honghua MSTR" xfId="5867" xr:uid="{00000000-0005-0000-0000-0000F4110000}"/>
    <cellStyle name="—_report1198tables_Book3_PetroChina Master_WIP(20-F update)_P&amp;L" xfId="5868" xr:uid="{00000000-0005-0000-0000-0000F5110000}"/>
    <cellStyle name="—_report1198tables_Book3_PetroChina Master_WIP(20-F update)_P&amp;L_Honghua MSTR" xfId="5869" xr:uid="{00000000-0005-0000-0000-0000F6110000}"/>
    <cellStyle name="—_report1198tables_Book3_PetroChina Master_WIP(20-F update)_Sinopec MSTR" xfId="5870" xr:uid="{00000000-0005-0000-0000-0000F7110000}"/>
    <cellStyle name="—_report1198tables_Book3_PetroChina Master_WIP(20-F update)_Sinopec MSTR Wip" xfId="5871" xr:uid="{00000000-0005-0000-0000-0000F8110000}"/>
    <cellStyle name="—_report1198tables_Book3_PetroChina Master_WIP(20-F update)_Sinopec MSTR_WIP_KK" xfId="5872" xr:uid="{00000000-0005-0000-0000-0000F9110000}"/>
    <cellStyle name="—_report1198tables_Book3_Sinopec MSTR" xfId="5873" xr:uid="{00000000-0005-0000-0000-0000FA110000}"/>
    <cellStyle name="—_report1198tables_Book7" xfId="4001" xr:uid="{00000000-0005-0000-0000-0000FB110000}"/>
    <cellStyle name="—_report1198tables_Book7_new-Sub" xfId="4002" xr:uid="{00000000-0005-0000-0000-0000FC110000}"/>
    <cellStyle name="—_report1198tables_BPCL Master" xfId="5874" xr:uid="{00000000-0005-0000-0000-0000FD110000}"/>
    <cellStyle name="—_report1198tables_BPCL Master_Beta" xfId="5875" xr:uid="{00000000-0005-0000-0000-0000FE110000}"/>
    <cellStyle name="—_report1198tables_BPCL Master_Cashflow" xfId="5876" xr:uid="{00000000-0005-0000-0000-0000FF110000}"/>
    <cellStyle name="—_report1198tables_BPCL Master_Cashflow_Honghua MSTR" xfId="5877" xr:uid="{00000000-0005-0000-0000-000000120000}"/>
    <cellStyle name="—_report1198tables_BPCL Master_P&amp;L" xfId="5878" xr:uid="{00000000-0005-0000-0000-000001120000}"/>
    <cellStyle name="—_report1198tables_BPCL Master_P&amp;L_Honghua MSTR" xfId="5879" xr:uid="{00000000-0005-0000-0000-000002120000}"/>
    <cellStyle name="—_report1198tables_BPCL Master_PetroChina Master" xfId="5880" xr:uid="{00000000-0005-0000-0000-000003120000}"/>
    <cellStyle name="—_report1198tables_BPCL Master_PetroChina Master_WIP(20-F update)" xfId="5881" xr:uid="{00000000-0005-0000-0000-000004120000}"/>
    <cellStyle name="—_report1198tables_BPCL Master_PetroChina Master_WIP(20-F update)_Cashflow" xfId="5882" xr:uid="{00000000-0005-0000-0000-000005120000}"/>
    <cellStyle name="—_report1198tables_BPCL Master_PetroChina Master_WIP(20-F update)_Cashflow_Honghua MSTR" xfId="5883" xr:uid="{00000000-0005-0000-0000-000006120000}"/>
    <cellStyle name="—_report1198tables_BPCL Master_PetroChina Master_WIP(20-F update)_P&amp;L" xfId="5884" xr:uid="{00000000-0005-0000-0000-000007120000}"/>
    <cellStyle name="—_report1198tables_BPCL Master_PetroChina Master_WIP(20-F update)_P&amp;L_Honghua MSTR" xfId="5885" xr:uid="{00000000-0005-0000-0000-000008120000}"/>
    <cellStyle name="—_report1198tables_BPCL Master_PetroChina Master_WIP(20-F update)_Sinopec MSTR" xfId="5886" xr:uid="{00000000-0005-0000-0000-000009120000}"/>
    <cellStyle name="—_report1198tables_BPCL Master_PetroChina Master_WIP(20-F update)_Sinopec MSTR Wip" xfId="5887" xr:uid="{00000000-0005-0000-0000-00000A120000}"/>
    <cellStyle name="—_report1198tables_BPCL Master_PetroChina Master_WIP(20-F update)_Sinopec MSTR_WIP_KK" xfId="5888" xr:uid="{00000000-0005-0000-0000-00000B120000}"/>
    <cellStyle name="—_report1198tables_BPCL Master_Sinopec MSTR" xfId="5889" xr:uid="{00000000-0005-0000-0000-00000C120000}"/>
    <cellStyle name="—_report1198tables_Cashflow" xfId="5890" xr:uid="{00000000-0005-0000-0000-00000D120000}"/>
    <cellStyle name="—_report1198tables_Cashflow_Honghua MSTR" xfId="5891" xr:uid="{00000000-0005-0000-0000-00000E120000}"/>
    <cellStyle name="—_report1198tables_CNOOC Master" xfId="5892" xr:uid="{00000000-0005-0000-0000-00000F120000}"/>
    <cellStyle name="—_report1198tables_CNOOC Master WIP" xfId="5893" xr:uid="{00000000-0005-0000-0000-000010120000}"/>
    <cellStyle name="—_report1198tables_CNOOC Master WIP_Cashflow" xfId="5894" xr:uid="{00000000-0005-0000-0000-000011120000}"/>
    <cellStyle name="—_report1198tables_CNOOC Master WIP_Cashflow_Honghua MSTR" xfId="5895" xr:uid="{00000000-0005-0000-0000-000012120000}"/>
    <cellStyle name="—_report1198tables_CNOOC Master WIP_P&amp;L" xfId="5896" xr:uid="{00000000-0005-0000-0000-000013120000}"/>
    <cellStyle name="—_report1198tables_CNOOC Master WIP_P&amp;L_Honghua MSTR" xfId="5897" xr:uid="{00000000-0005-0000-0000-000014120000}"/>
    <cellStyle name="—_report1198tables_CNOOC Master WIP_PetroChina Master" xfId="5898" xr:uid="{00000000-0005-0000-0000-000015120000}"/>
    <cellStyle name="—_report1198tables_CNOOC Master WIP_PetroChina Master_WIP(20-F update)" xfId="5899" xr:uid="{00000000-0005-0000-0000-000016120000}"/>
    <cellStyle name="—_report1198tables_CNOOC Master WIP_PetroChina Master_WIP(20-F update)_Cashflow" xfId="5900" xr:uid="{00000000-0005-0000-0000-000017120000}"/>
    <cellStyle name="—_report1198tables_CNOOC Master WIP_PetroChina Master_WIP(20-F update)_Cashflow_Honghua MSTR" xfId="5901" xr:uid="{00000000-0005-0000-0000-000018120000}"/>
    <cellStyle name="—_report1198tables_CNOOC Master WIP_PetroChina Master_WIP(20-F update)_P&amp;L" xfId="5902" xr:uid="{00000000-0005-0000-0000-000019120000}"/>
    <cellStyle name="—_report1198tables_CNOOC Master WIP_PetroChina Master_WIP(20-F update)_P&amp;L_Honghua MSTR" xfId="5903" xr:uid="{00000000-0005-0000-0000-00001A120000}"/>
    <cellStyle name="—_report1198tables_CNOOC Master WIP_PetroChina Master_WIP(20-F update)_Sinopec MSTR" xfId="5904" xr:uid="{00000000-0005-0000-0000-00001B120000}"/>
    <cellStyle name="—_report1198tables_CNOOC Master WIP_PetroChina Master_WIP(20-F update)_Sinopec MSTR Wip" xfId="5905" xr:uid="{00000000-0005-0000-0000-00001C120000}"/>
    <cellStyle name="—_report1198tables_CNOOC Master WIP_PetroChina Master_WIP(20-F update)_Sinopec MSTR_WIP_KK" xfId="5906" xr:uid="{00000000-0005-0000-0000-00001D120000}"/>
    <cellStyle name="—_report1198tables_CNOOC Master WIP_Sinopec MSTR" xfId="5907" xr:uid="{00000000-0005-0000-0000-00001E120000}"/>
    <cellStyle name="—_report1198tables_CNOOC Master_Beta" xfId="5908" xr:uid="{00000000-0005-0000-0000-00001F120000}"/>
    <cellStyle name="—_report1198tables_CNOOC Master_Cashflow" xfId="5909" xr:uid="{00000000-0005-0000-0000-000020120000}"/>
    <cellStyle name="—_report1198tables_CNOOC Master_Cashflow_Honghua MSTR" xfId="5910" xr:uid="{00000000-0005-0000-0000-000021120000}"/>
    <cellStyle name="—_report1198tables_CNOOC Master_P&amp;L" xfId="5911" xr:uid="{00000000-0005-0000-0000-000022120000}"/>
    <cellStyle name="—_report1198tables_CNOOC Master_P&amp;L_Honghua MSTR" xfId="5912" xr:uid="{00000000-0005-0000-0000-000023120000}"/>
    <cellStyle name="—_report1198tables_CNOOC Master_PetroChina Master" xfId="5913" xr:uid="{00000000-0005-0000-0000-000024120000}"/>
    <cellStyle name="—_report1198tables_CNOOC Master_PetroChina Master_WIP(20-F update)" xfId="5914" xr:uid="{00000000-0005-0000-0000-000025120000}"/>
    <cellStyle name="—_report1198tables_CNOOC Master_PetroChina Master_WIP(20-F update)_Cashflow" xfId="5915" xr:uid="{00000000-0005-0000-0000-000026120000}"/>
    <cellStyle name="—_report1198tables_CNOOC Master_PetroChina Master_WIP(20-F update)_Cashflow_Honghua MSTR" xfId="5916" xr:uid="{00000000-0005-0000-0000-000027120000}"/>
    <cellStyle name="—_report1198tables_CNOOC Master_PetroChina Master_WIP(20-F update)_P&amp;L" xfId="5917" xr:uid="{00000000-0005-0000-0000-000028120000}"/>
    <cellStyle name="—_report1198tables_CNOOC Master_PetroChina Master_WIP(20-F update)_P&amp;L_Honghua MSTR" xfId="5918" xr:uid="{00000000-0005-0000-0000-000029120000}"/>
    <cellStyle name="—_report1198tables_CNOOC Master_PetroChina Master_WIP(20-F update)_Sinopec MSTR" xfId="5919" xr:uid="{00000000-0005-0000-0000-00002A120000}"/>
    <cellStyle name="—_report1198tables_CNOOC Master_PetroChina Master_WIP(20-F update)_Sinopec MSTR Wip" xfId="5920" xr:uid="{00000000-0005-0000-0000-00002B120000}"/>
    <cellStyle name="—_report1198tables_CNOOC Master_PetroChina Master_WIP(20-F update)_Sinopec MSTR_WIP_KK" xfId="5921" xr:uid="{00000000-0005-0000-0000-00002C120000}"/>
    <cellStyle name="—_report1198tables_CNOOC Master_Sinopec MSTR" xfId="5922" xr:uid="{00000000-0005-0000-0000-00002D120000}"/>
    <cellStyle name="—_report1198tables_DoCoMo table 10July2000" xfId="4003" xr:uid="{00000000-0005-0000-0000-00002E120000}"/>
    <cellStyle name="—_report1198tables_earnings" xfId="4004" xr:uid="{00000000-0005-0000-0000-00002F120000}"/>
    <cellStyle name="—_report1198tables_earnings_new-Sub" xfId="4005" xr:uid="{00000000-0005-0000-0000-000030120000}"/>
    <cellStyle name="—_report1198tables_EM_FETone_new" xfId="4006" xr:uid="{00000000-0005-0000-0000-000031120000}"/>
    <cellStyle name="—_report1198tables_EM_FETone_new_new-Sub" xfId="4007" xr:uid="{00000000-0005-0000-0000-000032120000}"/>
    <cellStyle name="—_report1198tables_EM_TCC_new" xfId="4008" xr:uid="{00000000-0005-0000-0000-000033120000}"/>
    <cellStyle name="—_report1198tables_EM_TCC_new_new-Sub" xfId="4009" xr:uid="{00000000-0005-0000-0000-000034120000}"/>
    <cellStyle name="—_report1198tables_gail_master WIP 3" xfId="5923" xr:uid="{00000000-0005-0000-0000-000035120000}"/>
    <cellStyle name="—_report1198tables_gail_master WIP 3_Beta" xfId="5924" xr:uid="{00000000-0005-0000-0000-000036120000}"/>
    <cellStyle name="—_report1198tables_gail_master WIP 3_Cashflow" xfId="5925" xr:uid="{00000000-0005-0000-0000-000037120000}"/>
    <cellStyle name="—_report1198tables_gail_master WIP 3_Cashflow_Honghua MSTR" xfId="5926" xr:uid="{00000000-0005-0000-0000-000038120000}"/>
    <cellStyle name="—_report1198tables_gail_master WIP 3_P&amp;L" xfId="5927" xr:uid="{00000000-0005-0000-0000-000039120000}"/>
    <cellStyle name="—_report1198tables_gail_master WIP 3_P&amp;L_Honghua MSTR" xfId="5928" xr:uid="{00000000-0005-0000-0000-00003A120000}"/>
    <cellStyle name="—_report1198tables_gail_master WIP 3_PetroChina Master" xfId="5929" xr:uid="{00000000-0005-0000-0000-00003B120000}"/>
    <cellStyle name="—_report1198tables_gail_master WIP 3_PetroChina Master_WIP(20-F update)" xfId="5930" xr:uid="{00000000-0005-0000-0000-00003C120000}"/>
    <cellStyle name="—_report1198tables_gail_master WIP 3_PetroChina Master_WIP(20-F update)_Cashflow" xfId="5931" xr:uid="{00000000-0005-0000-0000-00003D120000}"/>
    <cellStyle name="—_report1198tables_gail_master WIP 3_PetroChina Master_WIP(20-F update)_Cashflow_Honghua MSTR" xfId="5932" xr:uid="{00000000-0005-0000-0000-00003E120000}"/>
    <cellStyle name="—_report1198tables_gail_master WIP 3_PetroChina Master_WIP(20-F update)_P&amp;L" xfId="5933" xr:uid="{00000000-0005-0000-0000-00003F120000}"/>
    <cellStyle name="—_report1198tables_gail_master WIP 3_PetroChina Master_WIP(20-F update)_P&amp;L_Honghua MSTR" xfId="5934" xr:uid="{00000000-0005-0000-0000-000040120000}"/>
    <cellStyle name="—_report1198tables_gail_master WIP 3_PetroChina Master_WIP(20-F update)_Sinopec MSTR" xfId="5935" xr:uid="{00000000-0005-0000-0000-000041120000}"/>
    <cellStyle name="—_report1198tables_gail_master WIP 3_PetroChina Master_WIP(20-F update)_Sinopec MSTR Wip" xfId="5936" xr:uid="{00000000-0005-0000-0000-000042120000}"/>
    <cellStyle name="—_report1198tables_gail_master WIP 3_PetroChina Master_WIP(20-F update)_Sinopec MSTR_WIP_KK" xfId="5937" xr:uid="{00000000-0005-0000-0000-000043120000}"/>
    <cellStyle name="—_report1198tables_gail_master WIP 3_Sinopec MSTR" xfId="5938" xr:uid="{00000000-0005-0000-0000-000044120000}"/>
    <cellStyle name="—_report1198tables_Honam Master" xfId="5939" xr:uid="{00000000-0005-0000-0000-000045120000}"/>
    <cellStyle name="—_report1198tables_new-Sub" xfId="4010" xr:uid="{00000000-0005-0000-0000-000046120000}"/>
    <cellStyle name="—_report1198tables_operating stats comp" xfId="4011" xr:uid="{00000000-0005-0000-0000-000047120000}"/>
    <cellStyle name="—_report1198tables_operating stats comp_new-Sub" xfId="4012" xr:uid="{00000000-0005-0000-0000-000048120000}"/>
    <cellStyle name="—_report1198tables_P&amp;L" xfId="5940" xr:uid="{00000000-0005-0000-0000-000049120000}"/>
    <cellStyle name="—_report1198tables_P&amp;L_Honghua MSTR" xfId="5941" xr:uid="{00000000-0005-0000-0000-00004A120000}"/>
    <cellStyle name="—_report1198tables_PetroChina Master" xfId="5942" xr:uid="{00000000-0005-0000-0000-00004B120000}"/>
    <cellStyle name="—_report1198tables_PetroChina Master WIP to 08 with windfall tax" xfId="5943" xr:uid="{00000000-0005-0000-0000-00004C120000}"/>
    <cellStyle name="—_report1198tables_PetroChina Master WIP to 08 with windfall tax_Beta" xfId="5944" xr:uid="{00000000-0005-0000-0000-00004D120000}"/>
    <cellStyle name="—_report1198tables_PetroChina Master WIP to 08 with windfall tax_Cashflow" xfId="5945" xr:uid="{00000000-0005-0000-0000-00004E120000}"/>
    <cellStyle name="—_report1198tables_PetroChina Master WIP to 08 with windfall tax_Cashflow_Honghua MSTR" xfId="5946" xr:uid="{00000000-0005-0000-0000-00004F120000}"/>
    <cellStyle name="—_report1198tables_PetroChina Master WIP to 08 with windfall tax_P&amp;L" xfId="5947" xr:uid="{00000000-0005-0000-0000-000050120000}"/>
    <cellStyle name="—_report1198tables_PetroChina Master WIP to 08 with windfall tax_P&amp;L_Honghua MSTR" xfId="5948" xr:uid="{00000000-0005-0000-0000-000051120000}"/>
    <cellStyle name="—_report1198tables_PetroChina Master WIP to 08 with windfall tax_PetroChina Master" xfId="5949" xr:uid="{00000000-0005-0000-0000-000052120000}"/>
    <cellStyle name="—_report1198tables_PetroChina Master WIP to 08 with windfall tax_PetroChina Master_WIP(20-F update)" xfId="5950" xr:uid="{00000000-0005-0000-0000-000053120000}"/>
    <cellStyle name="—_report1198tables_PetroChina Master WIP to 08 with windfall tax_PetroChina Master_WIP(20-F update)_Cashflow" xfId="5951" xr:uid="{00000000-0005-0000-0000-000054120000}"/>
    <cellStyle name="—_report1198tables_PetroChina Master WIP to 08 with windfall tax_PetroChina Master_WIP(20-F update)_Cashflow_Honghua MSTR" xfId="5952" xr:uid="{00000000-0005-0000-0000-000055120000}"/>
    <cellStyle name="—_report1198tables_PetroChina Master WIP to 08 with windfall tax_PetroChina Master_WIP(20-F update)_P&amp;L" xfId="5953" xr:uid="{00000000-0005-0000-0000-000056120000}"/>
    <cellStyle name="—_report1198tables_PetroChina Master WIP to 08 with windfall tax_PetroChina Master_WIP(20-F update)_P&amp;L_Honghua MSTR" xfId="5954" xr:uid="{00000000-0005-0000-0000-000057120000}"/>
    <cellStyle name="—_report1198tables_PetroChina Master WIP to 08 with windfall tax_PetroChina Master_WIP(20-F update)_Sinopec MSTR" xfId="5955" xr:uid="{00000000-0005-0000-0000-000058120000}"/>
    <cellStyle name="—_report1198tables_PetroChina Master WIP to 08 with windfall tax_PetroChina Master_WIP(20-F update)_Sinopec MSTR Wip" xfId="5956" xr:uid="{00000000-0005-0000-0000-000059120000}"/>
    <cellStyle name="—_report1198tables_PetroChina Master WIP to 08 with windfall tax_PetroChina Master_WIP(20-F update)_Sinopec MSTR_WIP_KK" xfId="5957" xr:uid="{00000000-0005-0000-0000-00005A120000}"/>
    <cellStyle name="—_report1198tables_PetroChina Master WIP to 08 with windfall tax_Sinopec MSTR" xfId="5958" xr:uid="{00000000-0005-0000-0000-00005B120000}"/>
    <cellStyle name="—_report1198tables_PetroChina Master_1" xfId="5959" xr:uid="{00000000-0005-0000-0000-00005C120000}"/>
    <cellStyle name="—_report1198tables_PetroChina Master_Beta" xfId="5960" xr:uid="{00000000-0005-0000-0000-00005D120000}"/>
    <cellStyle name="—_report1198tables_PetroChina Master_Cashflow" xfId="5961" xr:uid="{00000000-0005-0000-0000-00005E120000}"/>
    <cellStyle name="—_report1198tables_PetroChina Master_Cashflow_Honghua MSTR" xfId="5962" xr:uid="{00000000-0005-0000-0000-00005F120000}"/>
    <cellStyle name="—_report1198tables_PetroChina Master_P&amp;L" xfId="5963" xr:uid="{00000000-0005-0000-0000-000060120000}"/>
    <cellStyle name="—_report1198tables_PetroChina Master_P&amp;L_Honghua MSTR" xfId="5964" xr:uid="{00000000-0005-0000-0000-000061120000}"/>
    <cellStyle name="—_report1198tables_PetroChina Master_PetroChina Master" xfId="5965" xr:uid="{00000000-0005-0000-0000-000062120000}"/>
    <cellStyle name="—_report1198tables_PetroChina Master_PetroChina Master_WIP(20-F update)" xfId="5966" xr:uid="{00000000-0005-0000-0000-000063120000}"/>
    <cellStyle name="—_report1198tables_PetroChina Master_PetroChina Master_WIP(20-F update)_Cashflow" xfId="5967" xr:uid="{00000000-0005-0000-0000-000064120000}"/>
    <cellStyle name="—_report1198tables_PetroChina Master_PetroChina Master_WIP(20-F update)_Cashflow_Honghua MSTR" xfId="5968" xr:uid="{00000000-0005-0000-0000-000065120000}"/>
    <cellStyle name="—_report1198tables_PetroChina Master_PetroChina Master_WIP(20-F update)_P&amp;L" xfId="5969" xr:uid="{00000000-0005-0000-0000-000066120000}"/>
    <cellStyle name="—_report1198tables_PetroChina Master_PetroChina Master_WIP(20-F update)_P&amp;L_Honghua MSTR" xfId="5970" xr:uid="{00000000-0005-0000-0000-000067120000}"/>
    <cellStyle name="—_report1198tables_PetroChina Master_PetroChina Master_WIP(20-F update)_Sinopec MSTR" xfId="5971" xr:uid="{00000000-0005-0000-0000-000068120000}"/>
    <cellStyle name="—_report1198tables_PetroChina Master_PetroChina Master_WIP(20-F update)_Sinopec MSTR Wip" xfId="5972" xr:uid="{00000000-0005-0000-0000-000069120000}"/>
    <cellStyle name="—_report1198tables_PetroChina Master_PetroChina Master_WIP(20-F update)_Sinopec MSTR_WIP_KK" xfId="5973" xr:uid="{00000000-0005-0000-0000-00006A120000}"/>
    <cellStyle name="—_report1198tables_PetroChina Master_Sinopec MSTR" xfId="5974" xr:uid="{00000000-0005-0000-0000-00006B120000}"/>
    <cellStyle name="—_report1198tables_PetroChina Master_WIP(20-F update)" xfId="5975" xr:uid="{00000000-0005-0000-0000-00006C120000}"/>
    <cellStyle name="—_report1198tables_PetroChina Master_WIP(20-F update)_Cashflow" xfId="5976" xr:uid="{00000000-0005-0000-0000-00006D120000}"/>
    <cellStyle name="—_report1198tables_PetroChina Master_WIP(20-F update)_Cashflow_Honghua MSTR" xfId="5977" xr:uid="{00000000-0005-0000-0000-00006E120000}"/>
    <cellStyle name="—_report1198tables_PetroChina Master_WIP(20-F update)_P&amp;L" xfId="5978" xr:uid="{00000000-0005-0000-0000-00006F120000}"/>
    <cellStyle name="—_report1198tables_PetroChina Master_WIP(20-F update)_P&amp;L_Honghua MSTR" xfId="5979" xr:uid="{00000000-0005-0000-0000-000070120000}"/>
    <cellStyle name="—_report1198tables_PetroChina Master_WIP(20-F update)_Sinopec MSTR" xfId="5980" xr:uid="{00000000-0005-0000-0000-000071120000}"/>
    <cellStyle name="—_report1198tables_PetroChina Master_WIP(20-F update)_Sinopec MSTR Wip" xfId="5981" xr:uid="{00000000-0005-0000-0000-000072120000}"/>
    <cellStyle name="—_report1198tables_PetroChina Master_WIP(20-F update)_Sinopec MSTR_WIP_KK" xfId="5982" xr:uid="{00000000-0005-0000-0000-000073120000}"/>
    <cellStyle name="—_report1198tables_Sinopec MSTR" xfId="5983" xr:uid="{00000000-0005-0000-0000-000074120000}"/>
    <cellStyle name="—_report1198tables_Sinopec MSTR WIP to 08" xfId="5984" xr:uid="{00000000-0005-0000-0000-000075120000}"/>
    <cellStyle name="—_report1198tables_Sinopec MSTR WIP to 08_Beta" xfId="5985" xr:uid="{00000000-0005-0000-0000-000076120000}"/>
    <cellStyle name="—_report1198tables_Sinopec MSTR WIP to 08_Cashflow" xfId="5986" xr:uid="{00000000-0005-0000-0000-000077120000}"/>
    <cellStyle name="—_report1198tables_Sinopec MSTR WIP to 08_Cashflow_Honghua MSTR" xfId="5987" xr:uid="{00000000-0005-0000-0000-000078120000}"/>
    <cellStyle name="—_report1198tables_Sinopec MSTR WIP to 08_P&amp;L" xfId="5988" xr:uid="{00000000-0005-0000-0000-000079120000}"/>
    <cellStyle name="—_report1198tables_Sinopec MSTR WIP to 08_P&amp;L_Honghua MSTR" xfId="5989" xr:uid="{00000000-0005-0000-0000-00007A120000}"/>
    <cellStyle name="—_report1198tables_Sinopec MSTR WIP to 08_PetroChina Master" xfId="5990" xr:uid="{00000000-0005-0000-0000-00007B120000}"/>
    <cellStyle name="—_report1198tables_Sinopec MSTR WIP to 08_PetroChina Master_WIP(20-F update)" xfId="5991" xr:uid="{00000000-0005-0000-0000-00007C120000}"/>
    <cellStyle name="—_report1198tables_Sinopec MSTR WIP to 08_PetroChina Master_WIP(20-F update)_Cashflow" xfId="5992" xr:uid="{00000000-0005-0000-0000-00007D120000}"/>
    <cellStyle name="—_report1198tables_Sinopec MSTR WIP to 08_PetroChina Master_WIP(20-F update)_Cashflow_Honghua MSTR" xfId="5993" xr:uid="{00000000-0005-0000-0000-00007E120000}"/>
    <cellStyle name="—_report1198tables_Sinopec MSTR WIP to 08_PetroChina Master_WIP(20-F update)_P&amp;L" xfId="5994" xr:uid="{00000000-0005-0000-0000-00007F120000}"/>
    <cellStyle name="—_report1198tables_Sinopec MSTR WIP to 08_PetroChina Master_WIP(20-F update)_P&amp;L_Honghua MSTR" xfId="5995" xr:uid="{00000000-0005-0000-0000-000080120000}"/>
    <cellStyle name="—_report1198tables_Sinopec MSTR WIP to 08_PetroChina Master_WIP(20-F update)_Sinopec MSTR" xfId="5996" xr:uid="{00000000-0005-0000-0000-000081120000}"/>
    <cellStyle name="—_report1198tables_Sinopec MSTR WIP to 08_PetroChina Master_WIP(20-F update)_Sinopec MSTR Wip" xfId="5997" xr:uid="{00000000-0005-0000-0000-000082120000}"/>
    <cellStyle name="—_report1198tables_Sinopec MSTR WIP to 08_PetroChina Master_WIP(20-F update)_Sinopec MSTR_WIP_KK" xfId="5998" xr:uid="{00000000-0005-0000-0000-000083120000}"/>
    <cellStyle name="—_report1198tables_Sinopec MSTR WIP to 08_Sinopec MSTR" xfId="5999" xr:uid="{00000000-0005-0000-0000-000084120000}"/>
    <cellStyle name="—_report1198tables_Sinopec MSTR_PetroChina Master_WIP(20-F update)" xfId="6000" xr:uid="{00000000-0005-0000-0000-000085120000}"/>
    <cellStyle name="—_report1198tables_Sinopec MSTR_PetroChina Master_WIP(20-F update)_Cashflow" xfId="6001" xr:uid="{00000000-0005-0000-0000-000086120000}"/>
    <cellStyle name="—_report1198tables_Sinopec MSTR_PetroChina Master_WIP(20-F update)_Cashflow_Honghua MSTR" xfId="6002" xr:uid="{00000000-0005-0000-0000-000087120000}"/>
    <cellStyle name="—_report1198tables_Sinopec MSTR_PetroChina Master_WIP(20-F update)_P&amp;L" xfId="6003" xr:uid="{00000000-0005-0000-0000-000088120000}"/>
    <cellStyle name="—_report1198tables_Sinopec MSTR_PetroChina Master_WIP(20-F update)_P&amp;L_Honghua MSTR" xfId="6004" xr:uid="{00000000-0005-0000-0000-000089120000}"/>
    <cellStyle name="—_report1198tables_Sinopec MSTR_PetroChina Master_WIP(20-F update)_Sinopec MSTR" xfId="6005" xr:uid="{00000000-0005-0000-0000-00008A120000}"/>
    <cellStyle name="—_report1198tables_Sinopec MSTR_PetroChina Master_WIP(20-F update)_Sinopec MSTR Wip" xfId="6006" xr:uid="{00000000-0005-0000-0000-00008B120000}"/>
    <cellStyle name="—_report1198tables_Sinopec MSTR_PetroChina Master_WIP(20-F update)_Sinopec MSTR_WIP_KK" xfId="6007" xr:uid="{00000000-0005-0000-0000-00008C120000}"/>
    <cellStyle name="—_report1198tables_SK MSTR" xfId="6008" xr:uid="{00000000-0005-0000-0000-00008D120000}"/>
    <cellStyle name="—_report1198tables_SK MSTR_Beta" xfId="6009" xr:uid="{00000000-0005-0000-0000-00008E120000}"/>
    <cellStyle name="—_report1198tables_SK MSTR_Cashflow" xfId="6010" xr:uid="{00000000-0005-0000-0000-00008F120000}"/>
    <cellStyle name="—_report1198tables_SK MSTR_Cashflow_Honghua MSTR" xfId="6011" xr:uid="{00000000-0005-0000-0000-000090120000}"/>
    <cellStyle name="—_report1198tables_SK MSTR_P&amp;L" xfId="6012" xr:uid="{00000000-0005-0000-0000-000091120000}"/>
    <cellStyle name="—_report1198tables_SK MSTR_P&amp;L_Honghua MSTR" xfId="6013" xr:uid="{00000000-0005-0000-0000-000092120000}"/>
    <cellStyle name="—_report1198tables_SK MSTR_PetroChina Master" xfId="6014" xr:uid="{00000000-0005-0000-0000-000093120000}"/>
    <cellStyle name="—_report1198tables_SK MSTR_PetroChina Master_WIP(20-F update)" xfId="6015" xr:uid="{00000000-0005-0000-0000-000094120000}"/>
    <cellStyle name="—_report1198tables_SK MSTR_PetroChina Master_WIP(20-F update)_Cashflow" xfId="6016" xr:uid="{00000000-0005-0000-0000-000095120000}"/>
    <cellStyle name="—_report1198tables_SK MSTR_PetroChina Master_WIP(20-F update)_Cashflow_Honghua MSTR" xfId="6017" xr:uid="{00000000-0005-0000-0000-000096120000}"/>
    <cellStyle name="—_report1198tables_SK MSTR_PetroChina Master_WIP(20-F update)_P&amp;L" xfId="6018" xr:uid="{00000000-0005-0000-0000-000097120000}"/>
    <cellStyle name="—_report1198tables_SK MSTR_PetroChina Master_WIP(20-F update)_P&amp;L_Honghua MSTR" xfId="6019" xr:uid="{00000000-0005-0000-0000-000098120000}"/>
    <cellStyle name="—_report1198tables_SK MSTR_PetroChina Master_WIP(20-F update)_Sinopec MSTR" xfId="6020" xr:uid="{00000000-0005-0000-0000-000099120000}"/>
    <cellStyle name="—_report1198tables_SK MSTR_PetroChina Master_WIP(20-F update)_Sinopec MSTR Wip" xfId="6021" xr:uid="{00000000-0005-0000-0000-00009A120000}"/>
    <cellStyle name="—_report1198tables_SK MSTR_PetroChina Master_WIP(20-F update)_Sinopec MSTR_WIP_KK" xfId="6022" xr:uid="{00000000-0005-0000-0000-00009B120000}"/>
    <cellStyle name="—_report1198tables_SK MSTR_Sinopec MSTR" xfId="6023" xr:uid="{00000000-0005-0000-0000-00009C120000}"/>
    <cellStyle name="—_report1198tables_S-Oil Master" xfId="6024" xr:uid="{00000000-0005-0000-0000-00009D120000}"/>
    <cellStyle name="—_report1198tables_S-Oil Master KK New" xfId="6025" xr:uid="{00000000-0005-0000-0000-00009E120000}"/>
    <cellStyle name="—_report1198tables_S-Oil Master KK New_Beta" xfId="6026" xr:uid="{00000000-0005-0000-0000-00009F120000}"/>
    <cellStyle name="—_report1198tables_S-Oil Master KK New_Cashflow" xfId="6027" xr:uid="{00000000-0005-0000-0000-0000A0120000}"/>
    <cellStyle name="—_report1198tables_S-Oil Master KK New_Cashflow_Honghua MSTR" xfId="6028" xr:uid="{00000000-0005-0000-0000-0000A1120000}"/>
    <cellStyle name="—_report1198tables_S-Oil Master KK New_P&amp;L" xfId="6029" xr:uid="{00000000-0005-0000-0000-0000A2120000}"/>
    <cellStyle name="—_report1198tables_S-Oil Master KK New_P&amp;L_Honghua MSTR" xfId="6030" xr:uid="{00000000-0005-0000-0000-0000A3120000}"/>
    <cellStyle name="—_report1198tables_S-Oil Master KK New_PetroChina Master" xfId="6031" xr:uid="{00000000-0005-0000-0000-0000A4120000}"/>
    <cellStyle name="—_report1198tables_S-Oil Master KK New_PetroChina Master_WIP(20-F update)" xfId="6032" xr:uid="{00000000-0005-0000-0000-0000A5120000}"/>
    <cellStyle name="—_report1198tables_S-Oil Master KK New_PetroChina Master_WIP(20-F update)_Cashflow" xfId="6033" xr:uid="{00000000-0005-0000-0000-0000A6120000}"/>
    <cellStyle name="—_report1198tables_S-Oil Master KK New_PetroChina Master_WIP(20-F update)_Cashflow_Honghua MSTR" xfId="6034" xr:uid="{00000000-0005-0000-0000-0000A7120000}"/>
    <cellStyle name="—_report1198tables_S-Oil Master KK New_PetroChina Master_WIP(20-F update)_P&amp;L" xfId="6035" xr:uid="{00000000-0005-0000-0000-0000A8120000}"/>
    <cellStyle name="—_report1198tables_S-Oil Master KK New_PetroChina Master_WIP(20-F update)_P&amp;L_Honghua MSTR" xfId="6036" xr:uid="{00000000-0005-0000-0000-0000A9120000}"/>
    <cellStyle name="—_report1198tables_S-Oil Master KK New_PetroChina Master_WIP(20-F update)_Sinopec MSTR" xfId="6037" xr:uid="{00000000-0005-0000-0000-0000AA120000}"/>
    <cellStyle name="—_report1198tables_S-Oil Master KK New_PetroChina Master_WIP(20-F update)_Sinopec MSTR Wip" xfId="6038" xr:uid="{00000000-0005-0000-0000-0000AB120000}"/>
    <cellStyle name="—_report1198tables_S-Oil Master KK New_PetroChina Master_WIP(20-F update)_Sinopec MSTR_WIP_KK" xfId="6039" xr:uid="{00000000-0005-0000-0000-0000AC120000}"/>
    <cellStyle name="—_report1198tables_S-Oil Master KK New_Sinopec MSTR" xfId="6040" xr:uid="{00000000-0005-0000-0000-0000AD120000}"/>
    <cellStyle name="—_report1198tables_S-Oil Master_Beta" xfId="6041" xr:uid="{00000000-0005-0000-0000-0000AE120000}"/>
    <cellStyle name="—_report1198tables_S-Oil Master_Cashflow" xfId="6042" xr:uid="{00000000-0005-0000-0000-0000AF120000}"/>
    <cellStyle name="—_report1198tables_S-Oil Master_Cashflow_Honghua MSTR" xfId="6043" xr:uid="{00000000-0005-0000-0000-0000B0120000}"/>
    <cellStyle name="—_report1198tables_S-Oil Master_P&amp;L" xfId="6044" xr:uid="{00000000-0005-0000-0000-0000B1120000}"/>
    <cellStyle name="—_report1198tables_S-Oil Master_P&amp;L_Honghua MSTR" xfId="6045" xr:uid="{00000000-0005-0000-0000-0000B2120000}"/>
    <cellStyle name="—_report1198tables_S-Oil Master_PetroChina Master" xfId="6046" xr:uid="{00000000-0005-0000-0000-0000B3120000}"/>
    <cellStyle name="—_report1198tables_S-Oil Master_PetroChina Master_WIP(20-F update)" xfId="6047" xr:uid="{00000000-0005-0000-0000-0000B4120000}"/>
    <cellStyle name="—_report1198tables_S-Oil Master_PetroChina Master_WIP(20-F update)_Cashflow" xfId="6048" xr:uid="{00000000-0005-0000-0000-0000B5120000}"/>
    <cellStyle name="—_report1198tables_S-Oil Master_PetroChina Master_WIP(20-F update)_Cashflow_Honghua MSTR" xfId="6049" xr:uid="{00000000-0005-0000-0000-0000B6120000}"/>
    <cellStyle name="—_report1198tables_S-Oil Master_PetroChina Master_WIP(20-F update)_P&amp;L" xfId="6050" xr:uid="{00000000-0005-0000-0000-0000B7120000}"/>
    <cellStyle name="—_report1198tables_S-Oil Master_PetroChina Master_WIP(20-F update)_P&amp;L_Honghua MSTR" xfId="6051" xr:uid="{00000000-0005-0000-0000-0000B8120000}"/>
    <cellStyle name="—_report1198tables_S-Oil Master_PetroChina Master_WIP(20-F update)_Sinopec MSTR" xfId="6052" xr:uid="{00000000-0005-0000-0000-0000B9120000}"/>
    <cellStyle name="—_report1198tables_S-Oil Master_PetroChina Master_WIP(20-F update)_Sinopec MSTR Wip" xfId="6053" xr:uid="{00000000-0005-0000-0000-0000BA120000}"/>
    <cellStyle name="—_report1198tables_S-Oil Master_PetroChina Master_WIP(20-F update)_Sinopec MSTR_WIP_KK" xfId="6054" xr:uid="{00000000-0005-0000-0000-0000BB120000}"/>
    <cellStyle name="—_report1198tables_S-Oil Master_Sinopec MSTR" xfId="6055" xr:uid="{00000000-0005-0000-0000-0000BC120000}"/>
    <cellStyle name="—_report1198tables_S-Oil-Quantum 260704" xfId="6056" xr:uid="{00000000-0005-0000-0000-0000BD120000}"/>
    <cellStyle name="—_report1198tables_S-Oil-Quantum 260704_Beta" xfId="6057" xr:uid="{00000000-0005-0000-0000-0000BE120000}"/>
    <cellStyle name="—_report1198tables_S-Oil-Quantum 260704_Cashflow" xfId="6058" xr:uid="{00000000-0005-0000-0000-0000BF120000}"/>
    <cellStyle name="—_report1198tables_S-Oil-Quantum 260704_Cashflow_Honghua MSTR" xfId="6059" xr:uid="{00000000-0005-0000-0000-0000C0120000}"/>
    <cellStyle name="—_report1198tables_S-Oil-Quantum 260704_P&amp;L" xfId="6060" xr:uid="{00000000-0005-0000-0000-0000C1120000}"/>
    <cellStyle name="—_report1198tables_S-Oil-Quantum 260704_P&amp;L_Honghua MSTR" xfId="6061" xr:uid="{00000000-0005-0000-0000-0000C2120000}"/>
    <cellStyle name="—_report1198tables_S-Oil-Quantum 260704_PetroChina Master" xfId="6062" xr:uid="{00000000-0005-0000-0000-0000C3120000}"/>
    <cellStyle name="—_report1198tables_S-Oil-Quantum 260704_PetroChina Master_WIP(20-F update)" xfId="6063" xr:uid="{00000000-0005-0000-0000-0000C4120000}"/>
    <cellStyle name="—_report1198tables_S-Oil-Quantum 260704_PetroChina Master_WIP(20-F update)_Cashflow" xfId="6064" xr:uid="{00000000-0005-0000-0000-0000C5120000}"/>
    <cellStyle name="—_report1198tables_S-Oil-Quantum 260704_PetroChina Master_WIP(20-F update)_Cashflow_Honghua MSTR" xfId="6065" xr:uid="{00000000-0005-0000-0000-0000C6120000}"/>
    <cellStyle name="—_report1198tables_S-Oil-Quantum 260704_PetroChina Master_WIP(20-F update)_P&amp;L" xfId="6066" xr:uid="{00000000-0005-0000-0000-0000C7120000}"/>
    <cellStyle name="—_report1198tables_S-Oil-Quantum 260704_PetroChina Master_WIP(20-F update)_P&amp;L_Honghua MSTR" xfId="6067" xr:uid="{00000000-0005-0000-0000-0000C8120000}"/>
    <cellStyle name="—_report1198tables_S-Oil-Quantum 260704_PetroChina Master_WIP(20-F update)_Sinopec MSTR" xfId="6068" xr:uid="{00000000-0005-0000-0000-0000C9120000}"/>
    <cellStyle name="—_report1198tables_S-Oil-Quantum 260704_PetroChina Master_WIP(20-F update)_Sinopec MSTR Wip" xfId="6069" xr:uid="{00000000-0005-0000-0000-0000CA120000}"/>
    <cellStyle name="—_report1198tables_S-Oil-Quantum 260704_PetroChina Master_WIP(20-F update)_Sinopec MSTR_WIP_KK" xfId="6070" xr:uid="{00000000-0005-0000-0000-0000CB120000}"/>
    <cellStyle name="—_report1198tables_S-Oil-Quantum 260704_Sinopec MSTR" xfId="6071" xr:uid="{00000000-0005-0000-0000-0000CC120000}"/>
    <cellStyle name="—_report1198tables_Strategy_data_update" xfId="4013" xr:uid="{00000000-0005-0000-0000-0000CD120000}"/>
    <cellStyle name="—_report1198tables_Strategy_data_update_new-Sub" xfId="4014" xr:uid="{00000000-0005-0000-0000-0000CE120000}"/>
    <cellStyle name="—_report1198tables_Summary" xfId="6072" xr:uid="{00000000-0005-0000-0000-0000CF120000}"/>
    <cellStyle name="—_report1198tables_Summary_PetroChina Master_WIP(20-F update)" xfId="6073" xr:uid="{00000000-0005-0000-0000-0000D0120000}"/>
    <cellStyle name="—_report1198tables_Summary_PetroChina Master_WIP(20-F update)_Cashflow" xfId="6074" xr:uid="{00000000-0005-0000-0000-0000D1120000}"/>
    <cellStyle name="—_report1198tables_Summary_PetroChina Master_WIP(20-F update)_Cashflow_Honghua MSTR" xfId="6075" xr:uid="{00000000-0005-0000-0000-0000D2120000}"/>
    <cellStyle name="—_report1198tables_Summary_PetroChina Master_WIP(20-F update)_P&amp;L" xfId="6076" xr:uid="{00000000-0005-0000-0000-0000D3120000}"/>
    <cellStyle name="—_report1198tables_Summary_PetroChina Master_WIP(20-F update)_P&amp;L_Honghua MSTR" xfId="6077" xr:uid="{00000000-0005-0000-0000-0000D4120000}"/>
    <cellStyle name="—_report1198tables_Summary_PetroChina Master_WIP(20-F update)_Sinopec MSTR" xfId="6078" xr:uid="{00000000-0005-0000-0000-0000D5120000}"/>
    <cellStyle name="—_report1198tables_Summary_PetroChina Master_WIP(20-F update)_Sinopec MSTR Wip" xfId="6079" xr:uid="{00000000-0005-0000-0000-0000D6120000}"/>
    <cellStyle name="—_report1198tables_Summary_PetroChina Master_WIP(20-F update)_Sinopec MSTR_WIP_KK" xfId="6080" xr:uid="{00000000-0005-0000-0000-0000D7120000}"/>
    <cellStyle name="—_report1198tables_tables_99" xfId="4015" xr:uid="{00000000-0005-0000-0000-0000D8120000}"/>
    <cellStyle name="—_report1198tables_tables_99 2" xfId="6081" xr:uid="{00000000-0005-0000-0000-0000D9120000}"/>
    <cellStyle name="—_report1198tables_tables_99_Beta" xfId="6082" xr:uid="{00000000-0005-0000-0000-0000DA120000}"/>
    <cellStyle name="—_report1198tables_tables_99_Book7" xfId="4016" xr:uid="{00000000-0005-0000-0000-0000DB120000}"/>
    <cellStyle name="—_report1198tables_tables_99_Book7_new-Sub" xfId="4017" xr:uid="{00000000-0005-0000-0000-0000DC120000}"/>
    <cellStyle name="—_report1198tables_tables_99_Cashflow" xfId="6083" xr:uid="{00000000-0005-0000-0000-0000DD120000}"/>
    <cellStyle name="—_report1198tables_tables_99_Cashflow_Honghua MSTR" xfId="6084" xr:uid="{00000000-0005-0000-0000-0000DE120000}"/>
    <cellStyle name="—_report1198tables_tables_99_DoCoMo table 10July2000" xfId="4018" xr:uid="{00000000-0005-0000-0000-0000DF120000}"/>
    <cellStyle name="—_report1198tables_tables_99_earnings" xfId="4019" xr:uid="{00000000-0005-0000-0000-0000E0120000}"/>
    <cellStyle name="—_report1198tables_tables_99_earnings_new-Sub" xfId="4020" xr:uid="{00000000-0005-0000-0000-0000E1120000}"/>
    <cellStyle name="—_report1198tables_tables_99_EM_FETone_new" xfId="4021" xr:uid="{00000000-0005-0000-0000-0000E2120000}"/>
    <cellStyle name="—_report1198tables_tables_99_EM_FETone_new_new-Sub" xfId="4022" xr:uid="{00000000-0005-0000-0000-0000E3120000}"/>
    <cellStyle name="—_report1198tables_tables_99_EM_TCC_new" xfId="4023" xr:uid="{00000000-0005-0000-0000-0000E4120000}"/>
    <cellStyle name="—_report1198tables_tables_99_EM_TCC_new_new-Sub" xfId="4024" xr:uid="{00000000-0005-0000-0000-0000E5120000}"/>
    <cellStyle name="—_report1198tables_tables_99_honam -Quantum 220704" xfId="6085" xr:uid="{00000000-0005-0000-0000-0000E6120000}"/>
    <cellStyle name="—_report1198tables_tables_99_Kelvin_SKT_dividend_Mar10_2003" xfId="6086" xr:uid="{00000000-0005-0000-0000-0000E7120000}"/>
    <cellStyle name="—_report1198tables_tables_99_Kelvin_SKT_dividend_Mar10_2003_Beta" xfId="6087" xr:uid="{00000000-0005-0000-0000-0000E8120000}"/>
    <cellStyle name="—_report1198tables_tables_99_Kelvin_SKT_dividend_Mar10_2003_Cashflow" xfId="6088" xr:uid="{00000000-0005-0000-0000-0000E9120000}"/>
    <cellStyle name="—_report1198tables_tables_99_Kelvin_SKT_dividend_Mar10_2003_Cashflow_Honghua MSTR" xfId="6089" xr:uid="{00000000-0005-0000-0000-0000EA120000}"/>
    <cellStyle name="—_report1198tables_tables_99_Kelvin_SKT_dividend_Mar10_2003_P&amp;L" xfId="6090" xr:uid="{00000000-0005-0000-0000-0000EB120000}"/>
    <cellStyle name="—_report1198tables_tables_99_Kelvin_SKT_dividend_Mar10_2003_P&amp;L_Honghua MSTR" xfId="6091" xr:uid="{00000000-0005-0000-0000-0000EC120000}"/>
    <cellStyle name="—_report1198tables_tables_99_Kelvin_SKT_dividend_Mar10_2003_PetroChina Master" xfId="6092" xr:uid="{00000000-0005-0000-0000-0000ED120000}"/>
    <cellStyle name="—_report1198tables_tables_99_Kelvin_SKT_dividend_Mar10_2003_PetroChina Master_WIP(20-F update)" xfId="6093" xr:uid="{00000000-0005-0000-0000-0000EE120000}"/>
    <cellStyle name="—_report1198tables_tables_99_Kelvin_SKT_dividend_Mar10_2003_PetroChina Master_WIP(20-F update)_Cashflow" xfId="6094" xr:uid="{00000000-0005-0000-0000-0000EF120000}"/>
    <cellStyle name="—_report1198tables_tables_99_Kelvin_SKT_dividend_Mar10_2003_PetroChina Master_WIP(20-F update)_Cashflow_Honghua MSTR" xfId="6095" xr:uid="{00000000-0005-0000-0000-0000F0120000}"/>
    <cellStyle name="—_report1198tables_tables_99_Kelvin_SKT_dividend_Mar10_2003_PetroChina Master_WIP(20-F update)_P&amp;L" xfId="6096" xr:uid="{00000000-0005-0000-0000-0000F1120000}"/>
    <cellStyle name="—_report1198tables_tables_99_Kelvin_SKT_dividend_Mar10_2003_PetroChina Master_WIP(20-F update)_P&amp;L_Honghua MSTR" xfId="6097" xr:uid="{00000000-0005-0000-0000-0000F2120000}"/>
    <cellStyle name="—_report1198tables_tables_99_Kelvin_SKT_dividend_Mar10_2003_PetroChina Master_WIP(20-F update)_Sinopec MSTR" xfId="6098" xr:uid="{00000000-0005-0000-0000-0000F3120000}"/>
    <cellStyle name="—_report1198tables_tables_99_Kelvin_SKT_dividend_Mar10_2003_PetroChina Master_WIP(20-F update)_Sinopec MSTR Wip" xfId="6099" xr:uid="{00000000-0005-0000-0000-0000F4120000}"/>
    <cellStyle name="—_report1198tables_tables_99_Kelvin_SKT_dividend_Mar10_2003_PetroChina Master_WIP(20-F update)_Sinopec MSTR_WIP_KK" xfId="6100" xr:uid="{00000000-0005-0000-0000-0000F5120000}"/>
    <cellStyle name="—_report1198tables_tables_99_Kelvin_SKT_dividend_Mar10_2003_Sinopec MSTR" xfId="6101" xr:uid="{00000000-0005-0000-0000-0000F6120000}"/>
    <cellStyle name="—_report1198tables_tables_99_new-Sub" xfId="4025" xr:uid="{00000000-0005-0000-0000-0000F7120000}"/>
    <cellStyle name="—_report1198tables_tables_99_operating stats comp" xfId="4026" xr:uid="{00000000-0005-0000-0000-0000F8120000}"/>
    <cellStyle name="—_report1198tables_tables_99_operating stats comp_new-Sub" xfId="4027" xr:uid="{00000000-0005-0000-0000-0000F9120000}"/>
    <cellStyle name="—_report1198tables_tables_99_P&amp;L" xfId="6102" xr:uid="{00000000-0005-0000-0000-0000FA120000}"/>
    <cellStyle name="—_report1198tables_tables_99_P&amp;L_Honghua MSTR" xfId="6103" xr:uid="{00000000-0005-0000-0000-0000FB120000}"/>
    <cellStyle name="—_report1198tables_tables_99_PetroChina Master" xfId="6104" xr:uid="{00000000-0005-0000-0000-0000FC120000}"/>
    <cellStyle name="—_report1198tables_tables_99_PetroChina Master_WIP(20-F update)" xfId="6105" xr:uid="{00000000-0005-0000-0000-0000FD120000}"/>
    <cellStyle name="—_report1198tables_tables_99_PetroChina Master_WIP(20-F update)_Cashflow" xfId="6106" xr:uid="{00000000-0005-0000-0000-0000FE120000}"/>
    <cellStyle name="—_report1198tables_tables_99_PetroChina Master_WIP(20-F update)_Cashflow_Honghua MSTR" xfId="6107" xr:uid="{00000000-0005-0000-0000-0000FF120000}"/>
    <cellStyle name="—_report1198tables_tables_99_PetroChina Master_WIP(20-F update)_P&amp;L" xfId="6108" xr:uid="{00000000-0005-0000-0000-000000130000}"/>
    <cellStyle name="—_report1198tables_tables_99_PetroChina Master_WIP(20-F update)_P&amp;L_Honghua MSTR" xfId="6109" xr:uid="{00000000-0005-0000-0000-000001130000}"/>
    <cellStyle name="—_report1198tables_tables_99_PetroChina Master_WIP(20-F update)_Sinopec MSTR" xfId="6110" xr:uid="{00000000-0005-0000-0000-000002130000}"/>
    <cellStyle name="—_report1198tables_tables_99_PetroChina Master_WIP(20-F update)_Sinopec MSTR Wip" xfId="6111" xr:uid="{00000000-0005-0000-0000-000003130000}"/>
    <cellStyle name="—_report1198tables_tables_99_PetroChina Master_WIP(20-F update)_Sinopec MSTR_WIP_KK" xfId="6112" xr:uid="{00000000-0005-0000-0000-000004130000}"/>
    <cellStyle name="—_report1198tables_tables_99_Sinopec MSTR" xfId="6113" xr:uid="{00000000-0005-0000-0000-000005130000}"/>
    <cellStyle name="—_report1198tables_tables_99_SK COrp - Quantum 290704" xfId="6114" xr:uid="{00000000-0005-0000-0000-000006130000}"/>
    <cellStyle name="—_report1198tables_tables_99_S-Oil-Quantum 260704" xfId="6115" xr:uid="{00000000-0005-0000-0000-000007130000}"/>
    <cellStyle name="—_report1198tables_tables_99_S-Oil-Quantum 260704_Beta" xfId="6116" xr:uid="{00000000-0005-0000-0000-000008130000}"/>
    <cellStyle name="—_report1198tables_tables_99_S-Oil-Quantum 260704_Cashflow" xfId="6117" xr:uid="{00000000-0005-0000-0000-000009130000}"/>
    <cellStyle name="—_report1198tables_tables_99_S-Oil-Quantum 260704_Cashflow_Honghua MSTR" xfId="6118" xr:uid="{00000000-0005-0000-0000-00000A130000}"/>
    <cellStyle name="—_report1198tables_tables_99_S-Oil-Quantum 260704_P&amp;L" xfId="6119" xr:uid="{00000000-0005-0000-0000-00000B130000}"/>
    <cellStyle name="—_report1198tables_tables_99_S-Oil-Quantum 260704_P&amp;L_Honghua MSTR" xfId="6120" xr:uid="{00000000-0005-0000-0000-00000C130000}"/>
    <cellStyle name="—_report1198tables_tables_99_S-Oil-Quantum 260704_PetroChina Master" xfId="6121" xr:uid="{00000000-0005-0000-0000-00000D130000}"/>
    <cellStyle name="—_report1198tables_tables_99_S-Oil-Quantum 260704_PetroChina Master_WIP(20-F update)" xfId="6122" xr:uid="{00000000-0005-0000-0000-00000E130000}"/>
    <cellStyle name="—_report1198tables_tables_99_S-Oil-Quantum 260704_PetroChina Master_WIP(20-F update)_Cashflow" xfId="6123" xr:uid="{00000000-0005-0000-0000-00000F130000}"/>
    <cellStyle name="—_report1198tables_tables_99_S-Oil-Quantum 260704_PetroChina Master_WIP(20-F update)_Cashflow_Honghua MSTR" xfId="6124" xr:uid="{00000000-0005-0000-0000-000010130000}"/>
    <cellStyle name="—_report1198tables_tables_99_S-Oil-Quantum 260704_PetroChina Master_WIP(20-F update)_P&amp;L" xfId="6125" xr:uid="{00000000-0005-0000-0000-000011130000}"/>
    <cellStyle name="—_report1198tables_tables_99_S-Oil-Quantum 260704_PetroChina Master_WIP(20-F update)_P&amp;L_Honghua MSTR" xfId="6126" xr:uid="{00000000-0005-0000-0000-000012130000}"/>
    <cellStyle name="—_report1198tables_tables_99_S-Oil-Quantum 260704_PetroChina Master_WIP(20-F update)_Sinopec MSTR" xfId="6127" xr:uid="{00000000-0005-0000-0000-000013130000}"/>
    <cellStyle name="—_report1198tables_tables_99_S-Oil-Quantum 260704_PetroChina Master_WIP(20-F update)_Sinopec MSTR Wip" xfId="6128" xr:uid="{00000000-0005-0000-0000-000014130000}"/>
    <cellStyle name="—_report1198tables_tables_99_S-Oil-Quantum 260704_PetroChina Master_WIP(20-F update)_Sinopec MSTR_WIP_KK" xfId="6129" xr:uid="{00000000-0005-0000-0000-000015130000}"/>
    <cellStyle name="—_report1198tables_tables_99_S-Oil-Quantum 260704_Sinopec MSTR" xfId="6130" xr:uid="{00000000-0005-0000-0000-000016130000}"/>
    <cellStyle name="—_report1198tables_tables_99_Strategy_data_update" xfId="4028" xr:uid="{00000000-0005-0000-0000-000017130000}"/>
    <cellStyle name="—_report1198tables_tables_99_Strategy_data_update_new-Sub" xfId="4029" xr:uid="{00000000-0005-0000-0000-000018130000}"/>
    <cellStyle name="—_Results_DCF ANALYSIS_HPI " xfId="5" xr:uid="{00000000-0005-0000-0000-000019130000}"/>
    <cellStyle name="—_Results_Rmb_HPI " xfId="6" xr:uid="{00000000-0005-0000-0000-00001A130000}"/>
    <cellStyle name="—_Results_SH_HPI " xfId="7" xr:uid="{00000000-0005-0000-0000-00001B130000}"/>
    <cellStyle name="_Revenue" xfId="6132" xr:uid="{00000000-0005-0000-0000-00001C130000}"/>
    <cellStyle name="—_Revenue" xfId="4030" xr:uid="{00000000-0005-0000-0000-00001D130000}"/>
    <cellStyle name="_Revenue  2004 to 2006 by product  draft Mar 27 2007" xfId="4031" xr:uid="{00000000-0005-0000-0000-00001E130000}"/>
    <cellStyle name="_Revenue Contract  2004 to 2006 avg # of contracts (2)" xfId="4032" xr:uid="{00000000-0005-0000-0000-00001F130000}"/>
    <cellStyle name="_Revenue LFT China  first draft 2007" xfId="4033" xr:uid="{00000000-0005-0000-0000-000020130000}"/>
    <cellStyle name="—_Revenues" xfId="4034" xr:uid="{00000000-0005-0000-0000-000021130000}"/>
    <cellStyle name="—_Revenues_new-Sub" xfId="4035" xr:uid="{00000000-0005-0000-0000-000022130000}"/>
    <cellStyle name="—_RSA" xfId="4036" xr:uid="{00000000-0005-0000-0000-000023130000}"/>
    <cellStyle name="—_RSA 2" xfId="6133" xr:uid="{00000000-0005-0000-0000-000024130000}"/>
    <cellStyle name="—_RSA_Beta" xfId="6134" xr:uid="{00000000-0005-0000-0000-000025130000}"/>
    <cellStyle name="—_RSA_Book7" xfId="4037" xr:uid="{00000000-0005-0000-0000-000026130000}"/>
    <cellStyle name="—_RSA_Book7_new-Sub" xfId="4038" xr:uid="{00000000-0005-0000-0000-000027130000}"/>
    <cellStyle name="—_RSA_Cashflow" xfId="6135" xr:uid="{00000000-0005-0000-0000-000028130000}"/>
    <cellStyle name="—_RSA_Cashflow_Honghua MSTR" xfId="6136" xr:uid="{00000000-0005-0000-0000-000029130000}"/>
    <cellStyle name="—_RSA_DoCoMo table 10July2000" xfId="4039" xr:uid="{00000000-0005-0000-0000-00002A130000}"/>
    <cellStyle name="—_RSA_DoCoMo table 10July2000_new-Sub" xfId="4040" xr:uid="{00000000-0005-0000-0000-00002B130000}"/>
    <cellStyle name="—_RSA_earnings" xfId="4041" xr:uid="{00000000-0005-0000-0000-00002C130000}"/>
    <cellStyle name="—_RSA_earnings_new-Sub" xfId="4042" xr:uid="{00000000-0005-0000-0000-00002D130000}"/>
    <cellStyle name="—_RSA_EM_CMHK" xfId="4043" xr:uid="{00000000-0005-0000-0000-00002E130000}"/>
    <cellStyle name="—_RSA_EM_CMHK_new-Sub" xfId="4044" xr:uid="{00000000-0005-0000-0000-00002F130000}"/>
    <cellStyle name="—_RSA_EM_FETone_new" xfId="4045" xr:uid="{00000000-0005-0000-0000-000030130000}"/>
    <cellStyle name="—_RSA_EM_FETone_new_new-Sub" xfId="4046" xr:uid="{00000000-0005-0000-0000-000031130000}"/>
    <cellStyle name="—_RSA_EM_TCC_new" xfId="4047" xr:uid="{00000000-0005-0000-0000-000032130000}"/>
    <cellStyle name="—_RSA_EM_TCC_new_new-Sub" xfId="4048" xr:uid="{00000000-0005-0000-0000-000033130000}"/>
    <cellStyle name="—_RSA_honam -Quantum 220704" xfId="6137" xr:uid="{00000000-0005-0000-0000-000034130000}"/>
    <cellStyle name="—_RSA_Kelvin_SKT_dividend_Mar10_2003" xfId="6138" xr:uid="{00000000-0005-0000-0000-000035130000}"/>
    <cellStyle name="—_RSA_Kelvin_SKT_dividend_Mar10_2003_Beta" xfId="6139" xr:uid="{00000000-0005-0000-0000-000036130000}"/>
    <cellStyle name="—_RSA_Kelvin_SKT_dividend_Mar10_2003_Cashflow" xfId="6140" xr:uid="{00000000-0005-0000-0000-000037130000}"/>
    <cellStyle name="—_RSA_Kelvin_SKT_dividend_Mar10_2003_Cashflow_Honghua MSTR" xfId="6141" xr:uid="{00000000-0005-0000-0000-000038130000}"/>
    <cellStyle name="—_RSA_Kelvin_SKT_dividend_Mar10_2003_P&amp;L" xfId="6142" xr:uid="{00000000-0005-0000-0000-000039130000}"/>
    <cellStyle name="—_RSA_Kelvin_SKT_dividend_Mar10_2003_P&amp;L_Honghua MSTR" xfId="6143" xr:uid="{00000000-0005-0000-0000-00003A130000}"/>
    <cellStyle name="—_RSA_Kelvin_SKT_dividend_Mar10_2003_PetroChina Master" xfId="6144" xr:uid="{00000000-0005-0000-0000-00003B130000}"/>
    <cellStyle name="—_RSA_Kelvin_SKT_dividend_Mar10_2003_PetroChina Master_WIP(20-F update)" xfId="6145" xr:uid="{00000000-0005-0000-0000-00003C130000}"/>
    <cellStyle name="—_RSA_Kelvin_SKT_dividend_Mar10_2003_PetroChina Master_WIP(20-F update)_Cashflow" xfId="6146" xr:uid="{00000000-0005-0000-0000-00003D130000}"/>
    <cellStyle name="—_RSA_Kelvin_SKT_dividend_Mar10_2003_PetroChina Master_WIP(20-F update)_Cashflow_Honghua MSTR" xfId="6147" xr:uid="{00000000-0005-0000-0000-00003E130000}"/>
    <cellStyle name="—_RSA_Kelvin_SKT_dividend_Mar10_2003_PetroChina Master_WIP(20-F update)_P&amp;L" xfId="6148" xr:uid="{00000000-0005-0000-0000-00003F130000}"/>
    <cellStyle name="—_RSA_Kelvin_SKT_dividend_Mar10_2003_PetroChina Master_WIP(20-F update)_P&amp;L_Honghua MSTR" xfId="6149" xr:uid="{00000000-0005-0000-0000-000040130000}"/>
    <cellStyle name="—_RSA_Kelvin_SKT_dividend_Mar10_2003_PetroChina Master_WIP(20-F update)_Sinopec MSTR" xfId="6150" xr:uid="{00000000-0005-0000-0000-000041130000}"/>
    <cellStyle name="—_RSA_Kelvin_SKT_dividend_Mar10_2003_PetroChina Master_WIP(20-F update)_Sinopec MSTR Wip" xfId="6151" xr:uid="{00000000-0005-0000-0000-000042130000}"/>
    <cellStyle name="—_RSA_Kelvin_SKT_dividend_Mar10_2003_PetroChina Master_WIP(20-F update)_Sinopec MSTR_WIP_KK" xfId="6152" xr:uid="{00000000-0005-0000-0000-000043130000}"/>
    <cellStyle name="—_RSA_Kelvin_SKT_dividend_Mar10_2003_Sinopec MSTR" xfId="6153" xr:uid="{00000000-0005-0000-0000-000044130000}"/>
    <cellStyle name="—_RSA_new-Sub" xfId="4049" xr:uid="{00000000-0005-0000-0000-000045130000}"/>
    <cellStyle name="—_RSA_operating stats comp" xfId="4050" xr:uid="{00000000-0005-0000-0000-000046130000}"/>
    <cellStyle name="—_RSA_operating stats comp_new-Sub" xfId="4051" xr:uid="{00000000-0005-0000-0000-000047130000}"/>
    <cellStyle name="—_RSA_P&amp;L" xfId="6154" xr:uid="{00000000-0005-0000-0000-000048130000}"/>
    <cellStyle name="—_RSA_P&amp;L_Honghua MSTR" xfId="6155" xr:uid="{00000000-0005-0000-0000-000049130000}"/>
    <cellStyle name="—_RSA_PetroChina Master" xfId="6156" xr:uid="{00000000-0005-0000-0000-00004A130000}"/>
    <cellStyle name="—_RSA_PetroChina Master_WIP(20-F update)" xfId="6157" xr:uid="{00000000-0005-0000-0000-00004B130000}"/>
    <cellStyle name="—_RSA_PetroChina Master_WIP(20-F update)_Cashflow" xfId="6158" xr:uid="{00000000-0005-0000-0000-00004C130000}"/>
    <cellStyle name="—_RSA_PetroChina Master_WIP(20-F update)_Cashflow_Honghua MSTR" xfId="6159" xr:uid="{00000000-0005-0000-0000-00004D130000}"/>
    <cellStyle name="—_RSA_PetroChina Master_WIP(20-F update)_P&amp;L" xfId="6160" xr:uid="{00000000-0005-0000-0000-00004E130000}"/>
    <cellStyle name="—_RSA_PetroChina Master_WIP(20-F update)_P&amp;L_Honghua MSTR" xfId="6161" xr:uid="{00000000-0005-0000-0000-00004F130000}"/>
    <cellStyle name="—_RSA_PetroChina Master_WIP(20-F update)_Sinopec MSTR" xfId="6162" xr:uid="{00000000-0005-0000-0000-000050130000}"/>
    <cellStyle name="—_RSA_PetroChina Master_WIP(20-F update)_Sinopec MSTR Wip" xfId="6163" xr:uid="{00000000-0005-0000-0000-000051130000}"/>
    <cellStyle name="—_RSA_PetroChina Master_WIP(20-F update)_Sinopec MSTR_WIP_KK" xfId="6164" xr:uid="{00000000-0005-0000-0000-000052130000}"/>
    <cellStyle name="—_RSA_Sinopec MSTR" xfId="6165" xr:uid="{00000000-0005-0000-0000-000053130000}"/>
    <cellStyle name="—_RSA_SK COrp - Quantum 290704" xfId="6166" xr:uid="{00000000-0005-0000-0000-000054130000}"/>
    <cellStyle name="—_RSA_S-Oil-Quantum 260704" xfId="6167" xr:uid="{00000000-0005-0000-0000-000055130000}"/>
    <cellStyle name="—_RSA_S-Oil-Quantum 260704_Beta" xfId="6168" xr:uid="{00000000-0005-0000-0000-000056130000}"/>
    <cellStyle name="—_RSA_S-Oil-Quantum 260704_Cashflow" xfId="6169" xr:uid="{00000000-0005-0000-0000-000057130000}"/>
    <cellStyle name="—_RSA_S-Oil-Quantum 260704_Cashflow_Honghua MSTR" xfId="6170" xr:uid="{00000000-0005-0000-0000-000058130000}"/>
    <cellStyle name="—_RSA_S-Oil-Quantum 260704_P&amp;L" xfId="6171" xr:uid="{00000000-0005-0000-0000-000059130000}"/>
    <cellStyle name="—_RSA_S-Oil-Quantum 260704_P&amp;L_Honghua MSTR" xfId="6172" xr:uid="{00000000-0005-0000-0000-00005A130000}"/>
    <cellStyle name="—_RSA_S-Oil-Quantum 260704_PetroChina Master" xfId="6173" xr:uid="{00000000-0005-0000-0000-00005B130000}"/>
    <cellStyle name="—_RSA_S-Oil-Quantum 260704_PetroChina Master_WIP(20-F update)" xfId="6174" xr:uid="{00000000-0005-0000-0000-00005C130000}"/>
    <cellStyle name="—_RSA_S-Oil-Quantum 260704_PetroChina Master_WIP(20-F update)_Cashflow" xfId="6175" xr:uid="{00000000-0005-0000-0000-00005D130000}"/>
    <cellStyle name="—_RSA_S-Oil-Quantum 260704_PetroChina Master_WIP(20-F update)_Cashflow_Honghua MSTR" xfId="6176" xr:uid="{00000000-0005-0000-0000-00005E130000}"/>
    <cellStyle name="—_RSA_S-Oil-Quantum 260704_PetroChina Master_WIP(20-F update)_P&amp;L" xfId="6177" xr:uid="{00000000-0005-0000-0000-00005F130000}"/>
    <cellStyle name="—_RSA_S-Oil-Quantum 260704_PetroChina Master_WIP(20-F update)_P&amp;L_Honghua MSTR" xfId="6178" xr:uid="{00000000-0005-0000-0000-000060130000}"/>
    <cellStyle name="—_RSA_S-Oil-Quantum 260704_PetroChina Master_WIP(20-F update)_Sinopec MSTR" xfId="6179" xr:uid="{00000000-0005-0000-0000-000061130000}"/>
    <cellStyle name="—_RSA_S-Oil-Quantum 260704_PetroChina Master_WIP(20-F update)_Sinopec MSTR Wip" xfId="6180" xr:uid="{00000000-0005-0000-0000-000062130000}"/>
    <cellStyle name="—_RSA_S-Oil-Quantum 260704_PetroChina Master_WIP(20-F update)_Sinopec MSTR_WIP_KK" xfId="6181" xr:uid="{00000000-0005-0000-0000-000063130000}"/>
    <cellStyle name="—_RSA_S-Oil-Quantum 260704_Sinopec MSTR" xfId="6182" xr:uid="{00000000-0005-0000-0000-000064130000}"/>
    <cellStyle name="—_RSA_Strategy_data_update" xfId="4052" xr:uid="{00000000-0005-0000-0000-000065130000}"/>
    <cellStyle name="—_RSA_Strategy_data_update_new-Sub" xfId="4053" xr:uid="{00000000-0005-0000-0000-000066130000}"/>
    <cellStyle name="_Sales" xfId="6183" xr:uid="{00000000-0005-0000-0000-000067130000}"/>
    <cellStyle name="_Semi-Annual Revenue Assumpt (2)" xfId="6184" xr:uid="{00000000-0005-0000-0000-000068130000}"/>
    <cellStyle name="_Shandong Gold W" xfId="6185" xr:uid="{00000000-0005-0000-0000-000069130000}"/>
    <cellStyle name="_Shandong Gold_P_100423" xfId="6186" xr:uid="{00000000-0005-0000-0000-00006A130000}"/>
    <cellStyle name="_Shanxi Nanliang FS 03 04" xfId="6187" xr:uid="{00000000-0005-0000-0000-00006B130000}"/>
    <cellStyle name="_Sheet1" xfId="6188" xr:uid="{00000000-0005-0000-0000-00006C130000}"/>
    <cellStyle name="—_Sheet1" xfId="6189" xr:uid="{00000000-0005-0000-0000-00006D130000}"/>
    <cellStyle name="_Sheet1_Honghua MSTR" xfId="6190" xr:uid="{00000000-0005-0000-0000-00006E130000}"/>
    <cellStyle name="_Sheet2" xfId="6191" xr:uid="{00000000-0005-0000-0000-00006F130000}"/>
    <cellStyle name="_Sheet2_Honghua MSTR" xfId="6192" xr:uid="{00000000-0005-0000-0000-000070130000}"/>
    <cellStyle name="_Shenzhen Zhonggin Lingnan_June 2009" xfId="6193" xr:uid="{00000000-0005-0000-0000-000071130000}"/>
    <cellStyle name="_Shenzhen Zhonggin Lingnan_May 2009_v3" xfId="6194" xr:uid="{00000000-0005-0000-0000-000072130000}"/>
    <cellStyle name="_Shenzhen Zhongjin Lingnan_June 2009" xfId="6195" xr:uid="{00000000-0005-0000-0000-000073130000}"/>
    <cellStyle name="_Shenzhen Zhongjin Lingnan_June 2009_WIP" xfId="6196" xr:uid="{00000000-0005-0000-0000-000074130000}"/>
    <cellStyle name="_Sichuan Hongda_July 2009" xfId="6197" xr:uid="{00000000-0005-0000-0000-000075130000}"/>
    <cellStyle name="_Sichuan Hongda_July 2009 (version 5)" xfId="6198" xr:uid="{00000000-0005-0000-0000-000076130000}"/>
    <cellStyle name="_Sichuan Hongda-11" xfId="6199" xr:uid="{00000000-0005-0000-0000-000077130000}"/>
    <cellStyle name="_Sinopec MSTR" xfId="6200" xr:uid="{00000000-0005-0000-0000-000078130000}"/>
    <cellStyle name="—_Sinopec MSTR" xfId="6201" xr:uid="{00000000-0005-0000-0000-000079130000}"/>
    <cellStyle name="—_SK COrp - Quantum 290704" xfId="6202" xr:uid="{00000000-0005-0000-0000-00007A130000}"/>
    <cellStyle name="—_SK MSTR" xfId="6203" xr:uid="{00000000-0005-0000-0000-00007B130000}"/>
    <cellStyle name="—_SK MSTR Wip" xfId="6204" xr:uid="{00000000-0005-0000-0000-00007C130000}"/>
    <cellStyle name="—_SK MSTR_Beta" xfId="6205" xr:uid="{00000000-0005-0000-0000-00007D130000}"/>
    <cellStyle name="—_SK MSTR_Cashflow" xfId="6206" xr:uid="{00000000-0005-0000-0000-00007E130000}"/>
    <cellStyle name="—_SK MSTR_Cashflow_Honghua MSTR" xfId="6207" xr:uid="{00000000-0005-0000-0000-00007F130000}"/>
    <cellStyle name="—_SK MSTR_P&amp;L" xfId="6208" xr:uid="{00000000-0005-0000-0000-000080130000}"/>
    <cellStyle name="—_SK MSTR_P&amp;L_Honghua MSTR" xfId="6209" xr:uid="{00000000-0005-0000-0000-000081130000}"/>
    <cellStyle name="—_SK MSTR_PetroChina Master" xfId="6210" xr:uid="{00000000-0005-0000-0000-000082130000}"/>
    <cellStyle name="—_SK MSTR_PetroChina Master_WIP(20-F update)" xfId="6211" xr:uid="{00000000-0005-0000-0000-000083130000}"/>
    <cellStyle name="—_SK MSTR_PetroChina Master_WIP(20-F update)_Cashflow" xfId="6212" xr:uid="{00000000-0005-0000-0000-000084130000}"/>
    <cellStyle name="—_SK MSTR_PetroChina Master_WIP(20-F update)_Cashflow_Honghua MSTR" xfId="6213" xr:uid="{00000000-0005-0000-0000-000085130000}"/>
    <cellStyle name="—_SK MSTR_PetroChina Master_WIP(20-F update)_P&amp;L" xfId="6214" xr:uid="{00000000-0005-0000-0000-000086130000}"/>
    <cellStyle name="—_SK MSTR_PetroChina Master_WIP(20-F update)_P&amp;L_Honghua MSTR" xfId="6215" xr:uid="{00000000-0005-0000-0000-000087130000}"/>
    <cellStyle name="—_SK MSTR_PetroChina Master_WIP(20-F update)_Sinopec MSTR" xfId="6216" xr:uid="{00000000-0005-0000-0000-000088130000}"/>
    <cellStyle name="—_SK MSTR_PetroChina Master_WIP(20-F update)_Sinopec MSTR Wip" xfId="6217" xr:uid="{00000000-0005-0000-0000-000089130000}"/>
    <cellStyle name="—_SK MSTR_PetroChina Master_WIP(20-F update)_Sinopec MSTR_WIP_KK" xfId="6218" xr:uid="{00000000-0005-0000-0000-00008A130000}"/>
    <cellStyle name="—_SK MSTR_Sinopec MSTR" xfId="6219" xr:uid="{00000000-0005-0000-0000-00008B130000}"/>
    <cellStyle name="—_S-Oil Master" xfId="6220" xr:uid="{00000000-0005-0000-0000-00008C130000}"/>
    <cellStyle name="—_S-Oil Master KK New" xfId="6221" xr:uid="{00000000-0005-0000-0000-00008D130000}"/>
    <cellStyle name="—_S-Oil Master KK New_Beta" xfId="6222" xr:uid="{00000000-0005-0000-0000-00008E130000}"/>
    <cellStyle name="—_S-Oil Master KK New_Cashflow" xfId="6223" xr:uid="{00000000-0005-0000-0000-00008F130000}"/>
    <cellStyle name="—_S-Oil Master KK New_Cashflow_Honghua MSTR" xfId="6224" xr:uid="{00000000-0005-0000-0000-000090130000}"/>
    <cellStyle name="—_S-Oil Master KK New_P&amp;L" xfId="6225" xr:uid="{00000000-0005-0000-0000-000091130000}"/>
    <cellStyle name="—_S-Oil Master KK New_P&amp;L_Honghua MSTR" xfId="6226" xr:uid="{00000000-0005-0000-0000-000092130000}"/>
    <cellStyle name="—_S-Oil Master KK New_PetroChina Master" xfId="6227" xr:uid="{00000000-0005-0000-0000-000093130000}"/>
    <cellStyle name="—_S-Oil Master KK New_PetroChina Master_WIP(20-F update)" xfId="6228" xr:uid="{00000000-0005-0000-0000-000094130000}"/>
    <cellStyle name="—_S-Oil Master KK New_PetroChina Master_WIP(20-F update)_Cashflow" xfId="6229" xr:uid="{00000000-0005-0000-0000-000095130000}"/>
    <cellStyle name="—_S-Oil Master KK New_PetroChina Master_WIP(20-F update)_Cashflow_Honghua MSTR" xfId="6230" xr:uid="{00000000-0005-0000-0000-000096130000}"/>
    <cellStyle name="—_S-Oil Master KK New_PetroChina Master_WIP(20-F update)_P&amp;L" xfId="6231" xr:uid="{00000000-0005-0000-0000-000097130000}"/>
    <cellStyle name="—_S-Oil Master KK New_PetroChina Master_WIP(20-F update)_P&amp;L_Honghua MSTR" xfId="6232" xr:uid="{00000000-0005-0000-0000-000098130000}"/>
    <cellStyle name="—_S-Oil Master KK New_PetroChina Master_WIP(20-F update)_Sinopec MSTR" xfId="6233" xr:uid="{00000000-0005-0000-0000-000099130000}"/>
    <cellStyle name="—_S-Oil Master KK New_PetroChina Master_WIP(20-F update)_Sinopec MSTR Wip" xfId="6234" xr:uid="{00000000-0005-0000-0000-00009A130000}"/>
    <cellStyle name="—_S-Oil Master KK New_PetroChina Master_WIP(20-F update)_Sinopec MSTR_WIP_KK" xfId="6235" xr:uid="{00000000-0005-0000-0000-00009B130000}"/>
    <cellStyle name="—_S-Oil Master KK New_Sinopec MSTR" xfId="6236" xr:uid="{00000000-0005-0000-0000-00009C130000}"/>
    <cellStyle name="—_S-Oil Master_Beta" xfId="6237" xr:uid="{00000000-0005-0000-0000-00009D130000}"/>
    <cellStyle name="—_S-Oil Master_Cashflow" xfId="6238" xr:uid="{00000000-0005-0000-0000-00009E130000}"/>
    <cellStyle name="—_S-Oil Master_Cashflow_Honghua MSTR" xfId="6239" xr:uid="{00000000-0005-0000-0000-00009F130000}"/>
    <cellStyle name="—_S-Oil Master_P&amp;L" xfId="6240" xr:uid="{00000000-0005-0000-0000-0000A0130000}"/>
    <cellStyle name="—_S-Oil Master_P&amp;L_Honghua MSTR" xfId="6241" xr:uid="{00000000-0005-0000-0000-0000A1130000}"/>
    <cellStyle name="—_S-Oil Master_PetroChina Master" xfId="6242" xr:uid="{00000000-0005-0000-0000-0000A2130000}"/>
    <cellStyle name="—_S-Oil Master_PetroChina Master_WIP(20-F update)" xfId="6243" xr:uid="{00000000-0005-0000-0000-0000A3130000}"/>
    <cellStyle name="—_S-Oil Master_PetroChina Master_WIP(20-F update)_Cashflow" xfId="6244" xr:uid="{00000000-0005-0000-0000-0000A4130000}"/>
    <cellStyle name="—_S-Oil Master_PetroChina Master_WIP(20-F update)_Cashflow_Honghua MSTR" xfId="6245" xr:uid="{00000000-0005-0000-0000-0000A5130000}"/>
    <cellStyle name="—_S-Oil Master_PetroChina Master_WIP(20-F update)_P&amp;L" xfId="6246" xr:uid="{00000000-0005-0000-0000-0000A6130000}"/>
    <cellStyle name="—_S-Oil Master_PetroChina Master_WIP(20-F update)_P&amp;L_Honghua MSTR" xfId="6247" xr:uid="{00000000-0005-0000-0000-0000A7130000}"/>
    <cellStyle name="—_S-Oil Master_PetroChina Master_WIP(20-F update)_Sinopec MSTR" xfId="6248" xr:uid="{00000000-0005-0000-0000-0000A8130000}"/>
    <cellStyle name="—_S-Oil Master_PetroChina Master_WIP(20-F update)_Sinopec MSTR Wip" xfId="6249" xr:uid="{00000000-0005-0000-0000-0000A9130000}"/>
    <cellStyle name="—_S-Oil Master_PetroChina Master_WIP(20-F update)_Sinopec MSTR_WIP_KK" xfId="6250" xr:uid="{00000000-0005-0000-0000-0000AA130000}"/>
    <cellStyle name="—_S-Oil Master_Sinopec MSTR" xfId="6251" xr:uid="{00000000-0005-0000-0000-0000AB130000}"/>
    <cellStyle name="—_S-Oil-Quantum 260704" xfId="6252" xr:uid="{00000000-0005-0000-0000-0000AC130000}"/>
    <cellStyle name="—_S-Oil-Quantum 260704_Beta" xfId="6253" xr:uid="{00000000-0005-0000-0000-0000AD130000}"/>
    <cellStyle name="—_S-Oil-Quantum 260704_Cashflow" xfId="6254" xr:uid="{00000000-0005-0000-0000-0000AE130000}"/>
    <cellStyle name="—_S-Oil-Quantum 260704_Cashflow_Honghua MSTR" xfId="6255" xr:uid="{00000000-0005-0000-0000-0000AF130000}"/>
    <cellStyle name="—_S-Oil-Quantum 260704_P&amp;L" xfId="6256" xr:uid="{00000000-0005-0000-0000-0000B0130000}"/>
    <cellStyle name="—_S-Oil-Quantum 260704_P&amp;L_Honghua MSTR" xfId="6257" xr:uid="{00000000-0005-0000-0000-0000B1130000}"/>
    <cellStyle name="—_S-Oil-Quantum 260704_PetroChina Master" xfId="6258" xr:uid="{00000000-0005-0000-0000-0000B2130000}"/>
    <cellStyle name="—_S-Oil-Quantum 260704_PetroChina Master_WIP(20-F update)" xfId="6259" xr:uid="{00000000-0005-0000-0000-0000B3130000}"/>
    <cellStyle name="—_S-Oil-Quantum 260704_PetroChina Master_WIP(20-F update)_Cashflow" xfId="6260" xr:uid="{00000000-0005-0000-0000-0000B4130000}"/>
    <cellStyle name="—_S-Oil-Quantum 260704_PetroChina Master_WIP(20-F update)_Cashflow_Honghua MSTR" xfId="6261" xr:uid="{00000000-0005-0000-0000-0000B5130000}"/>
    <cellStyle name="—_S-Oil-Quantum 260704_PetroChina Master_WIP(20-F update)_P&amp;L" xfId="6262" xr:uid="{00000000-0005-0000-0000-0000B6130000}"/>
    <cellStyle name="—_S-Oil-Quantum 260704_PetroChina Master_WIP(20-F update)_P&amp;L_Honghua MSTR" xfId="6263" xr:uid="{00000000-0005-0000-0000-0000B7130000}"/>
    <cellStyle name="—_S-Oil-Quantum 260704_PetroChina Master_WIP(20-F update)_Sinopec MSTR" xfId="6264" xr:uid="{00000000-0005-0000-0000-0000B8130000}"/>
    <cellStyle name="—_S-Oil-Quantum 260704_PetroChina Master_WIP(20-F update)_Sinopec MSTR Wip" xfId="6265" xr:uid="{00000000-0005-0000-0000-0000B9130000}"/>
    <cellStyle name="—_S-Oil-Quantum 260704_PetroChina Master_WIP(20-F update)_Sinopec MSTR_WIP_KK" xfId="6266" xr:uid="{00000000-0005-0000-0000-0000BA130000}"/>
    <cellStyle name="—_S-Oil-Quantum 260704_Sinopec MSTR" xfId="6267" xr:uid="{00000000-0005-0000-0000-0000BB130000}"/>
    <cellStyle name="—_S-Oil-Quantum 260704_Sinopec MSTR Wip" xfId="6268" xr:uid="{00000000-0005-0000-0000-0000BC130000}"/>
    <cellStyle name="—_S-Oil-Quantum 260704_Sinopec MSTR_WIP_KK" xfId="6269" xr:uid="{00000000-0005-0000-0000-0000BD130000}"/>
    <cellStyle name="—_S-Oil-Quantum 260704_Sinopec MSTR-WIP_20F update" xfId="6270" xr:uid="{00000000-0005-0000-0000-0000BE130000}"/>
    <cellStyle name="—_ST 1H03 results handout" xfId="4054" xr:uid="{00000000-0005-0000-0000-0000BF130000}"/>
    <cellStyle name="—_ST 1H03 results handout_new-Sub" xfId="4055" xr:uid="{00000000-0005-0000-0000-0000C0130000}"/>
    <cellStyle name="_Stock plan report  Q2 2007  V1 Aug  23  2007" xfId="4056" xr:uid="{00000000-0005-0000-0000-0000C1130000}"/>
    <cellStyle name="_Stock plan report  Q4 2006   April  11 07 for stock comp calculation" xfId="4057" xr:uid="{00000000-0005-0000-0000-0000C2130000}"/>
    <cellStyle name="_strategic volume_working" xfId="8" xr:uid="{00000000-0005-0000-0000-0000C3130000}"/>
    <cellStyle name="—_Strategy_data_update" xfId="4058" xr:uid="{00000000-0005-0000-0000-0000C4130000}"/>
    <cellStyle name="—_Strategy_data_update_new-Sub" xfId="4059" xr:uid="{00000000-0005-0000-0000-0000C5130000}"/>
    <cellStyle name="_Sub" xfId="4060" xr:uid="{00000000-0005-0000-0000-0000C6130000}"/>
    <cellStyle name="_SubHeading" xfId="4061" xr:uid="{00000000-0005-0000-0000-0000C7130000}"/>
    <cellStyle name="_SubHeading_Ability to Pay Analysis" xfId="7539" xr:uid="{00000000-0005-0000-0000-0000C8130000}"/>
    <cellStyle name="_SubHeading_BankUnited Model" xfId="7540" xr:uid="{00000000-0005-0000-0000-0000C9130000}"/>
    <cellStyle name="_SubHeading_fmbi counties" xfId="7541" xr:uid="{00000000-0005-0000-0000-0000CA130000}"/>
    <cellStyle name="_SubHeading_FMBI MBHI Graphs" xfId="7542" xr:uid="{00000000-0005-0000-0000-0000CB130000}"/>
    <cellStyle name="_SubHeading_FMBI MBHI Graphs 07102001" xfId="7543" xr:uid="{00000000-0005-0000-0000-0000CC130000}"/>
    <cellStyle name="_SubHeading_FMBI MBHI Graphs_7601" xfId="7544" xr:uid="{00000000-0005-0000-0000-0000CD130000}"/>
    <cellStyle name="_SubHeading_prestemp" xfId="7545" xr:uid="{00000000-0005-0000-0000-0000CE130000}"/>
    <cellStyle name="_SubHeading_prestemp_Insurance Brokerage CSC_1Q2002" xfId="7546" xr:uid="{00000000-0005-0000-0000-0000CF130000}"/>
    <cellStyle name="_SubHeading_prestemp_Overview3" xfId="7547" xr:uid="{00000000-0005-0000-0000-0000D0130000}"/>
    <cellStyle name="_SubHeading_prestemp_Updated Valuation Changes" xfId="7548" xr:uid="{00000000-0005-0000-0000-0000D1130000}"/>
    <cellStyle name="_SubHeading_xratio - historical mkt val" xfId="7549" xr:uid="{00000000-0005-0000-0000-0000D2130000}"/>
    <cellStyle name="_Table" xfId="4062" xr:uid="{00000000-0005-0000-0000-0000D3130000}"/>
    <cellStyle name="_Table 2" xfId="7802" xr:uid="{00000000-0005-0000-0000-0000D4130000}"/>
    <cellStyle name="_Table_Ability to Pay Analysis" xfId="7550" xr:uid="{00000000-0005-0000-0000-0000D5130000}"/>
    <cellStyle name="_Table_Ability to Pay Analysis 2" xfId="7803" xr:uid="{00000000-0005-0000-0000-0000D6130000}"/>
    <cellStyle name="_Table_BankUnited Model" xfId="7551" xr:uid="{00000000-0005-0000-0000-0000D7130000}"/>
    <cellStyle name="_Table_BankUnited Model 2" xfId="7822" xr:uid="{00000000-0005-0000-0000-0000D8130000}"/>
    <cellStyle name="_Table_BankUnited Model 3" xfId="7823" xr:uid="{00000000-0005-0000-0000-0000D9130000}"/>
    <cellStyle name="_Table_BankUnited Model 4" xfId="7824" xr:uid="{00000000-0005-0000-0000-0000DA130000}"/>
    <cellStyle name="_Table_fmbi counties" xfId="7552" xr:uid="{00000000-0005-0000-0000-0000DB130000}"/>
    <cellStyle name="_Table_fmbi counties 2" xfId="7804" xr:uid="{00000000-0005-0000-0000-0000DC130000}"/>
    <cellStyle name="_Table_xratio - historical mkt val" xfId="7553" xr:uid="{00000000-0005-0000-0000-0000DD130000}"/>
    <cellStyle name="_Table_xratio - historical mkt val 2" xfId="7805" xr:uid="{00000000-0005-0000-0000-0000DE130000}"/>
    <cellStyle name="_TableHead" xfId="4063" xr:uid="{00000000-0005-0000-0000-0000DF130000}"/>
    <cellStyle name="_TableRowHead" xfId="4064" xr:uid="{00000000-0005-0000-0000-0000E0130000}"/>
    <cellStyle name="_TableSuperHead" xfId="4065" xr:uid="{00000000-0005-0000-0000-0000E1130000}"/>
    <cellStyle name="_TableSuperHead_Ability to Pay Analysis" xfId="7554" xr:uid="{00000000-0005-0000-0000-0000E2130000}"/>
    <cellStyle name="_TableSuperHead_BankUnited Model" xfId="7555" xr:uid="{00000000-0005-0000-0000-0000E3130000}"/>
    <cellStyle name="_TableSuperHead_fmbi counties" xfId="7556" xr:uid="{00000000-0005-0000-0000-0000E4130000}"/>
    <cellStyle name="_TableSuperHead_xratio - historical mkt val" xfId="7557" xr:uid="{00000000-0005-0000-0000-0000E5130000}"/>
    <cellStyle name="—_Telecom quarterly_final" xfId="6271" xr:uid="{00000000-0005-0000-0000-0000E6130000}"/>
    <cellStyle name="—_Telecom quarterly_final_PetroChina Master_WIP(20-F update)" xfId="6272" xr:uid="{00000000-0005-0000-0000-0000E7130000}"/>
    <cellStyle name="—_Telecom quarterly_final_Sinopec MSTR" xfId="6273" xr:uid="{00000000-0005-0000-0000-0000E8130000}"/>
    <cellStyle name="—_Telecom quarterly_final_Sinopec MSTR Wip" xfId="6274" xr:uid="{00000000-0005-0000-0000-0000E9130000}"/>
    <cellStyle name="—_Telecom quarterly_final_Sinopec MSTR_WIP_KK" xfId="6275" xr:uid="{00000000-0005-0000-0000-0000EA130000}"/>
    <cellStyle name="—_Telecom quarterly_final_Sinopec MSTR-WIP_20F update" xfId="6276" xr:uid="{00000000-0005-0000-0000-0000EB130000}"/>
    <cellStyle name="—_Thai Gas Prices NAV" xfId="6277" xr:uid="{00000000-0005-0000-0000-0000EC130000}"/>
    <cellStyle name="—_Thai Gas Prices NAV_PetroChina Master_WIP(20-F update)" xfId="6278" xr:uid="{00000000-0005-0000-0000-0000ED130000}"/>
    <cellStyle name="—_Thai Gas Prices NAV_PetroChina Master_WIP(20-F update)_Cashflow" xfId="6279" xr:uid="{00000000-0005-0000-0000-0000EE130000}"/>
    <cellStyle name="—_Thai Gas Prices NAV_PetroChina Master_WIP(20-F update)_P&amp;L" xfId="6280" xr:uid="{00000000-0005-0000-0000-0000EF130000}"/>
    <cellStyle name="—_Thai Gas Prices NAV_Sinopec MSTR" xfId="6281" xr:uid="{00000000-0005-0000-0000-0000F0130000}"/>
    <cellStyle name="—_Thai Gas Prices NAV_Sinopec MSTR Wip" xfId="6282" xr:uid="{00000000-0005-0000-0000-0000F1130000}"/>
    <cellStyle name="—_Thai Gas Prices NAV_Sinopec MSTR_WIP_KK" xfId="6283" xr:uid="{00000000-0005-0000-0000-0000F2130000}"/>
    <cellStyle name="—_Thai Gas Prices NAV_Sinopec MSTR-WIP_20F update" xfId="6284" xr:uid="{00000000-0005-0000-0000-0000F3130000}"/>
    <cellStyle name="_TSMC cons Model-WIP" xfId="10903" xr:uid="{00000000-0005-0000-0000-0000F4130000}"/>
    <cellStyle name="_Valuation" xfId="6285" xr:uid="{00000000-0005-0000-0000-0000F5130000}"/>
    <cellStyle name="_Western by country" xfId="10904" xr:uid="{00000000-0005-0000-0000-0000F6130000}"/>
    <cellStyle name="_Western Mining_May 2009_v2" xfId="6286" xr:uid="{00000000-0005-0000-0000-0000F7130000}"/>
    <cellStyle name="_Western Mining_May 2009_v9" xfId="6287" xr:uid="{00000000-0005-0000-0000-0000F8130000}"/>
    <cellStyle name="_Yunnan Chihong Zinc &amp; Germanium_April 2009" xfId="6288" xr:uid="{00000000-0005-0000-0000-0000F9130000}"/>
    <cellStyle name="_Yunnan Chihong Zinc &amp; Germanium_June 2009_WIP" xfId="6289" xr:uid="{00000000-0005-0000-0000-0000FA130000}"/>
    <cellStyle name="_Yunnan Chihong Zinc &amp; Germanium_May 2009_v8" xfId="6290" xr:uid="{00000000-0005-0000-0000-0000FB130000}"/>
    <cellStyle name="_Zhongjin Gold_W" xfId="6291" xr:uid="{00000000-0005-0000-0000-0000FC130000}"/>
    <cellStyle name="_ZTE wip raw data" xfId="4066" xr:uid="{00000000-0005-0000-0000-0000FD130000}"/>
    <cellStyle name="_ZTE_072508" xfId="10905" xr:uid="{00000000-0005-0000-0000-0000FE130000}"/>
    <cellStyle name="_中国神华model070720" xfId="6299" xr:uid="{00000000-0005-0000-0000-0000FF130000}"/>
    <cellStyle name="_中国神华业A+H股模型－new" xfId="6300" xr:uid="{00000000-0005-0000-0000-000000140000}"/>
    <cellStyle name="_中国神华业绩预测模板RAWS20071009" xfId="6301" xr:uid="{00000000-0005-0000-0000-000001140000}"/>
    <cellStyle name="_中煤能源A+H股model－working" xfId="6302" xr:uid="{00000000-0005-0000-0000-000002140000}"/>
    <cellStyle name="_兖州煤业AH业绩预测RAWS－working" xfId="6297" xr:uid="{00000000-0005-0000-0000-000003140000}"/>
    <cellStyle name="_兖州煤业业绩预测模板20070411" xfId="6298" xr:uid="{00000000-0005-0000-0000-000004140000}"/>
    <cellStyle name="_开滦股份业绩预测模板RAWS20071218" xfId="6295" xr:uid="{00000000-0005-0000-0000-000005140000}"/>
    <cellStyle name="_狭义乘用车" xfId="9" xr:uid="{00000000-0005-0000-0000-000006140000}"/>
    <cellStyle name="_西藏矿业-working" xfId="6296" xr:uid="{00000000-0005-0000-0000-000007140000}"/>
    <cellStyle name="_软件产品－ip" xfId="4067" xr:uid="{00000000-0005-0000-0000-000008140000}"/>
    <cellStyle name="_辰州矿业002155-模型" xfId="6292" xr:uid="{00000000-0005-0000-0000-000009140000}"/>
    <cellStyle name="_辰州矿业model-working0711" xfId="6293" xr:uid="{00000000-0005-0000-0000-00000A140000}"/>
    <cellStyle name="_辰州矿业-假设" xfId="6294" xr:uid="{00000000-0005-0000-0000-00000B140000}"/>
    <cellStyle name="_销售收入预测人力需求成本费用_070902 to derek draft 1" xfId="4068" xr:uid="{00000000-0005-0000-0000-00000C140000}"/>
    <cellStyle name="{Comma [0]}" xfId="4069" xr:uid="{00000000-0005-0000-0000-00000D140000}"/>
    <cellStyle name="{Comma}" xfId="4070" xr:uid="{00000000-0005-0000-0000-00000E140000}"/>
    <cellStyle name="{Date}" xfId="4071" xr:uid="{00000000-0005-0000-0000-00000F140000}"/>
    <cellStyle name="{Month}" xfId="4072" xr:uid="{00000000-0005-0000-0000-000010140000}"/>
    <cellStyle name="{Percent}" xfId="4073" xr:uid="{00000000-0005-0000-0000-000011140000}"/>
    <cellStyle name="{Thousand [0]}" xfId="4074" xr:uid="{00000000-0005-0000-0000-000012140000}"/>
    <cellStyle name="{Thousand}" xfId="4075" xr:uid="{00000000-0005-0000-0000-000013140000}"/>
    <cellStyle name="{Z'0000(1 dec)}" xfId="4076" xr:uid="{00000000-0005-0000-0000-000014140000}"/>
    <cellStyle name="{Z'0000(4 dec)}" xfId="4077" xr:uid="{00000000-0005-0000-0000-000015140000}"/>
    <cellStyle name="£ BP" xfId="4078" xr:uid="{00000000-0005-0000-0000-000016140000}"/>
    <cellStyle name="¥ JY" xfId="4079" xr:uid="{00000000-0005-0000-0000-000017140000}"/>
    <cellStyle name="§Q\?1@" xfId="10" xr:uid="{00000000-0005-0000-0000-000018140000}"/>
    <cellStyle name="§Q\òm1@À" xfId="10906" xr:uid="{00000000-0005-0000-0000-000019140000}"/>
    <cellStyle name="¶W³sµ²" xfId="6305" xr:uid="{00000000-0005-0000-0000-00001A140000}"/>
    <cellStyle name="•W€_iij_base_bs" xfId="10907" xr:uid="{00000000-0005-0000-0000-00001B140000}"/>
    <cellStyle name="0%" xfId="4080" xr:uid="{00000000-0005-0000-0000-00001C140000}"/>
    <cellStyle name="0% 2" xfId="6306" xr:uid="{00000000-0005-0000-0000-00001D140000}"/>
    <cellStyle name="0% 3" xfId="7261" xr:uid="{00000000-0005-0000-0000-00001E140000}"/>
    <cellStyle name="0,0_x000a__x000a_NA_x000a__x000a_" xfId="4081" xr:uid="{00000000-0005-0000-0000-00001F140000}"/>
    <cellStyle name="0,0_x000a__x000a_NA_x000a__x000a_ 2" xfId="6307" xr:uid="{00000000-0005-0000-0000-000020140000}"/>
    <cellStyle name="0,0_x000d__x000a_NA_x000d__x000a_" xfId="4189" xr:uid="{00000000-0005-0000-0000-000021140000}"/>
    <cellStyle name="0,0_x000d__x000a_NA_x000d__x000a_ 2" xfId="6308" xr:uid="{00000000-0005-0000-0000-000022140000}"/>
    <cellStyle name="0.0%" xfId="4082" xr:uid="{00000000-0005-0000-0000-000023140000}"/>
    <cellStyle name="0.0% 2" xfId="6309" xr:uid="{00000000-0005-0000-0000-000024140000}"/>
    <cellStyle name="0.0% 3" xfId="7262" xr:uid="{00000000-0005-0000-0000-000025140000}"/>
    <cellStyle name="0.00%" xfId="4083" xr:uid="{00000000-0005-0000-0000-000026140000}"/>
    <cellStyle name="0.00% 2" xfId="6310" xr:uid="{00000000-0005-0000-0000-000027140000}"/>
    <cellStyle name="0.00% 3" xfId="7263" xr:uid="{00000000-0005-0000-0000-000028140000}"/>
    <cellStyle name="1 Decimal" xfId="4084" xr:uid="{00000000-0005-0000-0000-000029140000}"/>
    <cellStyle name="1 Decimal 2" xfId="6311" xr:uid="{00000000-0005-0000-0000-00002A140000}"/>
    <cellStyle name="1 decimal 3" xfId="7264" xr:uid="{00000000-0005-0000-0000-00002B140000}"/>
    <cellStyle name="1,000" xfId="4085" xr:uid="{00000000-0005-0000-0000-00002C140000}"/>
    <cellStyle name="1,000x" xfId="4086" xr:uid="{00000000-0005-0000-0000-00002D140000}"/>
    <cellStyle name="1,000x 2" xfId="6312" xr:uid="{00000000-0005-0000-0000-00002E140000}"/>
    <cellStyle name="1,comma" xfId="7825" xr:uid="{00000000-0005-0000-0000-00002F140000}"/>
    <cellStyle name="2 decimal" xfId="7265" xr:uid="{00000000-0005-0000-0000-000030140000}"/>
    <cellStyle name="2 Decimals" xfId="4087" xr:uid="{00000000-0005-0000-0000-000031140000}"/>
    <cellStyle name="20% - Accent1 2" xfId="11" xr:uid="{00000000-0005-0000-0000-000032140000}"/>
    <cellStyle name="20% - Accent1 3" xfId="6313" xr:uid="{00000000-0005-0000-0000-000033140000}"/>
    <cellStyle name="20% - Accent1 4" xfId="7826" xr:uid="{00000000-0005-0000-0000-000034140000}"/>
    <cellStyle name="20% - Accent2 2" xfId="12" xr:uid="{00000000-0005-0000-0000-000035140000}"/>
    <cellStyle name="20% - Accent2 3" xfId="6314" xr:uid="{00000000-0005-0000-0000-000036140000}"/>
    <cellStyle name="20% - Accent2 4" xfId="7827" xr:uid="{00000000-0005-0000-0000-000037140000}"/>
    <cellStyle name="20% - Accent3 2" xfId="13" xr:uid="{00000000-0005-0000-0000-000038140000}"/>
    <cellStyle name="20% - Accent3 3" xfId="6315" xr:uid="{00000000-0005-0000-0000-000039140000}"/>
    <cellStyle name="20% - Accent3 4" xfId="7828" xr:uid="{00000000-0005-0000-0000-00003A140000}"/>
    <cellStyle name="20% - Accent4 2" xfId="14" xr:uid="{00000000-0005-0000-0000-00003B140000}"/>
    <cellStyle name="20% - Accent4 3" xfId="6316" xr:uid="{00000000-0005-0000-0000-00003C140000}"/>
    <cellStyle name="20% - Accent4 4" xfId="7829" xr:uid="{00000000-0005-0000-0000-00003D140000}"/>
    <cellStyle name="20% - Accent5 2" xfId="15" xr:uid="{00000000-0005-0000-0000-00003E140000}"/>
    <cellStyle name="20% - Accent5 3" xfId="6317" xr:uid="{00000000-0005-0000-0000-00003F140000}"/>
    <cellStyle name="20% - Accent5 4" xfId="7830" xr:uid="{00000000-0005-0000-0000-000040140000}"/>
    <cellStyle name="20% - Accent6 2" xfId="16" xr:uid="{00000000-0005-0000-0000-000041140000}"/>
    <cellStyle name="20% - Accent6 3" xfId="6318" xr:uid="{00000000-0005-0000-0000-000042140000}"/>
    <cellStyle name="20% - Accent6 4" xfId="7831" xr:uid="{00000000-0005-0000-0000-000043140000}"/>
    <cellStyle name="20% - 强调文字颜色 1" xfId="17" xr:uid="{00000000-0005-0000-0000-000044140000}"/>
    <cellStyle name="20% - 强调文字颜色 2" xfId="18" xr:uid="{00000000-0005-0000-0000-000045140000}"/>
    <cellStyle name="20% - 强调文字颜色 3" xfId="19" xr:uid="{00000000-0005-0000-0000-000046140000}"/>
    <cellStyle name="20% - 强调文字颜色 4" xfId="20" xr:uid="{00000000-0005-0000-0000-000047140000}"/>
    <cellStyle name="20% - 强调文字颜色 5" xfId="21" xr:uid="{00000000-0005-0000-0000-000048140000}"/>
    <cellStyle name="20% - 强调文字颜色 6" xfId="22" xr:uid="{00000000-0005-0000-0000-000049140000}"/>
    <cellStyle name="3 Decimals" xfId="4088" xr:uid="{00000000-0005-0000-0000-00004A140000}"/>
    <cellStyle name="3 Decimals 2" xfId="6319" xr:uid="{00000000-0005-0000-0000-00004B140000}"/>
    <cellStyle name="3?1?_REF" xfId="4089" xr:uid="{00000000-0005-0000-0000-00004C140000}"/>
    <cellStyle name="3￡1?_REFF" xfId="4090" xr:uid="{00000000-0005-0000-0000-00004D140000}"/>
    <cellStyle name="33" xfId="6320" xr:uid="{00000000-0005-0000-0000-00004E140000}"/>
    <cellStyle name="³f¹ô [0]_0999Comm Group consol" xfId="6321" xr:uid="{00000000-0005-0000-0000-00004F140000}"/>
    <cellStyle name="³f¹ô_0999Comm Group consol" xfId="6322" xr:uid="{00000000-0005-0000-0000-000050140000}"/>
    <cellStyle name="40% - Accent1 2" xfId="23" xr:uid="{00000000-0005-0000-0000-000051140000}"/>
    <cellStyle name="40% - Accent1 3" xfId="6323" xr:uid="{00000000-0005-0000-0000-000052140000}"/>
    <cellStyle name="40% - Accent1 4" xfId="7832" xr:uid="{00000000-0005-0000-0000-000053140000}"/>
    <cellStyle name="40% - Accent2 2" xfId="24" xr:uid="{00000000-0005-0000-0000-000054140000}"/>
    <cellStyle name="40% - Accent2 3" xfId="6324" xr:uid="{00000000-0005-0000-0000-000055140000}"/>
    <cellStyle name="40% - Accent2 4" xfId="7833" xr:uid="{00000000-0005-0000-0000-000056140000}"/>
    <cellStyle name="40% - Accent3 2" xfId="25" xr:uid="{00000000-0005-0000-0000-000057140000}"/>
    <cellStyle name="40% - Accent3 3" xfId="6325" xr:uid="{00000000-0005-0000-0000-000058140000}"/>
    <cellStyle name="40% - Accent3 4" xfId="7834" xr:uid="{00000000-0005-0000-0000-000059140000}"/>
    <cellStyle name="40% - Accent4 2" xfId="26" xr:uid="{00000000-0005-0000-0000-00005A140000}"/>
    <cellStyle name="40% - Accent4 3" xfId="6326" xr:uid="{00000000-0005-0000-0000-00005B140000}"/>
    <cellStyle name="40% - Accent4 4" xfId="7835" xr:uid="{00000000-0005-0000-0000-00005C140000}"/>
    <cellStyle name="40% - Accent5 2" xfId="27" xr:uid="{00000000-0005-0000-0000-00005D140000}"/>
    <cellStyle name="40% - Accent5 3" xfId="6327" xr:uid="{00000000-0005-0000-0000-00005E140000}"/>
    <cellStyle name="40% - Accent5 4" xfId="7836" xr:uid="{00000000-0005-0000-0000-00005F140000}"/>
    <cellStyle name="40% - Accent6 2" xfId="28" xr:uid="{00000000-0005-0000-0000-000060140000}"/>
    <cellStyle name="40% - Accent6 3" xfId="6328" xr:uid="{00000000-0005-0000-0000-000061140000}"/>
    <cellStyle name="40% - Accent6 4" xfId="7837" xr:uid="{00000000-0005-0000-0000-000062140000}"/>
    <cellStyle name="40% - 强调文字颜色 1" xfId="29" xr:uid="{00000000-0005-0000-0000-000063140000}"/>
    <cellStyle name="40% - 强调文字颜色 2" xfId="30" xr:uid="{00000000-0005-0000-0000-000064140000}"/>
    <cellStyle name="40% - 强调文字颜色 3" xfId="31" xr:uid="{00000000-0005-0000-0000-000065140000}"/>
    <cellStyle name="40% - 强调文字颜色 4" xfId="32" xr:uid="{00000000-0005-0000-0000-000066140000}"/>
    <cellStyle name="40% - 强调文字颜色 5" xfId="33" xr:uid="{00000000-0005-0000-0000-000067140000}"/>
    <cellStyle name="40% - 强调文字颜色 6" xfId="34" xr:uid="{00000000-0005-0000-0000-000068140000}"/>
    <cellStyle name="60% - Accent1 2" xfId="35" xr:uid="{00000000-0005-0000-0000-000069140000}"/>
    <cellStyle name="60% - Accent1 3" xfId="6329" xr:uid="{00000000-0005-0000-0000-00006A140000}"/>
    <cellStyle name="60% - Accent1 4" xfId="7838" xr:uid="{00000000-0005-0000-0000-00006B140000}"/>
    <cellStyle name="60% - Accent2 2" xfId="36" xr:uid="{00000000-0005-0000-0000-00006C140000}"/>
    <cellStyle name="60% - Accent2 3" xfId="6330" xr:uid="{00000000-0005-0000-0000-00006D140000}"/>
    <cellStyle name="60% - Accent2 4" xfId="7839" xr:uid="{00000000-0005-0000-0000-00006E140000}"/>
    <cellStyle name="60% - Accent3 2" xfId="37" xr:uid="{00000000-0005-0000-0000-00006F140000}"/>
    <cellStyle name="60% - Accent3 3" xfId="6331" xr:uid="{00000000-0005-0000-0000-000070140000}"/>
    <cellStyle name="60% - Accent3 4" xfId="7840" xr:uid="{00000000-0005-0000-0000-000071140000}"/>
    <cellStyle name="60% - Accent4 2" xfId="38" xr:uid="{00000000-0005-0000-0000-000072140000}"/>
    <cellStyle name="60% - Accent4 3" xfId="6332" xr:uid="{00000000-0005-0000-0000-000073140000}"/>
    <cellStyle name="60% - Accent4 4" xfId="7841" xr:uid="{00000000-0005-0000-0000-000074140000}"/>
    <cellStyle name="60% - Accent5 2" xfId="39" xr:uid="{00000000-0005-0000-0000-000075140000}"/>
    <cellStyle name="60% - Accent5 3" xfId="6333" xr:uid="{00000000-0005-0000-0000-000076140000}"/>
    <cellStyle name="60% - Accent5 4" xfId="7842" xr:uid="{00000000-0005-0000-0000-000077140000}"/>
    <cellStyle name="60% - Accent6 2" xfId="40" xr:uid="{00000000-0005-0000-0000-000078140000}"/>
    <cellStyle name="60% - Accent6 3" xfId="6334" xr:uid="{00000000-0005-0000-0000-000079140000}"/>
    <cellStyle name="60% - Accent6 4" xfId="7843" xr:uid="{00000000-0005-0000-0000-00007A140000}"/>
    <cellStyle name="60% - 强调文字颜色 1" xfId="41" xr:uid="{00000000-0005-0000-0000-00007B140000}"/>
    <cellStyle name="60% - 强调文字颜色 2" xfId="42" xr:uid="{00000000-0005-0000-0000-00007C140000}"/>
    <cellStyle name="60% - 强调文字颜色 3" xfId="43" xr:uid="{00000000-0005-0000-0000-00007D140000}"/>
    <cellStyle name="60% - 强调文字颜色 4" xfId="44" xr:uid="{00000000-0005-0000-0000-00007E140000}"/>
    <cellStyle name="60% - 强调文字颜色 5" xfId="45" xr:uid="{00000000-0005-0000-0000-00007F140000}"/>
    <cellStyle name="60% - 强调文字颜色 6" xfId="46" xr:uid="{00000000-0005-0000-0000-000080140000}"/>
    <cellStyle name="Accent1 - 20%" xfId="47" xr:uid="{00000000-0005-0000-0000-000081140000}"/>
    <cellStyle name="Accent1 - 20% 10" xfId="48" xr:uid="{00000000-0005-0000-0000-000082140000}"/>
    <cellStyle name="Accent1 - 20% 11" xfId="49" xr:uid="{00000000-0005-0000-0000-000083140000}"/>
    <cellStyle name="Accent1 - 20% 12" xfId="50" xr:uid="{00000000-0005-0000-0000-000084140000}"/>
    <cellStyle name="Accent1 - 20% 13" xfId="51" xr:uid="{00000000-0005-0000-0000-000085140000}"/>
    <cellStyle name="Accent1 - 20% 14" xfId="52" xr:uid="{00000000-0005-0000-0000-000086140000}"/>
    <cellStyle name="Accent1 - 20% 15" xfId="53" xr:uid="{00000000-0005-0000-0000-000087140000}"/>
    <cellStyle name="Accent1 - 20% 16" xfId="54" xr:uid="{00000000-0005-0000-0000-000088140000}"/>
    <cellStyle name="Accent1 - 20% 17" xfId="55" xr:uid="{00000000-0005-0000-0000-000089140000}"/>
    <cellStyle name="Accent1 - 20% 18" xfId="56" xr:uid="{00000000-0005-0000-0000-00008A140000}"/>
    <cellStyle name="Accent1 - 20% 19" xfId="57" xr:uid="{00000000-0005-0000-0000-00008B140000}"/>
    <cellStyle name="Accent1 - 20% 2" xfId="58" xr:uid="{00000000-0005-0000-0000-00008C140000}"/>
    <cellStyle name="Accent1 - 20% 20" xfId="59" xr:uid="{00000000-0005-0000-0000-00008D140000}"/>
    <cellStyle name="Accent1 - 20% 3" xfId="60" xr:uid="{00000000-0005-0000-0000-00008E140000}"/>
    <cellStyle name="Accent1 - 20% 4" xfId="61" xr:uid="{00000000-0005-0000-0000-00008F140000}"/>
    <cellStyle name="Accent1 - 20% 5" xfId="62" xr:uid="{00000000-0005-0000-0000-000090140000}"/>
    <cellStyle name="Accent1 - 20% 6" xfId="63" xr:uid="{00000000-0005-0000-0000-000091140000}"/>
    <cellStyle name="Accent1 - 20% 7" xfId="64" xr:uid="{00000000-0005-0000-0000-000092140000}"/>
    <cellStyle name="Accent1 - 20% 8" xfId="65" xr:uid="{00000000-0005-0000-0000-000093140000}"/>
    <cellStyle name="Accent1 - 20% 9" xfId="66" xr:uid="{00000000-0005-0000-0000-000094140000}"/>
    <cellStyle name="Accent1 - 20%_Sheet2" xfId="67" xr:uid="{00000000-0005-0000-0000-000095140000}"/>
    <cellStyle name="Accent1 - 40%" xfId="68" xr:uid="{00000000-0005-0000-0000-000096140000}"/>
    <cellStyle name="Accent1 - 40% 10" xfId="69" xr:uid="{00000000-0005-0000-0000-000097140000}"/>
    <cellStyle name="Accent1 - 40% 11" xfId="70" xr:uid="{00000000-0005-0000-0000-000098140000}"/>
    <cellStyle name="Accent1 - 40% 12" xfId="71" xr:uid="{00000000-0005-0000-0000-000099140000}"/>
    <cellStyle name="Accent1 - 40% 13" xfId="72" xr:uid="{00000000-0005-0000-0000-00009A140000}"/>
    <cellStyle name="Accent1 - 40% 14" xfId="73" xr:uid="{00000000-0005-0000-0000-00009B140000}"/>
    <cellStyle name="Accent1 - 40% 15" xfId="74" xr:uid="{00000000-0005-0000-0000-00009C140000}"/>
    <cellStyle name="Accent1 - 40% 16" xfId="75" xr:uid="{00000000-0005-0000-0000-00009D140000}"/>
    <cellStyle name="Accent1 - 40% 17" xfId="76" xr:uid="{00000000-0005-0000-0000-00009E140000}"/>
    <cellStyle name="Accent1 - 40% 18" xfId="77" xr:uid="{00000000-0005-0000-0000-00009F140000}"/>
    <cellStyle name="Accent1 - 40% 19" xfId="78" xr:uid="{00000000-0005-0000-0000-0000A0140000}"/>
    <cellStyle name="Accent1 - 40% 2" xfId="79" xr:uid="{00000000-0005-0000-0000-0000A1140000}"/>
    <cellStyle name="Accent1 - 40% 20" xfId="80" xr:uid="{00000000-0005-0000-0000-0000A2140000}"/>
    <cellStyle name="Accent1 - 40% 3" xfId="81" xr:uid="{00000000-0005-0000-0000-0000A3140000}"/>
    <cellStyle name="Accent1 - 40% 4" xfId="82" xr:uid="{00000000-0005-0000-0000-0000A4140000}"/>
    <cellStyle name="Accent1 - 40% 5" xfId="83" xr:uid="{00000000-0005-0000-0000-0000A5140000}"/>
    <cellStyle name="Accent1 - 40% 6" xfId="84" xr:uid="{00000000-0005-0000-0000-0000A6140000}"/>
    <cellStyle name="Accent1 - 40% 7" xfId="85" xr:uid="{00000000-0005-0000-0000-0000A7140000}"/>
    <cellStyle name="Accent1 - 40% 8" xfId="86" xr:uid="{00000000-0005-0000-0000-0000A8140000}"/>
    <cellStyle name="Accent1 - 40% 9" xfId="87" xr:uid="{00000000-0005-0000-0000-0000A9140000}"/>
    <cellStyle name="Accent1 - 40%_Sheet2" xfId="88" xr:uid="{00000000-0005-0000-0000-0000AA140000}"/>
    <cellStyle name="Accent1 - 60%" xfId="89" xr:uid="{00000000-0005-0000-0000-0000AB140000}"/>
    <cellStyle name="Accent1 - 60% 10" xfId="90" xr:uid="{00000000-0005-0000-0000-0000AC140000}"/>
    <cellStyle name="Accent1 - 60% 11" xfId="91" xr:uid="{00000000-0005-0000-0000-0000AD140000}"/>
    <cellStyle name="Accent1 - 60% 12" xfId="92" xr:uid="{00000000-0005-0000-0000-0000AE140000}"/>
    <cellStyle name="Accent1 - 60% 13" xfId="93" xr:uid="{00000000-0005-0000-0000-0000AF140000}"/>
    <cellStyle name="Accent1 - 60% 14" xfId="94" xr:uid="{00000000-0005-0000-0000-0000B0140000}"/>
    <cellStyle name="Accent1 - 60% 15" xfId="95" xr:uid="{00000000-0005-0000-0000-0000B1140000}"/>
    <cellStyle name="Accent1 - 60% 16" xfId="96" xr:uid="{00000000-0005-0000-0000-0000B2140000}"/>
    <cellStyle name="Accent1 - 60% 17" xfId="97" xr:uid="{00000000-0005-0000-0000-0000B3140000}"/>
    <cellStyle name="Accent1 - 60% 18" xfId="98" xr:uid="{00000000-0005-0000-0000-0000B4140000}"/>
    <cellStyle name="Accent1 - 60% 19" xfId="99" xr:uid="{00000000-0005-0000-0000-0000B5140000}"/>
    <cellStyle name="Accent1 - 60% 2" xfId="100" xr:uid="{00000000-0005-0000-0000-0000B6140000}"/>
    <cellStyle name="Accent1 - 60% 20" xfId="101" xr:uid="{00000000-0005-0000-0000-0000B7140000}"/>
    <cellStyle name="Accent1 - 60% 3" xfId="102" xr:uid="{00000000-0005-0000-0000-0000B8140000}"/>
    <cellStyle name="Accent1 - 60% 4" xfId="103" xr:uid="{00000000-0005-0000-0000-0000B9140000}"/>
    <cellStyle name="Accent1 - 60% 5" xfId="104" xr:uid="{00000000-0005-0000-0000-0000BA140000}"/>
    <cellStyle name="Accent1 - 60% 6" xfId="105" xr:uid="{00000000-0005-0000-0000-0000BB140000}"/>
    <cellStyle name="Accent1 - 60% 7" xfId="106" xr:uid="{00000000-0005-0000-0000-0000BC140000}"/>
    <cellStyle name="Accent1 - 60% 8" xfId="107" xr:uid="{00000000-0005-0000-0000-0000BD140000}"/>
    <cellStyle name="Accent1 - 60% 9" xfId="108" xr:uid="{00000000-0005-0000-0000-0000BE140000}"/>
    <cellStyle name="Accent1 - 60%_Sheet2" xfId="109" xr:uid="{00000000-0005-0000-0000-0000BF140000}"/>
    <cellStyle name="Accent1 10" xfId="6792" xr:uid="{00000000-0005-0000-0000-0000C0140000}"/>
    <cellStyle name="Accent1 11" xfId="6826" xr:uid="{00000000-0005-0000-0000-0000C1140000}"/>
    <cellStyle name="Accent1 12" xfId="6772" xr:uid="{00000000-0005-0000-0000-0000C2140000}"/>
    <cellStyle name="Accent1 13" xfId="6805" xr:uid="{00000000-0005-0000-0000-0000C3140000}"/>
    <cellStyle name="Accent1 14" xfId="6765" xr:uid="{00000000-0005-0000-0000-0000C4140000}"/>
    <cellStyle name="Accent1 15" xfId="7844" xr:uid="{00000000-0005-0000-0000-0000C5140000}"/>
    <cellStyle name="Accent1 16" xfId="7845" xr:uid="{00000000-0005-0000-0000-0000C6140000}"/>
    <cellStyle name="Accent1 17" xfId="7846" xr:uid="{00000000-0005-0000-0000-0000C7140000}"/>
    <cellStyle name="Accent1 18" xfId="7847" xr:uid="{00000000-0005-0000-0000-0000C8140000}"/>
    <cellStyle name="Accent1 19" xfId="7848" xr:uid="{00000000-0005-0000-0000-0000C9140000}"/>
    <cellStyle name="Accent1 2" xfId="110" xr:uid="{00000000-0005-0000-0000-0000CA140000}"/>
    <cellStyle name="Accent1 20" xfId="7849" xr:uid="{00000000-0005-0000-0000-0000CB140000}"/>
    <cellStyle name="Accent1 3" xfId="111" xr:uid="{00000000-0005-0000-0000-0000CC140000}"/>
    <cellStyle name="Accent1 4" xfId="6335" xr:uid="{00000000-0005-0000-0000-0000CD140000}"/>
    <cellStyle name="Accent1 5" xfId="6832" xr:uid="{00000000-0005-0000-0000-0000CE140000}"/>
    <cellStyle name="Accent1 6" xfId="6804" xr:uid="{00000000-0005-0000-0000-0000CF140000}"/>
    <cellStyle name="Accent1 7" xfId="6814" xr:uid="{00000000-0005-0000-0000-0000D0140000}"/>
    <cellStyle name="Accent1 8" xfId="6798" xr:uid="{00000000-0005-0000-0000-0000D1140000}"/>
    <cellStyle name="Accent1 9" xfId="6820" xr:uid="{00000000-0005-0000-0000-0000D2140000}"/>
    <cellStyle name="Accent2 - 20%" xfId="112" xr:uid="{00000000-0005-0000-0000-0000D3140000}"/>
    <cellStyle name="Accent2 - 20% 10" xfId="113" xr:uid="{00000000-0005-0000-0000-0000D4140000}"/>
    <cellStyle name="Accent2 - 20% 11" xfId="114" xr:uid="{00000000-0005-0000-0000-0000D5140000}"/>
    <cellStyle name="Accent2 - 20% 12" xfId="115" xr:uid="{00000000-0005-0000-0000-0000D6140000}"/>
    <cellStyle name="Accent2 - 20% 13" xfId="116" xr:uid="{00000000-0005-0000-0000-0000D7140000}"/>
    <cellStyle name="Accent2 - 20% 14" xfId="117" xr:uid="{00000000-0005-0000-0000-0000D8140000}"/>
    <cellStyle name="Accent2 - 20% 15" xfId="118" xr:uid="{00000000-0005-0000-0000-0000D9140000}"/>
    <cellStyle name="Accent2 - 20% 16" xfId="119" xr:uid="{00000000-0005-0000-0000-0000DA140000}"/>
    <cellStyle name="Accent2 - 20% 17" xfId="120" xr:uid="{00000000-0005-0000-0000-0000DB140000}"/>
    <cellStyle name="Accent2 - 20% 18" xfId="121" xr:uid="{00000000-0005-0000-0000-0000DC140000}"/>
    <cellStyle name="Accent2 - 20% 19" xfId="122" xr:uid="{00000000-0005-0000-0000-0000DD140000}"/>
    <cellStyle name="Accent2 - 20% 2" xfId="123" xr:uid="{00000000-0005-0000-0000-0000DE140000}"/>
    <cellStyle name="Accent2 - 20% 20" xfId="124" xr:uid="{00000000-0005-0000-0000-0000DF140000}"/>
    <cellStyle name="Accent2 - 20% 3" xfId="125" xr:uid="{00000000-0005-0000-0000-0000E0140000}"/>
    <cellStyle name="Accent2 - 20% 4" xfId="126" xr:uid="{00000000-0005-0000-0000-0000E1140000}"/>
    <cellStyle name="Accent2 - 20% 5" xfId="127" xr:uid="{00000000-0005-0000-0000-0000E2140000}"/>
    <cellStyle name="Accent2 - 20% 6" xfId="128" xr:uid="{00000000-0005-0000-0000-0000E3140000}"/>
    <cellStyle name="Accent2 - 20% 7" xfId="129" xr:uid="{00000000-0005-0000-0000-0000E4140000}"/>
    <cellStyle name="Accent2 - 20% 8" xfId="130" xr:uid="{00000000-0005-0000-0000-0000E5140000}"/>
    <cellStyle name="Accent2 - 20% 9" xfId="131" xr:uid="{00000000-0005-0000-0000-0000E6140000}"/>
    <cellStyle name="Accent2 - 20%_Sheet2" xfId="132" xr:uid="{00000000-0005-0000-0000-0000E7140000}"/>
    <cellStyle name="Accent2 - 40%" xfId="133" xr:uid="{00000000-0005-0000-0000-0000E8140000}"/>
    <cellStyle name="Accent2 - 40% 10" xfId="134" xr:uid="{00000000-0005-0000-0000-0000E9140000}"/>
    <cellStyle name="Accent2 - 40% 11" xfId="135" xr:uid="{00000000-0005-0000-0000-0000EA140000}"/>
    <cellStyle name="Accent2 - 40% 12" xfId="136" xr:uid="{00000000-0005-0000-0000-0000EB140000}"/>
    <cellStyle name="Accent2 - 40% 13" xfId="137" xr:uid="{00000000-0005-0000-0000-0000EC140000}"/>
    <cellStyle name="Accent2 - 40% 14" xfId="138" xr:uid="{00000000-0005-0000-0000-0000ED140000}"/>
    <cellStyle name="Accent2 - 40% 15" xfId="139" xr:uid="{00000000-0005-0000-0000-0000EE140000}"/>
    <cellStyle name="Accent2 - 40% 16" xfId="140" xr:uid="{00000000-0005-0000-0000-0000EF140000}"/>
    <cellStyle name="Accent2 - 40% 17" xfId="141" xr:uid="{00000000-0005-0000-0000-0000F0140000}"/>
    <cellStyle name="Accent2 - 40% 18" xfId="142" xr:uid="{00000000-0005-0000-0000-0000F1140000}"/>
    <cellStyle name="Accent2 - 40% 19" xfId="143" xr:uid="{00000000-0005-0000-0000-0000F2140000}"/>
    <cellStyle name="Accent2 - 40% 2" xfId="144" xr:uid="{00000000-0005-0000-0000-0000F3140000}"/>
    <cellStyle name="Accent2 - 40% 20" xfId="145" xr:uid="{00000000-0005-0000-0000-0000F4140000}"/>
    <cellStyle name="Accent2 - 40% 3" xfId="146" xr:uid="{00000000-0005-0000-0000-0000F5140000}"/>
    <cellStyle name="Accent2 - 40% 4" xfId="147" xr:uid="{00000000-0005-0000-0000-0000F6140000}"/>
    <cellStyle name="Accent2 - 40% 5" xfId="148" xr:uid="{00000000-0005-0000-0000-0000F7140000}"/>
    <cellStyle name="Accent2 - 40% 6" xfId="149" xr:uid="{00000000-0005-0000-0000-0000F8140000}"/>
    <cellStyle name="Accent2 - 40% 7" xfId="150" xr:uid="{00000000-0005-0000-0000-0000F9140000}"/>
    <cellStyle name="Accent2 - 40% 8" xfId="151" xr:uid="{00000000-0005-0000-0000-0000FA140000}"/>
    <cellStyle name="Accent2 - 40% 9" xfId="152" xr:uid="{00000000-0005-0000-0000-0000FB140000}"/>
    <cellStyle name="Accent2 - 40%_Sheet2" xfId="153" xr:uid="{00000000-0005-0000-0000-0000FC140000}"/>
    <cellStyle name="Accent2 - 60%" xfId="154" xr:uid="{00000000-0005-0000-0000-0000FD140000}"/>
    <cellStyle name="Accent2 - 60% 10" xfId="155" xr:uid="{00000000-0005-0000-0000-0000FE140000}"/>
    <cellStyle name="Accent2 - 60% 11" xfId="156" xr:uid="{00000000-0005-0000-0000-0000FF140000}"/>
    <cellStyle name="Accent2 - 60% 12" xfId="157" xr:uid="{00000000-0005-0000-0000-000000150000}"/>
    <cellStyle name="Accent2 - 60% 13" xfId="158" xr:uid="{00000000-0005-0000-0000-000001150000}"/>
    <cellStyle name="Accent2 - 60% 14" xfId="159" xr:uid="{00000000-0005-0000-0000-000002150000}"/>
    <cellStyle name="Accent2 - 60% 15" xfId="160" xr:uid="{00000000-0005-0000-0000-000003150000}"/>
    <cellStyle name="Accent2 - 60% 16" xfId="161" xr:uid="{00000000-0005-0000-0000-000004150000}"/>
    <cellStyle name="Accent2 - 60% 17" xfId="162" xr:uid="{00000000-0005-0000-0000-000005150000}"/>
    <cellStyle name="Accent2 - 60% 18" xfId="163" xr:uid="{00000000-0005-0000-0000-000006150000}"/>
    <cellStyle name="Accent2 - 60% 19" xfId="164" xr:uid="{00000000-0005-0000-0000-000007150000}"/>
    <cellStyle name="Accent2 - 60% 2" xfId="165" xr:uid="{00000000-0005-0000-0000-000008150000}"/>
    <cellStyle name="Accent2 - 60% 20" xfId="166" xr:uid="{00000000-0005-0000-0000-000009150000}"/>
    <cellStyle name="Accent2 - 60% 3" xfId="167" xr:uid="{00000000-0005-0000-0000-00000A150000}"/>
    <cellStyle name="Accent2 - 60% 4" xfId="168" xr:uid="{00000000-0005-0000-0000-00000B150000}"/>
    <cellStyle name="Accent2 - 60% 5" xfId="169" xr:uid="{00000000-0005-0000-0000-00000C150000}"/>
    <cellStyle name="Accent2 - 60% 6" xfId="170" xr:uid="{00000000-0005-0000-0000-00000D150000}"/>
    <cellStyle name="Accent2 - 60% 7" xfId="171" xr:uid="{00000000-0005-0000-0000-00000E150000}"/>
    <cellStyle name="Accent2 - 60% 8" xfId="172" xr:uid="{00000000-0005-0000-0000-00000F150000}"/>
    <cellStyle name="Accent2 - 60% 9" xfId="173" xr:uid="{00000000-0005-0000-0000-000010150000}"/>
    <cellStyle name="Accent2 - 60%_Sheet2" xfId="174" xr:uid="{00000000-0005-0000-0000-000011150000}"/>
    <cellStyle name="Accent2 10" xfId="6791" xr:uid="{00000000-0005-0000-0000-000012150000}"/>
    <cellStyle name="Accent2 11" xfId="6827" xr:uid="{00000000-0005-0000-0000-000013150000}"/>
    <cellStyle name="Accent2 12" xfId="6771" xr:uid="{00000000-0005-0000-0000-000014150000}"/>
    <cellStyle name="Accent2 13" xfId="6806" xr:uid="{00000000-0005-0000-0000-000015150000}"/>
    <cellStyle name="Accent2 14" xfId="6764" xr:uid="{00000000-0005-0000-0000-000016150000}"/>
    <cellStyle name="Accent2 15" xfId="7850" xr:uid="{00000000-0005-0000-0000-000017150000}"/>
    <cellStyle name="Accent2 16" xfId="7851" xr:uid="{00000000-0005-0000-0000-000018150000}"/>
    <cellStyle name="Accent2 17" xfId="7852" xr:uid="{00000000-0005-0000-0000-000019150000}"/>
    <cellStyle name="Accent2 18" xfId="7853" xr:uid="{00000000-0005-0000-0000-00001A150000}"/>
    <cellStyle name="Accent2 19" xfId="7854" xr:uid="{00000000-0005-0000-0000-00001B150000}"/>
    <cellStyle name="Accent2 2" xfId="175" xr:uid="{00000000-0005-0000-0000-00001C150000}"/>
    <cellStyle name="Accent2 20" xfId="7855" xr:uid="{00000000-0005-0000-0000-00001D150000}"/>
    <cellStyle name="Accent2 3" xfId="176" xr:uid="{00000000-0005-0000-0000-00001E150000}"/>
    <cellStyle name="Accent2 4" xfId="6336" xr:uid="{00000000-0005-0000-0000-00001F150000}"/>
    <cellStyle name="Accent2 5" xfId="6833" xr:uid="{00000000-0005-0000-0000-000020150000}"/>
    <cellStyle name="Accent2 6" xfId="6803" xr:uid="{00000000-0005-0000-0000-000021150000}"/>
    <cellStyle name="Accent2 7" xfId="6815" xr:uid="{00000000-0005-0000-0000-000022150000}"/>
    <cellStyle name="Accent2 8" xfId="6797" xr:uid="{00000000-0005-0000-0000-000023150000}"/>
    <cellStyle name="Accent2 9" xfId="6821" xr:uid="{00000000-0005-0000-0000-000024150000}"/>
    <cellStyle name="Accent3 - 20%" xfId="177" xr:uid="{00000000-0005-0000-0000-000025150000}"/>
    <cellStyle name="Accent3 - 20% 10" xfId="178" xr:uid="{00000000-0005-0000-0000-000026150000}"/>
    <cellStyle name="Accent3 - 20% 11" xfId="179" xr:uid="{00000000-0005-0000-0000-000027150000}"/>
    <cellStyle name="Accent3 - 20% 12" xfId="180" xr:uid="{00000000-0005-0000-0000-000028150000}"/>
    <cellStyle name="Accent3 - 20% 13" xfId="181" xr:uid="{00000000-0005-0000-0000-000029150000}"/>
    <cellStyle name="Accent3 - 20% 14" xfId="182" xr:uid="{00000000-0005-0000-0000-00002A150000}"/>
    <cellStyle name="Accent3 - 20% 15" xfId="183" xr:uid="{00000000-0005-0000-0000-00002B150000}"/>
    <cellStyle name="Accent3 - 20% 16" xfId="184" xr:uid="{00000000-0005-0000-0000-00002C150000}"/>
    <cellStyle name="Accent3 - 20% 17" xfId="185" xr:uid="{00000000-0005-0000-0000-00002D150000}"/>
    <cellStyle name="Accent3 - 20% 18" xfId="186" xr:uid="{00000000-0005-0000-0000-00002E150000}"/>
    <cellStyle name="Accent3 - 20% 19" xfId="187" xr:uid="{00000000-0005-0000-0000-00002F150000}"/>
    <cellStyle name="Accent3 - 20% 2" xfId="188" xr:uid="{00000000-0005-0000-0000-000030150000}"/>
    <cellStyle name="Accent3 - 20% 20" xfId="189" xr:uid="{00000000-0005-0000-0000-000031150000}"/>
    <cellStyle name="Accent3 - 20% 3" xfId="190" xr:uid="{00000000-0005-0000-0000-000032150000}"/>
    <cellStyle name="Accent3 - 20% 4" xfId="191" xr:uid="{00000000-0005-0000-0000-000033150000}"/>
    <cellStyle name="Accent3 - 20% 5" xfId="192" xr:uid="{00000000-0005-0000-0000-000034150000}"/>
    <cellStyle name="Accent3 - 20% 6" xfId="193" xr:uid="{00000000-0005-0000-0000-000035150000}"/>
    <cellStyle name="Accent3 - 20% 7" xfId="194" xr:uid="{00000000-0005-0000-0000-000036150000}"/>
    <cellStyle name="Accent3 - 20% 8" xfId="195" xr:uid="{00000000-0005-0000-0000-000037150000}"/>
    <cellStyle name="Accent3 - 20% 9" xfId="196" xr:uid="{00000000-0005-0000-0000-000038150000}"/>
    <cellStyle name="Accent3 - 20%_Sheet2" xfId="197" xr:uid="{00000000-0005-0000-0000-000039150000}"/>
    <cellStyle name="Accent3 - 40%" xfId="198" xr:uid="{00000000-0005-0000-0000-00003A150000}"/>
    <cellStyle name="Accent3 - 40% 10" xfId="199" xr:uid="{00000000-0005-0000-0000-00003B150000}"/>
    <cellStyle name="Accent3 - 40% 11" xfId="200" xr:uid="{00000000-0005-0000-0000-00003C150000}"/>
    <cellStyle name="Accent3 - 40% 12" xfId="201" xr:uid="{00000000-0005-0000-0000-00003D150000}"/>
    <cellStyle name="Accent3 - 40% 13" xfId="202" xr:uid="{00000000-0005-0000-0000-00003E150000}"/>
    <cellStyle name="Accent3 - 40% 14" xfId="203" xr:uid="{00000000-0005-0000-0000-00003F150000}"/>
    <cellStyle name="Accent3 - 40% 15" xfId="204" xr:uid="{00000000-0005-0000-0000-000040150000}"/>
    <cellStyle name="Accent3 - 40% 16" xfId="205" xr:uid="{00000000-0005-0000-0000-000041150000}"/>
    <cellStyle name="Accent3 - 40% 17" xfId="206" xr:uid="{00000000-0005-0000-0000-000042150000}"/>
    <cellStyle name="Accent3 - 40% 18" xfId="207" xr:uid="{00000000-0005-0000-0000-000043150000}"/>
    <cellStyle name="Accent3 - 40% 19" xfId="208" xr:uid="{00000000-0005-0000-0000-000044150000}"/>
    <cellStyle name="Accent3 - 40% 2" xfId="209" xr:uid="{00000000-0005-0000-0000-000045150000}"/>
    <cellStyle name="Accent3 - 40% 20" xfId="210" xr:uid="{00000000-0005-0000-0000-000046150000}"/>
    <cellStyle name="Accent3 - 40% 3" xfId="211" xr:uid="{00000000-0005-0000-0000-000047150000}"/>
    <cellStyle name="Accent3 - 40% 4" xfId="212" xr:uid="{00000000-0005-0000-0000-000048150000}"/>
    <cellStyle name="Accent3 - 40% 5" xfId="213" xr:uid="{00000000-0005-0000-0000-000049150000}"/>
    <cellStyle name="Accent3 - 40% 6" xfId="214" xr:uid="{00000000-0005-0000-0000-00004A150000}"/>
    <cellStyle name="Accent3 - 40% 7" xfId="215" xr:uid="{00000000-0005-0000-0000-00004B150000}"/>
    <cellStyle name="Accent3 - 40% 8" xfId="216" xr:uid="{00000000-0005-0000-0000-00004C150000}"/>
    <cellStyle name="Accent3 - 40% 9" xfId="217" xr:uid="{00000000-0005-0000-0000-00004D150000}"/>
    <cellStyle name="Accent3 - 40%_Sheet2" xfId="218" xr:uid="{00000000-0005-0000-0000-00004E150000}"/>
    <cellStyle name="Accent3 - 60%" xfId="219" xr:uid="{00000000-0005-0000-0000-00004F150000}"/>
    <cellStyle name="Accent3 - 60% 10" xfId="220" xr:uid="{00000000-0005-0000-0000-000050150000}"/>
    <cellStyle name="Accent3 - 60% 11" xfId="221" xr:uid="{00000000-0005-0000-0000-000051150000}"/>
    <cellStyle name="Accent3 - 60% 12" xfId="222" xr:uid="{00000000-0005-0000-0000-000052150000}"/>
    <cellStyle name="Accent3 - 60% 13" xfId="223" xr:uid="{00000000-0005-0000-0000-000053150000}"/>
    <cellStyle name="Accent3 - 60% 14" xfId="224" xr:uid="{00000000-0005-0000-0000-000054150000}"/>
    <cellStyle name="Accent3 - 60% 15" xfId="225" xr:uid="{00000000-0005-0000-0000-000055150000}"/>
    <cellStyle name="Accent3 - 60% 16" xfId="226" xr:uid="{00000000-0005-0000-0000-000056150000}"/>
    <cellStyle name="Accent3 - 60% 17" xfId="227" xr:uid="{00000000-0005-0000-0000-000057150000}"/>
    <cellStyle name="Accent3 - 60% 18" xfId="228" xr:uid="{00000000-0005-0000-0000-000058150000}"/>
    <cellStyle name="Accent3 - 60% 19" xfId="229" xr:uid="{00000000-0005-0000-0000-000059150000}"/>
    <cellStyle name="Accent3 - 60% 2" xfId="230" xr:uid="{00000000-0005-0000-0000-00005A150000}"/>
    <cellStyle name="Accent3 - 60% 20" xfId="231" xr:uid="{00000000-0005-0000-0000-00005B150000}"/>
    <cellStyle name="Accent3 - 60% 3" xfId="232" xr:uid="{00000000-0005-0000-0000-00005C150000}"/>
    <cellStyle name="Accent3 - 60% 4" xfId="233" xr:uid="{00000000-0005-0000-0000-00005D150000}"/>
    <cellStyle name="Accent3 - 60% 5" xfId="234" xr:uid="{00000000-0005-0000-0000-00005E150000}"/>
    <cellStyle name="Accent3 - 60% 6" xfId="235" xr:uid="{00000000-0005-0000-0000-00005F150000}"/>
    <cellStyle name="Accent3 - 60% 7" xfId="236" xr:uid="{00000000-0005-0000-0000-000060150000}"/>
    <cellStyle name="Accent3 - 60% 8" xfId="237" xr:uid="{00000000-0005-0000-0000-000061150000}"/>
    <cellStyle name="Accent3 - 60% 9" xfId="238" xr:uid="{00000000-0005-0000-0000-000062150000}"/>
    <cellStyle name="Accent3 - 60%_Sheet2" xfId="239" xr:uid="{00000000-0005-0000-0000-000063150000}"/>
    <cellStyle name="Accent3 10" xfId="6790" xr:uid="{00000000-0005-0000-0000-000064150000}"/>
    <cellStyle name="Accent3 11" xfId="6828" xr:uid="{00000000-0005-0000-0000-000065150000}"/>
    <cellStyle name="Accent3 12" xfId="6770" xr:uid="{00000000-0005-0000-0000-000066150000}"/>
    <cellStyle name="Accent3 13" xfId="6807" xr:uid="{00000000-0005-0000-0000-000067150000}"/>
    <cellStyle name="Accent3 14" xfId="6763" xr:uid="{00000000-0005-0000-0000-000068150000}"/>
    <cellStyle name="Accent3 15" xfId="7856" xr:uid="{00000000-0005-0000-0000-000069150000}"/>
    <cellStyle name="Accent3 16" xfId="7857" xr:uid="{00000000-0005-0000-0000-00006A150000}"/>
    <cellStyle name="Accent3 17" xfId="7858" xr:uid="{00000000-0005-0000-0000-00006B150000}"/>
    <cellStyle name="Accent3 18" xfId="7859" xr:uid="{00000000-0005-0000-0000-00006C150000}"/>
    <cellStyle name="Accent3 19" xfId="7860" xr:uid="{00000000-0005-0000-0000-00006D150000}"/>
    <cellStyle name="Accent3 2" xfId="240" xr:uid="{00000000-0005-0000-0000-00006E150000}"/>
    <cellStyle name="Accent3 20" xfId="7861" xr:uid="{00000000-0005-0000-0000-00006F150000}"/>
    <cellStyle name="Accent3 3" xfId="241" xr:uid="{00000000-0005-0000-0000-000070150000}"/>
    <cellStyle name="Accent3 4" xfId="6337" xr:uid="{00000000-0005-0000-0000-000071150000}"/>
    <cellStyle name="Accent3 5" xfId="6834" xr:uid="{00000000-0005-0000-0000-000072150000}"/>
    <cellStyle name="Accent3 6" xfId="6802" xr:uid="{00000000-0005-0000-0000-000073150000}"/>
    <cellStyle name="Accent3 7" xfId="6816" xr:uid="{00000000-0005-0000-0000-000074150000}"/>
    <cellStyle name="Accent3 8" xfId="6796" xr:uid="{00000000-0005-0000-0000-000075150000}"/>
    <cellStyle name="Accent3 9" xfId="6822" xr:uid="{00000000-0005-0000-0000-000076150000}"/>
    <cellStyle name="Accent4 - 20%" xfId="242" xr:uid="{00000000-0005-0000-0000-000077150000}"/>
    <cellStyle name="Accent4 - 20% 10" xfId="243" xr:uid="{00000000-0005-0000-0000-000078150000}"/>
    <cellStyle name="Accent4 - 20% 11" xfId="244" xr:uid="{00000000-0005-0000-0000-000079150000}"/>
    <cellStyle name="Accent4 - 20% 12" xfId="245" xr:uid="{00000000-0005-0000-0000-00007A150000}"/>
    <cellStyle name="Accent4 - 20% 13" xfId="246" xr:uid="{00000000-0005-0000-0000-00007B150000}"/>
    <cellStyle name="Accent4 - 20% 14" xfId="247" xr:uid="{00000000-0005-0000-0000-00007C150000}"/>
    <cellStyle name="Accent4 - 20% 15" xfId="248" xr:uid="{00000000-0005-0000-0000-00007D150000}"/>
    <cellStyle name="Accent4 - 20% 16" xfId="249" xr:uid="{00000000-0005-0000-0000-00007E150000}"/>
    <cellStyle name="Accent4 - 20% 17" xfId="250" xr:uid="{00000000-0005-0000-0000-00007F150000}"/>
    <cellStyle name="Accent4 - 20% 18" xfId="251" xr:uid="{00000000-0005-0000-0000-000080150000}"/>
    <cellStyle name="Accent4 - 20% 19" xfId="252" xr:uid="{00000000-0005-0000-0000-000081150000}"/>
    <cellStyle name="Accent4 - 20% 2" xfId="253" xr:uid="{00000000-0005-0000-0000-000082150000}"/>
    <cellStyle name="Accent4 - 20% 20" xfId="254" xr:uid="{00000000-0005-0000-0000-000083150000}"/>
    <cellStyle name="Accent4 - 20% 3" xfId="255" xr:uid="{00000000-0005-0000-0000-000084150000}"/>
    <cellStyle name="Accent4 - 20% 4" xfId="256" xr:uid="{00000000-0005-0000-0000-000085150000}"/>
    <cellStyle name="Accent4 - 20% 5" xfId="257" xr:uid="{00000000-0005-0000-0000-000086150000}"/>
    <cellStyle name="Accent4 - 20% 6" xfId="258" xr:uid="{00000000-0005-0000-0000-000087150000}"/>
    <cellStyle name="Accent4 - 20% 7" xfId="259" xr:uid="{00000000-0005-0000-0000-000088150000}"/>
    <cellStyle name="Accent4 - 20% 8" xfId="260" xr:uid="{00000000-0005-0000-0000-000089150000}"/>
    <cellStyle name="Accent4 - 20% 9" xfId="261" xr:uid="{00000000-0005-0000-0000-00008A150000}"/>
    <cellStyle name="Accent4 - 20%_Sheet2" xfId="262" xr:uid="{00000000-0005-0000-0000-00008B150000}"/>
    <cellStyle name="Accent4 - 40%" xfId="263" xr:uid="{00000000-0005-0000-0000-00008C150000}"/>
    <cellStyle name="Accent4 - 40% 10" xfId="264" xr:uid="{00000000-0005-0000-0000-00008D150000}"/>
    <cellStyle name="Accent4 - 40% 11" xfId="265" xr:uid="{00000000-0005-0000-0000-00008E150000}"/>
    <cellStyle name="Accent4 - 40% 12" xfId="266" xr:uid="{00000000-0005-0000-0000-00008F150000}"/>
    <cellStyle name="Accent4 - 40% 13" xfId="267" xr:uid="{00000000-0005-0000-0000-000090150000}"/>
    <cellStyle name="Accent4 - 40% 14" xfId="268" xr:uid="{00000000-0005-0000-0000-000091150000}"/>
    <cellStyle name="Accent4 - 40% 15" xfId="269" xr:uid="{00000000-0005-0000-0000-000092150000}"/>
    <cellStyle name="Accent4 - 40% 16" xfId="270" xr:uid="{00000000-0005-0000-0000-000093150000}"/>
    <cellStyle name="Accent4 - 40% 17" xfId="271" xr:uid="{00000000-0005-0000-0000-000094150000}"/>
    <cellStyle name="Accent4 - 40% 18" xfId="272" xr:uid="{00000000-0005-0000-0000-000095150000}"/>
    <cellStyle name="Accent4 - 40% 19" xfId="273" xr:uid="{00000000-0005-0000-0000-000096150000}"/>
    <cellStyle name="Accent4 - 40% 2" xfId="274" xr:uid="{00000000-0005-0000-0000-000097150000}"/>
    <cellStyle name="Accent4 - 40% 20" xfId="275" xr:uid="{00000000-0005-0000-0000-000098150000}"/>
    <cellStyle name="Accent4 - 40% 3" xfId="276" xr:uid="{00000000-0005-0000-0000-000099150000}"/>
    <cellStyle name="Accent4 - 40% 4" xfId="277" xr:uid="{00000000-0005-0000-0000-00009A150000}"/>
    <cellStyle name="Accent4 - 40% 5" xfId="278" xr:uid="{00000000-0005-0000-0000-00009B150000}"/>
    <cellStyle name="Accent4 - 40% 6" xfId="279" xr:uid="{00000000-0005-0000-0000-00009C150000}"/>
    <cellStyle name="Accent4 - 40% 7" xfId="280" xr:uid="{00000000-0005-0000-0000-00009D150000}"/>
    <cellStyle name="Accent4 - 40% 8" xfId="281" xr:uid="{00000000-0005-0000-0000-00009E150000}"/>
    <cellStyle name="Accent4 - 40% 9" xfId="282" xr:uid="{00000000-0005-0000-0000-00009F150000}"/>
    <cellStyle name="Accent4 - 40%_Sheet2" xfId="283" xr:uid="{00000000-0005-0000-0000-0000A0150000}"/>
    <cellStyle name="Accent4 - 60%" xfId="284" xr:uid="{00000000-0005-0000-0000-0000A1150000}"/>
    <cellStyle name="Accent4 - 60% 10" xfId="285" xr:uid="{00000000-0005-0000-0000-0000A2150000}"/>
    <cellStyle name="Accent4 - 60% 11" xfId="286" xr:uid="{00000000-0005-0000-0000-0000A3150000}"/>
    <cellStyle name="Accent4 - 60% 12" xfId="287" xr:uid="{00000000-0005-0000-0000-0000A4150000}"/>
    <cellStyle name="Accent4 - 60% 13" xfId="288" xr:uid="{00000000-0005-0000-0000-0000A5150000}"/>
    <cellStyle name="Accent4 - 60% 14" xfId="289" xr:uid="{00000000-0005-0000-0000-0000A6150000}"/>
    <cellStyle name="Accent4 - 60% 15" xfId="290" xr:uid="{00000000-0005-0000-0000-0000A7150000}"/>
    <cellStyle name="Accent4 - 60% 16" xfId="291" xr:uid="{00000000-0005-0000-0000-0000A8150000}"/>
    <cellStyle name="Accent4 - 60% 17" xfId="292" xr:uid="{00000000-0005-0000-0000-0000A9150000}"/>
    <cellStyle name="Accent4 - 60% 18" xfId="293" xr:uid="{00000000-0005-0000-0000-0000AA150000}"/>
    <cellStyle name="Accent4 - 60% 19" xfId="294" xr:uid="{00000000-0005-0000-0000-0000AB150000}"/>
    <cellStyle name="Accent4 - 60% 2" xfId="295" xr:uid="{00000000-0005-0000-0000-0000AC150000}"/>
    <cellStyle name="Accent4 - 60% 20" xfId="296" xr:uid="{00000000-0005-0000-0000-0000AD150000}"/>
    <cellStyle name="Accent4 - 60% 3" xfId="297" xr:uid="{00000000-0005-0000-0000-0000AE150000}"/>
    <cellStyle name="Accent4 - 60% 4" xfId="298" xr:uid="{00000000-0005-0000-0000-0000AF150000}"/>
    <cellStyle name="Accent4 - 60% 5" xfId="299" xr:uid="{00000000-0005-0000-0000-0000B0150000}"/>
    <cellStyle name="Accent4 - 60% 6" xfId="300" xr:uid="{00000000-0005-0000-0000-0000B1150000}"/>
    <cellStyle name="Accent4 - 60% 7" xfId="301" xr:uid="{00000000-0005-0000-0000-0000B2150000}"/>
    <cellStyle name="Accent4 - 60% 8" xfId="302" xr:uid="{00000000-0005-0000-0000-0000B3150000}"/>
    <cellStyle name="Accent4 - 60% 9" xfId="303" xr:uid="{00000000-0005-0000-0000-0000B4150000}"/>
    <cellStyle name="Accent4 - 60%_Sheet2" xfId="304" xr:uid="{00000000-0005-0000-0000-0000B5150000}"/>
    <cellStyle name="Accent4 10" xfId="6789" xr:uid="{00000000-0005-0000-0000-0000B6150000}"/>
    <cellStyle name="Accent4 11" xfId="6829" xr:uid="{00000000-0005-0000-0000-0000B7150000}"/>
    <cellStyle name="Accent4 12" xfId="6769" xr:uid="{00000000-0005-0000-0000-0000B8150000}"/>
    <cellStyle name="Accent4 13" xfId="6808" xr:uid="{00000000-0005-0000-0000-0000B9150000}"/>
    <cellStyle name="Accent4 14" xfId="6761" xr:uid="{00000000-0005-0000-0000-0000BA150000}"/>
    <cellStyle name="Accent4 15" xfId="7862" xr:uid="{00000000-0005-0000-0000-0000BB150000}"/>
    <cellStyle name="Accent4 16" xfId="7863" xr:uid="{00000000-0005-0000-0000-0000BC150000}"/>
    <cellStyle name="Accent4 17" xfId="7864" xr:uid="{00000000-0005-0000-0000-0000BD150000}"/>
    <cellStyle name="Accent4 18" xfId="7865" xr:uid="{00000000-0005-0000-0000-0000BE150000}"/>
    <cellStyle name="Accent4 19" xfId="7866" xr:uid="{00000000-0005-0000-0000-0000BF150000}"/>
    <cellStyle name="Accent4 2" xfId="305" xr:uid="{00000000-0005-0000-0000-0000C0150000}"/>
    <cellStyle name="Accent4 20" xfId="7867" xr:uid="{00000000-0005-0000-0000-0000C1150000}"/>
    <cellStyle name="Accent4 3" xfId="306" xr:uid="{00000000-0005-0000-0000-0000C2150000}"/>
    <cellStyle name="Accent4 4" xfId="6338" xr:uid="{00000000-0005-0000-0000-0000C3150000}"/>
    <cellStyle name="Accent4 5" xfId="6835" xr:uid="{00000000-0005-0000-0000-0000C4150000}"/>
    <cellStyle name="Accent4 6" xfId="6801" xr:uid="{00000000-0005-0000-0000-0000C5150000}"/>
    <cellStyle name="Accent4 7" xfId="6817" xr:uid="{00000000-0005-0000-0000-0000C6150000}"/>
    <cellStyle name="Accent4 8" xfId="6795" xr:uid="{00000000-0005-0000-0000-0000C7150000}"/>
    <cellStyle name="Accent4 9" xfId="6823" xr:uid="{00000000-0005-0000-0000-0000C8150000}"/>
    <cellStyle name="Accent5 - 20%" xfId="307" xr:uid="{00000000-0005-0000-0000-0000C9150000}"/>
    <cellStyle name="Accent5 - 20% 10" xfId="308" xr:uid="{00000000-0005-0000-0000-0000CA150000}"/>
    <cellStyle name="Accent5 - 20% 11" xfId="309" xr:uid="{00000000-0005-0000-0000-0000CB150000}"/>
    <cellStyle name="Accent5 - 20% 12" xfId="310" xr:uid="{00000000-0005-0000-0000-0000CC150000}"/>
    <cellStyle name="Accent5 - 20% 13" xfId="311" xr:uid="{00000000-0005-0000-0000-0000CD150000}"/>
    <cellStyle name="Accent5 - 20% 14" xfId="312" xr:uid="{00000000-0005-0000-0000-0000CE150000}"/>
    <cellStyle name="Accent5 - 20% 15" xfId="313" xr:uid="{00000000-0005-0000-0000-0000CF150000}"/>
    <cellStyle name="Accent5 - 20% 16" xfId="314" xr:uid="{00000000-0005-0000-0000-0000D0150000}"/>
    <cellStyle name="Accent5 - 20% 17" xfId="315" xr:uid="{00000000-0005-0000-0000-0000D1150000}"/>
    <cellStyle name="Accent5 - 20% 18" xfId="316" xr:uid="{00000000-0005-0000-0000-0000D2150000}"/>
    <cellStyle name="Accent5 - 20% 19" xfId="317" xr:uid="{00000000-0005-0000-0000-0000D3150000}"/>
    <cellStyle name="Accent5 - 20% 2" xfId="318" xr:uid="{00000000-0005-0000-0000-0000D4150000}"/>
    <cellStyle name="Accent5 - 20% 20" xfId="319" xr:uid="{00000000-0005-0000-0000-0000D5150000}"/>
    <cellStyle name="Accent5 - 20% 3" xfId="320" xr:uid="{00000000-0005-0000-0000-0000D6150000}"/>
    <cellStyle name="Accent5 - 20% 4" xfId="321" xr:uid="{00000000-0005-0000-0000-0000D7150000}"/>
    <cellStyle name="Accent5 - 20% 5" xfId="322" xr:uid="{00000000-0005-0000-0000-0000D8150000}"/>
    <cellStyle name="Accent5 - 20% 6" xfId="323" xr:uid="{00000000-0005-0000-0000-0000D9150000}"/>
    <cellStyle name="Accent5 - 20% 7" xfId="324" xr:uid="{00000000-0005-0000-0000-0000DA150000}"/>
    <cellStyle name="Accent5 - 20% 8" xfId="325" xr:uid="{00000000-0005-0000-0000-0000DB150000}"/>
    <cellStyle name="Accent5 - 20% 9" xfId="326" xr:uid="{00000000-0005-0000-0000-0000DC150000}"/>
    <cellStyle name="Accent5 - 20%_Sheet2" xfId="327" xr:uid="{00000000-0005-0000-0000-0000DD150000}"/>
    <cellStyle name="Accent5 - 40%" xfId="328" xr:uid="{00000000-0005-0000-0000-0000DE150000}"/>
    <cellStyle name="Accent5 - 60%" xfId="329" xr:uid="{00000000-0005-0000-0000-0000DF150000}"/>
    <cellStyle name="Accent5 - 60% 10" xfId="330" xr:uid="{00000000-0005-0000-0000-0000E0150000}"/>
    <cellStyle name="Accent5 - 60% 11" xfId="331" xr:uid="{00000000-0005-0000-0000-0000E1150000}"/>
    <cellStyle name="Accent5 - 60% 12" xfId="332" xr:uid="{00000000-0005-0000-0000-0000E2150000}"/>
    <cellStyle name="Accent5 - 60% 13" xfId="333" xr:uid="{00000000-0005-0000-0000-0000E3150000}"/>
    <cellStyle name="Accent5 - 60% 14" xfId="334" xr:uid="{00000000-0005-0000-0000-0000E4150000}"/>
    <cellStyle name="Accent5 - 60% 15" xfId="335" xr:uid="{00000000-0005-0000-0000-0000E5150000}"/>
    <cellStyle name="Accent5 - 60% 16" xfId="336" xr:uid="{00000000-0005-0000-0000-0000E6150000}"/>
    <cellStyle name="Accent5 - 60% 17" xfId="337" xr:uid="{00000000-0005-0000-0000-0000E7150000}"/>
    <cellStyle name="Accent5 - 60% 18" xfId="338" xr:uid="{00000000-0005-0000-0000-0000E8150000}"/>
    <cellStyle name="Accent5 - 60% 19" xfId="339" xr:uid="{00000000-0005-0000-0000-0000E9150000}"/>
    <cellStyle name="Accent5 - 60% 2" xfId="340" xr:uid="{00000000-0005-0000-0000-0000EA150000}"/>
    <cellStyle name="Accent5 - 60% 20" xfId="341" xr:uid="{00000000-0005-0000-0000-0000EB150000}"/>
    <cellStyle name="Accent5 - 60% 3" xfId="342" xr:uid="{00000000-0005-0000-0000-0000EC150000}"/>
    <cellStyle name="Accent5 - 60% 4" xfId="343" xr:uid="{00000000-0005-0000-0000-0000ED150000}"/>
    <cellStyle name="Accent5 - 60% 5" xfId="344" xr:uid="{00000000-0005-0000-0000-0000EE150000}"/>
    <cellStyle name="Accent5 - 60% 6" xfId="345" xr:uid="{00000000-0005-0000-0000-0000EF150000}"/>
    <cellStyle name="Accent5 - 60% 7" xfId="346" xr:uid="{00000000-0005-0000-0000-0000F0150000}"/>
    <cellStyle name="Accent5 - 60% 8" xfId="347" xr:uid="{00000000-0005-0000-0000-0000F1150000}"/>
    <cellStyle name="Accent5 - 60% 9" xfId="348" xr:uid="{00000000-0005-0000-0000-0000F2150000}"/>
    <cellStyle name="Accent5 - 60%_Sheet2" xfId="349" xr:uid="{00000000-0005-0000-0000-0000F3150000}"/>
    <cellStyle name="Accent5 10" xfId="6788" xr:uid="{00000000-0005-0000-0000-0000F4150000}"/>
    <cellStyle name="Accent5 11" xfId="6830" xr:uid="{00000000-0005-0000-0000-0000F5150000}"/>
    <cellStyle name="Accent5 12" xfId="6767" xr:uid="{00000000-0005-0000-0000-0000F6150000}"/>
    <cellStyle name="Accent5 13" xfId="6809" xr:uid="{00000000-0005-0000-0000-0000F7150000}"/>
    <cellStyle name="Accent5 14" xfId="6760" xr:uid="{00000000-0005-0000-0000-0000F8150000}"/>
    <cellStyle name="Accent5 15" xfId="7868" xr:uid="{00000000-0005-0000-0000-0000F9150000}"/>
    <cellStyle name="Accent5 16" xfId="7869" xr:uid="{00000000-0005-0000-0000-0000FA150000}"/>
    <cellStyle name="Accent5 17" xfId="7870" xr:uid="{00000000-0005-0000-0000-0000FB150000}"/>
    <cellStyle name="Accent5 18" xfId="7871" xr:uid="{00000000-0005-0000-0000-0000FC150000}"/>
    <cellStyle name="Accent5 19" xfId="7872" xr:uid="{00000000-0005-0000-0000-0000FD150000}"/>
    <cellStyle name="Accent5 2" xfId="350" xr:uid="{00000000-0005-0000-0000-0000FE150000}"/>
    <cellStyle name="Accent5 20" xfId="7873" xr:uid="{00000000-0005-0000-0000-0000FF150000}"/>
    <cellStyle name="Accent5 3" xfId="351" xr:uid="{00000000-0005-0000-0000-000000160000}"/>
    <cellStyle name="Accent5 4" xfId="6339" xr:uid="{00000000-0005-0000-0000-000001160000}"/>
    <cellStyle name="Accent5 5" xfId="6836" xr:uid="{00000000-0005-0000-0000-000002160000}"/>
    <cellStyle name="Accent5 6" xfId="6800" xr:uid="{00000000-0005-0000-0000-000003160000}"/>
    <cellStyle name="Accent5 7" xfId="6818" xr:uid="{00000000-0005-0000-0000-000004160000}"/>
    <cellStyle name="Accent5 8" xfId="6794" xr:uid="{00000000-0005-0000-0000-000005160000}"/>
    <cellStyle name="Accent5 9" xfId="6824" xr:uid="{00000000-0005-0000-0000-000006160000}"/>
    <cellStyle name="Accent6 - 20%" xfId="352" xr:uid="{00000000-0005-0000-0000-000007160000}"/>
    <cellStyle name="Accent6 - 40%" xfId="353" xr:uid="{00000000-0005-0000-0000-000008160000}"/>
    <cellStyle name="Accent6 - 40% 10" xfId="354" xr:uid="{00000000-0005-0000-0000-000009160000}"/>
    <cellStyle name="Accent6 - 40% 11" xfId="355" xr:uid="{00000000-0005-0000-0000-00000A160000}"/>
    <cellStyle name="Accent6 - 40% 12" xfId="356" xr:uid="{00000000-0005-0000-0000-00000B160000}"/>
    <cellStyle name="Accent6 - 40% 13" xfId="357" xr:uid="{00000000-0005-0000-0000-00000C160000}"/>
    <cellStyle name="Accent6 - 40% 14" xfId="358" xr:uid="{00000000-0005-0000-0000-00000D160000}"/>
    <cellStyle name="Accent6 - 40% 15" xfId="359" xr:uid="{00000000-0005-0000-0000-00000E160000}"/>
    <cellStyle name="Accent6 - 40% 16" xfId="360" xr:uid="{00000000-0005-0000-0000-00000F160000}"/>
    <cellStyle name="Accent6 - 40% 17" xfId="361" xr:uid="{00000000-0005-0000-0000-000010160000}"/>
    <cellStyle name="Accent6 - 40% 18" xfId="362" xr:uid="{00000000-0005-0000-0000-000011160000}"/>
    <cellStyle name="Accent6 - 40% 19" xfId="363" xr:uid="{00000000-0005-0000-0000-000012160000}"/>
    <cellStyle name="Accent6 - 40% 2" xfId="364" xr:uid="{00000000-0005-0000-0000-000013160000}"/>
    <cellStyle name="Accent6 - 40% 20" xfId="365" xr:uid="{00000000-0005-0000-0000-000014160000}"/>
    <cellStyle name="Accent6 - 40% 3" xfId="366" xr:uid="{00000000-0005-0000-0000-000015160000}"/>
    <cellStyle name="Accent6 - 40% 4" xfId="367" xr:uid="{00000000-0005-0000-0000-000016160000}"/>
    <cellStyle name="Accent6 - 40% 5" xfId="368" xr:uid="{00000000-0005-0000-0000-000017160000}"/>
    <cellStyle name="Accent6 - 40% 6" xfId="369" xr:uid="{00000000-0005-0000-0000-000018160000}"/>
    <cellStyle name="Accent6 - 40% 7" xfId="370" xr:uid="{00000000-0005-0000-0000-000019160000}"/>
    <cellStyle name="Accent6 - 40% 8" xfId="371" xr:uid="{00000000-0005-0000-0000-00001A160000}"/>
    <cellStyle name="Accent6 - 40% 9" xfId="372" xr:uid="{00000000-0005-0000-0000-00001B160000}"/>
    <cellStyle name="Accent6 - 40%_Sheet2" xfId="373" xr:uid="{00000000-0005-0000-0000-00001C160000}"/>
    <cellStyle name="Accent6 - 60%" xfId="374" xr:uid="{00000000-0005-0000-0000-00001D160000}"/>
    <cellStyle name="Accent6 - 60% 10" xfId="375" xr:uid="{00000000-0005-0000-0000-00001E160000}"/>
    <cellStyle name="Accent6 - 60% 11" xfId="376" xr:uid="{00000000-0005-0000-0000-00001F160000}"/>
    <cellStyle name="Accent6 - 60% 12" xfId="377" xr:uid="{00000000-0005-0000-0000-000020160000}"/>
    <cellStyle name="Accent6 - 60% 13" xfId="378" xr:uid="{00000000-0005-0000-0000-000021160000}"/>
    <cellStyle name="Accent6 - 60% 14" xfId="379" xr:uid="{00000000-0005-0000-0000-000022160000}"/>
    <cellStyle name="Accent6 - 60% 15" xfId="380" xr:uid="{00000000-0005-0000-0000-000023160000}"/>
    <cellStyle name="Accent6 - 60% 16" xfId="381" xr:uid="{00000000-0005-0000-0000-000024160000}"/>
    <cellStyle name="Accent6 - 60% 17" xfId="382" xr:uid="{00000000-0005-0000-0000-000025160000}"/>
    <cellStyle name="Accent6 - 60% 18" xfId="383" xr:uid="{00000000-0005-0000-0000-000026160000}"/>
    <cellStyle name="Accent6 - 60% 19" xfId="384" xr:uid="{00000000-0005-0000-0000-000027160000}"/>
    <cellStyle name="Accent6 - 60% 2" xfId="385" xr:uid="{00000000-0005-0000-0000-000028160000}"/>
    <cellStyle name="Accent6 - 60% 20" xfId="386" xr:uid="{00000000-0005-0000-0000-000029160000}"/>
    <cellStyle name="Accent6 - 60% 3" xfId="387" xr:uid="{00000000-0005-0000-0000-00002A160000}"/>
    <cellStyle name="Accent6 - 60% 4" xfId="388" xr:uid="{00000000-0005-0000-0000-00002B160000}"/>
    <cellStyle name="Accent6 - 60% 5" xfId="389" xr:uid="{00000000-0005-0000-0000-00002C160000}"/>
    <cellStyle name="Accent6 - 60% 6" xfId="390" xr:uid="{00000000-0005-0000-0000-00002D160000}"/>
    <cellStyle name="Accent6 - 60% 7" xfId="391" xr:uid="{00000000-0005-0000-0000-00002E160000}"/>
    <cellStyle name="Accent6 - 60% 8" xfId="392" xr:uid="{00000000-0005-0000-0000-00002F160000}"/>
    <cellStyle name="Accent6 - 60% 9" xfId="393" xr:uid="{00000000-0005-0000-0000-000030160000}"/>
    <cellStyle name="Accent6 - 60%_Sheet2" xfId="394" xr:uid="{00000000-0005-0000-0000-000031160000}"/>
    <cellStyle name="Accent6 10" xfId="6787" xr:uid="{00000000-0005-0000-0000-000032160000}"/>
    <cellStyle name="Accent6 11" xfId="6831" xr:uid="{00000000-0005-0000-0000-000033160000}"/>
    <cellStyle name="Accent6 12" xfId="6766" xr:uid="{00000000-0005-0000-0000-000034160000}"/>
    <cellStyle name="Accent6 13" xfId="6810" xr:uid="{00000000-0005-0000-0000-000035160000}"/>
    <cellStyle name="Accent6 14" xfId="6759" xr:uid="{00000000-0005-0000-0000-000036160000}"/>
    <cellStyle name="Accent6 15" xfId="7874" xr:uid="{00000000-0005-0000-0000-000037160000}"/>
    <cellStyle name="Accent6 16" xfId="7875" xr:uid="{00000000-0005-0000-0000-000038160000}"/>
    <cellStyle name="Accent6 17" xfId="7876" xr:uid="{00000000-0005-0000-0000-000039160000}"/>
    <cellStyle name="Accent6 18" xfId="7877" xr:uid="{00000000-0005-0000-0000-00003A160000}"/>
    <cellStyle name="Accent6 19" xfId="7878" xr:uid="{00000000-0005-0000-0000-00003B160000}"/>
    <cellStyle name="Accent6 2" xfId="395" xr:uid="{00000000-0005-0000-0000-00003C160000}"/>
    <cellStyle name="Accent6 20" xfId="7879" xr:uid="{00000000-0005-0000-0000-00003D160000}"/>
    <cellStyle name="Accent6 3" xfId="396" xr:uid="{00000000-0005-0000-0000-00003E160000}"/>
    <cellStyle name="Accent6 4" xfId="6340" xr:uid="{00000000-0005-0000-0000-00003F160000}"/>
    <cellStyle name="Accent6 5" xfId="6837" xr:uid="{00000000-0005-0000-0000-000040160000}"/>
    <cellStyle name="Accent6 6" xfId="6799" xr:uid="{00000000-0005-0000-0000-000041160000}"/>
    <cellStyle name="Accent6 7" xfId="6819" xr:uid="{00000000-0005-0000-0000-000042160000}"/>
    <cellStyle name="Accent6 8" xfId="6793" xr:uid="{00000000-0005-0000-0000-000043160000}"/>
    <cellStyle name="Accent6 9" xfId="6825" xr:uid="{00000000-0005-0000-0000-000044160000}"/>
    <cellStyle name="Account[0]" xfId="10908" xr:uid="{00000000-0005-0000-0000-000045160000}"/>
    <cellStyle name="Account[1]" xfId="10909" xr:uid="{00000000-0005-0000-0000-000046160000}"/>
    <cellStyle name="Account[2]" xfId="10910" xr:uid="{00000000-0005-0000-0000-000047160000}"/>
    <cellStyle name="Account[3]" xfId="10911" xr:uid="{00000000-0005-0000-0000-000048160000}"/>
    <cellStyle name="Actual data" xfId="4091" xr:uid="{00000000-0005-0000-0000-000049160000}"/>
    <cellStyle name="Actual year" xfId="4092" xr:uid="{00000000-0005-0000-0000-00004A160000}"/>
    <cellStyle name="Actual year 2" xfId="6341" xr:uid="{00000000-0005-0000-0000-00004B160000}"/>
    <cellStyle name="Actual year 2 2" xfId="7880" xr:uid="{00000000-0005-0000-0000-00004C160000}"/>
    <cellStyle name="Actual year 2 3" xfId="7881" xr:uid="{00000000-0005-0000-0000-00004D160000}"/>
    <cellStyle name="Actual year 3" xfId="7266" xr:uid="{00000000-0005-0000-0000-00004E160000}"/>
    <cellStyle name="Actual year 3 2" xfId="7882" xr:uid="{00000000-0005-0000-0000-00004F160000}"/>
    <cellStyle name="Actual year 3 3" xfId="7883" xr:uid="{00000000-0005-0000-0000-000050160000}"/>
    <cellStyle name="Actual year 4" xfId="7884" xr:uid="{00000000-0005-0000-0000-000051160000}"/>
    <cellStyle name="Actual year 4 2" xfId="7885" xr:uid="{00000000-0005-0000-0000-000052160000}"/>
    <cellStyle name="Actual year 4 3" xfId="7886" xr:uid="{00000000-0005-0000-0000-000053160000}"/>
    <cellStyle name="Actual year 5" xfId="7887" xr:uid="{00000000-0005-0000-0000-000054160000}"/>
    <cellStyle name="Actual year 6" xfId="7888" xr:uid="{00000000-0005-0000-0000-000055160000}"/>
    <cellStyle name="Actual year 7" xfId="7889" xr:uid="{00000000-0005-0000-0000-000056160000}"/>
    <cellStyle name="Actuals Cells" xfId="4093" xr:uid="{00000000-0005-0000-0000-000057160000}"/>
    <cellStyle name="ÅëÈ­ [0]_µ¥ÀÌÅ¸" xfId="10912" xr:uid="{00000000-0005-0000-0000-000058160000}"/>
    <cellStyle name="ÅëÈ­_µ¥ÀÌÅ¸" xfId="10913" xr:uid="{00000000-0005-0000-0000-000059160000}"/>
    <cellStyle name="AFE" xfId="4094" xr:uid="{00000000-0005-0000-0000-00005A160000}"/>
    <cellStyle name="AFE 2" xfId="6342" xr:uid="{00000000-0005-0000-0000-00005B160000}"/>
    <cellStyle name="afl" xfId="7558" xr:uid="{00000000-0005-0000-0000-00005C160000}"/>
    <cellStyle name="AH?aao?W3s£g2" xfId="6343" xr:uid="{00000000-0005-0000-0000-00005D160000}"/>
    <cellStyle name="AH?aao?W3s2" xfId="6344" xr:uid="{00000000-0005-0000-0000-00005E160000}"/>
    <cellStyle name="ÀH«áªº¶W³sµ²" xfId="6345" xr:uid="{00000000-0005-0000-0000-00005F160000}"/>
    <cellStyle name="Andre's Title" xfId="7559" xr:uid="{00000000-0005-0000-0000-000060160000}"/>
    <cellStyle name="ArialNormal" xfId="10914" xr:uid="{00000000-0005-0000-0000-000061160000}"/>
    <cellStyle name="ÄÞ¸¶ [0]_µ¥ÀÌÅ¸" xfId="10915" xr:uid="{00000000-0005-0000-0000-000062160000}"/>
    <cellStyle name="ÄÞ¸¶_µ¥ÀÌÅ¸" xfId="10916" xr:uid="{00000000-0005-0000-0000-000063160000}"/>
    <cellStyle name="B" xfId="4095" xr:uid="{00000000-0005-0000-0000-000064160000}"/>
    <cellStyle name="b 2" xfId="6346" xr:uid="{00000000-0005-0000-0000-000065160000}"/>
    <cellStyle name="B 3" xfId="7267" xr:uid="{00000000-0005-0000-0000-000066160000}"/>
    <cellStyle name="B_GSJBW 250506hub3" xfId="7268" xr:uid="{00000000-0005-0000-0000-000067160000}"/>
    <cellStyle name="Bad 2" xfId="397" xr:uid="{00000000-0005-0000-0000-000068160000}"/>
    <cellStyle name="Bad 3" xfId="6347" xr:uid="{00000000-0005-0000-0000-000069160000}"/>
    <cellStyle name="Bad 4" xfId="7890" xr:uid="{00000000-0005-0000-0000-00006A160000}"/>
    <cellStyle name="Bad 5" xfId="7891" xr:uid="{00000000-0005-0000-0000-00006B160000}"/>
    <cellStyle name="Balance" xfId="7892" xr:uid="{00000000-0005-0000-0000-00006C160000}"/>
    <cellStyle name="Balance Sheet" xfId="7893" xr:uid="{00000000-0005-0000-0000-00006D160000}"/>
    <cellStyle name="Balance Sheet 2" xfId="7894" xr:uid="{00000000-0005-0000-0000-00006E160000}"/>
    <cellStyle name="BALANCE VER" xfId="10917" xr:uid="{00000000-0005-0000-0000-00006F160000}"/>
    <cellStyle name="BalanceSheet" xfId="7895" xr:uid="{00000000-0005-0000-0000-000070160000}"/>
    <cellStyle name="Best" xfId="398" xr:uid="{00000000-0005-0000-0000-000071160000}"/>
    <cellStyle name="Blank" xfId="4096" xr:uid="{00000000-0005-0000-0000-000072160000}"/>
    <cellStyle name="blp_column_header" xfId="11359" xr:uid="{FF5D87EE-2599-431C-9768-3B0243F3E030}"/>
    <cellStyle name="Blue" xfId="4097" xr:uid="{00000000-0005-0000-0000-000073160000}"/>
    <cellStyle name="Blue 2" xfId="7269" xr:uid="{00000000-0005-0000-0000-000074160000}"/>
    <cellStyle name="Blue heading" xfId="7270" xr:uid="{00000000-0005-0000-0000-000075160000}"/>
    <cellStyle name="Blue Title" xfId="7560" xr:uid="{00000000-0005-0000-0000-000076160000}"/>
    <cellStyle name="Bold/Border" xfId="4098" xr:uid="{00000000-0005-0000-0000-000077160000}"/>
    <cellStyle name="Bold/Border 2" xfId="7649" xr:uid="{00000000-0005-0000-0000-000078160000}"/>
    <cellStyle name="Bullet" xfId="4099" xr:uid="{00000000-0005-0000-0000-000079160000}"/>
    <cellStyle name="Bullet 2" xfId="6348" xr:uid="{00000000-0005-0000-0000-00007A160000}"/>
    <cellStyle name="c" xfId="6349" xr:uid="{00000000-0005-0000-0000-00007B160000}"/>
    <cellStyle name="Ç¥ÁØ_±¹¹®¿¬°á" xfId="10918" xr:uid="{00000000-0005-0000-0000-00007C160000}"/>
    <cellStyle name="Calc Cells" xfId="4100" xr:uid="{00000000-0005-0000-0000-00007D160000}"/>
    <cellStyle name="Calc Currency (0)" xfId="6350" xr:uid="{00000000-0005-0000-0000-00007E160000}"/>
    <cellStyle name="Calc_0dp" xfId="10919" xr:uid="{00000000-0005-0000-0000-00007F160000}"/>
    <cellStyle name="Calculation 2" xfId="399" xr:uid="{00000000-0005-0000-0000-000080160000}"/>
    <cellStyle name="Calculation 2 2" xfId="7896" xr:uid="{00000000-0005-0000-0000-000081160000}"/>
    <cellStyle name="Calculation 2 3" xfId="7897" xr:uid="{00000000-0005-0000-0000-000082160000}"/>
    <cellStyle name="Calculation 2 4" xfId="7898" xr:uid="{00000000-0005-0000-0000-000083160000}"/>
    <cellStyle name="Calculation 3" xfId="6351" xr:uid="{00000000-0005-0000-0000-000084160000}"/>
    <cellStyle name="Calculation 3 2" xfId="7899" xr:uid="{00000000-0005-0000-0000-000085160000}"/>
    <cellStyle name="Calculation 3 3" xfId="7900" xr:uid="{00000000-0005-0000-0000-000086160000}"/>
    <cellStyle name="Calculation 3 4" xfId="7901" xr:uid="{00000000-0005-0000-0000-000087160000}"/>
    <cellStyle name="Calculation 4" xfId="7902" xr:uid="{00000000-0005-0000-0000-000088160000}"/>
    <cellStyle name="Calculation 4 2" xfId="7903" xr:uid="{00000000-0005-0000-0000-000089160000}"/>
    <cellStyle name="Calculation 4 3" xfId="7904" xr:uid="{00000000-0005-0000-0000-00008A160000}"/>
    <cellStyle name="Calculation 4 4" xfId="7905" xr:uid="{00000000-0005-0000-0000-00008B160000}"/>
    <cellStyle name="Case" xfId="7561" xr:uid="{00000000-0005-0000-0000-00008C160000}"/>
    <cellStyle name="CashFlow" xfId="7906" xr:uid="{00000000-0005-0000-0000-00008D160000}"/>
    <cellStyle name="category" xfId="6352" xr:uid="{00000000-0005-0000-0000-00008E160000}"/>
    <cellStyle name="CATV Total" xfId="7271" xr:uid="{00000000-0005-0000-0000-00008F160000}"/>
    <cellStyle name="Change A&amp;ll" xfId="6353" xr:uid="{00000000-0005-0000-0000-000090160000}"/>
    <cellStyle name="Check" xfId="7907" xr:uid="{00000000-0005-0000-0000-000091160000}"/>
    <cellStyle name="Check Cell 2" xfId="400" xr:uid="{00000000-0005-0000-0000-000092160000}"/>
    <cellStyle name="Check Cell 3" xfId="6354" xr:uid="{00000000-0005-0000-0000-000093160000}"/>
    <cellStyle name="Check Cell 4" xfId="7908" xr:uid="{00000000-0005-0000-0000-000094160000}"/>
    <cellStyle name="CHN" xfId="6355" xr:uid="{00000000-0005-0000-0000-000095160000}"/>
    <cellStyle name="Co. Names" xfId="7562" xr:uid="{00000000-0005-0000-0000-000096160000}"/>
    <cellStyle name="Co. Names - Bold" xfId="7563" xr:uid="{00000000-0005-0000-0000-000097160000}"/>
    <cellStyle name="Co. Names_Blend" xfId="7564" xr:uid="{00000000-0005-0000-0000-000098160000}"/>
    <cellStyle name="Col Head" xfId="7565" xr:uid="{00000000-0005-0000-0000-000099160000}"/>
    <cellStyle name="ColGap" xfId="7272" xr:uid="{00000000-0005-0000-0000-00009A160000}"/>
    <cellStyle name="ColHeadEntry" xfId="7273" xr:uid="{00000000-0005-0000-0000-00009B160000}"/>
    <cellStyle name="ColHeading" xfId="6356" xr:uid="{00000000-0005-0000-0000-00009C160000}"/>
    <cellStyle name="colheadleft" xfId="7909" xr:uid="{00000000-0005-0000-0000-00009D160000}"/>
    <cellStyle name="colheadright" xfId="7910" xr:uid="{00000000-0005-0000-0000-00009E160000}"/>
    <cellStyle name="ColHeadYear" xfId="7274" xr:uid="{00000000-0005-0000-0000-00009F160000}"/>
    <cellStyle name="ColHeadYear 2" xfId="7911" xr:uid="{00000000-0005-0000-0000-0000A0160000}"/>
    <cellStyle name="ColHeadYear 3" xfId="7912" xr:uid="{00000000-0005-0000-0000-0000A1160000}"/>
    <cellStyle name="ColLevel_0" xfId="6357" xr:uid="{00000000-0005-0000-0000-0000A2160000}"/>
    <cellStyle name="Comma" xfId="401" builtinId="3"/>
    <cellStyle name="Comma  - Style1" xfId="6358" xr:uid="{00000000-0005-0000-0000-0000A4160000}"/>
    <cellStyle name="Comma  - Style2" xfId="6359" xr:uid="{00000000-0005-0000-0000-0000A5160000}"/>
    <cellStyle name="Comma  - Style3" xfId="6360" xr:uid="{00000000-0005-0000-0000-0000A6160000}"/>
    <cellStyle name="Comma  - Style4" xfId="6361" xr:uid="{00000000-0005-0000-0000-0000A7160000}"/>
    <cellStyle name="Comma  - Style5" xfId="6362" xr:uid="{00000000-0005-0000-0000-0000A8160000}"/>
    <cellStyle name="Comma  - Style6" xfId="6363" xr:uid="{00000000-0005-0000-0000-0000A9160000}"/>
    <cellStyle name="Comma  - Style7" xfId="6364" xr:uid="{00000000-0005-0000-0000-0000AA160000}"/>
    <cellStyle name="Comma  - Style8" xfId="6365" xr:uid="{00000000-0005-0000-0000-0000AB160000}"/>
    <cellStyle name="Comma [1]" xfId="4101" xr:uid="{00000000-0005-0000-0000-0000AC160000}"/>
    <cellStyle name="Comma [1] 2" xfId="7275" xr:uid="{00000000-0005-0000-0000-0000AD160000}"/>
    <cellStyle name="Comma 0" xfId="7276" xr:uid="{00000000-0005-0000-0000-0000AE160000}"/>
    <cellStyle name="Comma 0*" xfId="10920" xr:uid="{00000000-0005-0000-0000-0000AF160000}"/>
    <cellStyle name="Comma 0_ACCC" xfId="10921" xr:uid="{00000000-0005-0000-0000-0000B0160000}"/>
    <cellStyle name="Comma 10" xfId="4219" xr:uid="{00000000-0005-0000-0000-0000B1160000}"/>
    <cellStyle name="Comma 10 2" xfId="6934" xr:uid="{00000000-0005-0000-0000-0000B2160000}"/>
    <cellStyle name="Comma 10 2 2" xfId="7641" xr:uid="{00000000-0005-0000-0000-0000B3160000}"/>
    <cellStyle name="Comma 10 3" xfId="7625" xr:uid="{00000000-0005-0000-0000-0000B4160000}"/>
    <cellStyle name="Comma 11" xfId="4223" xr:uid="{00000000-0005-0000-0000-0000B5160000}"/>
    <cellStyle name="Comma 11 2" xfId="7626" xr:uid="{00000000-0005-0000-0000-0000B6160000}"/>
    <cellStyle name="Comma 12" xfId="4225" xr:uid="{00000000-0005-0000-0000-0000B7160000}"/>
    <cellStyle name="Comma 12 2" xfId="7627" xr:uid="{00000000-0005-0000-0000-0000B8160000}"/>
    <cellStyle name="Comma 13" xfId="6480" xr:uid="{00000000-0005-0000-0000-0000B9160000}"/>
    <cellStyle name="Comma 13 2" xfId="6948" xr:uid="{00000000-0005-0000-0000-0000BA160000}"/>
    <cellStyle name="Comma 13 2 2" xfId="7642" xr:uid="{00000000-0005-0000-0000-0000BB160000}"/>
    <cellStyle name="Comma 13 3" xfId="7630" xr:uid="{00000000-0005-0000-0000-0000BC160000}"/>
    <cellStyle name="Comma 14" xfId="6862" xr:uid="{00000000-0005-0000-0000-0000BD160000}"/>
    <cellStyle name="Comma 14 2" xfId="7637" xr:uid="{00000000-0005-0000-0000-0000BE160000}"/>
    <cellStyle name="Comma 15" xfId="6768" xr:uid="{00000000-0005-0000-0000-0000BF160000}"/>
    <cellStyle name="Comma 15 2" xfId="7635" xr:uid="{00000000-0005-0000-0000-0000C0160000}"/>
    <cellStyle name="Comma 16" xfId="6863" xr:uid="{00000000-0005-0000-0000-0000C1160000}"/>
    <cellStyle name="Comma 16 2" xfId="7638" xr:uid="{00000000-0005-0000-0000-0000C2160000}"/>
    <cellStyle name="Comma 17" xfId="6762" xr:uid="{00000000-0005-0000-0000-0000C3160000}"/>
    <cellStyle name="Comma 17 2" xfId="7634" xr:uid="{00000000-0005-0000-0000-0000C4160000}"/>
    <cellStyle name="Comma 18" xfId="6866" xr:uid="{00000000-0005-0000-0000-0000C5160000}"/>
    <cellStyle name="Comma 18 2" xfId="7639" xr:uid="{00000000-0005-0000-0000-0000C6160000}"/>
    <cellStyle name="Comma 19" xfId="6756" xr:uid="{00000000-0005-0000-0000-0000C7160000}"/>
    <cellStyle name="Comma 19 2" xfId="7633" xr:uid="{00000000-0005-0000-0000-0000C8160000}"/>
    <cellStyle name="Comma 2" xfId="402" xr:uid="{00000000-0005-0000-0000-0000C9160000}"/>
    <cellStyle name="Comma 2 2" xfId="403" xr:uid="{00000000-0005-0000-0000-0000CA160000}"/>
    <cellStyle name="Comma 2 2 2" xfId="6903" xr:uid="{00000000-0005-0000-0000-0000CB160000}"/>
    <cellStyle name="Comma 2 3" xfId="404" xr:uid="{00000000-0005-0000-0000-0000CC160000}"/>
    <cellStyle name="Comma 2 4" xfId="7806" xr:uid="{00000000-0005-0000-0000-0000CD160000}"/>
    <cellStyle name="Comma 20" xfId="6869" xr:uid="{00000000-0005-0000-0000-0000CE160000}"/>
    <cellStyle name="Comma 20 2" xfId="7640" xr:uid="{00000000-0005-0000-0000-0000CF160000}"/>
    <cellStyle name="Comma 21" xfId="6405" xr:uid="{00000000-0005-0000-0000-0000D0160000}"/>
    <cellStyle name="Comma 21 2" xfId="7628" xr:uid="{00000000-0005-0000-0000-0000D1160000}"/>
    <cellStyle name="Comma 22" xfId="6840" xr:uid="{00000000-0005-0000-0000-0000D2160000}"/>
    <cellStyle name="Comma 22 2" xfId="7636" xr:uid="{00000000-0005-0000-0000-0000D3160000}"/>
    <cellStyle name="Comma 23" xfId="6433" xr:uid="{00000000-0005-0000-0000-0000D4160000}"/>
    <cellStyle name="Comma 23 2" xfId="7629" xr:uid="{00000000-0005-0000-0000-0000D5160000}"/>
    <cellStyle name="Comma 24" xfId="6902" xr:uid="{00000000-0005-0000-0000-0000D6160000}"/>
    <cellStyle name="Comma 25" xfId="6924" xr:uid="{00000000-0005-0000-0000-0000D7160000}"/>
    <cellStyle name="Comma 26" xfId="6912" xr:uid="{00000000-0005-0000-0000-0000D8160000}"/>
    <cellStyle name="Comma 27" xfId="6923" xr:uid="{00000000-0005-0000-0000-0000D9160000}"/>
    <cellStyle name="Comma 28" xfId="6913" xr:uid="{00000000-0005-0000-0000-0000DA160000}"/>
    <cellStyle name="Comma 29" xfId="6922" xr:uid="{00000000-0005-0000-0000-0000DB160000}"/>
    <cellStyle name="Comma 3" xfId="405" xr:uid="{00000000-0005-0000-0000-0000DC160000}"/>
    <cellStyle name="Comma 3 2" xfId="7613" xr:uid="{00000000-0005-0000-0000-0000DD160000}"/>
    <cellStyle name="Comma 30" xfId="6914" xr:uid="{00000000-0005-0000-0000-0000DE160000}"/>
    <cellStyle name="Comma 31" xfId="6950" xr:uid="{00000000-0005-0000-0000-0000DF160000}"/>
    <cellStyle name="Comma 32" xfId="6915" xr:uid="{00000000-0005-0000-0000-0000E0160000}"/>
    <cellStyle name="Comma 33" xfId="6921" xr:uid="{00000000-0005-0000-0000-0000E1160000}"/>
    <cellStyle name="Comma 34" xfId="6916" xr:uid="{00000000-0005-0000-0000-0000E2160000}"/>
    <cellStyle name="Comma 35" xfId="6920" xr:uid="{00000000-0005-0000-0000-0000E3160000}"/>
    <cellStyle name="Comma 36" xfId="6917" xr:uid="{00000000-0005-0000-0000-0000E4160000}"/>
    <cellStyle name="Comma 37" xfId="6925" xr:uid="{00000000-0005-0000-0000-0000E5160000}"/>
    <cellStyle name="Comma 38" xfId="6911" xr:uid="{00000000-0005-0000-0000-0000E6160000}"/>
    <cellStyle name="Comma 39" xfId="6927" xr:uid="{00000000-0005-0000-0000-0000E7160000}"/>
    <cellStyle name="Comma 4" xfId="4196" xr:uid="{00000000-0005-0000-0000-0000E8160000}"/>
    <cellStyle name="Comma 4 2" xfId="7619" xr:uid="{00000000-0005-0000-0000-0000E9160000}"/>
    <cellStyle name="Comma 4 3" xfId="10836" xr:uid="{00000000-0005-0000-0000-0000EA160000}"/>
    <cellStyle name="Comma 40" xfId="6951" xr:uid="{00000000-0005-0000-0000-0000EB160000}"/>
    <cellStyle name="Comma 41" xfId="6958" xr:uid="{00000000-0005-0000-0000-0000EC160000}"/>
    <cellStyle name="Comma 42" xfId="6953" xr:uid="{00000000-0005-0000-0000-0000ED160000}"/>
    <cellStyle name="Comma 43" xfId="6957" xr:uid="{00000000-0005-0000-0000-0000EE160000}"/>
    <cellStyle name="Comma 44" xfId="6954" xr:uid="{00000000-0005-0000-0000-0000EF160000}"/>
    <cellStyle name="Comma 45" xfId="6961" xr:uid="{00000000-0005-0000-0000-0000F0160000}"/>
    <cellStyle name="Comma 46" xfId="7351" xr:uid="{00000000-0005-0000-0000-0000F1160000}"/>
    <cellStyle name="Comma 47" xfId="7356" xr:uid="{00000000-0005-0000-0000-0000F2160000}"/>
    <cellStyle name="Comma 48" xfId="7355" xr:uid="{00000000-0005-0000-0000-0000F3160000}"/>
    <cellStyle name="Comma 49" xfId="7605" xr:uid="{00000000-0005-0000-0000-0000F4160000}"/>
    <cellStyle name="Comma 5" xfId="4199" xr:uid="{00000000-0005-0000-0000-0000F5160000}"/>
    <cellStyle name="Comma 5 2" xfId="7620" xr:uid="{00000000-0005-0000-0000-0000F6160000}"/>
    <cellStyle name="Comma 5 3" xfId="11123" xr:uid="{00000000-0005-0000-0000-0000F7160000}"/>
    <cellStyle name="Comma 50" xfId="7610" xr:uid="{00000000-0005-0000-0000-0000F8160000}"/>
    <cellStyle name="Comma 51" xfId="7609" xr:uid="{00000000-0005-0000-0000-0000F9160000}"/>
    <cellStyle name="Comma 52" xfId="7612" xr:uid="{00000000-0005-0000-0000-0000FA160000}"/>
    <cellStyle name="Comma 53" xfId="7632" xr:uid="{00000000-0005-0000-0000-0000FB160000}"/>
    <cellStyle name="Comma 54" xfId="7618" xr:uid="{00000000-0005-0000-0000-0000FC160000}"/>
    <cellStyle name="Comma 55" xfId="7650" xr:uid="{00000000-0005-0000-0000-0000FD160000}"/>
    <cellStyle name="Comma 56" xfId="7651" xr:uid="{00000000-0005-0000-0000-0000FE160000}"/>
    <cellStyle name="Comma 57" xfId="7652" xr:uid="{00000000-0005-0000-0000-0000FF160000}"/>
    <cellStyle name="Comma 58" xfId="7653" xr:uid="{00000000-0005-0000-0000-000000170000}"/>
    <cellStyle name="Comma 59" xfId="7654" xr:uid="{00000000-0005-0000-0000-000001170000}"/>
    <cellStyle name="Comma 6" xfId="4200" xr:uid="{00000000-0005-0000-0000-000002170000}"/>
    <cellStyle name="Comma 6 2" xfId="7621" xr:uid="{00000000-0005-0000-0000-000003170000}"/>
    <cellStyle name="Comma 60" xfId="7655" xr:uid="{00000000-0005-0000-0000-000004170000}"/>
    <cellStyle name="Comma 61" xfId="7656" xr:uid="{00000000-0005-0000-0000-000005170000}"/>
    <cellStyle name="Comma 62" xfId="7657" xr:uid="{00000000-0005-0000-0000-000006170000}"/>
    <cellStyle name="Comma 63" xfId="7658" xr:uid="{00000000-0005-0000-0000-000007170000}"/>
    <cellStyle name="Comma 64" xfId="7659" xr:uid="{00000000-0005-0000-0000-000008170000}"/>
    <cellStyle name="Comma 65" xfId="7660" xr:uid="{00000000-0005-0000-0000-000009170000}"/>
    <cellStyle name="Comma 66" xfId="7661" xr:uid="{00000000-0005-0000-0000-00000A170000}"/>
    <cellStyle name="Comma 67" xfId="7662" xr:uid="{00000000-0005-0000-0000-00000B170000}"/>
    <cellStyle name="Comma 68" xfId="7783" xr:uid="{00000000-0005-0000-0000-00000C170000}"/>
    <cellStyle name="Comma 69" xfId="7794" xr:uid="{00000000-0005-0000-0000-00000D170000}"/>
    <cellStyle name="Comma 7" xfId="4207" xr:uid="{00000000-0005-0000-0000-00000E170000}"/>
    <cellStyle name="Comma 7 2" xfId="7622" xr:uid="{00000000-0005-0000-0000-00000F170000}"/>
    <cellStyle name="Comma 70" xfId="7791" xr:uid="{00000000-0005-0000-0000-000010170000}"/>
    <cellStyle name="Comma 71" xfId="7792" xr:uid="{00000000-0005-0000-0000-000011170000}"/>
    <cellStyle name="Comma 72" xfId="10403" xr:uid="{00000000-0005-0000-0000-000012170000}"/>
    <cellStyle name="Comma 72 2" xfId="10817" xr:uid="{00000000-0005-0000-0000-000013170000}"/>
    <cellStyle name="Comma 73" xfId="10818" xr:uid="{00000000-0005-0000-0000-000014170000}"/>
    <cellStyle name="Comma 74" xfId="10837" xr:uid="{00000000-0005-0000-0000-000015170000}"/>
    <cellStyle name="Comma 75" xfId="11174" xr:uid="{00000000-0005-0000-0000-000016170000}"/>
    <cellStyle name="Comma 8" xfId="4213" xr:uid="{00000000-0005-0000-0000-000017170000}"/>
    <cellStyle name="Comma 8 2" xfId="7623" xr:uid="{00000000-0005-0000-0000-000018170000}"/>
    <cellStyle name="Comma 9" xfId="4216" xr:uid="{00000000-0005-0000-0000-000019170000}"/>
    <cellStyle name="Comma 9 2" xfId="7624" xr:uid="{00000000-0005-0000-0000-00001A170000}"/>
    <cellStyle name="comma zerodec" xfId="6366" xr:uid="{00000000-0005-0000-0000-00001B170000}"/>
    <cellStyle name="Comma, 1 dec" xfId="10922" xr:uid="{00000000-0005-0000-0000-00001C170000}"/>
    <cellStyle name="Comma, 1dec" xfId="7277" xr:uid="{00000000-0005-0000-0000-00001D170000}"/>
    <cellStyle name="Comma0" xfId="7566" xr:uid="{00000000-0005-0000-0000-00001E170000}"/>
    <cellStyle name="Comment" xfId="10819" xr:uid="{00000000-0005-0000-0000-00001F170000}"/>
    <cellStyle name="Company" xfId="6367" xr:uid="{00000000-0005-0000-0000-000020170000}"/>
    <cellStyle name="Company name" xfId="4102" xr:uid="{00000000-0005-0000-0000-000021170000}"/>
    <cellStyle name="Company_Beta" xfId="6368" xr:uid="{00000000-0005-0000-0000-000022170000}"/>
    <cellStyle name="CompanyTitle" xfId="7567" xr:uid="{00000000-0005-0000-0000-000023170000}"/>
    <cellStyle name="Cover Date" xfId="10923" xr:uid="{00000000-0005-0000-0000-000024170000}"/>
    <cellStyle name="Cover Subtitle" xfId="10924" xr:uid="{00000000-0005-0000-0000-000025170000}"/>
    <cellStyle name="Cover Title" xfId="10925" xr:uid="{00000000-0005-0000-0000-000026170000}"/>
    <cellStyle name="CurRatio" xfId="6369" xr:uid="{00000000-0005-0000-0000-000027170000}"/>
    <cellStyle name="Currency [2]" xfId="7568" xr:uid="{00000000-0005-0000-0000-000028170000}"/>
    <cellStyle name="Currency [2] 2" xfId="7913" xr:uid="{00000000-0005-0000-0000-000029170000}"/>
    <cellStyle name="Currency [2] 3" xfId="7914" xr:uid="{00000000-0005-0000-0000-00002A170000}"/>
    <cellStyle name="Currency [2] 4" xfId="7915" xr:uid="{00000000-0005-0000-0000-00002B170000}"/>
    <cellStyle name="Currency 0" xfId="7278" xr:uid="{00000000-0005-0000-0000-00002C170000}"/>
    <cellStyle name="Currency 2" xfId="7279" xr:uid="{00000000-0005-0000-0000-00002D170000}"/>
    <cellStyle name="Currency 3" xfId="10926" xr:uid="{00000000-0005-0000-0000-00002E170000}"/>
    <cellStyle name="Currency0" xfId="7569" xr:uid="{00000000-0005-0000-0000-00002F170000}"/>
    <cellStyle name="Currency1" xfId="6370" xr:uid="{00000000-0005-0000-0000-000030170000}"/>
    <cellStyle name="Currency2" xfId="10927" xr:uid="{00000000-0005-0000-0000-000031170000}"/>
    <cellStyle name="d" xfId="7280" xr:uid="{00000000-0005-0000-0000-000032170000}"/>
    <cellStyle name="Dash" xfId="4103" xr:uid="{00000000-0005-0000-0000-000033170000}"/>
    <cellStyle name="Data.0" xfId="10820" xr:uid="{00000000-0005-0000-0000-000034170000}"/>
    <cellStyle name="Data.0 2" xfId="10821" xr:uid="{00000000-0005-0000-0000-000035170000}"/>
    <cellStyle name="Data_0dp" xfId="10928" xr:uid="{00000000-0005-0000-0000-000036170000}"/>
    <cellStyle name="DATE" xfId="7281" xr:uid="{00000000-0005-0000-0000-000037170000}"/>
    <cellStyle name="Date [mmm-yy]" xfId="7916" xr:uid="{00000000-0005-0000-0000-000038170000}"/>
    <cellStyle name="Date 2" xfId="7917" xr:uid="{00000000-0005-0000-0000-000039170000}"/>
    <cellStyle name="Date Aligned" xfId="7282" xr:uid="{00000000-0005-0000-0000-00003A170000}"/>
    <cellStyle name="DateMonth" xfId="7918" xr:uid="{00000000-0005-0000-0000-00003B170000}"/>
    <cellStyle name="Dates" xfId="7283" xr:uid="{00000000-0005-0000-0000-00003C170000}"/>
    <cellStyle name="Dates 2" xfId="7919" xr:uid="{00000000-0005-0000-0000-00003D170000}"/>
    <cellStyle name="DateYear" xfId="7920" xr:uid="{00000000-0005-0000-0000-00003E170000}"/>
    <cellStyle name="DateYear 2" xfId="7921" xr:uid="{00000000-0005-0000-0000-00003F170000}"/>
    <cellStyle name="Dec" xfId="4104" xr:uid="{00000000-0005-0000-0000-000040170000}"/>
    <cellStyle name="Dec 2" xfId="7284" xr:uid="{00000000-0005-0000-0000-000041170000}"/>
    <cellStyle name="Dec 3" xfId="7790" xr:uid="{00000000-0005-0000-0000-000042170000}"/>
    <cellStyle name="default" xfId="7570" xr:uid="{00000000-0005-0000-0000-000043170000}"/>
    <cellStyle name="Derive" xfId="10929" xr:uid="{00000000-0005-0000-0000-000044170000}"/>
    <cellStyle name="Dezimal_Modelluebersicht" xfId="406" xr:uid="{00000000-0005-0000-0000-000045170000}"/>
    <cellStyle name="d-mmm-yy" xfId="10930" xr:uid="{00000000-0005-0000-0000-000046170000}"/>
    <cellStyle name="Dollar" xfId="4105" xr:uid="{00000000-0005-0000-0000-000047170000}"/>
    <cellStyle name="Dollar (zero dec)" xfId="6372" xr:uid="{00000000-0005-0000-0000-000048170000}"/>
    <cellStyle name="Dollar 10" xfId="6751" xr:uid="{00000000-0005-0000-0000-000049170000}"/>
    <cellStyle name="Dollar 11" xfId="6811" xr:uid="{00000000-0005-0000-0000-00004A170000}"/>
    <cellStyle name="Dollar 12" xfId="6750" xr:uid="{00000000-0005-0000-0000-00004B170000}"/>
    <cellStyle name="Dollar 13" xfId="7285" xr:uid="{00000000-0005-0000-0000-00004C170000}"/>
    <cellStyle name="Dollar 14" xfId="7922" xr:uid="{00000000-0005-0000-0000-00004D170000}"/>
    <cellStyle name="Dollar 15" xfId="7923" xr:uid="{00000000-0005-0000-0000-00004E170000}"/>
    <cellStyle name="Dollar 16" xfId="7924" xr:uid="{00000000-0005-0000-0000-00004F170000}"/>
    <cellStyle name="Dollar 17" xfId="7925" xr:uid="{00000000-0005-0000-0000-000050170000}"/>
    <cellStyle name="Dollar 18" xfId="7926" xr:uid="{00000000-0005-0000-0000-000051170000}"/>
    <cellStyle name="Dollar 19" xfId="7927" xr:uid="{00000000-0005-0000-0000-000052170000}"/>
    <cellStyle name="Dollar 2" xfId="6371" xr:uid="{00000000-0005-0000-0000-000053170000}"/>
    <cellStyle name="Dollar 3" xfId="6845" xr:uid="{00000000-0005-0000-0000-000054170000}"/>
    <cellStyle name="Dollar 4" xfId="6786" xr:uid="{00000000-0005-0000-0000-000055170000}"/>
    <cellStyle name="Dollar 5" xfId="6839" xr:uid="{00000000-0005-0000-0000-000056170000}"/>
    <cellStyle name="Dollar 6" xfId="6785" xr:uid="{00000000-0005-0000-0000-000057170000}"/>
    <cellStyle name="Dollar 7" xfId="6841" xr:uid="{00000000-0005-0000-0000-000058170000}"/>
    <cellStyle name="Dollar 8" xfId="6784" xr:uid="{00000000-0005-0000-0000-000059170000}"/>
    <cellStyle name="Dollar 9" xfId="6844" xr:uid="{00000000-0005-0000-0000-00005A170000}"/>
    <cellStyle name="Dollars" xfId="7928" xr:uid="{00000000-0005-0000-0000-00005B170000}"/>
    <cellStyle name="DollarWhole" xfId="7929" xr:uid="{00000000-0005-0000-0000-00005C170000}"/>
    <cellStyle name="Dotted Line" xfId="7286" xr:uid="{00000000-0005-0000-0000-00005D170000}"/>
    <cellStyle name="E&amp;Y House" xfId="6373" xr:uid="{00000000-0005-0000-0000-00005E170000}"/>
    <cellStyle name="ec" xfId="4106" xr:uid="{00000000-0005-0000-0000-00005F170000}"/>
    <cellStyle name="emp" xfId="7571" xr:uid="{00000000-0005-0000-0000-000060170000}"/>
    <cellStyle name="Emphasis 1" xfId="407" xr:uid="{00000000-0005-0000-0000-000061170000}"/>
    <cellStyle name="Emphasis 1 10" xfId="408" xr:uid="{00000000-0005-0000-0000-000062170000}"/>
    <cellStyle name="Emphasis 1 11" xfId="409" xr:uid="{00000000-0005-0000-0000-000063170000}"/>
    <cellStyle name="Emphasis 1 12" xfId="410" xr:uid="{00000000-0005-0000-0000-000064170000}"/>
    <cellStyle name="Emphasis 1 13" xfId="411" xr:uid="{00000000-0005-0000-0000-000065170000}"/>
    <cellStyle name="Emphasis 1 14" xfId="412" xr:uid="{00000000-0005-0000-0000-000066170000}"/>
    <cellStyle name="Emphasis 1 15" xfId="413" xr:uid="{00000000-0005-0000-0000-000067170000}"/>
    <cellStyle name="Emphasis 1 16" xfId="414" xr:uid="{00000000-0005-0000-0000-000068170000}"/>
    <cellStyle name="Emphasis 1 17" xfId="415" xr:uid="{00000000-0005-0000-0000-000069170000}"/>
    <cellStyle name="Emphasis 1 18" xfId="416" xr:uid="{00000000-0005-0000-0000-00006A170000}"/>
    <cellStyle name="Emphasis 1 19" xfId="417" xr:uid="{00000000-0005-0000-0000-00006B170000}"/>
    <cellStyle name="Emphasis 1 2" xfId="418" xr:uid="{00000000-0005-0000-0000-00006C170000}"/>
    <cellStyle name="Emphasis 1 20" xfId="419" xr:uid="{00000000-0005-0000-0000-00006D170000}"/>
    <cellStyle name="Emphasis 1 3" xfId="420" xr:uid="{00000000-0005-0000-0000-00006E170000}"/>
    <cellStyle name="Emphasis 1 4" xfId="421" xr:uid="{00000000-0005-0000-0000-00006F170000}"/>
    <cellStyle name="Emphasis 1 5" xfId="422" xr:uid="{00000000-0005-0000-0000-000070170000}"/>
    <cellStyle name="Emphasis 1 6" xfId="423" xr:uid="{00000000-0005-0000-0000-000071170000}"/>
    <cellStyle name="Emphasis 1 7" xfId="424" xr:uid="{00000000-0005-0000-0000-000072170000}"/>
    <cellStyle name="Emphasis 1 8" xfId="425" xr:uid="{00000000-0005-0000-0000-000073170000}"/>
    <cellStyle name="Emphasis 1 9" xfId="426" xr:uid="{00000000-0005-0000-0000-000074170000}"/>
    <cellStyle name="Emphasis 1_Sheet2" xfId="427" xr:uid="{00000000-0005-0000-0000-000075170000}"/>
    <cellStyle name="Emphasis 2" xfId="428" xr:uid="{00000000-0005-0000-0000-000076170000}"/>
    <cellStyle name="Emphasis 2 10" xfId="429" xr:uid="{00000000-0005-0000-0000-000077170000}"/>
    <cellStyle name="Emphasis 2 11" xfId="430" xr:uid="{00000000-0005-0000-0000-000078170000}"/>
    <cellStyle name="Emphasis 2 12" xfId="431" xr:uid="{00000000-0005-0000-0000-000079170000}"/>
    <cellStyle name="Emphasis 2 13" xfId="432" xr:uid="{00000000-0005-0000-0000-00007A170000}"/>
    <cellStyle name="Emphasis 2 14" xfId="433" xr:uid="{00000000-0005-0000-0000-00007B170000}"/>
    <cellStyle name="Emphasis 2 15" xfId="434" xr:uid="{00000000-0005-0000-0000-00007C170000}"/>
    <cellStyle name="Emphasis 2 16" xfId="435" xr:uid="{00000000-0005-0000-0000-00007D170000}"/>
    <cellStyle name="Emphasis 2 17" xfId="436" xr:uid="{00000000-0005-0000-0000-00007E170000}"/>
    <cellStyle name="Emphasis 2 18" xfId="437" xr:uid="{00000000-0005-0000-0000-00007F170000}"/>
    <cellStyle name="Emphasis 2 19" xfId="438" xr:uid="{00000000-0005-0000-0000-000080170000}"/>
    <cellStyle name="Emphasis 2 2" xfId="439" xr:uid="{00000000-0005-0000-0000-000081170000}"/>
    <cellStyle name="Emphasis 2 20" xfId="440" xr:uid="{00000000-0005-0000-0000-000082170000}"/>
    <cellStyle name="Emphasis 2 3" xfId="441" xr:uid="{00000000-0005-0000-0000-000083170000}"/>
    <cellStyle name="Emphasis 2 4" xfId="442" xr:uid="{00000000-0005-0000-0000-000084170000}"/>
    <cellStyle name="Emphasis 2 5" xfId="443" xr:uid="{00000000-0005-0000-0000-000085170000}"/>
    <cellStyle name="Emphasis 2 6" xfId="444" xr:uid="{00000000-0005-0000-0000-000086170000}"/>
    <cellStyle name="Emphasis 2 7" xfId="445" xr:uid="{00000000-0005-0000-0000-000087170000}"/>
    <cellStyle name="Emphasis 2 8" xfId="446" xr:uid="{00000000-0005-0000-0000-000088170000}"/>
    <cellStyle name="Emphasis 2 9" xfId="447" xr:uid="{00000000-0005-0000-0000-000089170000}"/>
    <cellStyle name="Emphasis 2_Sheet2" xfId="448" xr:uid="{00000000-0005-0000-0000-00008A170000}"/>
    <cellStyle name="Emphasis 3" xfId="449" xr:uid="{00000000-0005-0000-0000-00008B170000}"/>
    <cellStyle name="EnterpriseTable[1]" xfId="10931" xr:uid="{00000000-0005-0000-0000-00008C170000}"/>
    <cellStyle name="entry box" xfId="6374" xr:uid="{00000000-0005-0000-0000-00008D170000}"/>
    <cellStyle name="EntryDesc" xfId="7287" xr:uid="{00000000-0005-0000-0000-00008E170000}"/>
    <cellStyle name="EntryValue" xfId="7288" xr:uid="{00000000-0005-0000-0000-00008F170000}"/>
    <cellStyle name="EntryValue 2" xfId="7930" xr:uid="{00000000-0005-0000-0000-000090170000}"/>
    <cellStyle name="EntryValue 3" xfId="7931" xr:uid="{00000000-0005-0000-0000-000091170000}"/>
    <cellStyle name="EPS" xfId="7932" xr:uid="{00000000-0005-0000-0000-000092170000}"/>
    <cellStyle name="EPSActual" xfId="7933" xr:uid="{00000000-0005-0000-0000-000093170000}"/>
    <cellStyle name="EPSEstimate" xfId="7934" xr:uid="{00000000-0005-0000-0000-000094170000}"/>
    <cellStyle name="ERROR" xfId="10932" xr:uid="{00000000-0005-0000-0000-000095170000}"/>
    <cellStyle name="Estimate" xfId="4107" xr:uid="{00000000-0005-0000-0000-000096170000}"/>
    <cellStyle name="Euro" xfId="4108" xr:uid="{00000000-0005-0000-0000-000097170000}"/>
    <cellStyle name="Explanatory Text 2" xfId="450" xr:uid="{00000000-0005-0000-0000-000098170000}"/>
    <cellStyle name="Explanatory Text 3" xfId="6375" xr:uid="{00000000-0005-0000-0000-000099170000}"/>
    <cellStyle name="Explanatory Text 4" xfId="7935" xr:uid="{00000000-0005-0000-0000-00009A170000}"/>
    <cellStyle name="External File Cells" xfId="4109" xr:uid="{00000000-0005-0000-0000-00009B170000}"/>
    <cellStyle name="External File Cells 2" xfId="6376" xr:uid="{00000000-0005-0000-0000-00009C170000}"/>
    <cellStyle name="External File Cells 2 2" xfId="7936" xr:uid="{00000000-0005-0000-0000-00009D170000}"/>
    <cellStyle name="External File Cells 2 3" xfId="7937" xr:uid="{00000000-0005-0000-0000-00009E170000}"/>
    <cellStyle name="External File Cells 3" xfId="7289" xr:uid="{00000000-0005-0000-0000-00009F170000}"/>
    <cellStyle name="External File Cells 3 2" xfId="7938" xr:uid="{00000000-0005-0000-0000-0000A0170000}"/>
    <cellStyle name="External File Cells 3 3" xfId="7939" xr:uid="{00000000-0005-0000-0000-0000A1170000}"/>
    <cellStyle name="External File Cells 4" xfId="7940" xr:uid="{00000000-0005-0000-0000-0000A2170000}"/>
    <cellStyle name="External File Cells 4 2" xfId="7941" xr:uid="{00000000-0005-0000-0000-0000A3170000}"/>
    <cellStyle name="External File Cells 4 3" xfId="7942" xr:uid="{00000000-0005-0000-0000-0000A4170000}"/>
    <cellStyle name="External File Cells 5" xfId="7943" xr:uid="{00000000-0005-0000-0000-0000A5170000}"/>
    <cellStyle name="External File Cells 6" xfId="7944" xr:uid="{00000000-0005-0000-0000-0000A6170000}"/>
    <cellStyle name="fa_data_standard_1_grouped" xfId="11357" xr:uid="{00000000-0005-0000-0000-0000A7170000}"/>
    <cellStyle name="Figures[0]" xfId="10933" xr:uid="{00000000-0005-0000-0000-0000A8170000}"/>
    <cellStyle name="Fit" xfId="7572" xr:uid="{00000000-0005-0000-0000-0000A9170000}"/>
    <cellStyle name="Fixed" xfId="4110" xr:uid="{00000000-0005-0000-0000-0000AA170000}"/>
    <cellStyle name="Fixed 2" xfId="7290" xr:uid="{00000000-0005-0000-0000-0000AB170000}"/>
    <cellStyle name="Footer SBILogo1" xfId="10934" xr:uid="{00000000-0005-0000-0000-0000AC170000}"/>
    <cellStyle name="Footer SBILogo2" xfId="10935" xr:uid="{00000000-0005-0000-0000-0000AD170000}"/>
    <cellStyle name="Footnote" xfId="7291" xr:uid="{00000000-0005-0000-0000-0000AE170000}"/>
    <cellStyle name="Footnote Reference" xfId="10936" xr:uid="{00000000-0005-0000-0000-0000AF170000}"/>
    <cellStyle name="Footnote_ACCC" xfId="10937" xr:uid="{00000000-0005-0000-0000-0000B0170000}"/>
    <cellStyle name="Footnotes" xfId="7573" xr:uid="{00000000-0005-0000-0000-0000B1170000}"/>
    <cellStyle name="Forecast Cells" xfId="4111" xr:uid="{00000000-0005-0000-0000-0000B2170000}"/>
    <cellStyle name="Forecast Hardcode" xfId="4112" xr:uid="{00000000-0005-0000-0000-0000B3170000}"/>
    <cellStyle name="Fraction" xfId="7292" xr:uid="{00000000-0005-0000-0000-0000B4170000}"/>
    <cellStyle name="frv" xfId="7293" xr:uid="{00000000-0005-0000-0000-0000B5170000}"/>
    <cellStyle name="g" xfId="7294" xr:uid="{00000000-0005-0000-0000-0000B6170000}"/>
    <cellStyle name="g_GSJBW 24Oct05hub3" xfId="7295" xr:uid="{00000000-0005-0000-0000-0000B7170000}"/>
    <cellStyle name="G1_1999 figures" xfId="4113" xr:uid="{00000000-0005-0000-0000-0000B8170000}"/>
    <cellStyle name="General" xfId="4114" xr:uid="{00000000-0005-0000-0000-0000B9170000}"/>
    <cellStyle name="General 2" xfId="7296" xr:uid="{00000000-0005-0000-0000-0000BA170000}"/>
    <cellStyle name="Good 2" xfId="451" xr:uid="{00000000-0005-0000-0000-0000BB170000}"/>
    <cellStyle name="Good 3" xfId="6378" xr:uid="{00000000-0005-0000-0000-0000BC170000}"/>
    <cellStyle name="Good 4" xfId="7945" xr:uid="{00000000-0005-0000-0000-0000BD170000}"/>
    <cellStyle name="Good 5" xfId="7946" xr:uid="{00000000-0005-0000-0000-0000BE170000}"/>
    <cellStyle name="Good 6" xfId="7947" xr:uid="{00000000-0005-0000-0000-0000BF170000}"/>
    <cellStyle name="GrandTotal" xfId="10822" xr:uid="{00000000-0005-0000-0000-0000C0170000}"/>
    <cellStyle name="Green" xfId="4115" xr:uid="{00000000-0005-0000-0000-0000C1170000}"/>
    <cellStyle name="Grey" xfId="4116" xr:uid="{00000000-0005-0000-0000-0000C2170000}"/>
    <cellStyle name="Grey 2" xfId="6379" xr:uid="{00000000-0005-0000-0000-0000C3170000}"/>
    <cellStyle name="GrowthRate" xfId="7948" xr:uid="{00000000-0005-0000-0000-0000C4170000}"/>
    <cellStyle name="GrowthSeq" xfId="7949" xr:uid="{00000000-0005-0000-0000-0000C5170000}"/>
    <cellStyle name="H_1998_col_head" xfId="4117" xr:uid="{00000000-0005-0000-0000-0000C6170000}"/>
    <cellStyle name="H_1998_col_head_Beta" xfId="6380" xr:uid="{00000000-0005-0000-0000-0000C7170000}"/>
    <cellStyle name="H_1998_col_head_Cashflow" xfId="6381" xr:uid="{00000000-0005-0000-0000-0000C8170000}"/>
    <cellStyle name="H_1998_col_head_Cashflow_Honghua MSTR" xfId="6382" xr:uid="{00000000-0005-0000-0000-0000C9170000}"/>
    <cellStyle name="H_1998_col_head_new-Sub" xfId="4118" xr:uid="{00000000-0005-0000-0000-0000CA170000}"/>
    <cellStyle name="H_1998_col_head_P&amp;L" xfId="6383" xr:uid="{00000000-0005-0000-0000-0000CB170000}"/>
    <cellStyle name="H_1998_col_head_P&amp;L_Honghua MSTR" xfId="6384" xr:uid="{00000000-0005-0000-0000-0000CC170000}"/>
    <cellStyle name="H_1998_col_head_PetroChina Master" xfId="6385" xr:uid="{00000000-0005-0000-0000-0000CD170000}"/>
    <cellStyle name="H_1998_col_head_PetroChina Master_WIP(20-F update)" xfId="6386" xr:uid="{00000000-0005-0000-0000-0000CE170000}"/>
    <cellStyle name="H_1998_col_head_PetroChina Master_WIP(20-F update)_Cashflow" xfId="6387" xr:uid="{00000000-0005-0000-0000-0000CF170000}"/>
    <cellStyle name="H_1998_col_head_PetroChina Master_WIP(20-F update)_Cashflow_Honghua MSTR" xfId="6388" xr:uid="{00000000-0005-0000-0000-0000D0170000}"/>
    <cellStyle name="H_1998_col_head_PetroChina Master_WIP(20-F update)_P&amp;L" xfId="6389" xr:uid="{00000000-0005-0000-0000-0000D1170000}"/>
    <cellStyle name="H_1998_col_head_PetroChina Master_WIP(20-F update)_P&amp;L_Honghua MSTR" xfId="6390" xr:uid="{00000000-0005-0000-0000-0000D2170000}"/>
    <cellStyle name="H_1998_col_head_PetroChina Master_WIP(20-F update)_Sinopec MSTR" xfId="6391" xr:uid="{00000000-0005-0000-0000-0000D3170000}"/>
    <cellStyle name="H_1998_col_head_PetroChina Master_WIP(20-F update)_Sinopec MSTR Wip" xfId="6392" xr:uid="{00000000-0005-0000-0000-0000D4170000}"/>
    <cellStyle name="H_1998_col_head_PetroChina Master_WIP(20-F update)_Sinopec MSTR_WIP_KK" xfId="6393" xr:uid="{00000000-0005-0000-0000-0000D5170000}"/>
    <cellStyle name="H_1998_col_head_Sinopec MSTR" xfId="6394" xr:uid="{00000000-0005-0000-0000-0000D6170000}"/>
    <cellStyle name="H_1999_col_head" xfId="4119" xr:uid="{00000000-0005-0000-0000-0000D7170000}"/>
    <cellStyle name="H1_1998 figures" xfId="4120" xr:uid="{00000000-0005-0000-0000-0000D8170000}"/>
    <cellStyle name="hard no." xfId="7297" xr:uid="{00000000-0005-0000-0000-0000D9170000}"/>
    <cellStyle name="Hard Percent" xfId="7298" xr:uid="{00000000-0005-0000-0000-0000DA170000}"/>
    <cellStyle name="Head - Style2" xfId="10938" xr:uid="{00000000-0005-0000-0000-0000DB170000}"/>
    <cellStyle name="HEADER" xfId="6395" xr:uid="{00000000-0005-0000-0000-0000DC170000}"/>
    <cellStyle name="Header 2" xfId="7299" xr:uid="{00000000-0005-0000-0000-0000DD170000}"/>
    <cellStyle name="Header Draft Stamp" xfId="10939" xr:uid="{00000000-0005-0000-0000-0000DE170000}"/>
    <cellStyle name="Header_ACCC" xfId="10940" xr:uid="{00000000-0005-0000-0000-0000DF170000}"/>
    <cellStyle name="Header1" xfId="6396" xr:uid="{00000000-0005-0000-0000-0000E0170000}"/>
    <cellStyle name="Header2" xfId="6397" xr:uid="{00000000-0005-0000-0000-0000E1170000}"/>
    <cellStyle name="Header2 2" xfId="7950" xr:uid="{00000000-0005-0000-0000-0000E2170000}"/>
    <cellStyle name="Header2 3" xfId="7951" xr:uid="{00000000-0005-0000-0000-0000E3170000}"/>
    <cellStyle name="Heading" xfId="7574" xr:uid="{00000000-0005-0000-0000-0000E4170000}"/>
    <cellStyle name="Heading 1 2" xfId="452" xr:uid="{00000000-0005-0000-0000-0000E5170000}"/>
    <cellStyle name="Heading 1 3" xfId="6398" xr:uid="{00000000-0005-0000-0000-0000E6170000}"/>
    <cellStyle name="Heading 1 4" xfId="7952" xr:uid="{00000000-0005-0000-0000-0000E7170000}"/>
    <cellStyle name="Heading 1 Above" xfId="10941" xr:uid="{00000000-0005-0000-0000-0000E8170000}"/>
    <cellStyle name="Heading 1+" xfId="10942" xr:uid="{00000000-0005-0000-0000-0000E9170000}"/>
    <cellStyle name="Heading 2 2" xfId="453" xr:uid="{00000000-0005-0000-0000-0000EA170000}"/>
    <cellStyle name="Heading 2 3" xfId="6399" xr:uid="{00000000-0005-0000-0000-0000EB170000}"/>
    <cellStyle name="Heading 2 4" xfId="7953" xr:uid="{00000000-0005-0000-0000-0000EC170000}"/>
    <cellStyle name="Heading 2 Below" xfId="10943" xr:uid="{00000000-0005-0000-0000-0000ED170000}"/>
    <cellStyle name="Heading 2+" xfId="10944" xr:uid="{00000000-0005-0000-0000-0000EE170000}"/>
    <cellStyle name="Heading 3 2" xfId="454" xr:uid="{00000000-0005-0000-0000-0000EF170000}"/>
    <cellStyle name="Heading 3 3" xfId="6400" xr:uid="{00000000-0005-0000-0000-0000F0170000}"/>
    <cellStyle name="Heading 3 4" xfId="7954" xr:uid="{00000000-0005-0000-0000-0000F1170000}"/>
    <cellStyle name="Heading 3+" xfId="10945" xr:uid="{00000000-0005-0000-0000-0000F2170000}"/>
    <cellStyle name="Heading 4 2" xfId="455" xr:uid="{00000000-0005-0000-0000-0000F3170000}"/>
    <cellStyle name="Heading 4 3" xfId="6401" xr:uid="{00000000-0005-0000-0000-0000F4170000}"/>
    <cellStyle name="Heading 4 4" xfId="7955" xr:uid="{00000000-0005-0000-0000-0000F5170000}"/>
    <cellStyle name="Heading1" xfId="4121" xr:uid="{00000000-0005-0000-0000-0000F6170000}"/>
    <cellStyle name="Helv" xfId="4122" xr:uid="{00000000-0005-0000-0000-0000F7170000}"/>
    <cellStyle name="Helv 2" xfId="6402" xr:uid="{00000000-0005-0000-0000-0000F8170000}"/>
    <cellStyle name="Hyperlink" xfId="11358" builtinId="8"/>
    <cellStyle name="Hyperlink 2" xfId="7814" xr:uid="{00000000-0005-0000-0000-0000FA170000}"/>
    <cellStyle name="Hyperlink 3" xfId="7956" xr:uid="{00000000-0005-0000-0000-0000FB170000}"/>
    <cellStyle name="Hyperlink 4" xfId="10402" xr:uid="{00000000-0005-0000-0000-0000FC170000}"/>
    <cellStyle name="Hyperlink_E-Ton_021808" xfId="456" xr:uid="{00000000-0005-0000-0000-0000FD170000}"/>
    <cellStyle name="iannumber" xfId="7300" xr:uid="{00000000-0005-0000-0000-0000FE170000}"/>
    <cellStyle name="ianpercent" xfId="7301" xr:uid="{00000000-0005-0000-0000-0000FF170000}"/>
    <cellStyle name="Income" xfId="7957" xr:uid="{00000000-0005-0000-0000-000000180000}"/>
    <cellStyle name="IncomeStatement" xfId="7958" xr:uid="{00000000-0005-0000-0000-000001180000}"/>
    <cellStyle name="Indent Bold" xfId="10946" xr:uid="{00000000-0005-0000-0000-000002180000}"/>
    <cellStyle name="Index" xfId="7959" xr:uid="{00000000-0005-0000-0000-000003180000}"/>
    <cellStyle name="Info_Main" xfId="4197" xr:uid="{00000000-0005-0000-0000-000004180000}"/>
    <cellStyle name="Input [yellow]" xfId="4124" xr:uid="{00000000-0005-0000-0000-000005180000}"/>
    <cellStyle name="Input [yellow] 2" xfId="6404" xr:uid="{00000000-0005-0000-0000-000006180000}"/>
    <cellStyle name="Input 0" xfId="10947" xr:uid="{00000000-0005-0000-0000-000007180000}"/>
    <cellStyle name="Input 10" xfId="6850" xr:uid="{00000000-0005-0000-0000-000008180000}"/>
    <cellStyle name="Input 11" xfId="6783" xr:uid="{00000000-0005-0000-0000-000009180000}"/>
    <cellStyle name="Input 12" xfId="6848" xr:uid="{00000000-0005-0000-0000-00000A180000}"/>
    <cellStyle name="Input 13" xfId="6782" xr:uid="{00000000-0005-0000-0000-00000B180000}"/>
    <cellStyle name="Input 14" xfId="6849" xr:uid="{00000000-0005-0000-0000-00000C180000}"/>
    <cellStyle name="Input 15" xfId="6781" xr:uid="{00000000-0005-0000-0000-00000D180000}"/>
    <cellStyle name="Input 16" xfId="6851" xr:uid="{00000000-0005-0000-0000-00000E180000}"/>
    <cellStyle name="Input 17" xfId="6749" xr:uid="{00000000-0005-0000-0000-00000F180000}"/>
    <cellStyle name="Input 18" xfId="6812" xr:uid="{00000000-0005-0000-0000-000010180000}"/>
    <cellStyle name="Input 19" xfId="6748" xr:uid="{00000000-0005-0000-0000-000011180000}"/>
    <cellStyle name="Input 2" xfId="457" xr:uid="{00000000-0005-0000-0000-000012180000}"/>
    <cellStyle name="Input 2 2" xfId="6904" xr:uid="{00000000-0005-0000-0000-000013180000}"/>
    <cellStyle name="Input 2 2 2" xfId="7960" xr:uid="{00000000-0005-0000-0000-000014180000}"/>
    <cellStyle name="Input 2 2 3" xfId="7961" xr:uid="{00000000-0005-0000-0000-000015180000}"/>
    <cellStyle name="Input 2 2 4" xfId="7962" xr:uid="{00000000-0005-0000-0000-000016180000}"/>
    <cellStyle name="Input 2 3" xfId="6898" xr:uid="{00000000-0005-0000-0000-000017180000}"/>
    <cellStyle name="Input 20" xfId="6893" xr:uid="{00000000-0005-0000-0000-000018180000}"/>
    <cellStyle name="Input 21" xfId="7807" xr:uid="{00000000-0005-0000-0000-000019180000}"/>
    <cellStyle name="Input 21 2" xfId="7963" xr:uid="{00000000-0005-0000-0000-00001A180000}"/>
    <cellStyle name="Input 21 3" xfId="7964" xr:uid="{00000000-0005-0000-0000-00001B180000}"/>
    <cellStyle name="Input 21 4" xfId="7965" xr:uid="{00000000-0005-0000-0000-00001C180000}"/>
    <cellStyle name="Input 22" xfId="7966" xr:uid="{00000000-0005-0000-0000-00001D180000}"/>
    <cellStyle name="Input 22 2" xfId="7967" xr:uid="{00000000-0005-0000-0000-00001E180000}"/>
    <cellStyle name="Input 22 3" xfId="7968" xr:uid="{00000000-0005-0000-0000-00001F180000}"/>
    <cellStyle name="Input 22 4" xfId="7969" xr:uid="{00000000-0005-0000-0000-000020180000}"/>
    <cellStyle name="Input 23" xfId="7970" xr:uid="{00000000-0005-0000-0000-000021180000}"/>
    <cellStyle name="Input 23 2" xfId="7971" xr:uid="{00000000-0005-0000-0000-000022180000}"/>
    <cellStyle name="Input 23 3" xfId="7972" xr:uid="{00000000-0005-0000-0000-000023180000}"/>
    <cellStyle name="Input 23 4" xfId="7973" xr:uid="{00000000-0005-0000-0000-000024180000}"/>
    <cellStyle name="Input 24" xfId="7974" xr:uid="{00000000-0005-0000-0000-000025180000}"/>
    <cellStyle name="Input 24 2" xfId="7975" xr:uid="{00000000-0005-0000-0000-000026180000}"/>
    <cellStyle name="Input 24 3" xfId="7976" xr:uid="{00000000-0005-0000-0000-000027180000}"/>
    <cellStyle name="Input 24 4" xfId="7977" xr:uid="{00000000-0005-0000-0000-000028180000}"/>
    <cellStyle name="Input 25" xfId="7978" xr:uid="{00000000-0005-0000-0000-000029180000}"/>
    <cellStyle name="Input 25 2" xfId="7979" xr:uid="{00000000-0005-0000-0000-00002A180000}"/>
    <cellStyle name="Input 25 3" xfId="7980" xr:uid="{00000000-0005-0000-0000-00002B180000}"/>
    <cellStyle name="Input 25 4" xfId="7981" xr:uid="{00000000-0005-0000-0000-00002C180000}"/>
    <cellStyle name="Input 26" xfId="7982" xr:uid="{00000000-0005-0000-0000-00002D180000}"/>
    <cellStyle name="Input 26 2" xfId="7983" xr:uid="{00000000-0005-0000-0000-00002E180000}"/>
    <cellStyle name="Input 26 3" xfId="7984" xr:uid="{00000000-0005-0000-0000-00002F180000}"/>
    <cellStyle name="Input 26 4" xfId="7985" xr:uid="{00000000-0005-0000-0000-000030180000}"/>
    <cellStyle name="Input 3" xfId="4123" xr:uid="{00000000-0005-0000-0000-000031180000}"/>
    <cellStyle name="Input 4" xfId="4192" xr:uid="{00000000-0005-0000-0000-000032180000}"/>
    <cellStyle name="Input 5" xfId="2594" xr:uid="{00000000-0005-0000-0000-000033180000}"/>
    <cellStyle name="Input 6" xfId="4201" xr:uid="{00000000-0005-0000-0000-000034180000}"/>
    <cellStyle name="Input 7" xfId="4205" xr:uid="{00000000-0005-0000-0000-000035180000}"/>
    <cellStyle name="Input 8" xfId="4204" xr:uid="{00000000-0005-0000-0000-000036180000}"/>
    <cellStyle name="Input 9" xfId="6403" xr:uid="{00000000-0005-0000-0000-000037180000}"/>
    <cellStyle name="Input Cells" xfId="4125" xr:uid="{00000000-0005-0000-0000-000038180000}"/>
    <cellStyle name="Input Currency" xfId="10948" xr:uid="{00000000-0005-0000-0000-000039180000}"/>
    <cellStyle name="Input Currency 0" xfId="10949" xr:uid="{00000000-0005-0000-0000-00003A180000}"/>
    <cellStyle name="Input Currency 2" xfId="10950" xr:uid="{00000000-0005-0000-0000-00003B180000}"/>
    <cellStyle name="Input Currency_summary" xfId="10951" xr:uid="{00000000-0005-0000-0000-00003C180000}"/>
    <cellStyle name="Input Multiple" xfId="10952" xr:uid="{00000000-0005-0000-0000-00003D180000}"/>
    <cellStyle name="Input Normal" xfId="10953" xr:uid="{00000000-0005-0000-0000-00003E180000}"/>
    <cellStyle name="input percent" xfId="7302" xr:uid="{00000000-0005-0000-0000-00003F180000}"/>
    <cellStyle name="Input Years" xfId="10954" xr:uid="{00000000-0005-0000-0000-000040180000}"/>
    <cellStyle name="InputBlueFont" xfId="4126" xr:uid="{00000000-0005-0000-0000-000041180000}"/>
    <cellStyle name="InputCurrency" xfId="10955" xr:uid="{00000000-0005-0000-0000-000042180000}"/>
    <cellStyle name="InputCurrency2" xfId="10956" xr:uid="{00000000-0005-0000-0000-000043180000}"/>
    <cellStyle name="InputDateDMth" xfId="10957" xr:uid="{00000000-0005-0000-0000-000044180000}"/>
    <cellStyle name="InputDateNorm" xfId="10958" xr:uid="{00000000-0005-0000-0000-000045180000}"/>
    <cellStyle name="InputMultiple1" xfId="10959" xr:uid="{00000000-0005-0000-0000-000046180000}"/>
    <cellStyle name="Inputs" xfId="7303" xr:uid="{00000000-0005-0000-0000-000047180000}"/>
    <cellStyle name="Integer" xfId="6406" xr:uid="{00000000-0005-0000-0000-000048180000}"/>
    <cellStyle name="italics" xfId="6407" xr:uid="{00000000-0005-0000-0000-000049180000}"/>
    <cellStyle name="Item" xfId="6408" xr:uid="{00000000-0005-0000-0000-00004A180000}"/>
    <cellStyle name="Item Descriptions" xfId="7575" xr:uid="{00000000-0005-0000-0000-00004B180000}"/>
    <cellStyle name="ItemTypeClass" xfId="4127" xr:uid="{00000000-0005-0000-0000-00004C180000}"/>
    <cellStyle name="ItemTypeClass 2" xfId="7986" xr:uid="{00000000-0005-0000-0000-00004D180000}"/>
    <cellStyle name="ItemTypeClass 3" xfId="7987" xr:uid="{00000000-0005-0000-0000-00004E180000}"/>
    <cellStyle name="ItemTypeClass 4" xfId="7988" xr:uid="{00000000-0005-0000-0000-00004F180000}"/>
    <cellStyle name="Joe" xfId="7304" xr:uid="{00000000-0005-0000-0000-000050180000}"/>
    <cellStyle name="Line" xfId="7576" xr:uid="{00000000-0005-0000-0000-000051180000}"/>
    <cellStyle name="Linked Cell 2" xfId="458" xr:uid="{00000000-0005-0000-0000-000052180000}"/>
    <cellStyle name="Linked Cell 3" xfId="6409" xr:uid="{00000000-0005-0000-0000-000053180000}"/>
    <cellStyle name="Linked Cell 4" xfId="7989" xr:uid="{00000000-0005-0000-0000-000054180000}"/>
    <cellStyle name="linkothers" xfId="6410" xr:uid="{00000000-0005-0000-0000-000055180000}"/>
    <cellStyle name="LTGR" xfId="7990" xr:uid="{00000000-0005-0000-0000-000056180000}"/>
    <cellStyle name="Mainhead" xfId="4128" xr:uid="{00000000-0005-0000-0000-000057180000}"/>
    <cellStyle name="Margin" xfId="7991" xr:uid="{00000000-0005-0000-0000-000058180000}"/>
    <cellStyle name="Margins" xfId="7992" xr:uid="{00000000-0005-0000-0000-000059180000}"/>
    <cellStyle name="Merrill" xfId="7577" xr:uid="{00000000-0005-0000-0000-00005A180000}"/>
    <cellStyle name="Millares [0]_AUDIO" xfId="7305" xr:uid="{00000000-0005-0000-0000-00005B180000}"/>
    <cellStyle name="Millares_AIRTEL08" xfId="7306" xr:uid="{00000000-0005-0000-0000-00005C180000}"/>
    <cellStyle name="Milliers [0]_laroux" xfId="7307" xr:uid="{00000000-0005-0000-0000-00005D180000}"/>
    <cellStyle name="Milliers_laroux" xfId="7308" xr:uid="{00000000-0005-0000-0000-00005E180000}"/>
    <cellStyle name="Mix" xfId="7578" xr:uid="{00000000-0005-0000-0000-00005F180000}"/>
    <cellStyle name="Model" xfId="6411" xr:uid="{00000000-0005-0000-0000-000060180000}"/>
    <cellStyle name="Moneda [0]_AUDIO" xfId="7309" xr:uid="{00000000-0005-0000-0000-000061180000}"/>
    <cellStyle name="Moneda_AIRTEL08" xfId="7310" xr:uid="{00000000-0005-0000-0000-000062180000}"/>
    <cellStyle name="Monétaire [0]_laroux" xfId="7311" xr:uid="{00000000-0005-0000-0000-000063180000}"/>
    <cellStyle name="Monétaire_laroux" xfId="7312" xr:uid="{00000000-0005-0000-0000-000064180000}"/>
    <cellStyle name="Monitor" xfId="7579" xr:uid="{00000000-0005-0000-0000-000065180000}"/>
    <cellStyle name="Multiple" xfId="4129" xr:uid="{00000000-0005-0000-0000-000066180000}"/>
    <cellStyle name="Multiple 2" xfId="7313" xr:uid="{00000000-0005-0000-0000-000067180000}"/>
    <cellStyle name="Name" xfId="7314" xr:uid="{00000000-0005-0000-0000-000068180000}"/>
    <cellStyle name="Neutral 2" xfId="459" xr:uid="{00000000-0005-0000-0000-000069180000}"/>
    <cellStyle name="Neutral 3" xfId="6412" xr:uid="{00000000-0005-0000-0000-00006A180000}"/>
    <cellStyle name="Neutral 4" xfId="7993" xr:uid="{00000000-0005-0000-0000-00006B180000}"/>
    <cellStyle name="Neutral 5" xfId="7994" xr:uid="{00000000-0005-0000-0000-00006C180000}"/>
    <cellStyle name="NewAcct" xfId="7315" xr:uid="{00000000-0005-0000-0000-00006D180000}"/>
    <cellStyle name="No Decimal" xfId="4130" xr:uid="{00000000-0005-0000-0000-00006E180000}"/>
    <cellStyle name="No Decimal 2" xfId="6413" xr:uid="{00000000-0005-0000-0000-00006F180000}"/>
    <cellStyle name="Nodec" xfId="4131" xr:uid="{00000000-0005-0000-0000-000070180000}"/>
    <cellStyle name="Normal" xfId="0" builtinId="0"/>
    <cellStyle name="Normal - Style1" xfId="4132" xr:uid="{00000000-0005-0000-0000-000072180000}"/>
    <cellStyle name="Normal - Style1 2" xfId="6414" xr:uid="{00000000-0005-0000-0000-000073180000}"/>
    <cellStyle name="Normal 10" xfId="4214" xr:uid="{00000000-0005-0000-0000-000074180000}"/>
    <cellStyle name="Normal 10 2" xfId="6931" xr:uid="{00000000-0005-0000-0000-000075180000}"/>
    <cellStyle name="Normal 10 3" xfId="10960" xr:uid="{00000000-0005-0000-0000-000076180000}"/>
    <cellStyle name="Normal 11" xfId="4217" xr:uid="{00000000-0005-0000-0000-000077180000}"/>
    <cellStyle name="Normal 11 2" xfId="6932" xr:uid="{00000000-0005-0000-0000-000078180000}"/>
    <cellStyle name="Normal 11 2 2" xfId="7663" xr:uid="{00000000-0005-0000-0000-000079180000}"/>
    <cellStyle name="Normal 11 2 2 2" xfId="7664" xr:uid="{00000000-0005-0000-0000-00007A180000}"/>
    <cellStyle name="Normal 11 2 2 2 2" xfId="7665" xr:uid="{00000000-0005-0000-0000-00007B180000}"/>
    <cellStyle name="Normal 11 2 2 3" xfId="7666" xr:uid="{00000000-0005-0000-0000-00007C180000}"/>
    <cellStyle name="Normal 11 2 2 3 2" xfId="7667" xr:uid="{00000000-0005-0000-0000-00007D180000}"/>
    <cellStyle name="Normal 11 2 2 4" xfId="7668" xr:uid="{00000000-0005-0000-0000-00007E180000}"/>
    <cellStyle name="Normal 11 2 3" xfId="7669" xr:uid="{00000000-0005-0000-0000-00007F180000}"/>
    <cellStyle name="Normal 11 2 3 2" xfId="7670" xr:uid="{00000000-0005-0000-0000-000080180000}"/>
    <cellStyle name="Normal 11 2 4" xfId="7671" xr:uid="{00000000-0005-0000-0000-000081180000}"/>
    <cellStyle name="Normal 11 2 4 2" xfId="7672" xr:uid="{00000000-0005-0000-0000-000082180000}"/>
    <cellStyle name="Normal 11 2 5" xfId="7673" xr:uid="{00000000-0005-0000-0000-000083180000}"/>
    <cellStyle name="Normal 11 3" xfId="7674" xr:uid="{00000000-0005-0000-0000-000084180000}"/>
    <cellStyle name="Normal 11 3 2" xfId="7675" xr:uid="{00000000-0005-0000-0000-000085180000}"/>
    <cellStyle name="Normal 11 3 2 2" xfId="7676" xr:uid="{00000000-0005-0000-0000-000086180000}"/>
    <cellStyle name="Normal 11 3 3" xfId="7677" xr:uid="{00000000-0005-0000-0000-000087180000}"/>
    <cellStyle name="Normal 11 3 3 2" xfId="7678" xr:uid="{00000000-0005-0000-0000-000088180000}"/>
    <cellStyle name="Normal 11 3 4" xfId="7679" xr:uid="{00000000-0005-0000-0000-000089180000}"/>
    <cellStyle name="Normal 11 4" xfId="7680" xr:uid="{00000000-0005-0000-0000-00008A180000}"/>
    <cellStyle name="Normal 11 4 2" xfId="7681" xr:uid="{00000000-0005-0000-0000-00008B180000}"/>
    <cellStyle name="Normal 11 5" xfId="7682" xr:uid="{00000000-0005-0000-0000-00008C180000}"/>
    <cellStyle name="Normal 11 5 2" xfId="7683" xr:uid="{00000000-0005-0000-0000-00008D180000}"/>
    <cellStyle name="Normal 11 6" xfId="7684" xr:uid="{00000000-0005-0000-0000-00008E180000}"/>
    <cellStyle name="Normal 113" xfId="11355" xr:uid="{00000000-0005-0000-0000-00008F180000}"/>
    <cellStyle name="Normal 12" xfId="4220" xr:uid="{00000000-0005-0000-0000-000090180000}"/>
    <cellStyle name="Normal 13" xfId="4221" xr:uid="{00000000-0005-0000-0000-000091180000}"/>
    <cellStyle name="Normal 14" xfId="4226" xr:uid="{00000000-0005-0000-0000-000092180000}"/>
    <cellStyle name="Normal 14 2" xfId="6935" xr:uid="{00000000-0005-0000-0000-000093180000}"/>
    <cellStyle name="Normal 15" xfId="6477" xr:uid="{00000000-0005-0000-0000-000094180000}"/>
    <cellStyle name="Normal 16" xfId="6878" xr:uid="{00000000-0005-0000-0000-000095180000}"/>
    <cellStyle name="Normal 17" xfId="6882" xr:uid="{00000000-0005-0000-0000-000096180000}"/>
    <cellStyle name="Normal 18" xfId="6883" xr:uid="{00000000-0005-0000-0000-000097180000}"/>
    <cellStyle name="Normal 19" xfId="6884" xr:uid="{00000000-0005-0000-0000-000098180000}"/>
    <cellStyle name="Normal 2" xfId="460" xr:uid="{00000000-0005-0000-0000-000099180000}"/>
    <cellStyle name="Normal 2 11" xfId="7646" xr:uid="{00000000-0005-0000-0000-00009A180000}"/>
    <cellStyle name="Normal 2 2" xfId="461" xr:uid="{00000000-0005-0000-0000-00009B180000}"/>
    <cellStyle name="Normal 2 2 2" xfId="7995" xr:uid="{00000000-0005-0000-0000-00009C180000}"/>
    <cellStyle name="Normal 2 3" xfId="4190" xr:uid="{00000000-0005-0000-0000-00009D180000}"/>
    <cellStyle name="Normal 2 4" xfId="6905" xr:uid="{00000000-0005-0000-0000-00009E180000}"/>
    <cellStyle name="Normal 2 5" xfId="7996" xr:uid="{00000000-0005-0000-0000-00009F180000}"/>
    <cellStyle name="Normal 20" xfId="6885" xr:uid="{00000000-0005-0000-0000-0000A0180000}"/>
    <cellStyle name="Normal 20 2" xfId="10961" xr:uid="{00000000-0005-0000-0000-0000A1180000}"/>
    <cellStyle name="Normal 21" xfId="6886" xr:uid="{00000000-0005-0000-0000-0000A2180000}"/>
    <cellStyle name="Normal 21 2" xfId="11121" xr:uid="{00000000-0005-0000-0000-0000A3180000}"/>
    <cellStyle name="Normal 22" xfId="6874" xr:uid="{00000000-0005-0000-0000-0000A4180000}"/>
    <cellStyle name="Normal 23" xfId="6888" xr:uid="{00000000-0005-0000-0000-0000A5180000}"/>
    <cellStyle name="Normal 24" xfId="6889" xr:uid="{00000000-0005-0000-0000-0000A6180000}"/>
    <cellStyle name="Normal 25" xfId="6963" xr:uid="{00000000-0005-0000-0000-0000A7180000}"/>
    <cellStyle name="Normal 25 2" xfId="7685" xr:uid="{00000000-0005-0000-0000-0000A8180000}"/>
    <cellStyle name="Normal 25 2 2" xfId="7686" xr:uid="{00000000-0005-0000-0000-0000A9180000}"/>
    <cellStyle name="Normal 25 3" xfId="7687" xr:uid="{00000000-0005-0000-0000-0000AA180000}"/>
    <cellStyle name="Normal 25 3 2" xfId="7688" xr:uid="{00000000-0005-0000-0000-0000AB180000}"/>
    <cellStyle name="Normal 25 4" xfId="7689" xr:uid="{00000000-0005-0000-0000-0000AC180000}"/>
    <cellStyle name="Normal 26" xfId="7357" xr:uid="{00000000-0005-0000-0000-0000AD180000}"/>
    <cellStyle name="Normal 26 2" xfId="7611" xr:uid="{00000000-0005-0000-0000-0000AE180000}"/>
    <cellStyle name="Normal 26 2 2" xfId="7645" xr:uid="{00000000-0005-0000-0000-0000AF180000}"/>
    <cellStyle name="Normal 26 2 2 2" xfId="7690" xr:uid="{00000000-0005-0000-0000-0000B0180000}"/>
    <cellStyle name="Normal 26 2 2 2 2" xfId="7691" xr:uid="{00000000-0005-0000-0000-0000B1180000}"/>
    <cellStyle name="Normal 26 2 2 2 2 2" xfId="7692" xr:uid="{00000000-0005-0000-0000-0000B2180000}"/>
    <cellStyle name="Normal 26 2 2 2 3" xfId="7693" xr:uid="{00000000-0005-0000-0000-0000B3180000}"/>
    <cellStyle name="Normal 26 2 2 3" xfId="7694" xr:uid="{00000000-0005-0000-0000-0000B4180000}"/>
    <cellStyle name="Normal 26 2 2 3 2" xfId="7695" xr:uid="{00000000-0005-0000-0000-0000B5180000}"/>
    <cellStyle name="Normal 26 2 2 3 2 2" xfId="7696" xr:uid="{00000000-0005-0000-0000-0000B6180000}"/>
    <cellStyle name="Normal 26 2 2 3 3" xfId="7697" xr:uid="{00000000-0005-0000-0000-0000B7180000}"/>
    <cellStyle name="Normal 26 2 2 4" xfId="7698" xr:uid="{00000000-0005-0000-0000-0000B8180000}"/>
    <cellStyle name="Normal 26 2 2 4 2" xfId="7699" xr:uid="{00000000-0005-0000-0000-0000B9180000}"/>
    <cellStyle name="Normal 26 2 2 5" xfId="7700" xr:uid="{00000000-0005-0000-0000-0000BA180000}"/>
    <cellStyle name="Normal 26 2 3" xfId="7701" xr:uid="{00000000-0005-0000-0000-0000BB180000}"/>
    <cellStyle name="Normal 26 2 3 2" xfId="7702" xr:uid="{00000000-0005-0000-0000-0000BC180000}"/>
    <cellStyle name="Normal 26 2 3 2 2" xfId="7703" xr:uid="{00000000-0005-0000-0000-0000BD180000}"/>
    <cellStyle name="Normal 26 2 3 3" xfId="7704" xr:uid="{00000000-0005-0000-0000-0000BE180000}"/>
    <cellStyle name="Normal 26 2 4" xfId="7705" xr:uid="{00000000-0005-0000-0000-0000BF180000}"/>
    <cellStyle name="Normal 26 2 4 2" xfId="7706" xr:uid="{00000000-0005-0000-0000-0000C0180000}"/>
    <cellStyle name="Normal 26 2 4 2 2" xfId="7707" xr:uid="{00000000-0005-0000-0000-0000C1180000}"/>
    <cellStyle name="Normal 26 2 4 3" xfId="7708" xr:uid="{00000000-0005-0000-0000-0000C2180000}"/>
    <cellStyle name="Normal 26 2 5" xfId="7709" xr:uid="{00000000-0005-0000-0000-0000C3180000}"/>
    <cellStyle name="Normal 26 2 5 2" xfId="7710" xr:uid="{00000000-0005-0000-0000-0000C4180000}"/>
    <cellStyle name="Normal 26 2 6" xfId="7711" xr:uid="{00000000-0005-0000-0000-0000C5180000}"/>
    <cellStyle name="Normal 26 3" xfId="7644" xr:uid="{00000000-0005-0000-0000-0000C6180000}"/>
    <cellStyle name="Normal 26 3 2" xfId="7712" xr:uid="{00000000-0005-0000-0000-0000C7180000}"/>
    <cellStyle name="Normal 26 3 2 2" xfId="7713" xr:uid="{00000000-0005-0000-0000-0000C8180000}"/>
    <cellStyle name="Normal 26 3 2 2 2" xfId="7714" xr:uid="{00000000-0005-0000-0000-0000C9180000}"/>
    <cellStyle name="Normal 26 3 2 2 2 2" xfId="7715" xr:uid="{00000000-0005-0000-0000-0000CA180000}"/>
    <cellStyle name="Normal 26 3 2 2 3" xfId="7716" xr:uid="{00000000-0005-0000-0000-0000CB180000}"/>
    <cellStyle name="Normal 26 3 2 3" xfId="7717" xr:uid="{00000000-0005-0000-0000-0000CC180000}"/>
    <cellStyle name="Normal 26 3 2 3 2" xfId="7718" xr:uid="{00000000-0005-0000-0000-0000CD180000}"/>
    <cellStyle name="Normal 26 3 2 3 2 2" xfId="7719" xr:uid="{00000000-0005-0000-0000-0000CE180000}"/>
    <cellStyle name="Normal 26 3 2 3 3" xfId="7720" xr:uid="{00000000-0005-0000-0000-0000CF180000}"/>
    <cellStyle name="Normal 26 3 2 4" xfId="7721" xr:uid="{00000000-0005-0000-0000-0000D0180000}"/>
    <cellStyle name="Normal 26 3 2 4 2" xfId="7722" xr:uid="{00000000-0005-0000-0000-0000D1180000}"/>
    <cellStyle name="Normal 26 3 2 5" xfId="7723" xr:uid="{00000000-0005-0000-0000-0000D2180000}"/>
    <cellStyle name="Normal 26 3 3" xfId="7724" xr:uid="{00000000-0005-0000-0000-0000D3180000}"/>
    <cellStyle name="Normal 26 3 3 2" xfId="7725" xr:uid="{00000000-0005-0000-0000-0000D4180000}"/>
    <cellStyle name="Normal 26 3 3 2 2" xfId="7726" xr:uid="{00000000-0005-0000-0000-0000D5180000}"/>
    <cellStyle name="Normal 26 3 3 3" xfId="7727" xr:uid="{00000000-0005-0000-0000-0000D6180000}"/>
    <cellStyle name="Normal 26 3 4" xfId="7728" xr:uid="{00000000-0005-0000-0000-0000D7180000}"/>
    <cellStyle name="Normal 26 3 4 2" xfId="7729" xr:uid="{00000000-0005-0000-0000-0000D8180000}"/>
    <cellStyle name="Normal 26 3 4 2 2" xfId="7730" xr:uid="{00000000-0005-0000-0000-0000D9180000}"/>
    <cellStyle name="Normal 26 3 4 3" xfId="7731" xr:uid="{00000000-0005-0000-0000-0000DA180000}"/>
    <cellStyle name="Normal 26 3 5" xfId="7732" xr:uid="{00000000-0005-0000-0000-0000DB180000}"/>
    <cellStyle name="Normal 26 3 5 2" xfId="7733" xr:uid="{00000000-0005-0000-0000-0000DC180000}"/>
    <cellStyle name="Normal 26 3 6" xfId="7734" xr:uid="{00000000-0005-0000-0000-0000DD180000}"/>
    <cellStyle name="Normal 26 4" xfId="7735" xr:uid="{00000000-0005-0000-0000-0000DE180000}"/>
    <cellStyle name="Normal 26 4 2" xfId="7736" xr:uid="{00000000-0005-0000-0000-0000DF180000}"/>
    <cellStyle name="Normal 26 4 2 2" xfId="7737" xr:uid="{00000000-0005-0000-0000-0000E0180000}"/>
    <cellStyle name="Normal 26 4 2 2 2" xfId="7738" xr:uid="{00000000-0005-0000-0000-0000E1180000}"/>
    <cellStyle name="Normal 26 4 2 3" xfId="7739" xr:uid="{00000000-0005-0000-0000-0000E2180000}"/>
    <cellStyle name="Normal 26 4 3" xfId="7740" xr:uid="{00000000-0005-0000-0000-0000E3180000}"/>
    <cellStyle name="Normal 26 4 3 2" xfId="7741" xr:uid="{00000000-0005-0000-0000-0000E4180000}"/>
    <cellStyle name="Normal 26 4 3 2 2" xfId="7742" xr:uid="{00000000-0005-0000-0000-0000E5180000}"/>
    <cellStyle name="Normal 26 4 3 3" xfId="7743" xr:uid="{00000000-0005-0000-0000-0000E6180000}"/>
    <cellStyle name="Normal 26 4 4" xfId="7744" xr:uid="{00000000-0005-0000-0000-0000E7180000}"/>
    <cellStyle name="Normal 26 4 4 2" xfId="7745" xr:uid="{00000000-0005-0000-0000-0000E8180000}"/>
    <cellStyle name="Normal 26 4 5" xfId="7746" xr:uid="{00000000-0005-0000-0000-0000E9180000}"/>
    <cellStyle name="Normal 26 5" xfId="7747" xr:uid="{00000000-0005-0000-0000-0000EA180000}"/>
    <cellStyle name="Normal 26 5 2" xfId="7748" xr:uid="{00000000-0005-0000-0000-0000EB180000}"/>
    <cellStyle name="Normal 26 5 2 2" xfId="7749" xr:uid="{00000000-0005-0000-0000-0000EC180000}"/>
    <cellStyle name="Normal 26 5 3" xfId="7750" xr:uid="{00000000-0005-0000-0000-0000ED180000}"/>
    <cellStyle name="Normal 26 6" xfId="7751" xr:uid="{00000000-0005-0000-0000-0000EE180000}"/>
    <cellStyle name="Normal 26 6 2" xfId="7752" xr:uid="{00000000-0005-0000-0000-0000EF180000}"/>
    <cellStyle name="Normal 26 6 2 2" xfId="7753" xr:uid="{00000000-0005-0000-0000-0000F0180000}"/>
    <cellStyle name="Normal 26 6 3" xfId="7754" xr:uid="{00000000-0005-0000-0000-0000F1180000}"/>
    <cellStyle name="Normal 26 7" xfId="7755" xr:uid="{00000000-0005-0000-0000-0000F2180000}"/>
    <cellStyle name="Normal 26 7 2" xfId="7756" xr:uid="{00000000-0005-0000-0000-0000F3180000}"/>
    <cellStyle name="Normal 26 8" xfId="7757" xr:uid="{00000000-0005-0000-0000-0000F4180000}"/>
    <cellStyle name="Normal 27" xfId="7647" xr:uid="{00000000-0005-0000-0000-0000F5180000}"/>
    <cellStyle name="Normal 27 2" xfId="7799" xr:uid="{00000000-0005-0000-0000-0000F6180000}"/>
    <cellStyle name="Normal 28" xfId="7648" xr:uid="{00000000-0005-0000-0000-0000F7180000}"/>
    <cellStyle name="Normal 29" xfId="7758" xr:uid="{00000000-0005-0000-0000-0000F8180000}"/>
    <cellStyle name="Normal 3" xfId="462" xr:uid="{00000000-0005-0000-0000-0000F9180000}"/>
    <cellStyle name="Normal 3 2" xfId="4184" xr:uid="{00000000-0005-0000-0000-0000FA180000}"/>
    <cellStyle name="Normal 3 3" xfId="6906" xr:uid="{00000000-0005-0000-0000-0000FB180000}"/>
    <cellStyle name="Normal 3 4" xfId="7997" xr:uid="{00000000-0005-0000-0000-0000FC180000}"/>
    <cellStyle name="Normal 3 5" xfId="7998" xr:uid="{00000000-0005-0000-0000-0000FD180000}"/>
    <cellStyle name="Normal 30" xfId="7759" xr:uid="{00000000-0005-0000-0000-0000FE180000}"/>
    <cellStyle name="Normal 31" xfId="7760" xr:uid="{00000000-0005-0000-0000-0000FF180000}"/>
    <cellStyle name="Normal 32" xfId="7761" xr:uid="{00000000-0005-0000-0000-000000190000}"/>
    <cellStyle name="Normal 33" xfId="7762" xr:uid="{00000000-0005-0000-0000-000001190000}"/>
    <cellStyle name="Normal 34" xfId="7778" xr:uid="{00000000-0005-0000-0000-000002190000}"/>
    <cellStyle name="Normal 34 2" xfId="7800" xr:uid="{00000000-0005-0000-0000-000003190000}"/>
    <cellStyle name="Normal 35" xfId="7779" xr:uid="{00000000-0005-0000-0000-000004190000}"/>
    <cellStyle name="Normal 35 2" xfId="7801" xr:uid="{00000000-0005-0000-0000-000005190000}"/>
    <cellStyle name="Normal 36" xfId="7780" xr:uid="{00000000-0005-0000-0000-000006190000}"/>
    <cellStyle name="Normal 37" xfId="7781" xr:uid="{00000000-0005-0000-0000-000007190000}"/>
    <cellStyle name="Normal 38" xfId="7808" xr:uid="{00000000-0005-0000-0000-000008190000}"/>
    <cellStyle name="Normal 39" xfId="7809" xr:uid="{00000000-0005-0000-0000-000009190000}"/>
    <cellStyle name="Normal 4" xfId="463" xr:uid="{00000000-0005-0000-0000-00000A190000}"/>
    <cellStyle name="Normal 4 2" xfId="6907" xr:uid="{00000000-0005-0000-0000-00000B190000}"/>
    <cellStyle name="Normal 4 3" xfId="6897" xr:uid="{00000000-0005-0000-0000-00000C190000}"/>
    <cellStyle name="Normal 40" xfId="7810" xr:uid="{00000000-0005-0000-0000-00000D190000}"/>
    <cellStyle name="Normal 41" xfId="7811" xr:uid="{00000000-0005-0000-0000-00000E190000}"/>
    <cellStyle name="Normal 42" xfId="7812" xr:uid="{00000000-0005-0000-0000-00000F190000}"/>
    <cellStyle name="Normal 43" xfId="7813" xr:uid="{00000000-0005-0000-0000-000010190000}"/>
    <cellStyle name="Normal 44" xfId="10280" xr:uid="{00000000-0005-0000-0000-000011190000}"/>
    <cellStyle name="Normal 45" xfId="10737" xr:uid="{00000000-0005-0000-0000-000012190000}"/>
    <cellStyle name="Normal 46" xfId="10832" xr:uid="{00000000-0005-0000-0000-000013190000}"/>
    <cellStyle name="Normal 47" xfId="10834" xr:uid="{00000000-0005-0000-0000-000014190000}"/>
    <cellStyle name="Normal 48" xfId="10838" xr:uid="{00000000-0005-0000-0000-000015190000}"/>
    <cellStyle name="Normal 49" xfId="11170" xr:uid="{00000000-0005-0000-0000-000016190000}"/>
    <cellStyle name="Normal 5" xfId="4195" xr:uid="{00000000-0005-0000-0000-000017190000}"/>
    <cellStyle name="Normal 5 2" xfId="6928" xr:uid="{00000000-0005-0000-0000-000018190000}"/>
    <cellStyle name="Normal 5 3" xfId="6901" xr:uid="{00000000-0005-0000-0000-000019190000}"/>
    <cellStyle name="Normal 50" xfId="11172" xr:uid="{00000000-0005-0000-0000-00001A190000}"/>
    <cellStyle name="Normal 6" xfId="4198" xr:uid="{00000000-0005-0000-0000-00001B190000}"/>
    <cellStyle name="Normal 6 2" xfId="6929" xr:uid="{00000000-0005-0000-0000-00001C190000}"/>
    <cellStyle name="Normal 6 3" xfId="6896" xr:uid="{00000000-0005-0000-0000-00001D190000}"/>
    <cellStyle name="Normal 7" xfId="4203" xr:uid="{00000000-0005-0000-0000-00001E190000}"/>
    <cellStyle name="Normal 7 2" xfId="10823" xr:uid="{00000000-0005-0000-0000-00001F190000}"/>
    <cellStyle name="Normal 8" xfId="4208" xr:uid="{00000000-0005-0000-0000-000020190000}"/>
    <cellStyle name="Normal 9" xfId="4210" xr:uid="{00000000-0005-0000-0000-000021190000}"/>
    <cellStyle name="Normal 9 2" xfId="6930" xr:uid="{00000000-0005-0000-0000-000022190000}"/>
    <cellStyle name="Normal Cells" xfId="4133" xr:uid="{00000000-0005-0000-0000-000023190000}"/>
    <cellStyle name="Normal no digit" xfId="6415" xr:uid="{00000000-0005-0000-0000-000024190000}"/>
    <cellStyle name="Normal_E-Ton_021808" xfId="464" xr:uid="{00000000-0005-0000-0000-000025190000}"/>
    <cellStyle name="Normal_Sector_Summary_Pack_Eur" xfId="10833" xr:uid="{00000000-0005-0000-0000-000026190000}"/>
    <cellStyle name="Normal_Standard Template_reduced" xfId="465" xr:uid="{00000000-0005-0000-0000-000027190000}"/>
    <cellStyle name="Normal3" xfId="6416" xr:uid="{00000000-0005-0000-0000-000028190000}"/>
    <cellStyle name="Normalny_Arkusz1" xfId="6417" xr:uid="{00000000-0005-0000-0000-000029190000}"/>
    <cellStyle name="Note 2" xfId="466" xr:uid="{00000000-0005-0000-0000-00002A190000}"/>
    <cellStyle name="Note 2 2" xfId="7999" xr:uid="{00000000-0005-0000-0000-00002B190000}"/>
    <cellStyle name="Note 2 3" xfId="8000" xr:uid="{00000000-0005-0000-0000-00002C190000}"/>
    <cellStyle name="Note 2 4" xfId="8001" xr:uid="{00000000-0005-0000-0000-00002D190000}"/>
    <cellStyle name="Note 3" xfId="6418" xr:uid="{00000000-0005-0000-0000-00002E190000}"/>
    <cellStyle name="Note 3 2" xfId="6944" xr:uid="{00000000-0005-0000-0000-00002F190000}"/>
    <cellStyle name="Note 3 2 2" xfId="8002" xr:uid="{00000000-0005-0000-0000-000030190000}"/>
    <cellStyle name="Note 3 2 3" xfId="8003" xr:uid="{00000000-0005-0000-0000-000031190000}"/>
    <cellStyle name="Note 3 2 4" xfId="8004" xr:uid="{00000000-0005-0000-0000-000032190000}"/>
    <cellStyle name="Note 3 3" xfId="8005" xr:uid="{00000000-0005-0000-0000-000033190000}"/>
    <cellStyle name="Note 3 4" xfId="8006" xr:uid="{00000000-0005-0000-0000-000034190000}"/>
    <cellStyle name="Note 3 5" xfId="8007" xr:uid="{00000000-0005-0000-0000-000035190000}"/>
    <cellStyle name="Note 4" xfId="8008" xr:uid="{00000000-0005-0000-0000-000036190000}"/>
    <cellStyle name="Note 4 2" xfId="8009" xr:uid="{00000000-0005-0000-0000-000037190000}"/>
    <cellStyle name="Note 4 3" xfId="8010" xr:uid="{00000000-0005-0000-0000-000038190000}"/>
    <cellStyle name="Note 4 4" xfId="8011" xr:uid="{00000000-0005-0000-0000-000039190000}"/>
    <cellStyle name="Notes" xfId="4134" xr:uid="{00000000-0005-0000-0000-00003A190000}"/>
    <cellStyle name="Notes 2" xfId="7316" xr:uid="{00000000-0005-0000-0000-00003B190000}"/>
    <cellStyle name="Number" xfId="4135" xr:uid="{00000000-0005-0000-0000-00003C190000}"/>
    <cellStyle name="Number 2" xfId="6419" xr:uid="{00000000-0005-0000-0000-00003D190000}"/>
    <cellStyle name="Number 3" xfId="7317" xr:uid="{00000000-0005-0000-0000-00003E190000}"/>
    <cellStyle name="Numbers" xfId="7580" xr:uid="{00000000-0005-0000-0000-00003F190000}"/>
    <cellStyle name="Numbers - Bold" xfId="7581" xr:uid="{00000000-0005-0000-0000-000040190000}"/>
    <cellStyle name="Numbers - Bold - Italic" xfId="7582" xr:uid="{00000000-0005-0000-0000-000041190000}"/>
    <cellStyle name="Numbers - Bold_Blend" xfId="7583" xr:uid="{00000000-0005-0000-0000-000042190000}"/>
    <cellStyle name="Numbers - Large" xfId="7584" xr:uid="{00000000-0005-0000-0000-000043190000}"/>
    <cellStyle name="Numbers_Comps" xfId="7585" xr:uid="{00000000-0005-0000-0000-000044190000}"/>
    <cellStyle name="numero input" xfId="7318" xr:uid="{00000000-0005-0000-0000-000045190000}"/>
    <cellStyle name="numero normal" xfId="7319" xr:uid="{00000000-0005-0000-0000-000046190000}"/>
    <cellStyle name="Onedec" xfId="7320" xr:uid="{00000000-0005-0000-0000-000047190000}"/>
    <cellStyle name="OSW_ColumnLabels" xfId="7586" xr:uid="{00000000-0005-0000-0000-000048190000}"/>
    <cellStyle name="Output 2" xfId="467" xr:uid="{00000000-0005-0000-0000-000049190000}"/>
    <cellStyle name="Output 2 2" xfId="8012" xr:uid="{00000000-0005-0000-0000-00004A190000}"/>
    <cellStyle name="Output 2 3" xfId="8013" xr:uid="{00000000-0005-0000-0000-00004B190000}"/>
    <cellStyle name="Output 2 4" xfId="8014" xr:uid="{00000000-0005-0000-0000-00004C190000}"/>
    <cellStyle name="Output 3" xfId="6420" xr:uid="{00000000-0005-0000-0000-00004D190000}"/>
    <cellStyle name="Output 3 2" xfId="8015" xr:uid="{00000000-0005-0000-0000-00004E190000}"/>
    <cellStyle name="Output 3 3" xfId="8016" xr:uid="{00000000-0005-0000-0000-00004F190000}"/>
    <cellStyle name="Output 3 4" xfId="8017" xr:uid="{00000000-0005-0000-0000-000050190000}"/>
    <cellStyle name="Output 4" xfId="8018" xr:uid="{00000000-0005-0000-0000-000051190000}"/>
    <cellStyle name="Output 5" xfId="8019" xr:uid="{00000000-0005-0000-0000-000052190000}"/>
    <cellStyle name="Output 5 2" xfId="8020" xr:uid="{00000000-0005-0000-0000-000053190000}"/>
    <cellStyle name="Output 5 3" xfId="8021" xr:uid="{00000000-0005-0000-0000-000054190000}"/>
    <cellStyle name="Output 5 4" xfId="8022" xr:uid="{00000000-0005-0000-0000-000055190000}"/>
    <cellStyle name="Output Amounts" xfId="6421" xr:uid="{00000000-0005-0000-0000-000056190000}"/>
    <cellStyle name="P/E" xfId="8023" xr:uid="{00000000-0005-0000-0000-000057190000}"/>
    <cellStyle name="Page" xfId="7587" xr:uid="{00000000-0005-0000-0000-000058190000}"/>
    <cellStyle name="Page header" xfId="4136" xr:uid="{00000000-0005-0000-0000-000059190000}"/>
    <cellStyle name="Page Number" xfId="7321" xr:uid="{00000000-0005-0000-0000-00005A190000}"/>
    <cellStyle name="pc1" xfId="8024" xr:uid="{00000000-0005-0000-0000-00005B190000}"/>
    <cellStyle name="pc1 2" xfId="8025" xr:uid="{00000000-0005-0000-0000-00005C190000}"/>
    <cellStyle name="PE Multiple" xfId="8026" xr:uid="{00000000-0005-0000-0000-00005D190000}"/>
    <cellStyle name="PE/LTGR" xfId="8027" xr:uid="{00000000-0005-0000-0000-00005E190000}"/>
    <cellStyle name="Per" xfId="4137" xr:uid="{00000000-0005-0000-0000-00005F190000}"/>
    <cellStyle name="Percent" xfId="11356" builtinId="5"/>
    <cellStyle name="Percent [2]" xfId="4138" xr:uid="{00000000-0005-0000-0000-000061190000}"/>
    <cellStyle name="Percent [2] 2" xfId="6422" xr:uid="{00000000-0005-0000-0000-000062190000}"/>
    <cellStyle name="Percent [2] 2 2" xfId="6945" xr:uid="{00000000-0005-0000-0000-000063190000}"/>
    <cellStyle name="Percent [2] 3" xfId="6852" xr:uid="{00000000-0005-0000-0000-000064190000}"/>
    <cellStyle name="Percent 10" xfId="4211" xr:uid="{00000000-0005-0000-0000-000065190000}"/>
    <cellStyle name="Percent 11" xfId="4215" xr:uid="{00000000-0005-0000-0000-000066190000}"/>
    <cellStyle name="Percent 12" xfId="4218" xr:uid="{00000000-0005-0000-0000-000067190000}"/>
    <cellStyle name="Percent 12 2" xfId="6933" xr:uid="{00000000-0005-0000-0000-000068190000}"/>
    <cellStyle name="Percent 13" xfId="4222" xr:uid="{00000000-0005-0000-0000-000069190000}"/>
    <cellStyle name="Percent 14" xfId="4224" xr:uid="{00000000-0005-0000-0000-00006A190000}"/>
    <cellStyle name="Percent 15" xfId="6461" xr:uid="{00000000-0005-0000-0000-00006B190000}"/>
    <cellStyle name="Percent 15 2" xfId="6947" xr:uid="{00000000-0005-0000-0000-00006C190000}"/>
    <cellStyle name="Percent 16" xfId="6858" xr:uid="{00000000-0005-0000-0000-00006D190000}"/>
    <cellStyle name="Percent 17" xfId="6780" xr:uid="{00000000-0005-0000-0000-00006E190000}"/>
    <cellStyle name="Percent 18" xfId="6853" xr:uid="{00000000-0005-0000-0000-00006F190000}"/>
    <cellStyle name="Percent 19" xfId="6779" xr:uid="{00000000-0005-0000-0000-000070190000}"/>
    <cellStyle name="Percent 2" xfId="468" xr:uid="{00000000-0005-0000-0000-000071190000}"/>
    <cellStyle name="Percent 2 2" xfId="469" xr:uid="{00000000-0005-0000-0000-000072190000}"/>
    <cellStyle name="Percent 2 2 2" xfId="4186" xr:uid="{00000000-0005-0000-0000-000073190000}"/>
    <cellStyle name="Percent 2 2 3" xfId="6909" xr:uid="{00000000-0005-0000-0000-000074190000}"/>
    <cellStyle name="Percent 2 3" xfId="470" xr:uid="{00000000-0005-0000-0000-000075190000}"/>
    <cellStyle name="Percent 2 4" xfId="4185" xr:uid="{00000000-0005-0000-0000-000076190000}"/>
    <cellStyle name="Percent 2 5" xfId="8028" xr:uid="{00000000-0005-0000-0000-000077190000}"/>
    <cellStyle name="Percent 20" xfId="6854" xr:uid="{00000000-0005-0000-0000-000078190000}"/>
    <cellStyle name="Percent 21" xfId="6777" xr:uid="{00000000-0005-0000-0000-000079190000}"/>
    <cellStyle name="Percent 22" xfId="6856" xr:uid="{00000000-0005-0000-0000-00007A190000}"/>
    <cellStyle name="Percent 23" xfId="4745" xr:uid="{00000000-0005-0000-0000-00007B190000}"/>
    <cellStyle name="Percent 24" xfId="6813" xr:uid="{00000000-0005-0000-0000-00007C190000}"/>
    <cellStyle name="Percent 25" xfId="6131" xr:uid="{00000000-0005-0000-0000-00007D190000}"/>
    <cellStyle name="Percent 26" xfId="6908" xr:uid="{00000000-0005-0000-0000-00007E190000}"/>
    <cellStyle name="Percent 27" xfId="6895" xr:uid="{00000000-0005-0000-0000-00007F190000}"/>
    <cellStyle name="Percent 28" xfId="6894" xr:uid="{00000000-0005-0000-0000-000080190000}"/>
    <cellStyle name="Percent 29" xfId="6918" xr:uid="{00000000-0005-0000-0000-000081190000}"/>
    <cellStyle name="Percent 3" xfId="471" xr:uid="{00000000-0005-0000-0000-000082190000}"/>
    <cellStyle name="Percent 3 2" xfId="6910" xr:uid="{00000000-0005-0000-0000-000083190000}"/>
    <cellStyle name="Percent 3 3" xfId="6900" xr:uid="{00000000-0005-0000-0000-000084190000}"/>
    <cellStyle name="Percent 30" xfId="6892" xr:uid="{00000000-0005-0000-0000-000085190000}"/>
    <cellStyle name="Percent 31" xfId="6938" xr:uid="{00000000-0005-0000-0000-000086190000}"/>
    <cellStyle name="Percent 32" xfId="6937" xr:uid="{00000000-0005-0000-0000-000087190000}"/>
    <cellStyle name="Percent 33" xfId="6942" xr:uid="{00000000-0005-0000-0000-000088190000}"/>
    <cellStyle name="Percent 34" xfId="6939" xr:uid="{00000000-0005-0000-0000-000089190000}"/>
    <cellStyle name="Percent 35" xfId="6936" xr:uid="{00000000-0005-0000-0000-00008A190000}"/>
    <cellStyle name="Percent 36" xfId="6891" xr:uid="{00000000-0005-0000-0000-00008B190000}"/>
    <cellStyle name="Percent 37" xfId="6941" xr:uid="{00000000-0005-0000-0000-00008C190000}"/>
    <cellStyle name="Percent 38" xfId="6940" xr:uid="{00000000-0005-0000-0000-00008D190000}"/>
    <cellStyle name="Percent 39" xfId="6890" xr:uid="{00000000-0005-0000-0000-00008E190000}"/>
    <cellStyle name="Percent 4" xfId="4191" xr:uid="{00000000-0005-0000-0000-00008F190000}"/>
    <cellStyle name="Percent 4 2" xfId="11122" xr:uid="{00000000-0005-0000-0000-000090190000}"/>
    <cellStyle name="Percent 40" xfId="6943" xr:uid="{00000000-0005-0000-0000-000091190000}"/>
    <cellStyle name="Percent 41" xfId="6926" xr:uid="{00000000-0005-0000-0000-000092190000}"/>
    <cellStyle name="Percent 42" xfId="6946" xr:uid="{00000000-0005-0000-0000-000093190000}"/>
    <cellStyle name="Percent 43" xfId="6952" xr:uid="{00000000-0005-0000-0000-000094190000}"/>
    <cellStyle name="Percent 44" xfId="6959" xr:uid="{00000000-0005-0000-0000-000095190000}"/>
    <cellStyle name="Percent 45" xfId="6955" xr:uid="{00000000-0005-0000-0000-000096190000}"/>
    <cellStyle name="Percent 46" xfId="6956" xr:uid="{00000000-0005-0000-0000-000097190000}"/>
    <cellStyle name="Percent 47" xfId="6960" xr:uid="{00000000-0005-0000-0000-000098190000}"/>
    <cellStyle name="Percent 48" xfId="6962" xr:uid="{00000000-0005-0000-0000-000099190000}"/>
    <cellStyle name="Percent 49" xfId="7352" xr:uid="{00000000-0005-0000-0000-00009A190000}"/>
    <cellStyle name="Percent 5" xfId="4193" xr:uid="{00000000-0005-0000-0000-00009B190000}"/>
    <cellStyle name="Percent 50" xfId="7354" xr:uid="{00000000-0005-0000-0000-00009C190000}"/>
    <cellStyle name="Percent 51" xfId="7353" xr:uid="{00000000-0005-0000-0000-00009D190000}"/>
    <cellStyle name="Percent 52" xfId="7606" xr:uid="{00000000-0005-0000-0000-00009E190000}"/>
    <cellStyle name="Percent 53" xfId="7608" xr:uid="{00000000-0005-0000-0000-00009F190000}"/>
    <cellStyle name="Percent 54" xfId="7607" xr:uid="{00000000-0005-0000-0000-0000A0190000}"/>
    <cellStyle name="Percent 55" xfId="7614" xr:uid="{00000000-0005-0000-0000-0000A1190000}"/>
    <cellStyle name="Percent 56" xfId="7617" xr:uid="{00000000-0005-0000-0000-0000A2190000}"/>
    <cellStyle name="Percent 57" xfId="7615" xr:uid="{00000000-0005-0000-0000-0000A3190000}"/>
    <cellStyle name="Percent 58" xfId="7763" xr:uid="{00000000-0005-0000-0000-0000A4190000}"/>
    <cellStyle name="Percent 59" xfId="7764" xr:uid="{00000000-0005-0000-0000-0000A5190000}"/>
    <cellStyle name="Percent 6" xfId="4194" xr:uid="{00000000-0005-0000-0000-0000A6190000}"/>
    <cellStyle name="Percent 60" xfId="7765" xr:uid="{00000000-0005-0000-0000-0000A7190000}"/>
    <cellStyle name="Percent 61" xfId="7766" xr:uid="{00000000-0005-0000-0000-0000A8190000}"/>
    <cellStyle name="Percent 62" xfId="7767" xr:uid="{00000000-0005-0000-0000-0000A9190000}"/>
    <cellStyle name="Percent 63" xfId="7768" xr:uid="{00000000-0005-0000-0000-0000AA190000}"/>
    <cellStyle name="Percent 64" xfId="7769" xr:uid="{00000000-0005-0000-0000-0000AB190000}"/>
    <cellStyle name="Percent 65" xfId="7770" xr:uid="{00000000-0005-0000-0000-0000AC190000}"/>
    <cellStyle name="Percent 66" xfId="7771" xr:uid="{00000000-0005-0000-0000-0000AD190000}"/>
    <cellStyle name="Percent 67" xfId="7772" xr:uid="{00000000-0005-0000-0000-0000AE190000}"/>
    <cellStyle name="Percent 68" xfId="7773" xr:uid="{00000000-0005-0000-0000-0000AF190000}"/>
    <cellStyle name="Percent 69" xfId="7774" xr:uid="{00000000-0005-0000-0000-0000B0190000}"/>
    <cellStyle name="Percent 7" xfId="4202" xr:uid="{00000000-0005-0000-0000-0000B1190000}"/>
    <cellStyle name="Percent 7 2" xfId="10962" xr:uid="{00000000-0005-0000-0000-0000B2190000}"/>
    <cellStyle name="Percent 70" xfId="7775" xr:uid="{00000000-0005-0000-0000-0000B3190000}"/>
    <cellStyle name="Percent 71" xfId="7784" xr:uid="{00000000-0005-0000-0000-0000B4190000}"/>
    <cellStyle name="Percent 72" xfId="7787" xr:uid="{00000000-0005-0000-0000-0000B5190000}"/>
    <cellStyle name="Percent 73" xfId="7785" xr:uid="{00000000-0005-0000-0000-0000B6190000}"/>
    <cellStyle name="Percent 74" xfId="7786" xr:uid="{00000000-0005-0000-0000-0000B7190000}"/>
    <cellStyle name="Percent 75" xfId="10480" xr:uid="{00000000-0005-0000-0000-0000B8190000}"/>
    <cellStyle name="Percent 76" xfId="10824" xr:uid="{00000000-0005-0000-0000-0000B9190000}"/>
    <cellStyle name="Percent 77" xfId="10835" xr:uid="{00000000-0005-0000-0000-0000BA190000}"/>
    <cellStyle name="Percent 78" xfId="11173" xr:uid="{00000000-0005-0000-0000-0000BB190000}"/>
    <cellStyle name="Percent 8" xfId="4206" xr:uid="{00000000-0005-0000-0000-0000BC190000}"/>
    <cellStyle name="Percent 9" xfId="4209" xr:uid="{00000000-0005-0000-0000-0000BD190000}"/>
    <cellStyle name="Percentage" xfId="7588" xr:uid="{00000000-0005-0000-0000-0000BE190000}"/>
    <cellStyle name="PercentChange" xfId="6423" xr:uid="{00000000-0005-0000-0000-0000BF190000}"/>
    <cellStyle name="PercentPresentation" xfId="8029" xr:uid="{00000000-0005-0000-0000-0000C0190000}"/>
    <cellStyle name="PerShare" xfId="8030" xr:uid="{00000000-0005-0000-0000-0000C1190000}"/>
    <cellStyle name="PlainDollar" xfId="7322" xr:uid="{00000000-0005-0000-0000-0000C2190000}"/>
    <cellStyle name="POPS" xfId="8031" xr:uid="{00000000-0005-0000-0000-0000C3190000}"/>
    <cellStyle name="Porcentual_Macro2" xfId="7323" xr:uid="{00000000-0005-0000-0000-0000C4190000}"/>
    <cellStyle name="Prefilled" xfId="6424" xr:uid="{00000000-0005-0000-0000-0000C5190000}"/>
    <cellStyle name="Presentation" xfId="4139" xr:uid="{00000000-0005-0000-0000-0000C6190000}"/>
    <cellStyle name="PresentationZero" xfId="8032" xr:uid="{00000000-0005-0000-0000-0000C7190000}"/>
    <cellStyle name="Price" xfId="4140" xr:uid="{00000000-0005-0000-0000-0000C8190000}"/>
    <cellStyle name="PriceDecimal" xfId="8033" xr:uid="{00000000-0005-0000-0000-0000C9190000}"/>
    <cellStyle name="prot" xfId="7589" xr:uid="{00000000-0005-0000-0000-0000CA190000}"/>
    <cellStyle name="Punto" xfId="7590" xr:uid="{00000000-0005-0000-0000-0000CB190000}"/>
    <cellStyle name="r" xfId="7591" xr:uid="{00000000-0005-0000-0000-0000CC190000}"/>
    <cellStyle name="RatioX" xfId="6425" xr:uid="{00000000-0005-0000-0000-0000CD190000}"/>
    <cellStyle name="reg%" xfId="6426" xr:uid="{00000000-0005-0000-0000-0000CE190000}"/>
    <cellStyle name="Report" xfId="8034" xr:uid="{00000000-0005-0000-0000-0000CF190000}"/>
    <cellStyle name="Report 2" xfId="8035" xr:uid="{00000000-0005-0000-0000-0000D0190000}"/>
    <cellStyle name="Reuters Cells" xfId="4141" xr:uid="{00000000-0005-0000-0000-0000D1190000}"/>
    <cellStyle name="Reuters Cells 2" xfId="8036" xr:uid="{00000000-0005-0000-0000-0000D2190000}"/>
    <cellStyle name="Right" xfId="8037" xr:uid="{00000000-0005-0000-0000-0000D3190000}"/>
    <cellStyle name="RowLevel_0" xfId="6427" xr:uid="{00000000-0005-0000-0000-0000D4190000}"/>
    <cellStyle name="s" xfId="6428" xr:uid="{00000000-0005-0000-0000-0000D5190000}"/>
    <cellStyle name="s]_x000d__x000a_load=C:\CSTAR20\CSTAR20.EXE_x000d__x000a_run=_x000d__x000a_NullPort=None_x000d__x000a_device=Epson LQ-1600K,ESCP24SC,LPT1:_x000d__x000a__x000d__x000a_[Desktop]_x000d__x000a_Wallpaper=(无)" xfId="472" xr:uid="{00000000-0005-0000-0000-0000D6190000}"/>
    <cellStyle name="s_DCFLBO Code" xfId="6429" xr:uid="{00000000-0005-0000-0000-0000D7190000}"/>
    <cellStyle name="s_DCFLBO Code_1" xfId="6430" xr:uid="{00000000-0005-0000-0000-0000D8190000}"/>
    <cellStyle name="SAPBEXaggData" xfId="473" xr:uid="{00000000-0005-0000-0000-0000D9190000}"/>
    <cellStyle name="SAPBEXaggData 10" xfId="474" xr:uid="{00000000-0005-0000-0000-0000DA190000}"/>
    <cellStyle name="SAPBEXaggData 10 2" xfId="8038" xr:uid="{00000000-0005-0000-0000-0000DB190000}"/>
    <cellStyle name="SAPBEXaggData 10 3" xfId="8039" xr:uid="{00000000-0005-0000-0000-0000DC190000}"/>
    <cellStyle name="SAPBEXaggData 10 4" xfId="8040" xr:uid="{00000000-0005-0000-0000-0000DD190000}"/>
    <cellStyle name="SAPBEXaggData 11" xfId="475" xr:uid="{00000000-0005-0000-0000-0000DE190000}"/>
    <cellStyle name="SAPBEXaggData 11 2" xfId="8041" xr:uid="{00000000-0005-0000-0000-0000DF190000}"/>
    <cellStyle name="SAPBEXaggData 11 3" xfId="8042" xr:uid="{00000000-0005-0000-0000-0000E0190000}"/>
    <cellStyle name="SAPBEXaggData 11 4" xfId="8043" xr:uid="{00000000-0005-0000-0000-0000E1190000}"/>
    <cellStyle name="SAPBEXaggData 12" xfId="476" xr:uid="{00000000-0005-0000-0000-0000E2190000}"/>
    <cellStyle name="SAPBEXaggData 12 2" xfId="8044" xr:uid="{00000000-0005-0000-0000-0000E3190000}"/>
    <cellStyle name="SAPBEXaggData 12 3" xfId="8045" xr:uid="{00000000-0005-0000-0000-0000E4190000}"/>
    <cellStyle name="SAPBEXaggData 12 4" xfId="8046" xr:uid="{00000000-0005-0000-0000-0000E5190000}"/>
    <cellStyle name="SAPBEXaggData 13" xfId="477" xr:uid="{00000000-0005-0000-0000-0000E6190000}"/>
    <cellStyle name="SAPBEXaggData 13 2" xfId="8047" xr:uid="{00000000-0005-0000-0000-0000E7190000}"/>
    <cellStyle name="SAPBEXaggData 13 3" xfId="8048" xr:uid="{00000000-0005-0000-0000-0000E8190000}"/>
    <cellStyle name="SAPBEXaggData 13 4" xfId="8049" xr:uid="{00000000-0005-0000-0000-0000E9190000}"/>
    <cellStyle name="SAPBEXaggData 14" xfId="478" xr:uid="{00000000-0005-0000-0000-0000EA190000}"/>
    <cellStyle name="SAPBEXaggData 14 2" xfId="8050" xr:uid="{00000000-0005-0000-0000-0000EB190000}"/>
    <cellStyle name="SAPBEXaggData 14 3" xfId="8051" xr:uid="{00000000-0005-0000-0000-0000EC190000}"/>
    <cellStyle name="SAPBEXaggData 14 4" xfId="8052" xr:uid="{00000000-0005-0000-0000-0000ED190000}"/>
    <cellStyle name="SAPBEXaggData 15" xfId="479" xr:uid="{00000000-0005-0000-0000-0000EE190000}"/>
    <cellStyle name="SAPBEXaggData 15 2" xfId="8053" xr:uid="{00000000-0005-0000-0000-0000EF190000}"/>
    <cellStyle name="SAPBEXaggData 15 3" xfId="8054" xr:uid="{00000000-0005-0000-0000-0000F0190000}"/>
    <cellStyle name="SAPBEXaggData 15 4" xfId="8055" xr:uid="{00000000-0005-0000-0000-0000F1190000}"/>
    <cellStyle name="SAPBEXaggData 16" xfId="480" xr:uid="{00000000-0005-0000-0000-0000F2190000}"/>
    <cellStyle name="SAPBEXaggData 16 2" xfId="8056" xr:uid="{00000000-0005-0000-0000-0000F3190000}"/>
    <cellStyle name="SAPBEXaggData 16 3" xfId="8057" xr:uid="{00000000-0005-0000-0000-0000F4190000}"/>
    <cellStyle name="SAPBEXaggData 16 4" xfId="8058" xr:uid="{00000000-0005-0000-0000-0000F5190000}"/>
    <cellStyle name="SAPBEXaggData 17" xfId="481" xr:uid="{00000000-0005-0000-0000-0000F6190000}"/>
    <cellStyle name="SAPBEXaggData 17 2" xfId="8059" xr:uid="{00000000-0005-0000-0000-0000F7190000}"/>
    <cellStyle name="SAPBEXaggData 17 3" xfId="8060" xr:uid="{00000000-0005-0000-0000-0000F8190000}"/>
    <cellStyle name="SAPBEXaggData 17 4" xfId="8061" xr:uid="{00000000-0005-0000-0000-0000F9190000}"/>
    <cellStyle name="SAPBEXaggData 18" xfId="482" xr:uid="{00000000-0005-0000-0000-0000FA190000}"/>
    <cellStyle name="SAPBEXaggData 18 2" xfId="8062" xr:uid="{00000000-0005-0000-0000-0000FB190000}"/>
    <cellStyle name="SAPBEXaggData 18 3" xfId="8063" xr:uid="{00000000-0005-0000-0000-0000FC190000}"/>
    <cellStyle name="SAPBEXaggData 18 4" xfId="8064" xr:uid="{00000000-0005-0000-0000-0000FD190000}"/>
    <cellStyle name="SAPBEXaggData 19" xfId="483" xr:uid="{00000000-0005-0000-0000-0000FE190000}"/>
    <cellStyle name="SAPBEXaggData 19 2" xfId="8065" xr:uid="{00000000-0005-0000-0000-0000FF190000}"/>
    <cellStyle name="SAPBEXaggData 19 3" xfId="8066" xr:uid="{00000000-0005-0000-0000-0000001A0000}"/>
    <cellStyle name="SAPBEXaggData 19 4" xfId="8067" xr:uid="{00000000-0005-0000-0000-0000011A0000}"/>
    <cellStyle name="SAPBEXaggData 2" xfId="484" xr:uid="{00000000-0005-0000-0000-0000021A0000}"/>
    <cellStyle name="SAPBEXaggData 2 2" xfId="8068" xr:uid="{00000000-0005-0000-0000-0000031A0000}"/>
    <cellStyle name="SAPBEXaggData 2 3" xfId="8069" xr:uid="{00000000-0005-0000-0000-0000041A0000}"/>
    <cellStyle name="SAPBEXaggData 2 4" xfId="8070" xr:uid="{00000000-0005-0000-0000-0000051A0000}"/>
    <cellStyle name="SAPBEXaggData 20" xfId="485" xr:uid="{00000000-0005-0000-0000-0000061A0000}"/>
    <cellStyle name="SAPBEXaggData 20 2" xfId="8071" xr:uid="{00000000-0005-0000-0000-0000071A0000}"/>
    <cellStyle name="SAPBEXaggData 20 3" xfId="8072" xr:uid="{00000000-0005-0000-0000-0000081A0000}"/>
    <cellStyle name="SAPBEXaggData 20 4" xfId="8073" xr:uid="{00000000-0005-0000-0000-0000091A0000}"/>
    <cellStyle name="SAPBEXaggData 21" xfId="8074" xr:uid="{00000000-0005-0000-0000-00000A1A0000}"/>
    <cellStyle name="SAPBEXaggData 22" xfId="8075" xr:uid="{00000000-0005-0000-0000-00000B1A0000}"/>
    <cellStyle name="SAPBEXaggData 23" xfId="8076" xr:uid="{00000000-0005-0000-0000-00000C1A0000}"/>
    <cellStyle name="SAPBEXaggData 3" xfId="486" xr:uid="{00000000-0005-0000-0000-00000D1A0000}"/>
    <cellStyle name="SAPBEXaggData 3 2" xfId="8077" xr:uid="{00000000-0005-0000-0000-00000E1A0000}"/>
    <cellStyle name="SAPBEXaggData 3 3" xfId="8078" xr:uid="{00000000-0005-0000-0000-00000F1A0000}"/>
    <cellStyle name="SAPBEXaggData 3 4" xfId="8079" xr:uid="{00000000-0005-0000-0000-0000101A0000}"/>
    <cellStyle name="SAPBEXaggData 4" xfId="487" xr:uid="{00000000-0005-0000-0000-0000111A0000}"/>
    <cellStyle name="SAPBEXaggData 4 2" xfId="8080" xr:uid="{00000000-0005-0000-0000-0000121A0000}"/>
    <cellStyle name="SAPBEXaggData 4 3" xfId="8081" xr:uid="{00000000-0005-0000-0000-0000131A0000}"/>
    <cellStyle name="SAPBEXaggData 4 4" xfId="8082" xr:uid="{00000000-0005-0000-0000-0000141A0000}"/>
    <cellStyle name="SAPBEXaggData 5" xfId="488" xr:uid="{00000000-0005-0000-0000-0000151A0000}"/>
    <cellStyle name="SAPBEXaggData 5 2" xfId="8083" xr:uid="{00000000-0005-0000-0000-0000161A0000}"/>
    <cellStyle name="SAPBEXaggData 5 3" xfId="8084" xr:uid="{00000000-0005-0000-0000-0000171A0000}"/>
    <cellStyle name="SAPBEXaggData 5 4" xfId="8085" xr:uid="{00000000-0005-0000-0000-0000181A0000}"/>
    <cellStyle name="SAPBEXaggData 6" xfId="489" xr:uid="{00000000-0005-0000-0000-0000191A0000}"/>
    <cellStyle name="SAPBEXaggData 6 2" xfId="8086" xr:uid="{00000000-0005-0000-0000-00001A1A0000}"/>
    <cellStyle name="SAPBEXaggData 6 3" xfId="8087" xr:uid="{00000000-0005-0000-0000-00001B1A0000}"/>
    <cellStyle name="SAPBEXaggData 6 4" xfId="8088" xr:uid="{00000000-0005-0000-0000-00001C1A0000}"/>
    <cellStyle name="SAPBEXaggData 7" xfId="490" xr:uid="{00000000-0005-0000-0000-00001D1A0000}"/>
    <cellStyle name="SAPBEXaggData 7 2" xfId="8089" xr:uid="{00000000-0005-0000-0000-00001E1A0000}"/>
    <cellStyle name="SAPBEXaggData 7 3" xfId="8090" xr:uid="{00000000-0005-0000-0000-00001F1A0000}"/>
    <cellStyle name="SAPBEXaggData 7 4" xfId="8091" xr:uid="{00000000-0005-0000-0000-0000201A0000}"/>
    <cellStyle name="SAPBEXaggData 8" xfId="491" xr:uid="{00000000-0005-0000-0000-0000211A0000}"/>
    <cellStyle name="SAPBEXaggData 8 2" xfId="8092" xr:uid="{00000000-0005-0000-0000-0000221A0000}"/>
    <cellStyle name="SAPBEXaggData 8 3" xfId="8093" xr:uid="{00000000-0005-0000-0000-0000231A0000}"/>
    <cellStyle name="SAPBEXaggData 8 4" xfId="8094" xr:uid="{00000000-0005-0000-0000-0000241A0000}"/>
    <cellStyle name="SAPBEXaggData 9" xfId="492" xr:uid="{00000000-0005-0000-0000-0000251A0000}"/>
    <cellStyle name="SAPBEXaggData 9 2" xfId="8095" xr:uid="{00000000-0005-0000-0000-0000261A0000}"/>
    <cellStyle name="SAPBEXaggData 9 3" xfId="8096" xr:uid="{00000000-0005-0000-0000-0000271A0000}"/>
    <cellStyle name="SAPBEXaggData 9 4" xfId="8097" xr:uid="{00000000-0005-0000-0000-0000281A0000}"/>
    <cellStyle name="SAPBEXaggData_Sheet2" xfId="493" xr:uid="{00000000-0005-0000-0000-0000291A0000}"/>
    <cellStyle name="SAPBEXaggDataEmph" xfId="494" xr:uid="{00000000-0005-0000-0000-00002A1A0000}"/>
    <cellStyle name="SAPBEXaggDataEmph 10" xfId="495" xr:uid="{00000000-0005-0000-0000-00002B1A0000}"/>
    <cellStyle name="SAPBEXaggDataEmph 10 2" xfId="8098" xr:uid="{00000000-0005-0000-0000-00002C1A0000}"/>
    <cellStyle name="SAPBEXaggDataEmph 10 3" xfId="8099" xr:uid="{00000000-0005-0000-0000-00002D1A0000}"/>
    <cellStyle name="SAPBEXaggDataEmph 10 4" xfId="8100" xr:uid="{00000000-0005-0000-0000-00002E1A0000}"/>
    <cellStyle name="SAPBEXaggDataEmph 11" xfId="496" xr:uid="{00000000-0005-0000-0000-00002F1A0000}"/>
    <cellStyle name="SAPBEXaggDataEmph 11 2" xfId="8101" xr:uid="{00000000-0005-0000-0000-0000301A0000}"/>
    <cellStyle name="SAPBEXaggDataEmph 11 3" xfId="8102" xr:uid="{00000000-0005-0000-0000-0000311A0000}"/>
    <cellStyle name="SAPBEXaggDataEmph 11 4" xfId="8103" xr:uid="{00000000-0005-0000-0000-0000321A0000}"/>
    <cellStyle name="SAPBEXaggDataEmph 12" xfId="497" xr:uid="{00000000-0005-0000-0000-0000331A0000}"/>
    <cellStyle name="SAPBEXaggDataEmph 12 2" xfId="8104" xr:uid="{00000000-0005-0000-0000-0000341A0000}"/>
    <cellStyle name="SAPBEXaggDataEmph 12 3" xfId="8105" xr:uid="{00000000-0005-0000-0000-0000351A0000}"/>
    <cellStyle name="SAPBEXaggDataEmph 12 4" xfId="8106" xr:uid="{00000000-0005-0000-0000-0000361A0000}"/>
    <cellStyle name="SAPBEXaggDataEmph 13" xfId="498" xr:uid="{00000000-0005-0000-0000-0000371A0000}"/>
    <cellStyle name="SAPBEXaggDataEmph 13 2" xfId="8107" xr:uid="{00000000-0005-0000-0000-0000381A0000}"/>
    <cellStyle name="SAPBEXaggDataEmph 13 3" xfId="8108" xr:uid="{00000000-0005-0000-0000-0000391A0000}"/>
    <cellStyle name="SAPBEXaggDataEmph 13 4" xfId="8109" xr:uid="{00000000-0005-0000-0000-00003A1A0000}"/>
    <cellStyle name="SAPBEXaggDataEmph 14" xfId="499" xr:uid="{00000000-0005-0000-0000-00003B1A0000}"/>
    <cellStyle name="SAPBEXaggDataEmph 14 2" xfId="8110" xr:uid="{00000000-0005-0000-0000-00003C1A0000}"/>
    <cellStyle name="SAPBEXaggDataEmph 14 3" xfId="8111" xr:uid="{00000000-0005-0000-0000-00003D1A0000}"/>
    <cellStyle name="SAPBEXaggDataEmph 14 4" xfId="8112" xr:uid="{00000000-0005-0000-0000-00003E1A0000}"/>
    <cellStyle name="SAPBEXaggDataEmph 15" xfId="500" xr:uid="{00000000-0005-0000-0000-00003F1A0000}"/>
    <cellStyle name="SAPBEXaggDataEmph 15 2" xfId="8113" xr:uid="{00000000-0005-0000-0000-0000401A0000}"/>
    <cellStyle name="SAPBEXaggDataEmph 15 3" xfId="8114" xr:uid="{00000000-0005-0000-0000-0000411A0000}"/>
    <cellStyle name="SAPBEXaggDataEmph 15 4" xfId="8115" xr:uid="{00000000-0005-0000-0000-0000421A0000}"/>
    <cellStyle name="SAPBEXaggDataEmph 16" xfId="501" xr:uid="{00000000-0005-0000-0000-0000431A0000}"/>
    <cellStyle name="SAPBEXaggDataEmph 16 2" xfId="8116" xr:uid="{00000000-0005-0000-0000-0000441A0000}"/>
    <cellStyle name="SAPBEXaggDataEmph 16 3" xfId="8117" xr:uid="{00000000-0005-0000-0000-0000451A0000}"/>
    <cellStyle name="SAPBEXaggDataEmph 16 4" xfId="8118" xr:uid="{00000000-0005-0000-0000-0000461A0000}"/>
    <cellStyle name="SAPBEXaggDataEmph 17" xfId="502" xr:uid="{00000000-0005-0000-0000-0000471A0000}"/>
    <cellStyle name="SAPBEXaggDataEmph 17 2" xfId="8119" xr:uid="{00000000-0005-0000-0000-0000481A0000}"/>
    <cellStyle name="SAPBEXaggDataEmph 17 3" xfId="8120" xr:uid="{00000000-0005-0000-0000-0000491A0000}"/>
    <cellStyle name="SAPBEXaggDataEmph 17 4" xfId="8121" xr:uid="{00000000-0005-0000-0000-00004A1A0000}"/>
    <cellStyle name="SAPBEXaggDataEmph 18" xfId="503" xr:uid="{00000000-0005-0000-0000-00004B1A0000}"/>
    <cellStyle name="SAPBEXaggDataEmph 18 2" xfId="8122" xr:uid="{00000000-0005-0000-0000-00004C1A0000}"/>
    <cellStyle name="SAPBEXaggDataEmph 18 3" xfId="8123" xr:uid="{00000000-0005-0000-0000-00004D1A0000}"/>
    <cellStyle name="SAPBEXaggDataEmph 18 4" xfId="8124" xr:uid="{00000000-0005-0000-0000-00004E1A0000}"/>
    <cellStyle name="SAPBEXaggDataEmph 19" xfId="504" xr:uid="{00000000-0005-0000-0000-00004F1A0000}"/>
    <cellStyle name="SAPBEXaggDataEmph 19 2" xfId="8125" xr:uid="{00000000-0005-0000-0000-0000501A0000}"/>
    <cellStyle name="SAPBEXaggDataEmph 19 3" xfId="8126" xr:uid="{00000000-0005-0000-0000-0000511A0000}"/>
    <cellStyle name="SAPBEXaggDataEmph 19 4" xfId="8127" xr:uid="{00000000-0005-0000-0000-0000521A0000}"/>
    <cellStyle name="SAPBEXaggDataEmph 2" xfId="505" xr:uid="{00000000-0005-0000-0000-0000531A0000}"/>
    <cellStyle name="SAPBEXaggDataEmph 2 2" xfId="8128" xr:uid="{00000000-0005-0000-0000-0000541A0000}"/>
    <cellStyle name="SAPBEXaggDataEmph 2 3" xfId="8129" xr:uid="{00000000-0005-0000-0000-0000551A0000}"/>
    <cellStyle name="SAPBEXaggDataEmph 2 4" xfId="8130" xr:uid="{00000000-0005-0000-0000-0000561A0000}"/>
    <cellStyle name="SAPBEXaggDataEmph 20" xfId="506" xr:uid="{00000000-0005-0000-0000-0000571A0000}"/>
    <cellStyle name="SAPBEXaggDataEmph 20 2" xfId="8131" xr:uid="{00000000-0005-0000-0000-0000581A0000}"/>
    <cellStyle name="SAPBEXaggDataEmph 20 3" xfId="8132" xr:uid="{00000000-0005-0000-0000-0000591A0000}"/>
    <cellStyle name="SAPBEXaggDataEmph 20 4" xfId="8133" xr:uid="{00000000-0005-0000-0000-00005A1A0000}"/>
    <cellStyle name="SAPBEXaggDataEmph 21" xfId="8134" xr:uid="{00000000-0005-0000-0000-00005B1A0000}"/>
    <cellStyle name="SAPBEXaggDataEmph 22" xfId="8135" xr:uid="{00000000-0005-0000-0000-00005C1A0000}"/>
    <cellStyle name="SAPBEXaggDataEmph 23" xfId="8136" xr:uid="{00000000-0005-0000-0000-00005D1A0000}"/>
    <cellStyle name="SAPBEXaggDataEmph 3" xfId="507" xr:uid="{00000000-0005-0000-0000-00005E1A0000}"/>
    <cellStyle name="SAPBEXaggDataEmph 3 2" xfId="8137" xr:uid="{00000000-0005-0000-0000-00005F1A0000}"/>
    <cellStyle name="SAPBEXaggDataEmph 3 3" xfId="8138" xr:uid="{00000000-0005-0000-0000-0000601A0000}"/>
    <cellStyle name="SAPBEXaggDataEmph 3 4" xfId="8139" xr:uid="{00000000-0005-0000-0000-0000611A0000}"/>
    <cellStyle name="SAPBEXaggDataEmph 4" xfId="508" xr:uid="{00000000-0005-0000-0000-0000621A0000}"/>
    <cellStyle name="SAPBEXaggDataEmph 4 2" xfId="8140" xr:uid="{00000000-0005-0000-0000-0000631A0000}"/>
    <cellStyle name="SAPBEXaggDataEmph 4 3" xfId="8141" xr:uid="{00000000-0005-0000-0000-0000641A0000}"/>
    <cellStyle name="SAPBEXaggDataEmph 4 4" xfId="8142" xr:uid="{00000000-0005-0000-0000-0000651A0000}"/>
    <cellStyle name="SAPBEXaggDataEmph 5" xfId="509" xr:uid="{00000000-0005-0000-0000-0000661A0000}"/>
    <cellStyle name="SAPBEXaggDataEmph 5 2" xfId="8143" xr:uid="{00000000-0005-0000-0000-0000671A0000}"/>
    <cellStyle name="SAPBEXaggDataEmph 5 3" xfId="8144" xr:uid="{00000000-0005-0000-0000-0000681A0000}"/>
    <cellStyle name="SAPBEXaggDataEmph 5 4" xfId="8145" xr:uid="{00000000-0005-0000-0000-0000691A0000}"/>
    <cellStyle name="SAPBEXaggDataEmph 6" xfId="510" xr:uid="{00000000-0005-0000-0000-00006A1A0000}"/>
    <cellStyle name="SAPBEXaggDataEmph 6 2" xfId="8146" xr:uid="{00000000-0005-0000-0000-00006B1A0000}"/>
    <cellStyle name="SAPBEXaggDataEmph 6 3" xfId="8147" xr:uid="{00000000-0005-0000-0000-00006C1A0000}"/>
    <cellStyle name="SAPBEXaggDataEmph 6 4" xfId="8148" xr:uid="{00000000-0005-0000-0000-00006D1A0000}"/>
    <cellStyle name="SAPBEXaggDataEmph 7" xfId="511" xr:uid="{00000000-0005-0000-0000-00006E1A0000}"/>
    <cellStyle name="SAPBEXaggDataEmph 7 2" xfId="8149" xr:uid="{00000000-0005-0000-0000-00006F1A0000}"/>
    <cellStyle name="SAPBEXaggDataEmph 7 3" xfId="8150" xr:uid="{00000000-0005-0000-0000-0000701A0000}"/>
    <cellStyle name="SAPBEXaggDataEmph 7 4" xfId="8151" xr:uid="{00000000-0005-0000-0000-0000711A0000}"/>
    <cellStyle name="SAPBEXaggDataEmph 8" xfId="512" xr:uid="{00000000-0005-0000-0000-0000721A0000}"/>
    <cellStyle name="SAPBEXaggDataEmph 8 2" xfId="8152" xr:uid="{00000000-0005-0000-0000-0000731A0000}"/>
    <cellStyle name="SAPBEXaggDataEmph 8 3" xfId="8153" xr:uid="{00000000-0005-0000-0000-0000741A0000}"/>
    <cellStyle name="SAPBEXaggDataEmph 8 4" xfId="8154" xr:uid="{00000000-0005-0000-0000-0000751A0000}"/>
    <cellStyle name="SAPBEXaggDataEmph 9" xfId="513" xr:uid="{00000000-0005-0000-0000-0000761A0000}"/>
    <cellStyle name="SAPBEXaggDataEmph 9 2" xfId="8155" xr:uid="{00000000-0005-0000-0000-0000771A0000}"/>
    <cellStyle name="SAPBEXaggDataEmph 9 3" xfId="8156" xr:uid="{00000000-0005-0000-0000-0000781A0000}"/>
    <cellStyle name="SAPBEXaggDataEmph 9 4" xfId="8157" xr:uid="{00000000-0005-0000-0000-0000791A0000}"/>
    <cellStyle name="SAPBEXaggDataEmph_Sheet2" xfId="514" xr:uid="{00000000-0005-0000-0000-00007A1A0000}"/>
    <cellStyle name="SAPBEXaggItem" xfId="515" xr:uid="{00000000-0005-0000-0000-00007B1A0000}"/>
    <cellStyle name="SAPBEXaggItem 10" xfId="516" xr:uid="{00000000-0005-0000-0000-00007C1A0000}"/>
    <cellStyle name="SAPBEXaggItem 10 2" xfId="8158" xr:uid="{00000000-0005-0000-0000-00007D1A0000}"/>
    <cellStyle name="SAPBEXaggItem 10 3" xfId="8159" xr:uid="{00000000-0005-0000-0000-00007E1A0000}"/>
    <cellStyle name="SAPBEXaggItem 10 4" xfId="8160" xr:uid="{00000000-0005-0000-0000-00007F1A0000}"/>
    <cellStyle name="SAPBEXaggItem 11" xfId="517" xr:uid="{00000000-0005-0000-0000-0000801A0000}"/>
    <cellStyle name="SAPBEXaggItem 11 2" xfId="8161" xr:uid="{00000000-0005-0000-0000-0000811A0000}"/>
    <cellStyle name="SAPBEXaggItem 11 3" xfId="8162" xr:uid="{00000000-0005-0000-0000-0000821A0000}"/>
    <cellStyle name="SAPBEXaggItem 11 4" xfId="8163" xr:uid="{00000000-0005-0000-0000-0000831A0000}"/>
    <cellStyle name="SAPBEXaggItem 12" xfId="518" xr:uid="{00000000-0005-0000-0000-0000841A0000}"/>
    <cellStyle name="SAPBEXaggItem 12 2" xfId="8164" xr:uid="{00000000-0005-0000-0000-0000851A0000}"/>
    <cellStyle name="SAPBEXaggItem 12 3" xfId="8165" xr:uid="{00000000-0005-0000-0000-0000861A0000}"/>
    <cellStyle name="SAPBEXaggItem 12 4" xfId="8166" xr:uid="{00000000-0005-0000-0000-0000871A0000}"/>
    <cellStyle name="SAPBEXaggItem 13" xfId="519" xr:uid="{00000000-0005-0000-0000-0000881A0000}"/>
    <cellStyle name="SAPBEXaggItem 13 2" xfId="8167" xr:uid="{00000000-0005-0000-0000-0000891A0000}"/>
    <cellStyle name="SAPBEXaggItem 13 3" xfId="8168" xr:uid="{00000000-0005-0000-0000-00008A1A0000}"/>
    <cellStyle name="SAPBEXaggItem 13 4" xfId="8169" xr:uid="{00000000-0005-0000-0000-00008B1A0000}"/>
    <cellStyle name="SAPBEXaggItem 14" xfId="520" xr:uid="{00000000-0005-0000-0000-00008C1A0000}"/>
    <cellStyle name="SAPBEXaggItem 14 2" xfId="8170" xr:uid="{00000000-0005-0000-0000-00008D1A0000}"/>
    <cellStyle name="SAPBEXaggItem 14 3" xfId="8171" xr:uid="{00000000-0005-0000-0000-00008E1A0000}"/>
    <cellStyle name="SAPBEXaggItem 14 4" xfId="8172" xr:uid="{00000000-0005-0000-0000-00008F1A0000}"/>
    <cellStyle name="SAPBEXaggItem 15" xfId="521" xr:uid="{00000000-0005-0000-0000-0000901A0000}"/>
    <cellStyle name="SAPBEXaggItem 15 2" xfId="8173" xr:uid="{00000000-0005-0000-0000-0000911A0000}"/>
    <cellStyle name="SAPBEXaggItem 15 3" xfId="8174" xr:uid="{00000000-0005-0000-0000-0000921A0000}"/>
    <cellStyle name="SAPBEXaggItem 15 4" xfId="8175" xr:uid="{00000000-0005-0000-0000-0000931A0000}"/>
    <cellStyle name="SAPBEXaggItem 16" xfId="522" xr:uid="{00000000-0005-0000-0000-0000941A0000}"/>
    <cellStyle name="SAPBEXaggItem 16 2" xfId="8176" xr:uid="{00000000-0005-0000-0000-0000951A0000}"/>
    <cellStyle name="SAPBEXaggItem 16 3" xfId="8177" xr:uid="{00000000-0005-0000-0000-0000961A0000}"/>
    <cellStyle name="SAPBEXaggItem 16 4" xfId="8178" xr:uid="{00000000-0005-0000-0000-0000971A0000}"/>
    <cellStyle name="SAPBEXaggItem 17" xfId="523" xr:uid="{00000000-0005-0000-0000-0000981A0000}"/>
    <cellStyle name="SAPBEXaggItem 17 2" xfId="8179" xr:uid="{00000000-0005-0000-0000-0000991A0000}"/>
    <cellStyle name="SAPBEXaggItem 17 3" xfId="8180" xr:uid="{00000000-0005-0000-0000-00009A1A0000}"/>
    <cellStyle name="SAPBEXaggItem 17 4" xfId="8181" xr:uid="{00000000-0005-0000-0000-00009B1A0000}"/>
    <cellStyle name="SAPBEXaggItem 18" xfId="524" xr:uid="{00000000-0005-0000-0000-00009C1A0000}"/>
    <cellStyle name="SAPBEXaggItem 18 2" xfId="8182" xr:uid="{00000000-0005-0000-0000-00009D1A0000}"/>
    <cellStyle name="SAPBEXaggItem 18 3" xfId="8183" xr:uid="{00000000-0005-0000-0000-00009E1A0000}"/>
    <cellStyle name="SAPBEXaggItem 18 4" xfId="8184" xr:uid="{00000000-0005-0000-0000-00009F1A0000}"/>
    <cellStyle name="SAPBEXaggItem 19" xfId="525" xr:uid="{00000000-0005-0000-0000-0000A01A0000}"/>
    <cellStyle name="SAPBEXaggItem 19 2" xfId="8185" xr:uid="{00000000-0005-0000-0000-0000A11A0000}"/>
    <cellStyle name="SAPBEXaggItem 19 3" xfId="8186" xr:uid="{00000000-0005-0000-0000-0000A21A0000}"/>
    <cellStyle name="SAPBEXaggItem 19 4" xfId="8187" xr:uid="{00000000-0005-0000-0000-0000A31A0000}"/>
    <cellStyle name="SAPBEXaggItem 2" xfId="526" xr:uid="{00000000-0005-0000-0000-0000A41A0000}"/>
    <cellStyle name="SAPBEXaggItem 2 2" xfId="8188" xr:uid="{00000000-0005-0000-0000-0000A51A0000}"/>
    <cellStyle name="SAPBEXaggItem 2 3" xfId="8189" xr:uid="{00000000-0005-0000-0000-0000A61A0000}"/>
    <cellStyle name="SAPBEXaggItem 2 4" xfId="8190" xr:uid="{00000000-0005-0000-0000-0000A71A0000}"/>
    <cellStyle name="SAPBEXaggItem 20" xfId="527" xr:uid="{00000000-0005-0000-0000-0000A81A0000}"/>
    <cellStyle name="SAPBEXaggItem 20 2" xfId="8191" xr:uid="{00000000-0005-0000-0000-0000A91A0000}"/>
    <cellStyle name="SAPBEXaggItem 20 3" xfId="8192" xr:uid="{00000000-0005-0000-0000-0000AA1A0000}"/>
    <cellStyle name="SAPBEXaggItem 20 4" xfId="8193" xr:uid="{00000000-0005-0000-0000-0000AB1A0000}"/>
    <cellStyle name="SAPBEXaggItem 21" xfId="8194" xr:uid="{00000000-0005-0000-0000-0000AC1A0000}"/>
    <cellStyle name="SAPBEXaggItem 22" xfId="8195" xr:uid="{00000000-0005-0000-0000-0000AD1A0000}"/>
    <cellStyle name="SAPBEXaggItem 23" xfId="8196" xr:uid="{00000000-0005-0000-0000-0000AE1A0000}"/>
    <cellStyle name="SAPBEXaggItem 3" xfId="528" xr:uid="{00000000-0005-0000-0000-0000AF1A0000}"/>
    <cellStyle name="SAPBEXaggItem 3 2" xfId="8197" xr:uid="{00000000-0005-0000-0000-0000B01A0000}"/>
    <cellStyle name="SAPBEXaggItem 3 3" xfId="8198" xr:uid="{00000000-0005-0000-0000-0000B11A0000}"/>
    <cellStyle name="SAPBEXaggItem 3 4" xfId="8199" xr:uid="{00000000-0005-0000-0000-0000B21A0000}"/>
    <cellStyle name="SAPBEXaggItem 4" xfId="529" xr:uid="{00000000-0005-0000-0000-0000B31A0000}"/>
    <cellStyle name="SAPBEXaggItem 4 2" xfId="8200" xr:uid="{00000000-0005-0000-0000-0000B41A0000}"/>
    <cellStyle name="SAPBEXaggItem 4 3" xfId="8201" xr:uid="{00000000-0005-0000-0000-0000B51A0000}"/>
    <cellStyle name="SAPBEXaggItem 4 4" xfId="8202" xr:uid="{00000000-0005-0000-0000-0000B61A0000}"/>
    <cellStyle name="SAPBEXaggItem 5" xfId="530" xr:uid="{00000000-0005-0000-0000-0000B71A0000}"/>
    <cellStyle name="SAPBEXaggItem 5 2" xfId="8203" xr:uid="{00000000-0005-0000-0000-0000B81A0000}"/>
    <cellStyle name="SAPBEXaggItem 5 3" xfId="8204" xr:uid="{00000000-0005-0000-0000-0000B91A0000}"/>
    <cellStyle name="SAPBEXaggItem 5 4" xfId="8205" xr:uid="{00000000-0005-0000-0000-0000BA1A0000}"/>
    <cellStyle name="SAPBEXaggItem 6" xfId="531" xr:uid="{00000000-0005-0000-0000-0000BB1A0000}"/>
    <cellStyle name="SAPBEXaggItem 6 2" xfId="8206" xr:uid="{00000000-0005-0000-0000-0000BC1A0000}"/>
    <cellStyle name="SAPBEXaggItem 6 3" xfId="8207" xr:uid="{00000000-0005-0000-0000-0000BD1A0000}"/>
    <cellStyle name="SAPBEXaggItem 6 4" xfId="8208" xr:uid="{00000000-0005-0000-0000-0000BE1A0000}"/>
    <cellStyle name="SAPBEXaggItem 7" xfId="532" xr:uid="{00000000-0005-0000-0000-0000BF1A0000}"/>
    <cellStyle name="SAPBEXaggItem 7 2" xfId="8209" xr:uid="{00000000-0005-0000-0000-0000C01A0000}"/>
    <cellStyle name="SAPBEXaggItem 7 3" xfId="8210" xr:uid="{00000000-0005-0000-0000-0000C11A0000}"/>
    <cellStyle name="SAPBEXaggItem 7 4" xfId="8211" xr:uid="{00000000-0005-0000-0000-0000C21A0000}"/>
    <cellStyle name="SAPBEXaggItem 8" xfId="533" xr:uid="{00000000-0005-0000-0000-0000C31A0000}"/>
    <cellStyle name="SAPBEXaggItem 8 2" xfId="8212" xr:uid="{00000000-0005-0000-0000-0000C41A0000}"/>
    <cellStyle name="SAPBEXaggItem 8 3" xfId="8213" xr:uid="{00000000-0005-0000-0000-0000C51A0000}"/>
    <cellStyle name="SAPBEXaggItem 8 4" xfId="8214" xr:uid="{00000000-0005-0000-0000-0000C61A0000}"/>
    <cellStyle name="SAPBEXaggItem 9" xfId="534" xr:uid="{00000000-0005-0000-0000-0000C71A0000}"/>
    <cellStyle name="SAPBEXaggItem 9 2" xfId="8215" xr:uid="{00000000-0005-0000-0000-0000C81A0000}"/>
    <cellStyle name="SAPBEXaggItem 9 3" xfId="8216" xr:uid="{00000000-0005-0000-0000-0000C91A0000}"/>
    <cellStyle name="SAPBEXaggItem 9 4" xfId="8217" xr:uid="{00000000-0005-0000-0000-0000CA1A0000}"/>
    <cellStyle name="SAPBEXaggItem_Sheet2" xfId="535" xr:uid="{00000000-0005-0000-0000-0000CB1A0000}"/>
    <cellStyle name="SAPBEXaggItemX" xfId="536" xr:uid="{00000000-0005-0000-0000-0000CC1A0000}"/>
    <cellStyle name="SAPBEXaggItemX 10" xfId="537" xr:uid="{00000000-0005-0000-0000-0000CD1A0000}"/>
    <cellStyle name="SAPBEXaggItemX 10 2" xfId="8218" xr:uid="{00000000-0005-0000-0000-0000CE1A0000}"/>
    <cellStyle name="SAPBEXaggItemX 10 3" xfId="8219" xr:uid="{00000000-0005-0000-0000-0000CF1A0000}"/>
    <cellStyle name="SAPBEXaggItemX 10 4" xfId="8220" xr:uid="{00000000-0005-0000-0000-0000D01A0000}"/>
    <cellStyle name="SAPBEXaggItemX 11" xfId="538" xr:uid="{00000000-0005-0000-0000-0000D11A0000}"/>
    <cellStyle name="SAPBEXaggItemX 11 2" xfId="8221" xr:uid="{00000000-0005-0000-0000-0000D21A0000}"/>
    <cellStyle name="SAPBEXaggItemX 11 3" xfId="8222" xr:uid="{00000000-0005-0000-0000-0000D31A0000}"/>
    <cellStyle name="SAPBEXaggItemX 11 4" xfId="8223" xr:uid="{00000000-0005-0000-0000-0000D41A0000}"/>
    <cellStyle name="SAPBEXaggItemX 12" xfId="539" xr:uid="{00000000-0005-0000-0000-0000D51A0000}"/>
    <cellStyle name="SAPBEXaggItemX 12 2" xfId="8224" xr:uid="{00000000-0005-0000-0000-0000D61A0000}"/>
    <cellStyle name="SAPBEXaggItemX 12 3" xfId="8225" xr:uid="{00000000-0005-0000-0000-0000D71A0000}"/>
    <cellStyle name="SAPBEXaggItemX 12 4" xfId="8226" xr:uid="{00000000-0005-0000-0000-0000D81A0000}"/>
    <cellStyle name="SAPBEXaggItemX 13" xfId="540" xr:uid="{00000000-0005-0000-0000-0000D91A0000}"/>
    <cellStyle name="SAPBEXaggItemX 13 2" xfId="8227" xr:uid="{00000000-0005-0000-0000-0000DA1A0000}"/>
    <cellStyle name="SAPBEXaggItemX 13 3" xfId="8228" xr:uid="{00000000-0005-0000-0000-0000DB1A0000}"/>
    <cellStyle name="SAPBEXaggItemX 13 4" xfId="8229" xr:uid="{00000000-0005-0000-0000-0000DC1A0000}"/>
    <cellStyle name="SAPBEXaggItemX 14" xfId="541" xr:uid="{00000000-0005-0000-0000-0000DD1A0000}"/>
    <cellStyle name="SAPBEXaggItemX 14 2" xfId="8230" xr:uid="{00000000-0005-0000-0000-0000DE1A0000}"/>
    <cellStyle name="SAPBEXaggItemX 14 3" xfId="8231" xr:uid="{00000000-0005-0000-0000-0000DF1A0000}"/>
    <cellStyle name="SAPBEXaggItemX 14 4" xfId="8232" xr:uid="{00000000-0005-0000-0000-0000E01A0000}"/>
    <cellStyle name="SAPBEXaggItemX 15" xfId="542" xr:uid="{00000000-0005-0000-0000-0000E11A0000}"/>
    <cellStyle name="SAPBEXaggItemX 15 2" xfId="8233" xr:uid="{00000000-0005-0000-0000-0000E21A0000}"/>
    <cellStyle name="SAPBEXaggItemX 15 3" xfId="8234" xr:uid="{00000000-0005-0000-0000-0000E31A0000}"/>
    <cellStyle name="SAPBEXaggItemX 15 4" xfId="8235" xr:uid="{00000000-0005-0000-0000-0000E41A0000}"/>
    <cellStyle name="SAPBEXaggItemX 16" xfId="543" xr:uid="{00000000-0005-0000-0000-0000E51A0000}"/>
    <cellStyle name="SAPBEXaggItemX 16 2" xfId="8236" xr:uid="{00000000-0005-0000-0000-0000E61A0000}"/>
    <cellStyle name="SAPBEXaggItemX 16 3" xfId="8237" xr:uid="{00000000-0005-0000-0000-0000E71A0000}"/>
    <cellStyle name="SAPBEXaggItemX 16 4" xfId="8238" xr:uid="{00000000-0005-0000-0000-0000E81A0000}"/>
    <cellStyle name="SAPBEXaggItemX 17" xfId="544" xr:uid="{00000000-0005-0000-0000-0000E91A0000}"/>
    <cellStyle name="SAPBEXaggItemX 17 2" xfId="8239" xr:uid="{00000000-0005-0000-0000-0000EA1A0000}"/>
    <cellStyle name="SAPBEXaggItemX 17 3" xfId="8240" xr:uid="{00000000-0005-0000-0000-0000EB1A0000}"/>
    <cellStyle name="SAPBEXaggItemX 17 4" xfId="8241" xr:uid="{00000000-0005-0000-0000-0000EC1A0000}"/>
    <cellStyle name="SAPBEXaggItemX 18" xfId="545" xr:uid="{00000000-0005-0000-0000-0000ED1A0000}"/>
    <cellStyle name="SAPBEXaggItemX 18 2" xfId="8242" xr:uid="{00000000-0005-0000-0000-0000EE1A0000}"/>
    <cellStyle name="SAPBEXaggItemX 18 3" xfId="8243" xr:uid="{00000000-0005-0000-0000-0000EF1A0000}"/>
    <cellStyle name="SAPBEXaggItemX 18 4" xfId="8244" xr:uid="{00000000-0005-0000-0000-0000F01A0000}"/>
    <cellStyle name="SAPBEXaggItemX 19" xfId="546" xr:uid="{00000000-0005-0000-0000-0000F11A0000}"/>
    <cellStyle name="SAPBEXaggItemX 19 2" xfId="8245" xr:uid="{00000000-0005-0000-0000-0000F21A0000}"/>
    <cellStyle name="SAPBEXaggItemX 19 3" xfId="8246" xr:uid="{00000000-0005-0000-0000-0000F31A0000}"/>
    <cellStyle name="SAPBEXaggItemX 19 4" xfId="8247" xr:uid="{00000000-0005-0000-0000-0000F41A0000}"/>
    <cellStyle name="SAPBEXaggItemX 2" xfId="547" xr:uid="{00000000-0005-0000-0000-0000F51A0000}"/>
    <cellStyle name="SAPBEXaggItemX 2 2" xfId="8248" xr:uid="{00000000-0005-0000-0000-0000F61A0000}"/>
    <cellStyle name="SAPBEXaggItemX 2 3" xfId="8249" xr:uid="{00000000-0005-0000-0000-0000F71A0000}"/>
    <cellStyle name="SAPBEXaggItemX 2 4" xfId="8250" xr:uid="{00000000-0005-0000-0000-0000F81A0000}"/>
    <cellStyle name="SAPBEXaggItemX 20" xfId="548" xr:uid="{00000000-0005-0000-0000-0000F91A0000}"/>
    <cellStyle name="SAPBEXaggItemX 20 2" xfId="8251" xr:uid="{00000000-0005-0000-0000-0000FA1A0000}"/>
    <cellStyle name="SAPBEXaggItemX 20 3" xfId="8252" xr:uid="{00000000-0005-0000-0000-0000FB1A0000}"/>
    <cellStyle name="SAPBEXaggItemX 20 4" xfId="8253" xr:uid="{00000000-0005-0000-0000-0000FC1A0000}"/>
    <cellStyle name="SAPBEXaggItemX 21" xfId="8254" xr:uid="{00000000-0005-0000-0000-0000FD1A0000}"/>
    <cellStyle name="SAPBEXaggItemX 22" xfId="8255" xr:uid="{00000000-0005-0000-0000-0000FE1A0000}"/>
    <cellStyle name="SAPBEXaggItemX 23" xfId="8256" xr:uid="{00000000-0005-0000-0000-0000FF1A0000}"/>
    <cellStyle name="SAPBEXaggItemX 3" xfId="549" xr:uid="{00000000-0005-0000-0000-0000001B0000}"/>
    <cellStyle name="SAPBEXaggItemX 3 2" xfId="8257" xr:uid="{00000000-0005-0000-0000-0000011B0000}"/>
    <cellStyle name="SAPBEXaggItemX 3 3" xfId="8258" xr:uid="{00000000-0005-0000-0000-0000021B0000}"/>
    <cellStyle name="SAPBEXaggItemX 3 4" xfId="8259" xr:uid="{00000000-0005-0000-0000-0000031B0000}"/>
    <cellStyle name="SAPBEXaggItemX 4" xfId="550" xr:uid="{00000000-0005-0000-0000-0000041B0000}"/>
    <cellStyle name="SAPBEXaggItemX 4 2" xfId="8260" xr:uid="{00000000-0005-0000-0000-0000051B0000}"/>
    <cellStyle name="SAPBEXaggItemX 4 3" xfId="8261" xr:uid="{00000000-0005-0000-0000-0000061B0000}"/>
    <cellStyle name="SAPBEXaggItemX 4 4" xfId="8262" xr:uid="{00000000-0005-0000-0000-0000071B0000}"/>
    <cellStyle name="SAPBEXaggItemX 5" xfId="551" xr:uid="{00000000-0005-0000-0000-0000081B0000}"/>
    <cellStyle name="SAPBEXaggItemX 5 2" xfId="8263" xr:uid="{00000000-0005-0000-0000-0000091B0000}"/>
    <cellStyle name="SAPBEXaggItemX 5 3" xfId="8264" xr:uid="{00000000-0005-0000-0000-00000A1B0000}"/>
    <cellStyle name="SAPBEXaggItemX 5 4" xfId="8265" xr:uid="{00000000-0005-0000-0000-00000B1B0000}"/>
    <cellStyle name="SAPBEXaggItemX 6" xfId="552" xr:uid="{00000000-0005-0000-0000-00000C1B0000}"/>
    <cellStyle name="SAPBEXaggItemX 6 2" xfId="8266" xr:uid="{00000000-0005-0000-0000-00000D1B0000}"/>
    <cellStyle name="SAPBEXaggItemX 6 3" xfId="8267" xr:uid="{00000000-0005-0000-0000-00000E1B0000}"/>
    <cellStyle name="SAPBEXaggItemX 6 4" xfId="8268" xr:uid="{00000000-0005-0000-0000-00000F1B0000}"/>
    <cellStyle name="SAPBEXaggItemX 7" xfId="553" xr:uid="{00000000-0005-0000-0000-0000101B0000}"/>
    <cellStyle name="SAPBEXaggItemX 7 2" xfId="8269" xr:uid="{00000000-0005-0000-0000-0000111B0000}"/>
    <cellStyle name="SAPBEXaggItemX 7 3" xfId="8270" xr:uid="{00000000-0005-0000-0000-0000121B0000}"/>
    <cellStyle name="SAPBEXaggItemX 7 4" xfId="8271" xr:uid="{00000000-0005-0000-0000-0000131B0000}"/>
    <cellStyle name="SAPBEXaggItemX 8" xfId="554" xr:uid="{00000000-0005-0000-0000-0000141B0000}"/>
    <cellStyle name="SAPBEXaggItemX 8 2" xfId="8272" xr:uid="{00000000-0005-0000-0000-0000151B0000}"/>
    <cellStyle name="SAPBEXaggItemX 8 3" xfId="8273" xr:uid="{00000000-0005-0000-0000-0000161B0000}"/>
    <cellStyle name="SAPBEXaggItemX 8 4" xfId="8274" xr:uid="{00000000-0005-0000-0000-0000171B0000}"/>
    <cellStyle name="SAPBEXaggItemX 9" xfId="555" xr:uid="{00000000-0005-0000-0000-0000181B0000}"/>
    <cellStyle name="SAPBEXaggItemX 9 2" xfId="8275" xr:uid="{00000000-0005-0000-0000-0000191B0000}"/>
    <cellStyle name="SAPBEXaggItemX 9 3" xfId="8276" xr:uid="{00000000-0005-0000-0000-00001A1B0000}"/>
    <cellStyle name="SAPBEXaggItemX 9 4" xfId="8277" xr:uid="{00000000-0005-0000-0000-00001B1B0000}"/>
    <cellStyle name="SAPBEXaggItemX_Sheet2" xfId="556" xr:uid="{00000000-0005-0000-0000-00001C1B0000}"/>
    <cellStyle name="SAPBEXchaText" xfId="557" xr:uid="{00000000-0005-0000-0000-00001D1B0000}"/>
    <cellStyle name="SAPBEXchaText 10" xfId="558" xr:uid="{00000000-0005-0000-0000-00001E1B0000}"/>
    <cellStyle name="SAPBEXchaText 10 2" xfId="8278" xr:uid="{00000000-0005-0000-0000-00001F1B0000}"/>
    <cellStyle name="SAPBEXchaText 10 3" xfId="8279" xr:uid="{00000000-0005-0000-0000-0000201B0000}"/>
    <cellStyle name="SAPBEXchaText 10 4" xfId="8280" xr:uid="{00000000-0005-0000-0000-0000211B0000}"/>
    <cellStyle name="SAPBEXchaText 11" xfId="559" xr:uid="{00000000-0005-0000-0000-0000221B0000}"/>
    <cellStyle name="SAPBEXchaText 11 2" xfId="8281" xr:uid="{00000000-0005-0000-0000-0000231B0000}"/>
    <cellStyle name="SAPBEXchaText 11 3" xfId="8282" xr:uid="{00000000-0005-0000-0000-0000241B0000}"/>
    <cellStyle name="SAPBEXchaText 11 4" xfId="8283" xr:uid="{00000000-0005-0000-0000-0000251B0000}"/>
    <cellStyle name="SAPBEXchaText 12" xfId="560" xr:uid="{00000000-0005-0000-0000-0000261B0000}"/>
    <cellStyle name="SAPBEXchaText 12 2" xfId="8284" xr:uid="{00000000-0005-0000-0000-0000271B0000}"/>
    <cellStyle name="SAPBEXchaText 12 3" xfId="8285" xr:uid="{00000000-0005-0000-0000-0000281B0000}"/>
    <cellStyle name="SAPBEXchaText 12 4" xfId="8286" xr:uid="{00000000-0005-0000-0000-0000291B0000}"/>
    <cellStyle name="SAPBEXchaText 13" xfId="561" xr:uid="{00000000-0005-0000-0000-00002A1B0000}"/>
    <cellStyle name="SAPBEXchaText 13 2" xfId="8287" xr:uid="{00000000-0005-0000-0000-00002B1B0000}"/>
    <cellStyle name="SAPBEXchaText 13 3" xfId="8288" xr:uid="{00000000-0005-0000-0000-00002C1B0000}"/>
    <cellStyle name="SAPBEXchaText 13 4" xfId="8289" xr:uid="{00000000-0005-0000-0000-00002D1B0000}"/>
    <cellStyle name="SAPBEXchaText 14" xfId="562" xr:uid="{00000000-0005-0000-0000-00002E1B0000}"/>
    <cellStyle name="SAPBEXchaText 14 2" xfId="8290" xr:uid="{00000000-0005-0000-0000-00002F1B0000}"/>
    <cellStyle name="SAPBEXchaText 14 3" xfId="8291" xr:uid="{00000000-0005-0000-0000-0000301B0000}"/>
    <cellStyle name="SAPBEXchaText 14 4" xfId="8292" xr:uid="{00000000-0005-0000-0000-0000311B0000}"/>
    <cellStyle name="SAPBEXchaText 15" xfId="563" xr:uid="{00000000-0005-0000-0000-0000321B0000}"/>
    <cellStyle name="SAPBEXchaText 15 2" xfId="8293" xr:uid="{00000000-0005-0000-0000-0000331B0000}"/>
    <cellStyle name="SAPBEXchaText 15 3" xfId="8294" xr:uid="{00000000-0005-0000-0000-0000341B0000}"/>
    <cellStyle name="SAPBEXchaText 15 4" xfId="8295" xr:uid="{00000000-0005-0000-0000-0000351B0000}"/>
    <cellStyle name="SAPBEXchaText 16" xfId="564" xr:uid="{00000000-0005-0000-0000-0000361B0000}"/>
    <cellStyle name="SAPBEXchaText 16 2" xfId="8296" xr:uid="{00000000-0005-0000-0000-0000371B0000}"/>
    <cellStyle name="SAPBEXchaText 16 3" xfId="8297" xr:uid="{00000000-0005-0000-0000-0000381B0000}"/>
    <cellStyle name="SAPBEXchaText 16 4" xfId="8298" xr:uid="{00000000-0005-0000-0000-0000391B0000}"/>
    <cellStyle name="SAPBEXchaText 17" xfId="565" xr:uid="{00000000-0005-0000-0000-00003A1B0000}"/>
    <cellStyle name="SAPBEXchaText 17 2" xfId="8299" xr:uid="{00000000-0005-0000-0000-00003B1B0000}"/>
    <cellStyle name="SAPBEXchaText 17 3" xfId="8300" xr:uid="{00000000-0005-0000-0000-00003C1B0000}"/>
    <cellStyle name="SAPBEXchaText 17 4" xfId="8301" xr:uid="{00000000-0005-0000-0000-00003D1B0000}"/>
    <cellStyle name="SAPBEXchaText 18" xfId="566" xr:uid="{00000000-0005-0000-0000-00003E1B0000}"/>
    <cellStyle name="SAPBEXchaText 18 2" xfId="8302" xr:uid="{00000000-0005-0000-0000-00003F1B0000}"/>
    <cellStyle name="SAPBEXchaText 18 3" xfId="8303" xr:uid="{00000000-0005-0000-0000-0000401B0000}"/>
    <cellStyle name="SAPBEXchaText 18 4" xfId="8304" xr:uid="{00000000-0005-0000-0000-0000411B0000}"/>
    <cellStyle name="SAPBEXchaText 19" xfId="567" xr:uid="{00000000-0005-0000-0000-0000421B0000}"/>
    <cellStyle name="SAPBEXchaText 19 2" xfId="8305" xr:uid="{00000000-0005-0000-0000-0000431B0000}"/>
    <cellStyle name="SAPBEXchaText 19 3" xfId="8306" xr:uid="{00000000-0005-0000-0000-0000441B0000}"/>
    <cellStyle name="SAPBEXchaText 19 4" xfId="8307" xr:uid="{00000000-0005-0000-0000-0000451B0000}"/>
    <cellStyle name="SAPBEXchaText 2" xfId="568" xr:uid="{00000000-0005-0000-0000-0000461B0000}"/>
    <cellStyle name="SAPBEXchaText 2 2" xfId="8308" xr:uid="{00000000-0005-0000-0000-0000471B0000}"/>
    <cellStyle name="SAPBEXchaText 2 3" xfId="8309" xr:uid="{00000000-0005-0000-0000-0000481B0000}"/>
    <cellStyle name="SAPBEXchaText 2 4" xfId="8310" xr:uid="{00000000-0005-0000-0000-0000491B0000}"/>
    <cellStyle name="SAPBEXchaText 20" xfId="569" xr:uid="{00000000-0005-0000-0000-00004A1B0000}"/>
    <cellStyle name="SAPBEXchaText 20 2" xfId="8311" xr:uid="{00000000-0005-0000-0000-00004B1B0000}"/>
    <cellStyle name="SAPBEXchaText 20 3" xfId="8312" xr:uid="{00000000-0005-0000-0000-00004C1B0000}"/>
    <cellStyle name="SAPBEXchaText 20 4" xfId="8313" xr:uid="{00000000-0005-0000-0000-00004D1B0000}"/>
    <cellStyle name="SAPBEXchaText 21" xfId="8314" xr:uid="{00000000-0005-0000-0000-00004E1B0000}"/>
    <cellStyle name="SAPBEXchaText 22" xfId="8315" xr:uid="{00000000-0005-0000-0000-00004F1B0000}"/>
    <cellStyle name="SAPBEXchaText 23" xfId="8316" xr:uid="{00000000-0005-0000-0000-0000501B0000}"/>
    <cellStyle name="SAPBEXchaText 3" xfId="570" xr:uid="{00000000-0005-0000-0000-0000511B0000}"/>
    <cellStyle name="SAPBEXchaText 3 2" xfId="8317" xr:uid="{00000000-0005-0000-0000-0000521B0000}"/>
    <cellStyle name="SAPBEXchaText 3 3" xfId="8318" xr:uid="{00000000-0005-0000-0000-0000531B0000}"/>
    <cellStyle name="SAPBEXchaText 3 4" xfId="8319" xr:uid="{00000000-0005-0000-0000-0000541B0000}"/>
    <cellStyle name="SAPBEXchaText 4" xfId="571" xr:uid="{00000000-0005-0000-0000-0000551B0000}"/>
    <cellStyle name="SAPBEXchaText 4 2" xfId="8320" xr:uid="{00000000-0005-0000-0000-0000561B0000}"/>
    <cellStyle name="SAPBEXchaText 4 3" xfId="8321" xr:uid="{00000000-0005-0000-0000-0000571B0000}"/>
    <cellStyle name="SAPBEXchaText 4 4" xfId="8322" xr:uid="{00000000-0005-0000-0000-0000581B0000}"/>
    <cellStyle name="SAPBEXchaText 5" xfId="572" xr:uid="{00000000-0005-0000-0000-0000591B0000}"/>
    <cellStyle name="SAPBEXchaText 5 2" xfId="8323" xr:uid="{00000000-0005-0000-0000-00005A1B0000}"/>
    <cellStyle name="SAPBEXchaText 5 3" xfId="8324" xr:uid="{00000000-0005-0000-0000-00005B1B0000}"/>
    <cellStyle name="SAPBEXchaText 5 4" xfId="8325" xr:uid="{00000000-0005-0000-0000-00005C1B0000}"/>
    <cellStyle name="SAPBEXchaText 6" xfId="573" xr:uid="{00000000-0005-0000-0000-00005D1B0000}"/>
    <cellStyle name="SAPBEXchaText 6 2" xfId="8326" xr:uid="{00000000-0005-0000-0000-00005E1B0000}"/>
    <cellStyle name="SAPBEXchaText 6 3" xfId="8327" xr:uid="{00000000-0005-0000-0000-00005F1B0000}"/>
    <cellStyle name="SAPBEXchaText 6 4" xfId="8328" xr:uid="{00000000-0005-0000-0000-0000601B0000}"/>
    <cellStyle name="SAPBEXchaText 7" xfId="574" xr:uid="{00000000-0005-0000-0000-0000611B0000}"/>
    <cellStyle name="SAPBEXchaText 7 2" xfId="8329" xr:uid="{00000000-0005-0000-0000-0000621B0000}"/>
    <cellStyle name="SAPBEXchaText 7 3" xfId="8330" xr:uid="{00000000-0005-0000-0000-0000631B0000}"/>
    <cellStyle name="SAPBEXchaText 7 4" xfId="8331" xr:uid="{00000000-0005-0000-0000-0000641B0000}"/>
    <cellStyle name="SAPBEXchaText 8" xfId="575" xr:uid="{00000000-0005-0000-0000-0000651B0000}"/>
    <cellStyle name="SAPBEXchaText 8 2" xfId="8332" xr:uid="{00000000-0005-0000-0000-0000661B0000}"/>
    <cellStyle name="SAPBEXchaText 8 3" xfId="8333" xr:uid="{00000000-0005-0000-0000-0000671B0000}"/>
    <cellStyle name="SAPBEXchaText 8 4" xfId="8334" xr:uid="{00000000-0005-0000-0000-0000681B0000}"/>
    <cellStyle name="SAPBEXchaText 9" xfId="576" xr:uid="{00000000-0005-0000-0000-0000691B0000}"/>
    <cellStyle name="SAPBEXchaText 9 2" xfId="8335" xr:uid="{00000000-0005-0000-0000-00006A1B0000}"/>
    <cellStyle name="SAPBEXchaText 9 3" xfId="8336" xr:uid="{00000000-0005-0000-0000-00006B1B0000}"/>
    <cellStyle name="SAPBEXchaText 9 4" xfId="8337" xr:uid="{00000000-0005-0000-0000-00006C1B0000}"/>
    <cellStyle name="SAPBEXchaText_Sheet2" xfId="577" xr:uid="{00000000-0005-0000-0000-00006D1B0000}"/>
    <cellStyle name="SAPBEXexcBad7" xfId="578" xr:uid="{00000000-0005-0000-0000-00006E1B0000}"/>
    <cellStyle name="SAPBEXexcBad7 10" xfId="579" xr:uid="{00000000-0005-0000-0000-00006F1B0000}"/>
    <cellStyle name="SAPBEXexcBad7 10 2" xfId="8338" xr:uid="{00000000-0005-0000-0000-0000701B0000}"/>
    <cellStyle name="SAPBEXexcBad7 10 3" xfId="8339" xr:uid="{00000000-0005-0000-0000-0000711B0000}"/>
    <cellStyle name="SAPBEXexcBad7 10 4" xfId="8340" xr:uid="{00000000-0005-0000-0000-0000721B0000}"/>
    <cellStyle name="SAPBEXexcBad7 11" xfId="580" xr:uid="{00000000-0005-0000-0000-0000731B0000}"/>
    <cellStyle name="SAPBEXexcBad7 11 2" xfId="8341" xr:uid="{00000000-0005-0000-0000-0000741B0000}"/>
    <cellStyle name="SAPBEXexcBad7 11 3" xfId="8342" xr:uid="{00000000-0005-0000-0000-0000751B0000}"/>
    <cellStyle name="SAPBEXexcBad7 11 4" xfId="8343" xr:uid="{00000000-0005-0000-0000-0000761B0000}"/>
    <cellStyle name="SAPBEXexcBad7 12" xfId="581" xr:uid="{00000000-0005-0000-0000-0000771B0000}"/>
    <cellStyle name="SAPBEXexcBad7 12 2" xfId="8344" xr:uid="{00000000-0005-0000-0000-0000781B0000}"/>
    <cellStyle name="SAPBEXexcBad7 12 3" xfId="8345" xr:uid="{00000000-0005-0000-0000-0000791B0000}"/>
    <cellStyle name="SAPBEXexcBad7 12 4" xfId="8346" xr:uid="{00000000-0005-0000-0000-00007A1B0000}"/>
    <cellStyle name="SAPBEXexcBad7 13" xfId="582" xr:uid="{00000000-0005-0000-0000-00007B1B0000}"/>
    <cellStyle name="SAPBEXexcBad7 13 2" xfId="8347" xr:uid="{00000000-0005-0000-0000-00007C1B0000}"/>
    <cellStyle name="SAPBEXexcBad7 13 3" xfId="8348" xr:uid="{00000000-0005-0000-0000-00007D1B0000}"/>
    <cellStyle name="SAPBEXexcBad7 13 4" xfId="8349" xr:uid="{00000000-0005-0000-0000-00007E1B0000}"/>
    <cellStyle name="SAPBEXexcBad7 14" xfId="583" xr:uid="{00000000-0005-0000-0000-00007F1B0000}"/>
    <cellStyle name="SAPBEXexcBad7 14 2" xfId="8350" xr:uid="{00000000-0005-0000-0000-0000801B0000}"/>
    <cellStyle name="SAPBEXexcBad7 14 3" xfId="8351" xr:uid="{00000000-0005-0000-0000-0000811B0000}"/>
    <cellStyle name="SAPBEXexcBad7 14 4" xfId="8352" xr:uid="{00000000-0005-0000-0000-0000821B0000}"/>
    <cellStyle name="SAPBEXexcBad7 15" xfId="584" xr:uid="{00000000-0005-0000-0000-0000831B0000}"/>
    <cellStyle name="SAPBEXexcBad7 15 2" xfId="8353" xr:uid="{00000000-0005-0000-0000-0000841B0000}"/>
    <cellStyle name="SAPBEXexcBad7 15 3" xfId="8354" xr:uid="{00000000-0005-0000-0000-0000851B0000}"/>
    <cellStyle name="SAPBEXexcBad7 15 4" xfId="8355" xr:uid="{00000000-0005-0000-0000-0000861B0000}"/>
    <cellStyle name="SAPBEXexcBad7 16" xfId="585" xr:uid="{00000000-0005-0000-0000-0000871B0000}"/>
    <cellStyle name="SAPBEXexcBad7 16 2" xfId="8356" xr:uid="{00000000-0005-0000-0000-0000881B0000}"/>
    <cellStyle name="SAPBEXexcBad7 16 3" xfId="8357" xr:uid="{00000000-0005-0000-0000-0000891B0000}"/>
    <cellStyle name="SAPBEXexcBad7 16 4" xfId="8358" xr:uid="{00000000-0005-0000-0000-00008A1B0000}"/>
    <cellStyle name="SAPBEXexcBad7 17" xfId="586" xr:uid="{00000000-0005-0000-0000-00008B1B0000}"/>
    <cellStyle name="SAPBEXexcBad7 17 2" xfId="8359" xr:uid="{00000000-0005-0000-0000-00008C1B0000}"/>
    <cellStyle name="SAPBEXexcBad7 17 3" xfId="8360" xr:uid="{00000000-0005-0000-0000-00008D1B0000}"/>
    <cellStyle name="SAPBEXexcBad7 17 4" xfId="8361" xr:uid="{00000000-0005-0000-0000-00008E1B0000}"/>
    <cellStyle name="SAPBEXexcBad7 18" xfId="587" xr:uid="{00000000-0005-0000-0000-00008F1B0000}"/>
    <cellStyle name="SAPBEXexcBad7 18 2" xfId="8362" xr:uid="{00000000-0005-0000-0000-0000901B0000}"/>
    <cellStyle name="SAPBEXexcBad7 18 3" xfId="8363" xr:uid="{00000000-0005-0000-0000-0000911B0000}"/>
    <cellStyle name="SAPBEXexcBad7 18 4" xfId="8364" xr:uid="{00000000-0005-0000-0000-0000921B0000}"/>
    <cellStyle name="SAPBEXexcBad7 19" xfId="588" xr:uid="{00000000-0005-0000-0000-0000931B0000}"/>
    <cellStyle name="SAPBEXexcBad7 19 2" xfId="8365" xr:uid="{00000000-0005-0000-0000-0000941B0000}"/>
    <cellStyle name="SAPBEXexcBad7 19 3" xfId="8366" xr:uid="{00000000-0005-0000-0000-0000951B0000}"/>
    <cellStyle name="SAPBEXexcBad7 19 4" xfId="8367" xr:uid="{00000000-0005-0000-0000-0000961B0000}"/>
    <cellStyle name="SAPBEXexcBad7 2" xfId="589" xr:uid="{00000000-0005-0000-0000-0000971B0000}"/>
    <cellStyle name="SAPBEXexcBad7 2 2" xfId="8368" xr:uid="{00000000-0005-0000-0000-0000981B0000}"/>
    <cellStyle name="SAPBEXexcBad7 2 3" xfId="8369" xr:uid="{00000000-0005-0000-0000-0000991B0000}"/>
    <cellStyle name="SAPBEXexcBad7 2 4" xfId="8370" xr:uid="{00000000-0005-0000-0000-00009A1B0000}"/>
    <cellStyle name="SAPBEXexcBad7 20" xfId="590" xr:uid="{00000000-0005-0000-0000-00009B1B0000}"/>
    <cellStyle name="SAPBEXexcBad7 20 2" xfId="8371" xr:uid="{00000000-0005-0000-0000-00009C1B0000}"/>
    <cellStyle name="SAPBEXexcBad7 20 3" xfId="8372" xr:uid="{00000000-0005-0000-0000-00009D1B0000}"/>
    <cellStyle name="SAPBEXexcBad7 20 4" xfId="8373" xr:uid="{00000000-0005-0000-0000-00009E1B0000}"/>
    <cellStyle name="SAPBEXexcBad7 21" xfId="8374" xr:uid="{00000000-0005-0000-0000-00009F1B0000}"/>
    <cellStyle name="SAPBEXexcBad7 22" xfId="8375" xr:uid="{00000000-0005-0000-0000-0000A01B0000}"/>
    <cellStyle name="SAPBEXexcBad7 23" xfId="8376" xr:uid="{00000000-0005-0000-0000-0000A11B0000}"/>
    <cellStyle name="SAPBEXexcBad7 3" xfId="591" xr:uid="{00000000-0005-0000-0000-0000A21B0000}"/>
    <cellStyle name="SAPBEXexcBad7 3 2" xfId="8377" xr:uid="{00000000-0005-0000-0000-0000A31B0000}"/>
    <cellStyle name="SAPBEXexcBad7 3 3" xfId="8378" xr:uid="{00000000-0005-0000-0000-0000A41B0000}"/>
    <cellStyle name="SAPBEXexcBad7 3 4" xfId="8379" xr:uid="{00000000-0005-0000-0000-0000A51B0000}"/>
    <cellStyle name="SAPBEXexcBad7 4" xfId="592" xr:uid="{00000000-0005-0000-0000-0000A61B0000}"/>
    <cellStyle name="SAPBEXexcBad7 4 2" xfId="8380" xr:uid="{00000000-0005-0000-0000-0000A71B0000}"/>
    <cellStyle name="SAPBEXexcBad7 4 3" xfId="8381" xr:uid="{00000000-0005-0000-0000-0000A81B0000}"/>
    <cellStyle name="SAPBEXexcBad7 4 4" xfId="8382" xr:uid="{00000000-0005-0000-0000-0000A91B0000}"/>
    <cellStyle name="SAPBEXexcBad7 5" xfId="593" xr:uid="{00000000-0005-0000-0000-0000AA1B0000}"/>
    <cellStyle name="SAPBEXexcBad7 5 2" xfId="8383" xr:uid="{00000000-0005-0000-0000-0000AB1B0000}"/>
    <cellStyle name="SAPBEXexcBad7 5 3" xfId="8384" xr:uid="{00000000-0005-0000-0000-0000AC1B0000}"/>
    <cellStyle name="SAPBEXexcBad7 5 4" xfId="8385" xr:uid="{00000000-0005-0000-0000-0000AD1B0000}"/>
    <cellStyle name="SAPBEXexcBad7 6" xfId="594" xr:uid="{00000000-0005-0000-0000-0000AE1B0000}"/>
    <cellStyle name="SAPBEXexcBad7 6 2" xfId="8386" xr:uid="{00000000-0005-0000-0000-0000AF1B0000}"/>
    <cellStyle name="SAPBEXexcBad7 6 3" xfId="8387" xr:uid="{00000000-0005-0000-0000-0000B01B0000}"/>
    <cellStyle name="SAPBEXexcBad7 6 4" xfId="8388" xr:uid="{00000000-0005-0000-0000-0000B11B0000}"/>
    <cellStyle name="SAPBEXexcBad7 7" xfId="595" xr:uid="{00000000-0005-0000-0000-0000B21B0000}"/>
    <cellStyle name="SAPBEXexcBad7 7 2" xfId="8389" xr:uid="{00000000-0005-0000-0000-0000B31B0000}"/>
    <cellStyle name="SAPBEXexcBad7 7 3" xfId="8390" xr:uid="{00000000-0005-0000-0000-0000B41B0000}"/>
    <cellStyle name="SAPBEXexcBad7 7 4" xfId="8391" xr:uid="{00000000-0005-0000-0000-0000B51B0000}"/>
    <cellStyle name="SAPBEXexcBad7 8" xfId="596" xr:uid="{00000000-0005-0000-0000-0000B61B0000}"/>
    <cellStyle name="SAPBEXexcBad7 8 2" xfId="8392" xr:uid="{00000000-0005-0000-0000-0000B71B0000}"/>
    <cellStyle name="SAPBEXexcBad7 8 3" xfId="8393" xr:uid="{00000000-0005-0000-0000-0000B81B0000}"/>
    <cellStyle name="SAPBEXexcBad7 8 4" xfId="8394" xr:uid="{00000000-0005-0000-0000-0000B91B0000}"/>
    <cellStyle name="SAPBEXexcBad7 9" xfId="597" xr:uid="{00000000-0005-0000-0000-0000BA1B0000}"/>
    <cellStyle name="SAPBEXexcBad7 9 2" xfId="8395" xr:uid="{00000000-0005-0000-0000-0000BB1B0000}"/>
    <cellStyle name="SAPBEXexcBad7 9 3" xfId="8396" xr:uid="{00000000-0005-0000-0000-0000BC1B0000}"/>
    <cellStyle name="SAPBEXexcBad7 9 4" xfId="8397" xr:uid="{00000000-0005-0000-0000-0000BD1B0000}"/>
    <cellStyle name="SAPBEXexcBad7_Sheet2" xfId="598" xr:uid="{00000000-0005-0000-0000-0000BE1B0000}"/>
    <cellStyle name="SAPBEXexcBad8" xfId="599" xr:uid="{00000000-0005-0000-0000-0000BF1B0000}"/>
    <cellStyle name="SAPBEXexcBad8 10" xfId="600" xr:uid="{00000000-0005-0000-0000-0000C01B0000}"/>
    <cellStyle name="SAPBEXexcBad8 10 2" xfId="8398" xr:uid="{00000000-0005-0000-0000-0000C11B0000}"/>
    <cellStyle name="SAPBEXexcBad8 10 3" xfId="8399" xr:uid="{00000000-0005-0000-0000-0000C21B0000}"/>
    <cellStyle name="SAPBEXexcBad8 10 4" xfId="8400" xr:uid="{00000000-0005-0000-0000-0000C31B0000}"/>
    <cellStyle name="SAPBEXexcBad8 11" xfId="601" xr:uid="{00000000-0005-0000-0000-0000C41B0000}"/>
    <cellStyle name="SAPBEXexcBad8 11 2" xfId="8401" xr:uid="{00000000-0005-0000-0000-0000C51B0000}"/>
    <cellStyle name="SAPBEXexcBad8 11 3" xfId="8402" xr:uid="{00000000-0005-0000-0000-0000C61B0000}"/>
    <cellStyle name="SAPBEXexcBad8 11 4" xfId="8403" xr:uid="{00000000-0005-0000-0000-0000C71B0000}"/>
    <cellStyle name="SAPBEXexcBad8 12" xfId="602" xr:uid="{00000000-0005-0000-0000-0000C81B0000}"/>
    <cellStyle name="SAPBEXexcBad8 12 2" xfId="8404" xr:uid="{00000000-0005-0000-0000-0000C91B0000}"/>
    <cellStyle name="SAPBEXexcBad8 12 3" xfId="8405" xr:uid="{00000000-0005-0000-0000-0000CA1B0000}"/>
    <cellStyle name="SAPBEXexcBad8 12 4" xfId="8406" xr:uid="{00000000-0005-0000-0000-0000CB1B0000}"/>
    <cellStyle name="SAPBEXexcBad8 13" xfId="603" xr:uid="{00000000-0005-0000-0000-0000CC1B0000}"/>
    <cellStyle name="SAPBEXexcBad8 13 2" xfId="8407" xr:uid="{00000000-0005-0000-0000-0000CD1B0000}"/>
    <cellStyle name="SAPBEXexcBad8 13 3" xfId="8408" xr:uid="{00000000-0005-0000-0000-0000CE1B0000}"/>
    <cellStyle name="SAPBEXexcBad8 13 4" xfId="8409" xr:uid="{00000000-0005-0000-0000-0000CF1B0000}"/>
    <cellStyle name="SAPBEXexcBad8 14" xfId="604" xr:uid="{00000000-0005-0000-0000-0000D01B0000}"/>
    <cellStyle name="SAPBEXexcBad8 14 2" xfId="8410" xr:uid="{00000000-0005-0000-0000-0000D11B0000}"/>
    <cellStyle name="SAPBEXexcBad8 14 3" xfId="8411" xr:uid="{00000000-0005-0000-0000-0000D21B0000}"/>
    <cellStyle name="SAPBEXexcBad8 14 4" xfId="8412" xr:uid="{00000000-0005-0000-0000-0000D31B0000}"/>
    <cellStyle name="SAPBEXexcBad8 15" xfId="605" xr:uid="{00000000-0005-0000-0000-0000D41B0000}"/>
    <cellStyle name="SAPBEXexcBad8 15 2" xfId="8413" xr:uid="{00000000-0005-0000-0000-0000D51B0000}"/>
    <cellStyle name="SAPBEXexcBad8 15 3" xfId="8414" xr:uid="{00000000-0005-0000-0000-0000D61B0000}"/>
    <cellStyle name="SAPBEXexcBad8 15 4" xfId="8415" xr:uid="{00000000-0005-0000-0000-0000D71B0000}"/>
    <cellStyle name="SAPBEXexcBad8 16" xfId="606" xr:uid="{00000000-0005-0000-0000-0000D81B0000}"/>
    <cellStyle name="SAPBEXexcBad8 16 2" xfId="8416" xr:uid="{00000000-0005-0000-0000-0000D91B0000}"/>
    <cellStyle name="SAPBEXexcBad8 16 3" xfId="8417" xr:uid="{00000000-0005-0000-0000-0000DA1B0000}"/>
    <cellStyle name="SAPBEXexcBad8 16 4" xfId="8418" xr:uid="{00000000-0005-0000-0000-0000DB1B0000}"/>
    <cellStyle name="SAPBEXexcBad8 17" xfId="607" xr:uid="{00000000-0005-0000-0000-0000DC1B0000}"/>
    <cellStyle name="SAPBEXexcBad8 17 2" xfId="8419" xr:uid="{00000000-0005-0000-0000-0000DD1B0000}"/>
    <cellStyle name="SAPBEXexcBad8 17 3" xfId="8420" xr:uid="{00000000-0005-0000-0000-0000DE1B0000}"/>
    <cellStyle name="SAPBEXexcBad8 17 4" xfId="8421" xr:uid="{00000000-0005-0000-0000-0000DF1B0000}"/>
    <cellStyle name="SAPBEXexcBad8 18" xfId="608" xr:uid="{00000000-0005-0000-0000-0000E01B0000}"/>
    <cellStyle name="SAPBEXexcBad8 18 2" xfId="8422" xr:uid="{00000000-0005-0000-0000-0000E11B0000}"/>
    <cellStyle name="SAPBEXexcBad8 18 3" xfId="8423" xr:uid="{00000000-0005-0000-0000-0000E21B0000}"/>
    <cellStyle name="SAPBEXexcBad8 18 4" xfId="8424" xr:uid="{00000000-0005-0000-0000-0000E31B0000}"/>
    <cellStyle name="SAPBEXexcBad8 19" xfId="609" xr:uid="{00000000-0005-0000-0000-0000E41B0000}"/>
    <cellStyle name="SAPBEXexcBad8 19 2" xfId="8425" xr:uid="{00000000-0005-0000-0000-0000E51B0000}"/>
    <cellStyle name="SAPBEXexcBad8 19 3" xfId="8426" xr:uid="{00000000-0005-0000-0000-0000E61B0000}"/>
    <cellStyle name="SAPBEXexcBad8 19 4" xfId="8427" xr:uid="{00000000-0005-0000-0000-0000E71B0000}"/>
    <cellStyle name="SAPBEXexcBad8 2" xfId="610" xr:uid="{00000000-0005-0000-0000-0000E81B0000}"/>
    <cellStyle name="SAPBEXexcBad8 2 2" xfId="8428" xr:uid="{00000000-0005-0000-0000-0000E91B0000}"/>
    <cellStyle name="SAPBEXexcBad8 2 3" xfId="8429" xr:uid="{00000000-0005-0000-0000-0000EA1B0000}"/>
    <cellStyle name="SAPBEXexcBad8 2 4" xfId="8430" xr:uid="{00000000-0005-0000-0000-0000EB1B0000}"/>
    <cellStyle name="SAPBEXexcBad8 20" xfId="611" xr:uid="{00000000-0005-0000-0000-0000EC1B0000}"/>
    <cellStyle name="SAPBEXexcBad8 20 2" xfId="8431" xr:uid="{00000000-0005-0000-0000-0000ED1B0000}"/>
    <cellStyle name="SAPBEXexcBad8 20 3" xfId="8432" xr:uid="{00000000-0005-0000-0000-0000EE1B0000}"/>
    <cellStyle name="SAPBEXexcBad8 20 4" xfId="8433" xr:uid="{00000000-0005-0000-0000-0000EF1B0000}"/>
    <cellStyle name="SAPBEXexcBad8 21" xfId="8434" xr:uid="{00000000-0005-0000-0000-0000F01B0000}"/>
    <cellStyle name="SAPBEXexcBad8 22" xfId="8435" xr:uid="{00000000-0005-0000-0000-0000F11B0000}"/>
    <cellStyle name="SAPBEXexcBad8 23" xfId="8436" xr:uid="{00000000-0005-0000-0000-0000F21B0000}"/>
    <cellStyle name="SAPBEXexcBad8 3" xfId="612" xr:uid="{00000000-0005-0000-0000-0000F31B0000}"/>
    <cellStyle name="SAPBEXexcBad8 3 2" xfId="8437" xr:uid="{00000000-0005-0000-0000-0000F41B0000}"/>
    <cellStyle name="SAPBEXexcBad8 3 3" xfId="8438" xr:uid="{00000000-0005-0000-0000-0000F51B0000}"/>
    <cellStyle name="SAPBEXexcBad8 3 4" xfId="8439" xr:uid="{00000000-0005-0000-0000-0000F61B0000}"/>
    <cellStyle name="SAPBEXexcBad8 4" xfId="613" xr:uid="{00000000-0005-0000-0000-0000F71B0000}"/>
    <cellStyle name="SAPBEXexcBad8 4 2" xfId="8440" xr:uid="{00000000-0005-0000-0000-0000F81B0000}"/>
    <cellStyle name="SAPBEXexcBad8 4 3" xfId="8441" xr:uid="{00000000-0005-0000-0000-0000F91B0000}"/>
    <cellStyle name="SAPBEXexcBad8 4 4" xfId="8442" xr:uid="{00000000-0005-0000-0000-0000FA1B0000}"/>
    <cellStyle name="SAPBEXexcBad8 5" xfId="614" xr:uid="{00000000-0005-0000-0000-0000FB1B0000}"/>
    <cellStyle name="SAPBEXexcBad8 5 2" xfId="8443" xr:uid="{00000000-0005-0000-0000-0000FC1B0000}"/>
    <cellStyle name="SAPBEXexcBad8 5 3" xfId="8444" xr:uid="{00000000-0005-0000-0000-0000FD1B0000}"/>
    <cellStyle name="SAPBEXexcBad8 5 4" xfId="8445" xr:uid="{00000000-0005-0000-0000-0000FE1B0000}"/>
    <cellStyle name="SAPBEXexcBad8 6" xfId="615" xr:uid="{00000000-0005-0000-0000-0000FF1B0000}"/>
    <cellStyle name="SAPBEXexcBad8 6 2" xfId="8446" xr:uid="{00000000-0005-0000-0000-0000001C0000}"/>
    <cellStyle name="SAPBEXexcBad8 6 3" xfId="8447" xr:uid="{00000000-0005-0000-0000-0000011C0000}"/>
    <cellStyle name="SAPBEXexcBad8 6 4" xfId="8448" xr:uid="{00000000-0005-0000-0000-0000021C0000}"/>
    <cellStyle name="SAPBEXexcBad8 7" xfId="616" xr:uid="{00000000-0005-0000-0000-0000031C0000}"/>
    <cellStyle name="SAPBEXexcBad8 7 2" xfId="8449" xr:uid="{00000000-0005-0000-0000-0000041C0000}"/>
    <cellStyle name="SAPBEXexcBad8 7 3" xfId="8450" xr:uid="{00000000-0005-0000-0000-0000051C0000}"/>
    <cellStyle name="SAPBEXexcBad8 7 4" xfId="8451" xr:uid="{00000000-0005-0000-0000-0000061C0000}"/>
    <cellStyle name="SAPBEXexcBad8 8" xfId="617" xr:uid="{00000000-0005-0000-0000-0000071C0000}"/>
    <cellStyle name="SAPBEXexcBad8 8 2" xfId="8452" xr:uid="{00000000-0005-0000-0000-0000081C0000}"/>
    <cellStyle name="SAPBEXexcBad8 8 3" xfId="8453" xr:uid="{00000000-0005-0000-0000-0000091C0000}"/>
    <cellStyle name="SAPBEXexcBad8 8 4" xfId="8454" xr:uid="{00000000-0005-0000-0000-00000A1C0000}"/>
    <cellStyle name="SAPBEXexcBad8 9" xfId="618" xr:uid="{00000000-0005-0000-0000-00000B1C0000}"/>
    <cellStyle name="SAPBEXexcBad8 9 2" xfId="8455" xr:uid="{00000000-0005-0000-0000-00000C1C0000}"/>
    <cellStyle name="SAPBEXexcBad8 9 3" xfId="8456" xr:uid="{00000000-0005-0000-0000-00000D1C0000}"/>
    <cellStyle name="SAPBEXexcBad8 9 4" xfId="8457" xr:uid="{00000000-0005-0000-0000-00000E1C0000}"/>
    <cellStyle name="SAPBEXexcBad8_Sheet2" xfId="619" xr:uid="{00000000-0005-0000-0000-00000F1C0000}"/>
    <cellStyle name="SAPBEXexcBad9" xfId="620" xr:uid="{00000000-0005-0000-0000-0000101C0000}"/>
    <cellStyle name="SAPBEXexcBad9 10" xfId="621" xr:uid="{00000000-0005-0000-0000-0000111C0000}"/>
    <cellStyle name="SAPBEXexcBad9 10 2" xfId="8458" xr:uid="{00000000-0005-0000-0000-0000121C0000}"/>
    <cellStyle name="SAPBEXexcBad9 10 3" xfId="8459" xr:uid="{00000000-0005-0000-0000-0000131C0000}"/>
    <cellStyle name="SAPBEXexcBad9 10 4" xfId="8460" xr:uid="{00000000-0005-0000-0000-0000141C0000}"/>
    <cellStyle name="SAPBEXexcBad9 11" xfId="622" xr:uid="{00000000-0005-0000-0000-0000151C0000}"/>
    <cellStyle name="SAPBEXexcBad9 11 2" xfId="8461" xr:uid="{00000000-0005-0000-0000-0000161C0000}"/>
    <cellStyle name="SAPBEXexcBad9 11 3" xfId="8462" xr:uid="{00000000-0005-0000-0000-0000171C0000}"/>
    <cellStyle name="SAPBEXexcBad9 11 4" xfId="8463" xr:uid="{00000000-0005-0000-0000-0000181C0000}"/>
    <cellStyle name="SAPBEXexcBad9 12" xfId="623" xr:uid="{00000000-0005-0000-0000-0000191C0000}"/>
    <cellStyle name="SAPBEXexcBad9 12 2" xfId="8464" xr:uid="{00000000-0005-0000-0000-00001A1C0000}"/>
    <cellStyle name="SAPBEXexcBad9 12 3" xfId="8465" xr:uid="{00000000-0005-0000-0000-00001B1C0000}"/>
    <cellStyle name="SAPBEXexcBad9 12 4" xfId="8466" xr:uid="{00000000-0005-0000-0000-00001C1C0000}"/>
    <cellStyle name="SAPBEXexcBad9 13" xfId="624" xr:uid="{00000000-0005-0000-0000-00001D1C0000}"/>
    <cellStyle name="SAPBEXexcBad9 13 2" xfId="8467" xr:uid="{00000000-0005-0000-0000-00001E1C0000}"/>
    <cellStyle name="SAPBEXexcBad9 13 3" xfId="8468" xr:uid="{00000000-0005-0000-0000-00001F1C0000}"/>
    <cellStyle name="SAPBEXexcBad9 13 4" xfId="8469" xr:uid="{00000000-0005-0000-0000-0000201C0000}"/>
    <cellStyle name="SAPBEXexcBad9 14" xfId="625" xr:uid="{00000000-0005-0000-0000-0000211C0000}"/>
    <cellStyle name="SAPBEXexcBad9 14 2" xfId="8470" xr:uid="{00000000-0005-0000-0000-0000221C0000}"/>
    <cellStyle name="SAPBEXexcBad9 14 3" xfId="8471" xr:uid="{00000000-0005-0000-0000-0000231C0000}"/>
    <cellStyle name="SAPBEXexcBad9 14 4" xfId="8472" xr:uid="{00000000-0005-0000-0000-0000241C0000}"/>
    <cellStyle name="SAPBEXexcBad9 15" xfId="626" xr:uid="{00000000-0005-0000-0000-0000251C0000}"/>
    <cellStyle name="SAPBEXexcBad9 15 2" xfId="8473" xr:uid="{00000000-0005-0000-0000-0000261C0000}"/>
    <cellStyle name="SAPBEXexcBad9 15 3" xfId="8474" xr:uid="{00000000-0005-0000-0000-0000271C0000}"/>
    <cellStyle name="SAPBEXexcBad9 15 4" xfId="8475" xr:uid="{00000000-0005-0000-0000-0000281C0000}"/>
    <cellStyle name="SAPBEXexcBad9 16" xfId="627" xr:uid="{00000000-0005-0000-0000-0000291C0000}"/>
    <cellStyle name="SAPBEXexcBad9 16 2" xfId="8476" xr:uid="{00000000-0005-0000-0000-00002A1C0000}"/>
    <cellStyle name="SAPBEXexcBad9 16 3" xfId="8477" xr:uid="{00000000-0005-0000-0000-00002B1C0000}"/>
    <cellStyle name="SAPBEXexcBad9 16 4" xfId="8478" xr:uid="{00000000-0005-0000-0000-00002C1C0000}"/>
    <cellStyle name="SAPBEXexcBad9 17" xfId="628" xr:uid="{00000000-0005-0000-0000-00002D1C0000}"/>
    <cellStyle name="SAPBEXexcBad9 17 2" xfId="8479" xr:uid="{00000000-0005-0000-0000-00002E1C0000}"/>
    <cellStyle name="SAPBEXexcBad9 17 3" xfId="8480" xr:uid="{00000000-0005-0000-0000-00002F1C0000}"/>
    <cellStyle name="SAPBEXexcBad9 17 4" xfId="8481" xr:uid="{00000000-0005-0000-0000-0000301C0000}"/>
    <cellStyle name="SAPBEXexcBad9 18" xfId="629" xr:uid="{00000000-0005-0000-0000-0000311C0000}"/>
    <cellStyle name="SAPBEXexcBad9 18 2" xfId="8482" xr:uid="{00000000-0005-0000-0000-0000321C0000}"/>
    <cellStyle name="SAPBEXexcBad9 18 3" xfId="8483" xr:uid="{00000000-0005-0000-0000-0000331C0000}"/>
    <cellStyle name="SAPBEXexcBad9 18 4" xfId="8484" xr:uid="{00000000-0005-0000-0000-0000341C0000}"/>
    <cellStyle name="SAPBEXexcBad9 19" xfId="630" xr:uid="{00000000-0005-0000-0000-0000351C0000}"/>
    <cellStyle name="SAPBEXexcBad9 19 2" xfId="8485" xr:uid="{00000000-0005-0000-0000-0000361C0000}"/>
    <cellStyle name="SAPBEXexcBad9 19 3" xfId="8486" xr:uid="{00000000-0005-0000-0000-0000371C0000}"/>
    <cellStyle name="SAPBEXexcBad9 19 4" xfId="8487" xr:uid="{00000000-0005-0000-0000-0000381C0000}"/>
    <cellStyle name="SAPBEXexcBad9 2" xfId="631" xr:uid="{00000000-0005-0000-0000-0000391C0000}"/>
    <cellStyle name="SAPBEXexcBad9 2 2" xfId="8488" xr:uid="{00000000-0005-0000-0000-00003A1C0000}"/>
    <cellStyle name="SAPBEXexcBad9 2 3" xfId="8489" xr:uid="{00000000-0005-0000-0000-00003B1C0000}"/>
    <cellStyle name="SAPBEXexcBad9 2 4" xfId="8490" xr:uid="{00000000-0005-0000-0000-00003C1C0000}"/>
    <cellStyle name="SAPBEXexcBad9 20" xfId="632" xr:uid="{00000000-0005-0000-0000-00003D1C0000}"/>
    <cellStyle name="SAPBEXexcBad9 20 2" xfId="8491" xr:uid="{00000000-0005-0000-0000-00003E1C0000}"/>
    <cellStyle name="SAPBEXexcBad9 20 3" xfId="8492" xr:uid="{00000000-0005-0000-0000-00003F1C0000}"/>
    <cellStyle name="SAPBEXexcBad9 20 4" xfId="8493" xr:uid="{00000000-0005-0000-0000-0000401C0000}"/>
    <cellStyle name="SAPBEXexcBad9 21" xfId="8494" xr:uid="{00000000-0005-0000-0000-0000411C0000}"/>
    <cellStyle name="SAPBEXexcBad9 22" xfId="8495" xr:uid="{00000000-0005-0000-0000-0000421C0000}"/>
    <cellStyle name="SAPBEXexcBad9 23" xfId="8496" xr:uid="{00000000-0005-0000-0000-0000431C0000}"/>
    <cellStyle name="SAPBEXexcBad9 3" xfId="633" xr:uid="{00000000-0005-0000-0000-0000441C0000}"/>
    <cellStyle name="SAPBEXexcBad9 3 2" xfId="8497" xr:uid="{00000000-0005-0000-0000-0000451C0000}"/>
    <cellStyle name="SAPBEXexcBad9 3 3" xfId="8498" xr:uid="{00000000-0005-0000-0000-0000461C0000}"/>
    <cellStyle name="SAPBEXexcBad9 3 4" xfId="8499" xr:uid="{00000000-0005-0000-0000-0000471C0000}"/>
    <cellStyle name="SAPBEXexcBad9 4" xfId="634" xr:uid="{00000000-0005-0000-0000-0000481C0000}"/>
    <cellStyle name="SAPBEXexcBad9 4 2" xfId="8500" xr:uid="{00000000-0005-0000-0000-0000491C0000}"/>
    <cellStyle name="SAPBEXexcBad9 4 3" xfId="8501" xr:uid="{00000000-0005-0000-0000-00004A1C0000}"/>
    <cellStyle name="SAPBEXexcBad9 4 4" xfId="8502" xr:uid="{00000000-0005-0000-0000-00004B1C0000}"/>
    <cellStyle name="SAPBEXexcBad9 5" xfId="635" xr:uid="{00000000-0005-0000-0000-00004C1C0000}"/>
    <cellStyle name="SAPBEXexcBad9 5 2" xfId="8503" xr:uid="{00000000-0005-0000-0000-00004D1C0000}"/>
    <cellStyle name="SAPBEXexcBad9 5 3" xfId="8504" xr:uid="{00000000-0005-0000-0000-00004E1C0000}"/>
    <cellStyle name="SAPBEXexcBad9 5 4" xfId="8505" xr:uid="{00000000-0005-0000-0000-00004F1C0000}"/>
    <cellStyle name="SAPBEXexcBad9 6" xfId="636" xr:uid="{00000000-0005-0000-0000-0000501C0000}"/>
    <cellStyle name="SAPBEXexcBad9 6 2" xfId="8506" xr:uid="{00000000-0005-0000-0000-0000511C0000}"/>
    <cellStyle name="SAPBEXexcBad9 6 3" xfId="8507" xr:uid="{00000000-0005-0000-0000-0000521C0000}"/>
    <cellStyle name="SAPBEXexcBad9 6 4" xfId="8508" xr:uid="{00000000-0005-0000-0000-0000531C0000}"/>
    <cellStyle name="SAPBEXexcBad9 7" xfId="637" xr:uid="{00000000-0005-0000-0000-0000541C0000}"/>
    <cellStyle name="SAPBEXexcBad9 7 2" xfId="8509" xr:uid="{00000000-0005-0000-0000-0000551C0000}"/>
    <cellStyle name="SAPBEXexcBad9 7 3" xfId="8510" xr:uid="{00000000-0005-0000-0000-0000561C0000}"/>
    <cellStyle name="SAPBEXexcBad9 7 4" xfId="8511" xr:uid="{00000000-0005-0000-0000-0000571C0000}"/>
    <cellStyle name="SAPBEXexcBad9 8" xfId="638" xr:uid="{00000000-0005-0000-0000-0000581C0000}"/>
    <cellStyle name="SAPBEXexcBad9 8 2" xfId="8512" xr:uid="{00000000-0005-0000-0000-0000591C0000}"/>
    <cellStyle name="SAPBEXexcBad9 8 3" xfId="8513" xr:uid="{00000000-0005-0000-0000-00005A1C0000}"/>
    <cellStyle name="SAPBEXexcBad9 8 4" xfId="8514" xr:uid="{00000000-0005-0000-0000-00005B1C0000}"/>
    <cellStyle name="SAPBEXexcBad9 9" xfId="639" xr:uid="{00000000-0005-0000-0000-00005C1C0000}"/>
    <cellStyle name="SAPBEXexcBad9 9 2" xfId="8515" xr:uid="{00000000-0005-0000-0000-00005D1C0000}"/>
    <cellStyle name="SAPBEXexcBad9 9 3" xfId="8516" xr:uid="{00000000-0005-0000-0000-00005E1C0000}"/>
    <cellStyle name="SAPBEXexcBad9 9 4" xfId="8517" xr:uid="{00000000-0005-0000-0000-00005F1C0000}"/>
    <cellStyle name="SAPBEXexcBad9_Sheet2" xfId="640" xr:uid="{00000000-0005-0000-0000-0000601C0000}"/>
    <cellStyle name="SAPBEXexcCritical4" xfId="641" xr:uid="{00000000-0005-0000-0000-0000611C0000}"/>
    <cellStyle name="SAPBEXexcCritical4 10" xfId="642" xr:uid="{00000000-0005-0000-0000-0000621C0000}"/>
    <cellStyle name="SAPBEXexcCritical4 10 2" xfId="8518" xr:uid="{00000000-0005-0000-0000-0000631C0000}"/>
    <cellStyle name="SAPBEXexcCritical4 10 3" xfId="8519" xr:uid="{00000000-0005-0000-0000-0000641C0000}"/>
    <cellStyle name="SAPBEXexcCritical4 10 4" xfId="8520" xr:uid="{00000000-0005-0000-0000-0000651C0000}"/>
    <cellStyle name="SAPBEXexcCritical4 11" xfId="643" xr:uid="{00000000-0005-0000-0000-0000661C0000}"/>
    <cellStyle name="SAPBEXexcCritical4 11 2" xfId="8521" xr:uid="{00000000-0005-0000-0000-0000671C0000}"/>
    <cellStyle name="SAPBEXexcCritical4 11 3" xfId="8522" xr:uid="{00000000-0005-0000-0000-0000681C0000}"/>
    <cellStyle name="SAPBEXexcCritical4 11 4" xfId="8523" xr:uid="{00000000-0005-0000-0000-0000691C0000}"/>
    <cellStyle name="SAPBEXexcCritical4 12" xfId="644" xr:uid="{00000000-0005-0000-0000-00006A1C0000}"/>
    <cellStyle name="SAPBEXexcCritical4 12 2" xfId="8524" xr:uid="{00000000-0005-0000-0000-00006B1C0000}"/>
    <cellStyle name="SAPBEXexcCritical4 12 3" xfId="8525" xr:uid="{00000000-0005-0000-0000-00006C1C0000}"/>
    <cellStyle name="SAPBEXexcCritical4 12 4" xfId="8526" xr:uid="{00000000-0005-0000-0000-00006D1C0000}"/>
    <cellStyle name="SAPBEXexcCritical4 13" xfId="645" xr:uid="{00000000-0005-0000-0000-00006E1C0000}"/>
    <cellStyle name="SAPBEXexcCritical4 13 2" xfId="8527" xr:uid="{00000000-0005-0000-0000-00006F1C0000}"/>
    <cellStyle name="SAPBEXexcCritical4 13 3" xfId="8528" xr:uid="{00000000-0005-0000-0000-0000701C0000}"/>
    <cellStyle name="SAPBEXexcCritical4 13 4" xfId="8529" xr:uid="{00000000-0005-0000-0000-0000711C0000}"/>
    <cellStyle name="SAPBEXexcCritical4 14" xfId="646" xr:uid="{00000000-0005-0000-0000-0000721C0000}"/>
    <cellStyle name="SAPBEXexcCritical4 14 2" xfId="8530" xr:uid="{00000000-0005-0000-0000-0000731C0000}"/>
    <cellStyle name="SAPBEXexcCritical4 14 3" xfId="8531" xr:uid="{00000000-0005-0000-0000-0000741C0000}"/>
    <cellStyle name="SAPBEXexcCritical4 14 4" xfId="8532" xr:uid="{00000000-0005-0000-0000-0000751C0000}"/>
    <cellStyle name="SAPBEXexcCritical4 15" xfId="647" xr:uid="{00000000-0005-0000-0000-0000761C0000}"/>
    <cellStyle name="SAPBEXexcCritical4 15 2" xfId="8533" xr:uid="{00000000-0005-0000-0000-0000771C0000}"/>
    <cellStyle name="SAPBEXexcCritical4 15 3" xfId="8534" xr:uid="{00000000-0005-0000-0000-0000781C0000}"/>
    <cellStyle name="SAPBEXexcCritical4 15 4" xfId="8535" xr:uid="{00000000-0005-0000-0000-0000791C0000}"/>
    <cellStyle name="SAPBEXexcCritical4 16" xfId="648" xr:uid="{00000000-0005-0000-0000-00007A1C0000}"/>
    <cellStyle name="SAPBEXexcCritical4 16 2" xfId="8536" xr:uid="{00000000-0005-0000-0000-00007B1C0000}"/>
    <cellStyle name="SAPBEXexcCritical4 16 3" xfId="8537" xr:uid="{00000000-0005-0000-0000-00007C1C0000}"/>
    <cellStyle name="SAPBEXexcCritical4 16 4" xfId="8538" xr:uid="{00000000-0005-0000-0000-00007D1C0000}"/>
    <cellStyle name="SAPBEXexcCritical4 17" xfId="649" xr:uid="{00000000-0005-0000-0000-00007E1C0000}"/>
    <cellStyle name="SAPBEXexcCritical4 17 2" xfId="8539" xr:uid="{00000000-0005-0000-0000-00007F1C0000}"/>
    <cellStyle name="SAPBEXexcCritical4 17 3" xfId="8540" xr:uid="{00000000-0005-0000-0000-0000801C0000}"/>
    <cellStyle name="SAPBEXexcCritical4 17 4" xfId="8541" xr:uid="{00000000-0005-0000-0000-0000811C0000}"/>
    <cellStyle name="SAPBEXexcCritical4 18" xfId="650" xr:uid="{00000000-0005-0000-0000-0000821C0000}"/>
    <cellStyle name="SAPBEXexcCritical4 18 2" xfId="8542" xr:uid="{00000000-0005-0000-0000-0000831C0000}"/>
    <cellStyle name="SAPBEXexcCritical4 18 3" xfId="8543" xr:uid="{00000000-0005-0000-0000-0000841C0000}"/>
    <cellStyle name="SAPBEXexcCritical4 18 4" xfId="8544" xr:uid="{00000000-0005-0000-0000-0000851C0000}"/>
    <cellStyle name="SAPBEXexcCritical4 19" xfId="651" xr:uid="{00000000-0005-0000-0000-0000861C0000}"/>
    <cellStyle name="SAPBEXexcCritical4 19 2" xfId="8545" xr:uid="{00000000-0005-0000-0000-0000871C0000}"/>
    <cellStyle name="SAPBEXexcCritical4 19 3" xfId="8546" xr:uid="{00000000-0005-0000-0000-0000881C0000}"/>
    <cellStyle name="SAPBEXexcCritical4 19 4" xfId="8547" xr:uid="{00000000-0005-0000-0000-0000891C0000}"/>
    <cellStyle name="SAPBEXexcCritical4 2" xfId="652" xr:uid="{00000000-0005-0000-0000-00008A1C0000}"/>
    <cellStyle name="SAPBEXexcCritical4 2 2" xfId="8548" xr:uid="{00000000-0005-0000-0000-00008B1C0000}"/>
    <cellStyle name="SAPBEXexcCritical4 2 3" xfId="8549" xr:uid="{00000000-0005-0000-0000-00008C1C0000}"/>
    <cellStyle name="SAPBEXexcCritical4 2 4" xfId="8550" xr:uid="{00000000-0005-0000-0000-00008D1C0000}"/>
    <cellStyle name="SAPBEXexcCritical4 20" xfId="653" xr:uid="{00000000-0005-0000-0000-00008E1C0000}"/>
    <cellStyle name="SAPBEXexcCritical4 20 2" xfId="8551" xr:uid="{00000000-0005-0000-0000-00008F1C0000}"/>
    <cellStyle name="SAPBEXexcCritical4 20 3" xfId="8552" xr:uid="{00000000-0005-0000-0000-0000901C0000}"/>
    <cellStyle name="SAPBEXexcCritical4 20 4" xfId="8553" xr:uid="{00000000-0005-0000-0000-0000911C0000}"/>
    <cellStyle name="SAPBEXexcCritical4 21" xfId="8554" xr:uid="{00000000-0005-0000-0000-0000921C0000}"/>
    <cellStyle name="SAPBEXexcCritical4 22" xfId="8555" xr:uid="{00000000-0005-0000-0000-0000931C0000}"/>
    <cellStyle name="SAPBEXexcCritical4 23" xfId="8556" xr:uid="{00000000-0005-0000-0000-0000941C0000}"/>
    <cellStyle name="SAPBEXexcCritical4 3" xfId="654" xr:uid="{00000000-0005-0000-0000-0000951C0000}"/>
    <cellStyle name="SAPBEXexcCritical4 3 2" xfId="8557" xr:uid="{00000000-0005-0000-0000-0000961C0000}"/>
    <cellStyle name="SAPBEXexcCritical4 3 3" xfId="8558" xr:uid="{00000000-0005-0000-0000-0000971C0000}"/>
    <cellStyle name="SAPBEXexcCritical4 3 4" xfId="8559" xr:uid="{00000000-0005-0000-0000-0000981C0000}"/>
    <cellStyle name="SAPBEXexcCritical4 4" xfId="655" xr:uid="{00000000-0005-0000-0000-0000991C0000}"/>
    <cellStyle name="SAPBEXexcCritical4 4 2" xfId="8560" xr:uid="{00000000-0005-0000-0000-00009A1C0000}"/>
    <cellStyle name="SAPBEXexcCritical4 4 3" xfId="8561" xr:uid="{00000000-0005-0000-0000-00009B1C0000}"/>
    <cellStyle name="SAPBEXexcCritical4 4 4" xfId="8562" xr:uid="{00000000-0005-0000-0000-00009C1C0000}"/>
    <cellStyle name="SAPBEXexcCritical4 5" xfId="656" xr:uid="{00000000-0005-0000-0000-00009D1C0000}"/>
    <cellStyle name="SAPBEXexcCritical4 5 2" xfId="8563" xr:uid="{00000000-0005-0000-0000-00009E1C0000}"/>
    <cellStyle name="SAPBEXexcCritical4 5 3" xfId="8564" xr:uid="{00000000-0005-0000-0000-00009F1C0000}"/>
    <cellStyle name="SAPBEXexcCritical4 5 4" xfId="8565" xr:uid="{00000000-0005-0000-0000-0000A01C0000}"/>
    <cellStyle name="SAPBEXexcCritical4 6" xfId="657" xr:uid="{00000000-0005-0000-0000-0000A11C0000}"/>
    <cellStyle name="SAPBEXexcCritical4 6 2" xfId="8566" xr:uid="{00000000-0005-0000-0000-0000A21C0000}"/>
    <cellStyle name="SAPBEXexcCritical4 6 3" xfId="8567" xr:uid="{00000000-0005-0000-0000-0000A31C0000}"/>
    <cellStyle name="SAPBEXexcCritical4 6 4" xfId="8568" xr:uid="{00000000-0005-0000-0000-0000A41C0000}"/>
    <cellStyle name="SAPBEXexcCritical4 7" xfId="658" xr:uid="{00000000-0005-0000-0000-0000A51C0000}"/>
    <cellStyle name="SAPBEXexcCritical4 7 2" xfId="8569" xr:uid="{00000000-0005-0000-0000-0000A61C0000}"/>
    <cellStyle name="SAPBEXexcCritical4 7 3" xfId="8570" xr:uid="{00000000-0005-0000-0000-0000A71C0000}"/>
    <cellStyle name="SAPBEXexcCritical4 7 4" xfId="8571" xr:uid="{00000000-0005-0000-0000-0000A81C0000}"/>
    <cellStyle name="SAPBEXexcCritical4 8" xfId="659" xr:uid="{00000000-0005-0000-0000-0000A91C0000}"/>
    <cellStyle name="SAPBEXexcCritical4 8 2" xfId="8572" xr:uid="{00000000-0005-0000-0000-0000AA1C0000}"/>
    <cellStyle name="SAPBEXexcCritical4 8 3" xfId="8573" xr:uid="{00000000-0005-0000-0000-0000AB1C0000}"/>
    <cellStyle name="SAPBEXexcCritical4 8 4" xfId="8574" xr:uid="{00000000-0005-0000-0000-0000AC1C0000}"/>
    <cellStyle name="SAPBEXexcCritical4 9" xfId="660" xr:uid="{00000000-0005-0000-0000-0000AD1C0000}"/>
    <cellStyle name="SAPBEXexcCritical4 9 2" xfId="8575" xr:uid="{00000000-0005-0000-0000-0000AE1C0000}"/>
    <cellStyle name="SAPBEXexcCritical4 9 3" xfId="8576" xr:uid="{00000000-0005-0000-0000-0000AF1C0000}"/>
    <cellStyle name="SAPBEXexcCritical4 9 4" xfId="8577" xr:uid="{00000000-0005-0000-0000-0000B01C0000}"/>
    <cellStyle name="SAPBEXexcCritical4_Sheet2" xfId="661" xr:uid="{00000000-0005-0000-0000-0000B11C0000}"/>
    <cellStyle name="SAPBEXexcCritical5" xfId="662" xr:uid="{00000000-0005-0000-0000-0000B21C0000}"/>
    <cellStyle name="SAPBEXexcCritical5 10" xfId="663" xr:uid="{00000000-0005-0000-0000-0000B31C0000}"/>
    <cellStyle name="SAPBEXexcCritical5 10 2" xfId="8578" xr:uid="{00000000-0005-0000-0000-0000B41C0000}"/>
    <cellStyle name="SAPBEXexcCritical5 10 3" xfId="8579" xr:uid="{00000000-0005-0000-0000-0000B51C0000}"/>
    <cellStyle name="SAPBEXexcCritical5 10 4" xfId="8580" xr:uid="{00000000-0005-0000-0000-0000B61C0000}"/>
    <cellStyle name="SAPBEXexcCritical5 11" xfId="664" xr:uid="{00000000-0005-0000-0000-0000B71C0000}"/>
    <cellStyle name="SAPBEXexcCritical5 11 2" xfId="8581" xr:uid="{00000000-0005-0000-0000-0000B81C0000}"/>
    <cellStyle name="SAPBEXexcCritical5 11 3" xfId="8582" xr:uid="{00000000-0005-0000-0000-0000B91C0000}"/>
    <cellStyle name="SAPBEXexcCritical5 11 4" xfId="8583" xr:uid="{00000000-0005-0000-0000-0000BA1C0000}"/>
    <cellStyle name="SAPBEXexcCritical5 12" xfId="665" xr:uid="{00000000-0005-0000-0000-0000BB1C0000}"/>
    <cellStyle name="SAPBEXexcCritical5 12 2" xfId="8584" xr:uid="{00000000-0005-0000-0000-0000BC1C0000}"/>
    <cellStyle name="SAPBEXexcCritical5 12 3" xfId="8585" xr:uid="{00000000-0005-0000-0000-0000BD1C0000}"/>
    <cellStyle name="SAPBEXexcCritical5 12 4" xfId="8586" xr:uid="{00000000-0005-0000-0000-0000BE1C0000}"/>
    <cellStyle name="SAPBEXexcCritical5 13" xfId="666" xr:uid="{00000000-0005-0000-0000-0000BF1C0000}"/>
    <cellStyle name="SAPBEXexcCritical5 13 2" xfId="8587" xr:uid="{00000000-0005-0000-0000-0000C01C0000}"/>
    <cellStyle name="SAPBEXexcCritical5 13 3" xfId="8588" xr:uid="{00000000-0005-0000-0000-0000C11C0000}"/>
    <cellStyle name="SAPBEXexcCritical5 13 4" xfId="8589" xr:uid="{00000000-0005-0000-0000-0000C21C0000}"/>
    <cellStyle name="SAPBEXexcCritical5 14" xfId="667" xr:uid="{00000000-0005-0000-0000-0000C31C0000}"/>
    <cellStyle name="SAPBEXexcCritical5 14 2" xfId="8590" xr:uid="{00000000-0005-0000-0000-0000C41C0000}"/>
    <cellStyle name="SAPBEXexcCritical5 14 3" xfId="8591" xr:uid="{00000000-0005-0000-0000-0000C51C0000}"/>
    <cellStyle name="SAPBEXexcCritical5 14 4" xfId="8592" xr:uid="{00000000-0005-0000-0000-0000C61C0000}"/>
    <cellStyle name="SAPBEXexcCritical5 15" xfId="668" xr:uid="{00000000-0005-0000-0000-0000C71C0000}"/>
    <cellStyle name="SAPBEXexcCritical5 15 2" xfId="8593" xr:uid="{00000000-0005-0000-0000-0000C81C0000}"/>
    <cellStyle name="SAPBEXexcCritical5 15 3" xfId="8594" xr:uid="{00000000-0005-0000-0000-0000C91C0000}"/>
    <cellStyle name="SAPBEXexcCritical5 15 4" xfId="8595" xr:uid="{00000000-0005-0000-0000-0000CA1C0000}"/>
    <cellStyle name="SAPBEXexcCritical5 16" xfId="669" xr:uid="{00000000-0005-0000-0000-0000CB1C0000}"/>
    <cellStyle name="SAPBEXexcCritical5 16 2" xfId="8596" xr:uid="{00000000-0005-0000-0000-0000CC1C0000}"/>
    <cellStyle name="SAPBEXexcCritical5 16 3" xfId="8597" xr:uid="{00000000-0005-0000-0000-0000CD1C0000}"/>
    <cellStyle name="SAPBEXexcCritical5 16 4" xfId="8598" xr:uid="{00000000-0005-0000-0000-0000CE1C0000}"/>
    <cellStyle name="SAPBEXexcCritical5 17" xfId="670" xr:uid="{00000000-0005-0000-0000-0000CF1C0000}"/>
    <cellStyle name="SAPBEXexcCritical5 17 2" xfId="8599" xr:uid="{00000000-0005-0000-0000-0000D01C0000}"/>
    <cellStyle name="SAPBEXexcCritical5 17 3" xfId="8600" xr:uid="{00000000-0005-0000-0000-0000D11C0000}"/>
    <cellStyle name="SAPBEXexcCritical5 17 4" xfId="8601" xr:uid="{00000000-0005-0000-0000-0000D21C0000}"/>
    <cellStyle name="SAPBEXexcCritical5 18" xfId="671" xr:uid="{00000000-0005-0000-0000-0000D31C0000}"/>
    <cellStyle name="SAPBEXexcCritical5 18 2" xfId="8602" xr:uid="{00000000-0005-0000-0000-0000D41C0000}"/>
    <cellStyle name="SAPBEXexcCritical5 18 3" xfId="8603" xr:uid="{00000000-0005-0000-0000-0000D51C0000}"/>
    <cellStyle name="SAPBEXexcCritical5 18 4" xfId="8604" xr:uid="{00000000-0005-0000-0000-0000D61C0000}"/>
    <cellStyle name="SAPBEXexcCritical5 19" xfId="672" xr:uid="{00000000-0005-0000-0000-0000D71C0000}"/>
    <cellStyle name="SAPBEXexcCritical5 19 2" xfId="8605" xr:uid="{00000000-0005-0000-0000-0000D81C0000}"/>
    <cellStyle name="SAPBEXexcCritical5 19 3" xfId="8606" xr:uid="{00000000-0005-0000-0000-0000D91C0000}"/>
    <cellStyle name="SAPBEXexcCritical5 19 4" xfId="8607" xr:uid="{00000000-0005-0000-0000-0000DA1C0000}"/>
    <cellStyle name="SAPBEXexcCritical5 2" xfId="673" xr:uid="{00000000-0005-0000-0000-0000DB1C0000}"/>
    <cellStyle name="SAPBEXexcCritical5 2 2" xfId="8608" xr:uid="{00000000-0005-0000-0000-0000DC1C0000}"/>
    <cellStyle name="SAPBEXexcCritical5 2 3" xfId="8609" xr:uid="{00000000-0005-0000-0000-0000DD1C0000}"/>
    <cellStyle name="SAPBEXexcCritical5 2 4" xfId="8610" xr:uid="{00000000-0005-0000-0000-0000DE1C0000}"/>
    <cellStyle name="SAPBEXexcCritical5 20" xfId="674" xr:uid="{00000000-0005-0000-0000-0000DF1C0000}"/>
    <cellStyle name="SAPBEXexcCritical5 20 2" xfId="8611" xr:uid="{00000000-0005-0000-0000-0000E01C0000}"/>
    <cellStyle name="SAPBEXexcCritical5 20 3" xfId="8612" xr:uid="{00000000-0005-0000-0000-0000E11C0000}"/>
    <cellStyle name="SAPBEXexcCritical5 20 4" xfId="8613" xr:uid="{00000000-0005-0000-0000-0000E21C0000}"/>
    <cellStyle name="SAPBEXexcCritical5 21" xfId="8614" xr:uid="{00000000-0005-0000-0000-0000E31C0000}"/>
    <cellStyle name="SAPBEXexcCritical5 22" xfId="8615" xr:uid="{00000000-0005-0000-0000-0000E41C0000}"/>
    <cellStyle name="SAPBEXexcCritical5 23" xfId="8616" xr:uid="{00000000-0005-0000-0000-0000E51C0000}"/>
    <cellStyle name="SAPBEXexcCritical5 3" xfId="675" xr:uid="{00000000-0005-0000-0000-0000E61C0000}"/>
    <cellStyle name="SAPBEXexcCritical5 3 2" xfId="8617" xr:uid="{00000000-0005-0000-0000-0000E71C0000}"/>
    <cellStyle name="SAPBEXexcCritical5 3 3" xfId="8618" xr:uid="{00000000-0005-0000-0000-0000E81C0000}"/>
    <cellStyle name="SAPBEXexcCritical5 3 4" xfId="8619" xr:uid="{00000000-0005-0000-0000-0000E91C0000}"/>
    <cellStyle name="SAPBEXexcCritical5 4" xfId="676" xr:uid="{00000000-0005-0000-0000-0000EA1C0000}"/>
    <cellStyle name="SAPBEXexcCritical5 4 2" xfId="8620" xr:uid="{00000000-0005-0000-0000-0000EB1C0000}"/>
    <cellStyle name="SAPBEXexcCritical5 4 3" xfId="8621" xr:uid="{00000000-0005-0000-0000-0000EC1C0000}"/>
    <cellStyle name="SAPBEXexcCritical5 4 4" xfId="8622" xr:uid="{00000000-0005-0000-0000-0000ED1C0000}"/>
    <cellStyle name="SAPBEXexcCritical5 5" xfId="677" xr:uid="{00000000-0005-0000-0000-0000EE1C0000}"/>
    <cellStyle name="SAPBEXexcCritical5 5 2" xfId="8623" xr:uid="{00000000-0005-0000-0000-0000EF1C0000}"/>
    <cellStyle name="SAPBEXexcCritical5 5 3" xfId="8624" xr:uid="{00000000-0005-0000-0000-0000F01C0000}"/>
    <cellStyle name="SAPBEXexcCritical5 5 4" xfId="8625" xr:uid="{00000000-0005-0000-0000-0000F11C0000}"/>
    <cellStyle name="SAPBEXexcCritical5 6" xfId="678" xr:uid="{00000000-0005-0000-0000-0000F21C0000}"/>
    <cellStyle name="SAPBEXexcCritical5 6 2" xfId="8626" xr:uid="{00000000-0005-0000-0000-0000F31C0000}"/>
    <cellStyle name="SAPBEXexcCritical5 6 3" xfId="8627" xr:uid="{00000000-0005-0000-0000-0000F41C0000}"/>
    <cellStyle name="SAPBEXexcCritical5 6 4" xfId="8628" xr:uid="{00000000-0005-0000-0000-0000F51C0000}"/>
    <cellStyle name="SAPBEXexcCritical5 7" xfId="679" xr:uid="{00000000-0005-0000-0000-0000F61C0000}"/>
    <cellStyle name="SAPBEXexcCritical5 7 2" xfId="8629" xr:uid="{00000000-0005-0000-0000-0000F71C0000}"/>
    <cellStyle name="SAPBEXexcCritical5 7 3" xfId="8630" xr:uid="{00000000-0005-0000-0000-0000F81C0000}"/>
    <cellStyle name="SAPBEXexcCritical5 7 4" xfId="8631" xr:uid="{00000000-0005-0000-0000-0000F91C0000}"/>
    <cellStyle name="SAPBEXexcCritical5 8" xfId="680" xr:uid="{00000000-0005-0000-0000-0000FA1C0000}"/>
    <cellStyle name="SAPBEXexcCritical5 8 2" xfId="8632" xr:uid="{00000000-0005-0000-0000-0000FB1C0000}"/>
    <cellStyle name="SAPBEXexcCritical5 8 3" xfId="8633" xr:uid="{00000000-0005-0000-0000-0000FC1C0000}"/>
    <cellStyle name="SAPBEXexcCritical5 8 4" xfId="8634" xr:uid="{00000000-0005-0000-0000-0000FD1C0000}"/>
    <cellStyle name="SAPBEXexcCritical5 9" xfId="681" xr:uid="{00000000-0005-0000-0000-0000FE1C0000}"/>
    <cellStyle name="SAPBEXexcCritical5 9 2" xfId="8635" xr:uid="{00000000-0005-0000-0000-0000FF1C0000}"/>
    <cellStyle name="SAPBEXexcCritical5 9 3" xfId="8636" xr:uid="{00000000-0005-0000-0000-0000001D0000}"/>
    <cellStyle name="SAPBEXexcCritical5 9 4" xfId="8637" xr:uid="{00000000-0005-0000-0000-0000011D0000}"/>
    <cellStyle name="SAPBEXexcCritical5_Sheet2" xfId="682" xr:uid="{00000000-0005-0000-0000-0000021D0000}"/>
    <cellStyle name="SAPBEXexcCritical6" xfId="683" xr:uid="{00000000-0005-0000-0000-0000031D0000}"/>
    <cellStyle name="SAPBEXexcCritical6 10" xfId="684" xr:uid="{00000000-0005-0000-0000-0000041D0000}"/>
    <cellStyle name="SAPBEXexcCritical6 10 2" xfId="8638" xr:uid="{00000000-0005-0000-0000-0000051D0000}"/>
    <cellStyle name="SAPBEXexcCritical6 10 3" xfId="8639" xr:uid="{00000000-0005-0000-0000-0000061D0000}"/>
    <cellStyle name="SAPBEXexcCritical6 10 4" xfId="8640" xr:uid="{00000000-0005-0000-0000-0000071D0000}"/>
    <cellStyle name="SAPBEXexcCritical6 11" xfId="685" xr:uid="{00000000-0005-0000-0000-0000081D0000}"/>
    <cellStyle name="SAPBEXexcCritical6 11 2" xfId="8641" xr:uid="{00000000-0005-0000-0000-0000091D0000}"/>
    <cellStyle name="SAPBEXexcCritical6 11 3" xfId="8642" xr:uid="{00000000-0005-0000-0000-00000A1D0000}"/>
    <cellStyle name="SAPBEXexcCritical6 11 4" xfId="8643" xr:uid="{00000000-0005-0000-0000-00000B1D0000}"/>
    <cellStyle name="SAPBEXexcCritical6 12" xfId="686" xr:uid="{00000000-0005-0000-0000-00000C1D0000}"/>
    <cellStyle name="SAPBEXexcCritical6 12 2" xfId="8644" xr:uid="{00000000-0005-0000-0000-00000D1D0000}"/>
    <cellStyle name="SAPBEXexcCritical6 12 3" xfId="8645" xr:uid="{00000000-0005-0000-0000-00000E1D0000}"/>
    <cellStyle name="SAPBEXexcCritical6 12 4" xfId="8646" xr:uid="{00000000-0005-0000-0000-00000F1D0000}"/>
    <cellStyle name="SAPBEXexcCritical6 13" xfId="687" xr:uid="{00000000-0005-0000-0000-0000101D0000}"/>
    <cellStyle name="SAPBEXexcCritical6 13 2" xfId="8647" xr:uid="{00000000-0005-0000-0000-0000111D0000}"/>
    <cellStyle name="SAPBEXexcCritical6 13 3" xfId="8648" xr:uid="{00000000-0005-0000-0000-0000121D0000}"/>
    <cellStyle name="SAPBEXexcCritical6 13 4" xfId="8649" xr:uid="{00000000-0005-0000-0000-0000131D0000}"/>
    <cellStyle name="SAPBEXexcCritical6 14" xfId="688" xr:uid="{00000000-0005-0000-0000-0000141D0000}"/>
    <cellStyle name="SAPBEXexcCritical6 14 2" xfId="8650" xr:uid="{00000000-0005-0000-0000-0000151D0000}"/>
    <cellStyle name="SAPBEXexcCritical6 14 3" xfId="8651" xr:uid="{00000000-0005-0000-0000-0000161D0000}"/>
    <cellStyle name="SAPBEXexcCritical6 14 4" xfId="8652" xr:uid="{00000000-0005-0000-0000-0000171D0000}"/>
    <cellStyle name="SAPBEXexcCritical6 15" xfId="689" xr:uid="{00000000-0005-0000-0000-0000181D0000}"/>
    <cellStyle name="SAPBEXexcCritical6 15 2" xfId="8653" xr:uid="{00000000-0005-0000-0000-0000191D0000}"/>
    <cellStyle name="SAPBEXexcCritical6 15 3" xfId="8654" xr:uid="{00000000-0005-0000-0000-00001A1D0000}"/>
    <cellStyle name="SAPBEXexcCritical6 15 4" xfId="8655" xr:uid="{00000000-0005-0000-0000-00001B1D0000}"/>
    <cellStyle name="SAPBEXexcCritical6 16" xfId="690" xr:uid="{00000000-0005-0000-0000-00001C1D0000}"/>
    <cellStyle name="SAPBEXexcCritical6 16 2" xfId="8656" xr:uid="{00000000-0005-0000-0000-00001D1D0000}"/>
    <cellStyle name="SAPBEXexcCritical6 16 3" xfId="8657" xr:uid="{00000000-0005-0000-0000-00001E1D0000}"/>
    <cellStyle name="SAPBEXexcCritical6 16 4" xfId="8658" xr:uid="{00000000-0005-0000-0000-00001F1D0000}"/>
    <cellStyle name="SAPBEXexcCritical6 17" xfId="691" xr:uid="{00000000-0005-0000-0000-0000201D0000}"/>
    <cellStyle name="SAPBEXexcCritical6 17 2" xfId="8659" xr:uid="{00000000-0005-0000-0000-0000211D0000}"/>
    <cellStyle name="SAPBEXexcCritical6 17 3" xfId="8660" xr:uid="{00000000-0005-0000-0000-0000221D0000}"/>
    <cellStyle name="SAPBEXexcCritical6 17 4" xfId="8661" xr:uid="{00000000-0005-0000-0000-0000231D0000}"/>
    <cellStyle name="SAPBEXexcCritical6 18" xfId="692" xr:uid="{00000000-0005-0000-0000-0000241D0000}"/>
    <cellStyle name="SAPBEXexcCritical6 18 2" xfId="8662" xr:uid="{00000000-0005-0000-0000-0000251D0000}"/>
    <cellStyle name="SAPBEXexcCritical6 18 3" xfId="8663" xr:uid="{00000000-0005-0000-0000-0000261D0000}"/>
    <cellStyle name="SAPBEXexcCritical6 18 4" xfId="8664" xr:uid="{00000000-0005-0000-0000-0000271D0000}"/>
    <cellStyle name="SAPBEXexcCritical6 19" xfId="693" xr:uid="{00000000-0005-0000-0000-0000281D0000}"/>
    <cellStyle name="SAPBEXexcCritical6 19 2" xfId="8665" xr:uid="{00000000-0005-0000-0000-0000291D0000}"/>
    <cellStyle name="SAPBEXexcCritical6 19 3" xfId="8666" xr:uid="{00000000-0005-0000-0000-00002A1D0000}"/>
    <cellStyle name="SAPBEXexcCritical6 19 4" xfId="8667" xr:uid="{00000000-0005-0000-0000-00002B1D0000}"/>
    <cellStyle name="SAPBEXexcCritical6 2" xfId="694" xr:uid="{00000000-0005-0000-0000-00002C1D0000}"/>
    <cellStyle name="SAPBEXexcCritical6 2 2" xfId="8668" xr:uid="{00000000-0005-0000-0000-00002D1D0000}"/>
    <cellStyle name="SAPBEXexcCritical6 2 3" xfId="8669" xr:uid="{00000000-0005-0000-0000-00002E1D0000}"/>
    <cellStyle name="SAPBEXexcCritical6 2 4" xfId="8670" xr:uid="{00000000-0005-0000-0000-00002F1D0000}"/>
    <cellStyle name="SAPBEXexcCritical6 20" xfId="695" xr:uid="{00000000-0005-0000-0000-0000301D0000}"/>
    <cellStyle name="SAPBEXexcCritical6 20 2" xfId="8671" xr:uid="{00000000-0005-0000-0000-0000311D0000}"/>
    <cellStyle name="SAPBEXexcCritical6 20 3" xfId="8672" xr:uid="{00000000-0005-0000-0000-0000321D0000}"/>
    <cellStyle name="SAPBEXexcCritical6 20 4" xfId="8673" xr:uid="{00000000-0005-0000-0000-0000331D0000}"/>
    <cellStyle name="SAPBEXexcCritical6 21" xfId="8674" xr:uid="{00000000-0005-0000-0000-0000341D0000}"/>
    <cellStyle name="SAPBEXexcCritical6 22" xfId="8675" xr:uid="{00000000-0005-0000-0000-0000351D0000}"/>
    <cellStyle name="SAPBEXexcCritical6 23" xfId="8676" xr:uid="{00000000-0005-0000-0000-0000361D0000}"/>
    <cellStyle name="SAPBEXexcCritical6 3" xfId="696" xr:uid="{00000000-0005-0000-0000-0000371D0000}"/>
    <cellStyle name="SAPBEXexcCritical6 3 2" xfId="8677" xr:uid="{00000000-0005-0000-0000-0000381D0000}"/>
    <cellStyle name="SAPBEXexcCritical6 3 3" xfId="8678" xr:uid="{00000000-0005-0000-0000-0000391D0000}"/>
    <cellStyle name="SAPBEXexcCritical6 3 4" xfId="8679" xr:uid="{00000000-0005-0000-0000-00003A1D0000}"/>
    <cellStyle name="SAPBEXexcCritical6 4" xfId="697" xr:uid="{00000000-0005-0000-0000-00003B1D0000}"/>
    <cellStyle name="SAPBEXexcCritical6 4 2" xfId="8680" xr:uid="{00000000-0005-0000-0000-00003C1D0000}"/>
    <cellStyle name="SAPBEXexcCritical6 4 3" xfId="8681" xr:uid="{00000000-0005-0000-0000-00003D1D0000}"/>
    <cellStyle name="SAPBEXexcCritical6 4 4" xfId="8682" xr:uid="{00000000-0005-0000-0000-00003E1D0000}"/>
    <cellStyle name="SAPBEXexcCritical6 5" xfId="698" xr:uid="{00000000-0005-0000-0000-00003F1D0000}"/>
    <cellStyle name="SAPBEXexcCritical6 5 2" xfId="8683" xr:uid="{00000000-0005-0000-0000-0000401D0000}"/>
    <cellStyle name="SAPBEXexcCritical6 5 3" xfId="8684" xr:uid="{00000000-0005-0000-0000-0000411D0000}"/>
    <cellStyle name="SAPBEXexcCritical6 5 4" xfId="8685" xr:uid="{00000000-0005-0000-0000-0000421D0000}"/>
    <cellStyle name="SAPBEXexcCritical6 6" xfId="699" xr:uid="{00000000-0005-0000-0000-0000431D0000}"/>
    <cellStyle name="SAPBEXexcCritical6 6 2" xfId="8686" xr:uid="{00000000-0005-0000-0000-0000441D0000}"/>
    <cellStyle name="SAPBEXexcCritical6 6 3" xfId="8687" xr:uid="{00000000-0005-0000-0000-0000451D0000}"/>
    <cellStyle name="SAPBEXexcCritical6 6 4" xfId="8688" xr:uid="{00000000-0005-0000-0000-0000461D0000}"/>
    <cellStyle name="SAPBEXexcCritical6 7" xfId="700" xr:uid="{00000000-0005-0000-0000-0000471D0000}"/>
    <cellStyle name="SAPBEXexcCritical6 7 2" xfId="8689" xr:uid="{00000000-0005-0000-0000-0000481D0000}"/>
    <cellStyle name="SAPBEXexcCritical6 7 3" xfId="8690" xr:uid="{00000000-0005-0000-0000-0000491D0000}"/>
    <cellStyle name="SAPBEXexcCritical6 7 4" xfId="8691" xr:uid="{00000000-0005-0000-0000-00004A1D0000}"/>
    <cellStyle name="SAPBEXexcCritical6 8" xfId="701" xr:uid="{00000000-0005-0000-0000-00004B1D0000}"/>
    <cellStyle name="SAPBEXexcCritical6 8 2" xfId="8692" xr:uid="{00000000-0005-0000-0000-00004C1D0000}"/>
    <cellStyle name="SAPBEXexcCritical6 8 3" xfId="8693" xr:uid="{00000000-0005-0000-0000-00004D1D0000}"/>
    <cellStyle name="SAPBEXexcCritical6 8 4" xfId="8694" xr:uid="{00000000-0005-0000-0000-00004E1D0000}"/>
    <cellStyle name="SAPBEXexcCritical6 9" xfId="702" xr:uid="{00000000-0005-0000-0000-00004F1D0000}"/>
    <cellStyle name="SAPBEXexcCritical6 9 2" xfId="8695" xr:uid="{00000000-0005-0000-0000-0000501D0000}"/>
    <cellStyle name="SAPBEXexcCritical6 9 3" xfId="8696" xr:uid="{00000000-0005-0000-0000-0000511D0000}"/>
    <cellStyle name="SAPBEXexcCritical6 9 4" xfId="8697" xr:uid="{00000000-0005-0000-0000-0000521D0000}"/>
    <cellStyle name="SAPBEXexcCritical6_Sheet2" xfId="703" xr:uid="{00000000-0005-0000-0000-0000531D0000}"/>
    <cellStyle name="SAPBEXexcGood1" xfId="704" xr:uid="{00000000-0005-0000-0000-0000541D0000}"/>
    <cellStyle name="SAPBEXexcGood1 10" xfId="705" xr:uid="{00000000-0005-0000-0000-0000551D0000}"/>
    <cellStyle name="SAPBEXexcGood1 10 2" xfId="8698" xr:uid="{00000000-0005-0000-0000-0000561D0000}"/>
    <cellStyle name="SAPBEXexcGood1 10 3" xfId="8699" xr:uid="{00000000-0005-0000-0000-0000571D0000}"/>
    <cellStyle name="SAPBEXexcGood1 10 4" xfId="8700" xr:uid="{00000000-0005-0000-0000-0000581D0000}"/>
    <cellStyle name="SAPBEXexcGood1 11" xfId="706" xr:uid="{00000000-0005-0000-0000-0000591D0000}"/>
    <cellStyle name="SAPBEXexcGood1 11 2" xfId="8701" xr:uid="{00000000-0005-0000-0000-00005A1D0000}"/>
    <cellStyle name="SAPBEXexcGood1 11 3" xfId="8702" xr:uid="{00000000-0005-0000-0000-00005B1D0000}"/>
    <cellStyle name="SAPBEXexcGood1 11 4" xfId="8703" xr:uid="{00000000-0005-0000-0000-00005C1D0000}"/>
    <cellStyle name="SAPBEXexcGood1 12" xfId="707" xr:uid="{00000000-0005-0000-0000-00005D1D0000}"/>
    <cellStyle name="SAPBEXexcGood1 12 2" xfId="8704" xr:uid="{00000000-0005-0000-0000-00005E1D0000}"/>
    <cellStyle name="SAPBEXexcGood1 12 3" xfId="8705" xr:uid="{00000000-0005-0000-0000-00005F1D0000}"/>
    <cellStyle name="SAPBEXexcGood1 12 4" xfId="8706" xr:uid="{00000000-0005-0000-0000-0000601D0000}"/>
    <cellStyle name="SAPBEXexcGood1 13" xfId="708" xr:uid="{00000000-0005-0000-0000-0000611D0000}"/>
    <cellStyle name="SAPBEXexcGood1 13 2" xfId="8707" xr:uid="{00000000-0005-0000-0000-0000621D0000}"/>
    <cellStyle name="SAPBEXexcGood1 13 3" xfId="8708" xr:uid="{00000000-0005-0000-0000-0000631D0000}"/>
    <cellStyle name="SAPBEXexcGood1 13 4" xfId="8709" xr:uid="{00000000-0005-0000-0000-0000641D0000}"/>
    <cellStyle name="SAPBEXexcGood1 14" xfId="709" xr:uid="{00000000-0005-0000-0000-0000651D0000}"/>
    <cellStyle name="SAPBEXexcGood1 14 2" xfId="8710" xr:uid="{00000000-0005-0000-0000-0000661D0000}"/>
    <cellStyle name="SAPBEXexcGood1 14 3" xfId="8711" xr:uid="{00000000-0005-0000-0000-0000671D0000}"/>
    <cellStyle name="SAPBEXexcGood1 14 4" xfId="8712" xr:uid="{00000000-0005-0000-0000-0000681D0000}"/>
    <cellStyle name="SAPBEXexcGood1 15" xfId="710" xr:uid="{00000000-0005-0000-0000-0000691D0000}"/>
    <cellStyle name="SAPBEXexcGood1 15 2" xfId="8713" xr:uid="{00000000-0005-0000-0000-00006A1D0000}"/>
    <cellStyle name="SAPBEXexcGood1 15 3" xfId="8714" xr:uid="{00000000-0005-0000-0000-00006B1D0000}"/>
    <cellStyle name="SAPBEXexcGood1 15 4" xfId="8715" xr:uid="{00000000-0005-0000-0000-00006C1D0000}"/>
    <cellStyle name="SAPBEXexcGood1 16" xfId="711" xr:uid="{00000000-0005-0000-0000-00006D1D0000}"/>
    <cellStyle name="SAPBEXexcGood1 16 2" xfId="8716" xr:uid="{00000000-0005-0000-0000-00006E1D0000}"/>
    <cellStyle name="SAPBEXexcGood1 16 3" xfId="8717" xr:uid="{00000000-0005-0000-0000-00006F1D0000}"/>
    <cellStyle name="SAPBEXexcGood1 16 4" xfId="8718" xr:uid="{00000000-0005-0000-0000-0000701D0000}"/>
    <cellStyle name="SAPBEXexcGood1 17" xfId="712" xr:uid="{00000000-0005-0000-0000-0000711D0000}"/>
    <cellStyle name="SAPBEXexcGood1 17 2" xfId="8719" xr:uid="{00000000-0005-0000-0000-0000721D0000}"/>
    <cellStyle name="SAPBEXexcGood1 17 3" xfId="8720" xr:uid="{00000000-0005-0000-0000-0000731D0000}"/>
    <cellStyle name="SAPBEXexcGood1 17 4" xfId="8721" xr:uid="{00000000-0005-0000-0000-0000741D0000}"/>
    <cellStyle name="SAPBEXexcGood1 18" xfId="713" xr:uid="{00000000-0005-0000-0000-0000751D0000}"/>
    <cellStyle name="SAPBEXexcGood1 18 2" xfId="8722" xr:uid="{00000000-0005-0000-0000-0000761D0000}"/>
    <cellStyle name="SAPBEXexcGood1 18 3" xfId="8723" xr:uid="{00000000-0005-0000-0000-0000771D0000}"/>
    <cellStyle name="SAPBEXexcGood1 18 4" xfId="8724" xr:uid="{00000000-0005-0000-0000-0000781D0000}"/>
    <cellStyle name="SAPBEXexcGood1 19" xfId="714" xr:uid="{00000000-0005-0000-0000-0000791D0000}"/>
    <cellStyle name="SAPBEXexcGood1 19 2" xfId="8725" xr:uid="{00000000-0005-0000-0000-00007A1D0000}"/>
    <cellStyle name="SAPBEXexcGood1 19 3" xfId="8726" xr:uid="{00000000-0005-0000-0000-00007B1D0000}"/>
    <cellStyle name="SAPBEXexcGood1 19 4" xfId="8727" xr:uid="{00000000-0005-0000-0000-00007C1D0000}"/>
    <cellStyle name="SAPBEXexcGood1 2" xfId="715" xr:uid="{00000000-0005-0000-0000-00007D1D0000}"/>
    <cellStyle name="SAPBEXexcGood1 2 2" xfId="8728" xr:uid="{00000000-0005-0000-0000-00007E1D0000}"/>
    <cellStyle name="SAPBEXexcGood1 2 3" xfId="8729" xr:uid="{00000000-0005-0000-0000-00007F1D0000}"/>
    <cellStyle name="SAPBEXexcGood1 2 4" xfId="8730" xr:uid="{00000000-0005-0000-0000-0000801D0000}"/>
    <cellStyle name="SAPBEXexcGood1 20" xfId="716" xr:uid="{00000000-0005-0000-0000-0000811D0000}"/>
    <cellStyle name="SAPBEXexcGood1 20 2" xfId="8731" xr:uid="{00000000-0005-0000-0000-0000821D0000}"/>
    <cellStyle name="SAPBEXexcGood1 20 3" xfId="8732" xr:uid="{00000000-0005-0000-0000-0000831D0000}"/>
    <cellStyle name="SAPBEXexcGood1 20 4" xfId="8733" xr:uid="{00000000-0005-0000-0000-0000841D0000}"/>
    <cellStyle name="SAPBEXexcGood1 21" xfId="8734" xr:uid="{00000000-0005-0000-0000-0000851D0000}"/>
    <cellStyle name="SAPBEXexcGood1 22" xfId="8735" xr:uid="{00000000-0005-0000-0000-0000861D0000}"/>
    <cellStyle name="SAPBEXexcGood1 23" xfId="8736" xr:uid="{00000000-0005-0000-0000-0000871D0000}"/>
    <cellStyle name="SAPBEXexcGood1 3" xfId="717" xr:uid="{00000000-0005-0000-0000-0000881D0000}"/>
    <cellStyle name="SAPBEXexcGood1 3 2" xfId="8737" xr:uid="{00000000-0005-0000-0000-0000891D0000}"/>
    <cellStyle name="SAPBEXexcGood1 3 3" xfId="8738" xr:uid="{00000000-0005-0000-0000-00008A1D0000}"/>
    <cellStyle name="SAPBEXexcGood1 3 4" xfId="8739" xr:uid="{00000000-0005-0000-0000-00008B1D0000}"/>
    <cellStyle name="SAPBEXexcGood1 4" xfId="718" xr:uid="{00000000-0005-0000-0000-00008C1D0000}"/>
    <cellStyle name="SAPBEXexcGood1 4 2" xfId="8740" xr:uid="{00000000-0005-0000-0000-00008D1D0000}"/>
    <cellStyle name="SAPBEXexcGood1 4 3" xfId="8741" xr:uid="{00000000-0005-0000-0000-00008E1D0000}"/>
    <cellStyle name="SAPBEXexcGood1 4 4" xfId="8742" xr:uid="{00000000-0005-0000-0000-00008F1D0000}"/>
    <cellStyle name="SAPBEXexcGood1 5" xfId="719" xr:uid="{00000000-0005-0000-0000-0000901D0000}"/>
    <cellStyle name="SAPBEXexcGood1 5 2" xfId="8743" xr:uid="{00000000-0005-0000-0000-0000911D0000}"/>
    <cellStyle name="SAPBEXexcGood1 5 3" xfId="8744" xr:uid="{00000000-0005-0000-0000-0000921D0000}"/>
    <cellStyle name="SAPBEXexcGood1 5 4" xfId="8745" xr:uid="{00000000-0005-0000-0000-0000931D0000}"/>
    <cellStyle name="SAPBEXexcGood1 6" xfId="720" xr:uid="{00000000-0005-0000-0000-0000941D0000}"/>
    <cellStyle name="SAPBEXexcGood1 6 2" xfId="8746" xr:uid="{00000000-0005-0000-0000-0000951D0000}"/>
    <cellStyle name="SAPBEXexcGood1 6 3" xfId="8747" xr:uid="{00000000-0005-0000-0000-0000961D0000}"/>
    <cellStyle name="SAPBEXexcGood1 6 4" xfId="8748" xr:uid="{00000000-0005-0000-0000-0000971D0000}"/>
    <cellStyle name="SAPBEXexcGood1 7" xfId="721" xr:uid="{00000000-0005-0000-0000-0000981D0000}"/>
    <cellStyle name="SAPBEXexcGood1 7 2" xfId="8749" xr:uid="{00000000-0005-0000-0000-0000991D0000}"/>
    <cellStyle name="SAPBEXexcGood1 7 3" xfId="8750" xr:uid="{00000000-0005-0000-0000-00009A1D0000}"/>
    <cellStyle name="SAPBEXexcGood1 7 4" xfId="8751" xr:uid="{00000000-0005-0000-0000-00009B1D0000}"/>
    <cellStyle name="SAPBEXexcGood1 8" xfId="722" xr:uid="{00000000-0005-0000-0000-00009C1D0000}"/>
    <cellStyle name="SAPBEXexcGood1 8 2" xfId="8752" xr:uid="{00000000-0005-0000-0000-00009D1D0000}"/>
    <cellStyle name="SAPBEXexcGood1 8 3" xfId="8753" xr:uid="{00000000-0005-0000-0000-00009E1D0000}"/>
    <cellStyle name="SAPBEXexcGood1 8 4" xfId="8754" xr:uid="{00000000-0005-0000-0000-00009F1D0000}"/>
    <cellStyle name="SAPBEXexcGood1 9" xfId="723" xr:uid="{00000000-0005-0000-0000-0000A01D0000}"/>
    <cellStyle name="SAPBEXexcGood1 9 2" xfId="8755" xr:uid="{00000000-0005-0000-0000-0000A11D0000}"/>
    <cellStyle name="SAPBEXexcGood1 9 3" xfId="8756" xr:uid="{00000000-0005-0000-0000-0000A21D0000}"/>
    <cellStyle name="SAPBEXexcGood1 9 4" xfId="8757" xr:uid="{00000000-0005-0000-0000-0000A31D0000}"/>
    <cellStyle name="SAPBEXexcGood1_Sheet2" xfId="724" xr:uid="{00000000-0005-0000-0000-0000A41D0000}"/>
    <cellStyle name="SAPBEXexcGood2" xfId="725" xr:uid="{00000000-0005-0000-0000-0000A51D0000}"/>
    <cellStyle name="SAPBEXexcGood2 10" xfId="726" xr:uid="{00000000-0005-0000-0000-0000A61D0000}"/>
    <cellStyle name="SAPBEXexcGood2 10 2" xfId="8758" xr:uid="{00000000-0005-0000-0000-0000A71D0000}"/>
    <cellStyle name="SAPBEXexcGood2 10 3" xfId="8759" xr:uid="{00000000-0005-0000-0000-0000A81D0000}"/>
    <cellStyle name="SAPBEXexcGood2 10 4" xfId="8760" xr:uid="{00000000-0005-0000-0000-0000A91D0000}"/>
    <cellStyle name="SAPBEXexcGood2 11" xfId="727" xr:uid="{00000000-0005-0000-0000-0000AA1D0000}"/>
    <cellStyle name="SAPBEXexcGood2 11 2" xfId="8761" xr:uid="{00000000-0005-0000-0000-0000AB1D0000}"/>
    <cellStyle name="SAPBEXexcGood2 11 3" xfId="8762" xr:uid="{00000000-0005-0000-0000-0000AC1D0000}"/>
    <cellStyle name="SAPBEXexcGood2 11 4" xfId="8763" xr:uid="{00000000-0005-0000-0000-0000AD1D0000}"/>
    <cellStyle name="SAPBEXexcGood2 12" xfId="728" xr:uid="{00000000-0005-0000-0000-0000AE1D0000}"/>
    <cellStyle name="SAPBEXexcGood2 12 2" xfId="8764" xr:uid="{00000000-0005-0000-0000-0000AF1D0000}"/>
    <cellStyle name="SAPBEXexcGood2 12 3" xfId="8765" xr:uid="{00000000-0005-0000-0000-0000B01D0000}"/>
    <cellStyle name="SAPBEXexcGood2 12 4" xfId="8766" xr:uid="{00000000-0005-0000-0000-0000B11D0000}"/>
    <cellStyle name="SAPBEXexcGood2 13" xfId="729" xr:uid="{00000000-0005-0000-0000-0000B21D0000}"/>
    <cellStyle name="SAPBEXexcGood2 13 2" xfId="8767" xr:uid="{00000000-0005-0000-0000-0000B31D0000}"/>
    <cellStyle name="SAPBEXexcGood2 13 3" xfId="8768" xr:uid="{00000000-0005-0000-0000-0000B41D0000}"/>
    <cellStyle name="SAPBEXexcGood2 13 4" xfId="8769" xr:uid="{00000000-0005-0000-0000-0000B51D0000}"/>
    <cellStyle name="SAPBEXexcGood2 14" xfId="730" xr:uid="{00000000-0005-0000-0000-0000B61D0000}"/>
    <cellStyle name="SAPBEXexcGood2 14 2" xfId="8770" xr:uid="{00000000-0005-0000-0000-0000B71D0000}"/>
    <cellStyle name="SAPBEXexcGood2 14 3" xfId="8771" xr:uid="{00000000-0005-0000-0000-0000B81D0000}"/>
    <cellStyle name="SAPBEXexcGood2 14 4" xfId="8772" xr:uid="{00000000-0005-0000-0000-0000B91D0000}"/>
    <cellStyle name="SAPBEXexcGood2 15" xfId="731" xr:uid="{00000000-0005-0000-0000-0000BA1D0000}"/>
    <cellStyle name="SAPBEXexcGood2 15 2" xfId="8773" xr:uid="{00000000-0005-0000-0000-0000BB1D0000}"/>
    <cellStyle name="SAPBEXexcGood2 15 3" xfId="8774" xr:uid="{00000000-0005-0000-0000-0000BC1D0000}"/>
    <cellStyle name="SAPBEXexcGood2 15 4" xfId="8775" xr:uid="{00000000-0005-0000-0000-0000BD1D0000}"/>
    <cellStyle name="SAPBEXexcGood2 16" xfId="732" xr:uid="{00000000-0005-0000-0000-0000BE1D0000}"/>
    <cellStyle name="SAPBEXexcGood2 16 2" xfId="8776" xr:uid="{00000000-0005-0000-0000-0000BF1D0000}"/>
    <cellStyle name="SAPBEXexcGood2 16 3" xfId="8777" xr:uid="{00000000-0005-0000-0000-0000C01D0000}"/>
    <cellStyle name="SAPBEXexcGood2 16 4" xfId="8778" xr:uid="{00000000-0005-0000-0000-0000C11D0000}"/>
    <cellStyle name="SAPBEXexcGood2 17" xfId="733" xr:uid="{00000000-0005-0000-0000-0000C21D0000}"/>
    <cellStyle name="SAPBEXexcGood2 17 2" xfId="8779" xr:uid="{00000000-0005-0000-0000-0000C31D0000}"/>
    <cellStyle name="SAPBEXexcGood2 17 3" xfId="8780" xr:uid="{00000000-0005-0000-0000-0000C41D0000}"/>
    <cellStyle name="SAPBEXexcGood2 17 4" xfId="8781" xr:uid="{00000000-0005-0000-0000-0000C51D0000}"/>
    <cellStyle name="SAPBEXexcGood2 18" xfId="734" xr:uid="{00000000-0005-0000-0000-0000C61D0000}"/>
    <cellStyle name="SAPBEXexcGood2 18 2" xfId="8782" xr:uid="{00000000-0005-0000-0000-0000C71D0000}"/>
    <cellStyle name="SAPBEXexcGood2 18 3" xfId="8783" xr:uid="{00000000-0005-0000-0000-0000C81D0000}"/>
    <cellStyle name="SAPBEXexcGood2 18 4" xfId="8784" xr:uid="{00000000-0005-0000-0000-0000C91D0000}"/>
    <cellStyle name="SAPBEXexcGood2 19" xfId="735" xr:uid="{00000000-0005-0000-0000-0000CA1D0000}"/>
    <cellStyle name="SAPBEXexcGood2 19 2" xfId="8785" xr:uid="{00000000-0005-0000-0000-0000CB1D0000}"/>
    <cellStyle name="SAPBEXexcGood2 19 3" xfId="8786" xr:uid="{00000000-0005-0000-0000-0000CC1D0000}"/>
    <cellStyle name="SAPBEXexcGood2 19 4" xfId="8787" xr:uid="{00000000-0005-0000-0000-0000CD1D0000}"/>
    <cellStyle name="SAPBEXexcGood2 2" xfId="736" xr:uid="{00000000-0005-0000-0000-0000CE1D0000}"/>
    <cellStyle name="SAPBEXexcGood2 2 2" xfId="8788" xr:uid="{00000000-0005-0000-0000-0000CF1D0000}"/>
    <cellStyle name="SAPBEXexcGood2 2 3" xfId="8789" xr:uid="{00000000-0005-0000-0000-0000D01D0000}"/>
    <cellStyle name="SAPBEXexcGood2 2 4" xfId="8790" xr:uid="{00000000-0005-0000-0000-0000D11D0000}"/>
    <cellStyle name="SAPBEXexcGood2 20" xfId="737" xr:uid="{00000000-0005-0000-0000-0000D21D0000}"/>
    <cellStyle name="SAPBEXexcGood2 20 2" xfId="8791" xr:uid="{00000000-0005-0000-0000-0000D31D0000}"/>
    <cellStyle name="SAPBEXexcGood2 20 3" xfId="8792" xr:uid="{00000000-0005-0000-0000-0000D41D0000}"/>
    <cellStyle name="SAPBEXexcGood2 20 4" xfId="8793" xr:uid="{00000000-0005-0000-0000-0000D51D0000}"/>
    <cellStyle name="SAPBEXexcGood2 21" xfId="8794" xr:uid="{00000000-0005-0000-0000-0000D61D0000}"/>
    <cellStyle name="SAPBEXexcGood2 22" xfId="8795" xr:uid="{00000000-0005-0000-0000-0000D71D0000}"/>
    <cellStyle name="SAPBEXexcGood2 23" xfId="8796" xr:uid="{00000000-0005-0000-0000-0000D81D0000}"/>
    <cellStyle name="SAPBEXexcGood2 3" xfId="738" xr:uid="{00000000-0005-0000-0000-0000D91D0000}"/>
    <cellStyle name="SAPBEXexcGood2 3 2" xfId="8797" xr:uid="{00000000-0005-0000-0000-0000DA1D0000}"/>
    <cellStyle name="SAPBEXexcGood2 3 3" xfId="8798" xr:uid="{00000000-0005-0000-0000-0000DB1D0000}"/>
    <cellStyle name="SAPBEXexcGood2 3 4" xfId="8799" xr:uid="{00000000-0005-0000-0000-0000DC1D0000}"/>
    <cellStyle name="SAPBEXexcGood2 4" xfId="739" xr:uid="{00000000-0005-0000-0000-0000DD1D0000}"/>
    <cellStyle name="SAPBEXexcGood2 4 2" xfId="8800" xr:uid="{00000000-0005-0000-0000-0000DE1D0000}"/>
    <cellStyle name="SAPBEXexcGood2 4 3" xfId="8801" xr:uid="{00000000-0005-0000-0000-0000DF1D0000}"/>
    <cellStyle name="SAPBEXexcGood2 4 4" xfId="8802" xr:uid="{00000000-0005-0000-0000-0000E01D0000}"/>
    <cellStyle name="SAPBEXexcGood2 5" xfId="740" xr:uid="{00000000-0005-0000-0000-0000E11D0000}"/>
    <cellStyle name="SAPBEXexcGood2 5 2" xfId="8803" xr:uid="{00000000-0005-0000-0000-0000E21D0000}"/>
    <cellStyle name="SAPBEXexcGood2 5 3" xfId="8804" xr:uid="{00000000-0005-0000-0000-0000E31D0000}"/>
    <cellStyle name="SAPBEXexcGood2 5 4" xfId="8805" xr:uid="{00000000-0005-0000-0000-0000E41D0000}"/>
    <cellStyle name="SAPBEXexcGood2 6" xfId="741" xr:uid="{00000000-0005-0000-0000-0000E51D0000}"/>
    <cellStyle name="SAPBEXexcGood2 6 2" xfId="8806" xr:uid="{00000000-0005-0000-0000-0000E61D0000}"/>
    <cellStyle name="SAPBEXexcGood2 6 3" xfId="8807" xr:uid="{00000000-0005-0000-0000-0000E71D0000}"/>
    <cellStyle name="SAPBEXexcGood2 6 4" xfId="8808" xr:uid="{00000000-0005-0000-0000-0000E81D0000}"/>
    <cellStyle name="SAPBEXexcGood2 7" xfId="742" xr:uid="{00000000-0005-0000-0000-0000E91D0000}"/>
    <cellStyle name="SAPBEXexcGood2 7 2" xfId="8809" xr:uid="{00000000-0005-0000-0000-0000EA1D0000}"/>
    <cellStyle name="SAPBEXexcGood2 7 3" xfId="8810" xr:uid="{00000000-0005-0000-0000-0000EB1D0000}"/>
    <cellStyle name="SAPBEXexcGood2 7 4" xfId="8811" xr:uid="{00000000-0005-0000-0000-0000EC1D0000}"/>
    <cellStyle name="SAPBEXexcGood2 8" xfId="743" xr:uid="{00000000-0005-0000-0000-0000ED1D0000}"/>
    <cellStyle name="SAPBEXexcGood2 8 2" xfId="8812" xr:uid="{00000000-0005-0000-0000-0000EE1D0000}"/>
    <cellStyle name="SAPBEXexcGood2 8 3" xfId="8813" xr:uid="{00000000-0005-0000-0000-0000EF1D0000}"/>
    <cellStyle name="SAPBEXexcGood2 8 4" xfId="8814" xr:uid="{00000000-0005-0000-0000-0000F01D0000}"/>
    <cellStyle name="SAPBEXexcGood2 9" xfId="744" xr:uid="{00000000-0005-0000-0000-0000F11D0000}"/>
    <cellStyle name="SAPBEXexcGood2 9 2" xfId="8815" xr:uid="{00000000-0005-0000-0000-0000F21D0000}"/>
    <cellStyle name="SAPBEXexcGood2 9 3" xfId="8816" xr:uid="{00000000-0005-0000-0000-0000F31D0000}"/>
    <cellStyle name="SAPBEXexcGood2 9 4" xfId="8817" xr:uid="{00000000-0005-0000-0000-0000F41D0000}"/>
    <cellStyle name="SAPBEXexcGood2_Sheet2" xfId="745" xr:uid="{00000000-0005-0000-0000-0000F51D0000}"/>
    <cellStyle name="SAPBEXexcGood3" xfId="746" xr:uid="{00000000-0005-0000-0000-0000F61D0000}"/>
    <cellStyle name="SAPBEXexcGood3 10" xfId="747" xr:uid="{00000000-0005-0000-0000-0000F71D0000}"/>
    <cellStyle name="SAPBEXexcGood3 10 2" xfId="8818" xr:uid="{00000000-0005-0000-0000-0000F81D0000}"/>
    <cellStyle name="SAPBEXexcGood3 10 3" xfId="8819" xr:uid="{00000000-0005-0000-0000-0000F91D0000}"/>
    <cellStyle name="SAPBEXexcGood3 10 4" xfId="8820" xr:uid="{00000000-0005-0000-0000-0000FA1D0000}"/>
    <cellStyle name="SAPBEXexcGood3 11" xfId="748" xr:uid="{00000000-0005-0000-0000-0000FB1D0000}"/>
    <cellStyle name="SAPBEXexcGood3 11 2" xfId="8821" xr:uid="{00000000-0005-0000-0000-0000FC1D0000}"/>
    <cellStyle name="SAPBEXexcGood3 11 3" xfId="8822" xr:uid="{00000000-0005-0000-0000-0000FD1D0000}"/>
    <cellStyle name="SAPBEXexcGood3 11 4" xfId="8823" xr:uid="{00000000-0005-0000-0000-0000FE1D0000}"/>
    <cellStyle name="SAPBEXexcGood3 12" xfId="749" xr:uid="{00000000-0005-0000-0000-0000FF1D0000}"/>
    <cellStyle name="SAPBEXexcGood3 12 2" xfId="8824" xr:uid="{00000000-0005-0000-0000-0000001E0000}"/>
    <cellStyle name="SAPBEXexcGood3 12 3" xfId="8825" xr:uid="{00000000-0005-0000-0000-0000011E0000}"/>
    <cellStyle name="SAPBEXexcGood3 12 4" xfId="8826" xr:uid="{00000000-0005-0000-0000-0000021E0000}"/>
    <cellStyle name="SAPBEXexcGood3 13" xfId="750" xr:uid="{00000000-0005-0000-0000-0000031E0000}"/>
    <cellStyle name="SAPBEXexcGood3 13 2" xfId="8827" xr:uid="{00000000-0005-0000-0000-0000041E0000}"/>
    <cellStyle name="SAPBEXexcGood3 13 3" xfId="8828" xr:uid="{00000000-0005-0000-0000-0000051E0000}"/>
    <cellStyle name="SAPBEXexcGood3 13 4" xfId="8829" xr:uid="{00000000-0005-0000-0000-0000061E0000}"/>
    <cellStyle name="SAPBEXexcGood3 14" xfId="751" xr:uid="{00000000-0005-0000-0000-0000071E0000}"/>
    <cellStyle name="SAPBEXexcGood3 14 2" xfId="8830" xr:uid="{00000000-0005-0000-0000-0000081E0000}"/>
    <cellStyle name="SAPBEXexcGood3 14 3" xfId="8831" xr:uid="{00000000-0005-0000-0000-0000091E0000}"/>
    <cellStyle name="SAPBEXexcGood3 14 4" xfId="8832" xr:uid="{00000000-0005-0000-0000-00000A1E0000}"/>
    <cellStyle name="SAPBEXexcGood3 15" xfId="752" xr:uid="{00000000-0005-0000-0000-00000B1E0000}"/>
    <cellStyle name="SAPBEXexcGood3 15 2" xfId="8833" xr:uid="{00000000-0005-0000-0000-00000C1E0000}"/>
    <cellStyle name="SAPBEXexcGood3 15 3" xfId="8834" xr:uid="{00000000-0005-0000-0000-00000D1E0000}"/>
    <cellStyle name="SAPBEXexcGood3 15 4" xfId="8835" xr:uid="{00000000-0005-0000-0000-00000E1E0000}"/>
    <cellStyle name="SAPBEXexcGood3 16" xfId="753" xr:uid="{00000000-0005-0000-0000-00000F1E0000}"/>
    <cellStyle name="SAPBEXexcGood3 16 2" xfId="8836" xr:uid="{00000000-0005-0000-0000-0000101E0000}"/>
    <cellStyle name="SAPBEXexcGood3 16 3" xfId="8837" xr:uid="{00000000-0005-0000-0000-0000111E0000}"/>
    <cellStyle name="SAPBEXexcGood3 16 4" xfId="8838" xr:uid="{00000000-0005-0000-0000-0000121E0000}"/>
    <cellStyle name="SAPBEXexcGood3 17" xfId="754" xr:uid="{00000000-0005-0000-0000-0000131E0000}"/>
    <cellStyle name="SAPBEXexcGood3 17 2" xfId="8839" xr:uid="{00000000-0005-0000-0000-0000141E0000}"/>
    <cellStyle name="SAPBEXexcGood3 17 3" xfId="8840" xr:uid="{00000000-0005-0000-0000-0000151E0000}"/>
    <cellStyle name="SAPBEXexcGood3 17 4" xfId="8841" xr:uid="{00000000-0005-0000-0000-0000161E0000}"/>
    <cellStyle name="SAPBEXexcGood3 18" xfId="755" xr:uid="{00000000-0005-0000-0000-0000171E0000}"/>
    <cellStyle name="SAPBEXexcGood3 18 2" xfId="8842" xr:uid="{00000000-0005-0000-0000-0000181E0000}"/>
    <cellStyle name="SAPBEXexcGood3 18 3" xfId="8843" xr:uid="{00000000-0005-0000-0000-0000191E0000}"/>
    <cellStyle name="SAPBEXexcGood3 18 4" xfId="8844" xr:uid="{00000000-0005-0000-0000-00001A1E0000}"/>
    <cellStyle name="SAPBEXexcGood3 19" xfId="756" xr:uid="{00000000-0005-0000-0000-00001B1E0000}"/>
    <cellStyle name="SAPBEXexcGood3 19 2" xfId="8845" xr:uid="{00000000-0005-0000-0000-00001C1E0000}"/>
    <cellStyle name="SAPBEXexcGood3 19 3" xfId="8846" xr:uid="{00000000-0005-0000-0000-00001D1E0000}"/>
    <cellStyle name="SAPBEXexcGood3 19 4" xfId="8847" xr:uid="{00000000-0005-0000-0000-00001E1E0000}"/>
    <cellStyle name="SAPBEXexcGood3 2" xfId="757" xr:uid="{00000000-0005-0000-0000-00001F1E0000}"/>
    <cellStyle name="SAPBEXexcGood3 2 2" xfId="8848" xr:uid="{00000000-0005-0000-0000-0000201E0000}"/>
    <cellStyle name="SAPBEXexcGood3 2 3" xfId="8849" xr:uid="{00000000-0005-0000-0000-0000211E0000}"/>
    <cellStyle name="SAPBEXexcGood3 2 4" xfId="8850" xr:uid="{00000000-0005-0000-0000-0000221E0000}"/>
    <cellStyle name="SAPBEXexcGood3 20" xfId="758" xr:uid="{00000000-0005-0000-0000-0000231E0000}"/>
    <cellStyle name="SAPBEXexcGood3 20 2" xfId="8851" xr:uid="{00000000-0005-0000-0000-0000241E0000}"/>
    <cellStyle name="SAPBEXexcGood3 20 3" xfId="8852" xr:uid="{00000000-0005-0000-0000-0000251E0000}"/>
    <cellStyle name="SAPBEXexcGood3 20 4" xfId="8853" xr:uid="{00000000-0005-0000-0000-0000261E0000}"/>
    <cellStyle name="SAPBEXexcGood3 21" xfId="8854" xr:uid="{00000000-0005-0000-0000-0000271E0000}"/>
    <cellStyle name="SAPBEXexcGood3 22" xfId="8855" xr:uid="{00000000-0005-0000-0000-0000281E0000}"/>
    <cellStyle name="SAPBEXexcGood3 23" xfId="8856" xr:uid="{00000000-0005-0000-0000-0000291E0000}"/>
    <cellStyle name="SAPBEXexcGood3 3" xfId="759" xr:uid="{00000000-0005-0000-0000-00002A1E0000}"/>
    <cellStyle name="SAPBEXexcGood3 3 2" xfId="8857" xr:uid="{00000000-0005-0000-0000-00002B1E0000}"/>
    <cellStyle name="SAPBEXexcGood3 3 3" xfId="8858" xr:uid="{00000000-0005-0000-0000-00002C1E0000}"/>
    <cellStyle name="SAPBEXexcGood3 3 4" xfId="8859" xr:uid="{00000000-0005-0000-0000-00002D1E0000}"/>
    <cellStyle name="SAPBEXexcGood3 4" xfId="760" xr:uid="{00000000-0005-0000-0000-00002E1E0000}"/>
    <cellStyle name="SAPBEXexcGood3 4 2" xfId="8860" xr:uid="{00000000-0005-0000-0000-00002F1E0000}"/>
    <cellStyle name="SAPBEXexcGood3 4 3" xfId="8861" xr:uid="{00000000-0005-0000-0000-0000301E0000}"/>
    <cellStyle name="SAPBEXexcGood3 4 4" xfId="8862" xr:uid="{00000000-0005-0000-0000-0000311E0000}"/>
    <cellStyle name="SAPBEXexcGood3 5" xfId="761" xr:uid="{00000000-0005-0000-0000-0000321E0000}"/>
    <cellStyle name="SAPBEXexcGood3 5 2" xfId="8863" xr:uid="{00000000-0005-0000-0000-0000331E0000}"/>
    <cellStyle name="SAPBEXexcGood3 5 3" xfId="8864" xr:uid="{00000000-0005-0000-0000-0000341E0000}"/>
    <cellStyle name="SAPBEXexcGood3 5 4" xfId="8865" xr:uid="{00000000-0005-0000-0000-0000351E0000}"/>
    <cellStyle name="SAPBEXexcGood3 6" xfId="762" xr:uid="{00000000-0005-0000-0000-0000361E0000}"/>
    <cellStyle name="SAPBEXexcGood3 6 2" xfId="8866" xr:uid="{00000000-0005-0000-0000-0000371E0000}"/>
    <cellStyle name="SAPBEXexcGood3 6 3" xfId="8867" xr:uid="{00000000-0005-0000-0000-0000381E0000}"/>
    <cellStyle name="SAPBEXexcGood3 6 4" xfId="8868" xr:uid="{00000000-0005-0000-0000-0000391E0000}"/>
    <cellStyle name="SAPBEXexcGood3 7" xfId="763" xr:uid="{00000000-0005-0000-0000-00003A1E0000}"/>
    <cellStyle name="SAPBEXexcGood3 7 2" xfId="8869" xr:uid="{00000000-0005-0000-0000-00003B1E0000}"/>
    <cellStyle name="SAPBEXexcGood3 7 3" xfId="8870" xr:uid="{00000000-0005-0000-0000-00003C1E0000}"/>
    <cellStyle name="SAPBEXexcGood3 7 4" xfId="8871" xr:uid="{00000000-0005-0000-0000-00003D1E0000}"/>
    <cellStyle name="SAPBEXexcGood3 8" xfId="764" xr:uid="{00000000-0005-0000-0000-00003E1E0000}"/>
    <cellStyle name="SAPBEXexcGood3 8 2" xfId="8872" xr:uid="{00000000-0005-0000-0000-00003F1E0000}"/>
    <cellStyle name="SAPBEXexcGood3 8 3" xfId="8873" xr:uid="{00000000-0005-0000-0000-0000401E0000}"/>
    <cellStyle name="SAPBEXexcGood3 8 4" xfId="8874" xr:uid="{00000000-0005-0000-0000-0000411E0000}"/>
    <cellStyle name="SAPBEXexcGood3 9" xfId="765" xr:uid="{00000000-0005-0000-0000-0000421E0000}"/>
    <cellStyle name="SAPBEXexcGood3 9 2" xfId="8875" xr:uid="{00000000-0005-0000-0000-0000431E0000}"/>
    <cellStyle name="SAPBEXexcGood3 9 3" xfId="8876" xr:uid="{00000000-0005-0000-0000-0000441E0000}"/>
    <cellStyle name="SAPBEXexcGood3 9 4" xfId="8877" xr:uid="{00000000-0005-0000-0000-0000451E0000}"/>
    <cellStyle name="SAPBEXexcGood3_Sheet2" xfId="766" xr:uid="{00000000-0005-0000-0000-0000461E0000}"/>
    <cellStyle name="SAPBEXfilterDrill" xfId="767" xr:uid="{00000000-0005-0000-0000-0000471E0000}"/>
    <cellStyle name="SAPBEXfilterDrill 10" xfId="768" xr:uid="{00000000-0005-0000-0000-0000481E0000}"/>
    <cellStyle name="SAPBEXfilterDrill 10 2" xfId="8878" xr:uid="{00000000-0005-0000-0000-0000491E0000}"/>
    <cellStyle name="SAPBEXfilterDrill 10 3" xfId="8879" xr:uid="{00000000-0005-0000-0000-00004A1E0000}"/>
    <cellStyle name="SAPBEXfilterDrill 10 4" xfId="8880" xr:uid="{00000000-0005-0000-0000-00004B1E0000}"/>
    <cellStyle name="SAPBEXfilterDrill 11" xfId="769" xr:uid="{00000000-0005-0000-0000-00004C1E0000}"/>
    <cellStyle name="SAPBEXfilterDrill 11 2" xfId="8881" xr:uid="{00000000-0005-0000-0000-00004D1E0000}"/>
    <cellStyle name="SAPBEXfilterDrill 11 3" xfId="8882" xr:uid="{00000000-0005-0000-0000-00004E1E0000}"/>
    <cellStyle name="SAPBEXfilterDrill 11 4" xfId="8883" xr:uid="{00000000-0005-0000-0000-00004F1E0000}"/>
    <cellStyle name="SAPBEXfilterDrill 12" xfId="770" xr:uid="{00000000-0005-0000-0000-0000501E0000}"/>
    <cellStyle name="SAPBEXfilterDrill 12 2" xfId="8884" xr:uid="{00000000-0005-0000-0000-0000511E0000}"/>
    <cellStyle name="SAPBEXfilterDrill 12 3" xfId="8885" xr:uid="{00000000-0005-0000-0000-0000521E0000}"/>
    <cellStyle name="SAPBEXfilterDrill 12 4" xfId="8886" xr:uid="{00000000-0005-0000-0000-0000531E0000}"/>
    <cellStyle name="SAPBEXfilterDrill 13" xfId="771" xr:uid="{00000000-0005-0000-0000-0000541E0000}"/>
    <cellStyle name="SAPBEXfilterDrill 13 2" xfId="8887" xr:uid="{00000000-0005-0000-0000-0000551E0000}"/>
    <cellStyle name="SAPBEXfilterDrill 13 3" xfId="8888" xr:uid="{00000000-0005-0000-0000-0000561E0000}"/>
    <cellStyle name="SAPBEXfilterDrill 13 4" xfId="8889" xr:uid="{00000000-0005-0000-0000-0000571E0000}"/>
    <cellStyle name="SAPBEXfilterDrill 14" xfId="772" xr:uid="{00000000-0005-0000-0000-0000581E0000}"/>
    <cellStyle name="SAPBEXfilterDrill 14 2" xfId="8890" xr:uid="{00000000-0005-0000-0000-0000591E0000}"/>
    <cellStyle name="SAPBEXfilterDrill 14 3" xfId="8891" xr:uid="{00000000-0005-0000-0000-00005A1E0000}"/>
    <cellStyle name="SAPBEXfilterDrill 14 4" xfId="8892" xr:uid="{00000000-0005-0000-0000-00005B1E0000}"/>
    <cellStyle name="SAPBEXfilterDrill 15" xfId="773" xr:uid="{00000000-0005-0000-0000-00005C1E0000}"/>
    <cellStyle name="SAPBEXfilterDrill 15 2" xfId="8893" xr:uid="{00000000-0005-0000-0000-00005D1E0000}"/>
    <cellStyle name="SAPBEXfilterDrill 15 3" xfId="8894" xr:uid="{00000000-0005-0000-0000-00005E1E0000}"/>
    <cellStyle name="SAPBEXfilterDrill 15 4" xfId="8895" xr:uid="{00000000-0005-0000-0000-00005F1E0000}"/>
    <cellStyle name="SAPBEXfilterDrill 16" xfId="774" xr:uid="{00000000-0005-0000-0000-0000601E0000}"/>
    <cellStyle name="SAPBEXfilterDrill 16 2" xfId="8896" xr:uid="{00000000-0005-0000-0000-0000611E0000}"/>
    <cellStyle name="SAPBEXfilterDrill 16 3" xfId="8897" xr:uid="{00000000-0005-0000-0000-0000621E0000}"/>
    <cellStyle name="SAPBEXfilterDrill 16 4" xfId="8898" xr:uid="{00000000-0005-0000-0000-0000631E0000}"/>
    <cellStyle name="SAPBEXfilterDrill 17" xfId="775" xr:uid="{00000000-0005-0000-0000-0000641E0000}"/>
    <cellStyle name="SAPBEXfilterDrill 17 2" xfId="8899" xr:uid="{00000000-0005-0000-0000-0000651E0000}"/>
    <cellStyle name="SAPBEXfilterDrill 17 3" xfId="8900" xr:uid="{00000000-0005-0000-0000-0000661E0000}"/>
    <cellStyle name="SAPBEXfilterDrill 17 4" xfId="8901" xr:uid="{00000000-0005-0000-0000-0000671E0000}"/>
    <cellStyle name="SAPBEXfilterDrill 18" xfId="776" xr:uid="{00000000-0005-0000-0000-0000681E0000}"/>
    <cellStyle name="SAPBEXfilterDrill 18 2" xfId="8902" xr:uid="{00000000-0005-0000-0000-0000691E0000}"/>
    <cellStyle name="SAPBEXfilterDrill 18 3" xfId="8903" xr:uid="{00000000-0005-0000-0000-00006A1E0000}"/>
    <cellStyle name="SAPBEXfilterDrill 18 4" xfId="8904" xr:uid="{00000000-0005-0000-0000-00006B1E0000}"/>
    <cellStyle name="SAPBEXfilterDrill 19" xfId="777" xr:uid="{00000000-0005-0000-0000-00006C1E0000}"/>
    <cellStyle name="SAPBEXfilterDrill 19 2" xfId="8905" xr:uid="{00000000-0005-0000-0000-00006D1E0000}"/>
    <cellStyle name="SAPBEXfilterDrill 19 3" xfId="8906" xr:uid="{00000000-0005-0000-0000-00006E1E0000}"/>
    <cellStyle name="SAPBEXfilterDrill 19 4" xfId="8907" xr:uid="{00000000-0005-0000-0000-00006F1E0000}"/>
    <cellStyle name="SAPBEXfilterDrill 2" xfId="778" xr:uid="{00000000-0005-0000-0000-0000701E0000}"/>
    <cellStyle name="SAPBEXfilterDrill 2 2" xfId="8908" xr:uid="{00000000-0005-0000-0000-0000711E0000}"/>
    <cellStyle name="SAPBEXfilterDrill 2 3" xfId="8909" xr:uid="{00000000-0005-0000-0000-0000721E0000}"/>
    <cellStyle name="SAPBEXfilterDrill 2 4" xfId="8910" xr:uid="{00000000-0005-0000-0000-0000731E0000}"/>
    <cellStyle name="SAPBEXfilterDrill 20" xfId="779" xr:uid="{00000000-0005-0000-0000-0000741E0000}"/>
    <cellStyle name="SAPBEXfilterDrill 20 2" xfId="8911" xr:uid="{00000000-0005-0000-0000-0000751E0000}"/>
    <cellStyle name="SAPBEXfilterDrill 20 3" xfId="8912" xr:uid="{00000000-0005-0000-0000-0000761E0000}"/>
    <cellStyle name="SAPBEXfilterDrill 20 4" xfId="8913" xr:uid="{00000000-0005-0000-0000-0000771E0000}"/>
    <cellStyle name="SAPBEXfilterDrill 21" xfId="8914" xr:uid="{00000000-0005-0000-0000-0000781E0000}"/>
    <cellStyle name="SAPBEXfilterDrill 22" xfId="8915" xr:uid="{00000000-0005-0000-0000-0000791E0000}"/>
    <cellStyle name="SAPBEXfilterDrill 23" xfId="8916" xr:uid="{00000000-0005-0000-0000-00007A1E0000}"/>
    <cellStyle name="SAPBEXfilterDrill 3" xfId="780" xr:uid="{00000000-0005-0000-0000-00007B1E0000}"/>
    <cellStyle name="SAPBEXfilterDrill 3 2" xfId="8917" xr:uid="{00000000-0005-0000-0000-00007C1E0000}"/>
    <cellStyle name="SAPBEXfilterDrill 3 3" xfId="8918" xr:uid="{00000000-0005-0000-0000-00007D1E0000}"/>
    <cellStyle name="SAPBEXfilterDrill 3 4" xfId="8919" xr:uid="{00000000-0005-0000-0000-00007E1E0000}"/>
    <cellStyle name="SAPBEXfilterDrill 4" xfId="781" xr:uid="{00000000-0005-0000-0000-00007F1E0000}"/>
    <cellStyle name="SAPBEXfilterDrill 4 2" xfId="8920" xr:uid="{00000000-0005-0000-0000-0000801E0000}"/>
    <cellStyle name="SAPBEXfilterDrill 4 3" xfId="8921" xr:uid="{00000000-0005-0000-0000-0000811E0000}"/>
    <cellStyle name="SAPBEXfilterDrill 4 4" xfId="8922" xr:uid="{00000000-0005-0000-0000-0000821E0000}"/>
    <cellStyle name="SAPBEXfilterDrill 5" xfId="782" xr:uid="{00000000-0005-0000-0000-0000831E0000}"/>
    <cellStyle name="SAPBEXfilterDrill 5 2" xfId="8923" xr:uid="{00000000-0005-0000-0000-0000841E0000}"/>
    <cellStyle name="SAPBEXfilterDrill 5 3" xfId="8924" xr:uid="{00000000-0005-0000-0000-0000851E0000}"/>
    <cellStyle name="SAPBEXfilterDrill 5 4" xfId="8925" xr:uid="{00000000-0005-0000-0000-0000861E0000}"/>
    <cellStyle name="SAPBEXfilterDrill 6" xfId="783" xr:uid="{00000000-0005-0000-0000-0000871E0000}"/>
    <cellStyle name="SAPBEXfilterDrill 6 2" xfId="8926" xr:uid="{00000000-0005-0000-0000-0000881E0000}"/>
    <cellStyle name="SAPBEXfilterDrill 6 3" xfId="8927" xr:uid="{00000000-0005-0000-0000-0000891E0000}"/>
    <cellStyle name="SAPBEXfilterDrill 6 4" xfId="8928" xr:uid="{00000000-0005-0000-0000-00008A1E0000}"/>
    <cellStyle name="SAPBEXfilterDrill 7" xfId="784" xr:uid="{00000000-0005-0000-0000-00008B1E0000}"/>
    <cellStyle name="SAPBEXfilterDrill 7 2" xfId="8929" xr:uid="{00000000-0005-0000-0000-00008C1E0000}"/>
    <cellStyle name="SAPBEXfilterDrill 7 3" xfId="8930" xr:uid="{00000000-0005-0000-0000-00008D1E0000}"/>
    <cellStyle name="SAPBEXfilterDrill 7 4" xfId="8931" xr:uid="{00000000-0005-0000-0000-00008E1E0000}"/>
    <cellStyle name="SAPBEXfilterDrill 8" xfId="785" xr:uid="{00000000-0005-0000-0000-00008F1E0000}"/>
    <cellStyle name="SAPBEXfilterDrill 8 2" xfId="8932" xr:uid="{00000000-0005-0000-0000-0000901E0000}"/>
    <cellStyle name="SAPBEXfilterDrill 8 3" xfId="8933" xr:uid="{00000000-0005-0000-0000-0000911E0000}"/>
    <cellStyle name="SAPBEXfilterDrill 8 4" xfId="8934" xr:uid="{00000000-0005-0000-0000-0000921E0000}"/>
    <cellStyle name="SAPBEXfilterDrill 9" xfId="786" xr:uid="{00000000-0005-0000-0000-0000931E0000}"/>
    <cellStyle name="SAPBEXfilterDrill 9 2" xfId="8935" xr:uid="{00000000-0005-0000-0000-0000941E0000}"/>
    <cellStyle name="SAPBEXfilterDrill 9 3" xfId="8936" xr:uid="{00000000-0005-0000-0000-0000951E0000}"/>
    <cellStyle name="SAPBEXfilterDrill 9 4" xfId="8937" xr:uid="{00000000-0005-0000-0000-0000961E0000}"/>
    <cellStyle name="SAPBEXfilterDrill_Sheet2" xfId="787" xr:uid="{00000000-0005-0000-0000-0000971E0000}"/>
    <cellStyle name="SAPBEXfilterItem" xfId="788" xr:uid="{00000000-0005-0000-0000-0000981E0000}"/>
    <cellStyle name="SAPBEXfilterItem 10" xfId="789" xr:uid="{00000000-0005-0000-0000-0000991E0000}"/>
    <cellStyle name="SAPBEXfilterItem 10 2" xfId="8938" xr:uid="{00000000-0005-0000-0000-00009A1E0000}"/>
    <cellStyle name="SAPBEXfilterItem 10 3" xfId="8939" xr:uid="{00000000-0005-0000-0000-00009B1E0000}"/>
    <cellStyle name="SAPBEXfilterItem 10 4" xfId="8940" xr:uid="{00000000-0005-0000-0000-00009C1E0000}"/>
    <cellStyle name="SAPBEXfilterItem 11" xfId="790" xr:uid="{00000000-0005-0000-0000-00009D1E0000}"/>
    <cellStyle name="SAPBEXfilterItem 11 2" xfId="8941" xr:uid="{00000000-0005-0000-0000-00009E1E0000}"/>
    <cellStyle name="SAPBEXfilterItem 11 3" xfId="8942" xr:uid="{00000000-0005-0000-0000-00009F1E0000}"/>
    <cellStyle name="SAPBEXfilterItem 11 4" xfId="8943" xr:uid="{00000000-0005-0000-0000-0000A01E0000}"/>
    <cellStyle name="SAPBEXfilterItem 12" xfId="791" xr:uid="{00000000-0005-0000-0000-0000A11E0000}"/>
    <cellStyle name="SAPBEXfilterItem 12 2" xfId="8944" xr:uid="{00000000-0005-0000-0000-0000A21E0000}"/>
    <cellStyle name="SAPBEXfilterItem 12 3" xfId="8945" xr:uid="{00000000-0005-0000-0000-0000A31E0000}"/>
    <cellStyle name="SAPBEXfilterItem 12 4" xfId="8946" xr:uid="{00000000-0005-0000-0000-0000A41E0000}"/>
    <cellStyle name="SAPBEXfilterItem 13" xfId="792" xr:uid="{00000000-0005-0000-0000-0000A51E0000}"/>
    <cellStyle name="SAPBEXfilterItem 13 2" xfId="8947" xr:uid="{00000000-0005-0000-0000-0000A61E0000}"/>
    <cellStyle name="SAPBEXfilterItem 13 3" xfId="8948" xr:uid="{00000000-0005-0000-0000-0000A71E0000}"/>
    <cellStyle name="SAPBEXfilterItem 13 4" xfId="8949" xr:uid="{00000000-0005-0000-0000-0000A81E0000}"/>
    <cellStyle name="SAPBEXfilterItem 14" xfId="793" xr:uid="{00000000-0005-0000-0000-0000A91E0000}"/>
    <cellStyle name="SAPBEXfilterItem 14 2" xfId="8950" xr:uid="{00000000-0005-0000-0000-0000AA1E0000}"/>
    <cellStyle name="SAPBEXfilterItem 14 3" xfId="8951" xr:uid="{00000000-0005-0000-0000-0000AB1E0000}"/>
    <cellStyle name="SAPBEXfilterItem 14 4" xfId="8952" xr:uid="{00000000-0005-0000-0000-0000AC1E0000}"/>
    <cellStyle name="SAPBEXfilterItem 15" xfId="794" xr:uid="{00000000-0005-0000-0000-0000AD1E0000}"/>
    <cellStyle name="SAPBEXfilterItem 15 2" xfId="8953" xr:uid="{00000000-0005-0000-0000-0000AE1E0000}"/>
    <cellStyle name="SAPBEXfilterItem 15 3" xfId="8954" xr:uid="{00000000-0005-0000-0000-0000AF1E0000}"/>
    <cellStyle name="SAPBEXfilterItem 15 4" xfId="8955" xr:uid="{00000000-0005-0000-0000-0000B01E0000}"/>
    <cellStyle name="SAPBEXfilterItem 16" xfId="795" xr:uid="{00000000-0005-0000-0000-0000B11E0000}"/>
    <cellStyle name="SAPBEXfilterItem 16 2" xfId="8956" xr:uid="{00000000-0005-0000-0000-0000B21E0000}"/>
    <cellStyle name="SAPBEXfilterItem 16 3" xfId="8957" xr:uid="{00000000-0005-0000-0000-0000B31E0000}"/>
    <cellStyle name="SAPBEXfilterItem 16 4" xfId="8958" xr:uid="{00000000-0005-0000-0000-0000B41E0000}"/>
    <cellStyle name="SAPBEXfilterItem 17" xfId="796" xr:uid="{00000000-0005-0000-0000-0000B51E0000}"/>
    <cellStyle name="SAPBEXfilterItem 17 2" xfId="8959" xr:uid="{00000000-0005-0000-0000-0000B61E0000}"/>
    <cellStyle name="SAPBEXfilterItem 17 3" xfId="8960" xr:uid="{00000000-0005-0000-0000-0000B71E0000}"/>
    <cellStyle name="SAPBEXfilterItem 17 4" xfId="8961" xr:uid="{00000000-0005-0000-0000-0000B81E0000}"/>
    <cellStyle name="SAPBEXfilterItem 18" xfId="797" xr:uid="{00000000-0005-0000-0000-0000B91E0000}"/>
    <cellStyle name="SAPBEXfilterItem 18 2" xfId="8962" xr:uid="{00000000-0005-0000-0000-0000BA1E0000}"/>
    <cellStyle name="SAPBEXfilterItem 18 3" xfId="8963" xr:uid="{00000000-0005-0000-0000-0000BB1E0000}"/>
    <cellStyle name="SAPBEXfilterItem 18 4" xfId="8964" xr:uid="{00000000-0005-0000-0000-0000BC1E0000}"/>
    <cellStyle name="SAPBEXfilterItem 19" xfId="798" xr:uid="{00000000-0005-0000-0000-0000BD1E0000}"/>
    <cellStyle name="SAPBEXfilterItem 19 2" xfId="8965" xr:uid="{00000000-0005-0000-0000-0000BE1E0000}"/>
    <cellStyle name="SAPBEXfilterItem 19 3" xfId="8966" xr:uid="{00000000-0005-0000-0000-0000BF1E0000}"/>
    <cellStyle name="SAPBEXfilterItem 19 4" xfId="8967" xr:uid="{00000000-0005-0000-0000-0000C01E0000}"/>
    <cellStyle name="SAPBEXfilterItem 2" xfId="799" xr:uid="{00000000-0005-0000-0000-0000C11E0000}"/>
    <cellStyle name="SAPBEXfilterItem 2 2" xfId="8968" xr:uid="{00000000-0005-0000-0000-0000C21E0000}"/>
    <cellStyle name="SAPBEXfilterItem 2 3" xfId="8969" xr:uid="{00000000-0005-0000-0000-0000C31E0000}"/>
    <cellStyle name="SAPBEXfilterItem 2 4" xfId="8970" xr:uid="{00000000-0005-0000-0000-0000C41E0000}"/>
    <cellStyle name="SAPBEXfilterItem 20" xfId="800" xr:uid="{00000000-0005-0000-0000-0000C51E0000}"/>
    <cellStyle name="SAPBEXfilterItem 20 2" xfId="8971" xr:uid="{00000000-0005-0000-0000-0000C61E0000}"/>
    <cellStyle name="SAPBEXfilterItem 20 3" xfId="8972" xr:uid="{00000000-0005-0000-0000-0000C71E0000}"/>
    <cellStyle name="SAPBEXfilterItem 20 4" xfId="8973" xr:uid="{00000000-0005-0000-0000-0000C81E0000}"/>
    <cellStyle name="SAPBEXfilterItem 21" xfId="8974" xr:uid="{00000000-0005-0000-0000-0000C91E0000}"/>
    <cellStyle name="SAPBEXfilterItem 22" xfId="8975" xr:uid="{00000000-0005-0000-0000-0000CA1E0000}"/>
    <cellStyle name="SAPBEXfilterItem 23" xfId="8976" xr:uid="{00000000-0005-0000-0000-0000CB1E0000}"/>
    <cellStyle name="SAPBEXfilterItem 3" xfId="801" xr:uid="{00000000-0005-0000-0000-0000CC1E0000}"/>
    <cellStyle name="SAPBEXfilterItem 3 2" xfId="8977" xr:uid="{00000000-0005-0000-0000-0000CD1E0000}"/>
    <cellStyle name="SAPBEXfilterItem 3 3" xfId="8978" xr:uid="{00000000-0005-0000-0000-0000CE1E0000}"/>
    <cellStyle name="SAPBEXfilterItem 3 4" xfId="8979" xr:uid="{00000000-0005-0000-0000-0000CF1E0000}"/>
    <cellStyle name="SAPBEXfilterItem 4" xfId="802" xr:uid="{00000000-0005-0000-0000-0000D01E0000}"/>
    <cellStyle name="SAPBEXfilterItem 4 2" xfId="8980" xr:uid="{00000000-0005-0000-0000-0000D11E0000}"/>
    <cellStyle name="SAPBEXfilterItem 4 3" xfId="8981" xr:uid="{00000000-0005-0000-0000-0000D21E0000}"/>
    <cellStyle name="SAPBEXfilterItem 4 4" xfId="8982" xr:uid="{00000000-0005-0000-0000-0000D31E0000}"/>
    <cellStyle name="SAPBEXfilterItem 5" xfId="803" xr:uid="{00000000-0005-0000-0000-0000D41E0000}"/>
    <cellStyle name="SAPBEXfilterItem 5 2" xfId="8983" xr:uid="{00000000-0005-0000-0000-0000D51E0000}"/>
    <cellStyle name="SAPBEXfilterItem 5 3" xfId="8984" xr:uid="{00000000-0005-0000-0000-0000D61E0000}"/>
    <cellStyle name="SAPBEXfilterItem 5 4" xfId="8985" xr:uid="{00000000-0005-0000-0000-0000D71E0000}"/>
    <cellStyle name="SAPBEXfilterItem 6" xfId="804" xr:uid="{00000000-0005-0000-0000-0000D81E0000}"/>
    <cellStyle name="SAPBEXfilterItem 6 2" xfId="8986" xr:uid="{00000000-0005-0000-0000-0000D91E0000}"/>
    <cellStyle name="SAPBEXfilterItem 6 3" xfId="8987" xr:uid="{00000000-0005-0000-0000-0000DA1E0000}"/>
    <cellStyle name="SAPBEXfilterItem 6 4" xfId="8988" xr:uid="{00000000-0005-0000-0000-0000DB1E0000}"/>
    <cellStyle name="SAPBEXfilterItem 7" xfId="805" xr:uid="{00000000-0005-0000-0000-0000DC1E0000}"/>
    <cellStyle name="SAPBEXfilterItem 7 2" xfId="8989" xr:uid="{00000000-0005-0000-0000-0000DD1E0000}"/>
    <cellStyle name="SAPBEXfilterItem 7 3" xfId="8990" xr:uid="{00000000-0005-0000-0000-0000DE1E0000}"/>
    <cellStyle name="SAPBEXfilterItem 7 4" xfId="8991" xr:uid="{00000000-0005-0000-0000-0000DF1E0000}"/>
    <cellStyle name="SAPBEXfilterItem 8" xfId="806" xr:uid="{00000000-0005-0000-0000-0000E01E0000}"/>
    <cellStyle name="SAPBEXfilterItem 8 2" xfId="8992" xr:uid="{00000000-0005-0000-0000-0000E11E0000}"/>
    <cellStyle name="SAPBEXfilterItem 8 3" xfId="8993" xr:uid="{00000000-0005-0000-0000-0000E21E0000}"/>
    <cellStyle name="SAPBEXfilterItem 8 4" xfId="8994" xr:uid="{00000000-0005-0000-0000-0000E31E0000}"/>
    <cellStyle name="SAPBEXfilterItem 9" xfId="807" xr:uid="{00000000-0005-0000-0000-0000E41E0000}"/>
    <cellStyle name="SAPBEXfilterItem 9 2" xfId="8995" xr:uid="{00000000-0005-0000-0000-0000E51E0000}"/>
    <cellStyle name="SAPBEXfilterItem 9 3" xfId="8996" xr:uid="{00000000-0005-0000-0000-0000E61E0000}"/>
    <cellStyle name="SAPBEXfilterItem 9 4" xfId="8997" xr:uid="{00000000-0005-0000-0000-0000E71E0000}"/>
    <cellStyle name="SAPBEXfilterItem_Sheet2" xfId="808" xr:uid="{00000000-0005-0000-0000-0000E81E0000}"/>
    <cellStyle name="SAPBEXfilterText" xfId="809" xr:uid="{00000000-0005-0000-0000-0000E91E0000}"/>
    <cellStyle name="SAPBEXfilterText 10" xfId="810" xr:uid="{00000000-0005-0000-0000-0000EA1E0000}"/>
    <cellStyle name="SAPBEXfilterText 10 2" xfId="8998" xr:uid="{00000000-0005-0000-0000-0000EB1E0000}"/>
    <cellStyle name="SAPBEXfilterText 10 3" xfId="8999" xr:uid="{00000000-0005-0000-0000-0000EC1E0000}"/>
    <cellStyle name="SAPBEXfilterText 10 4" xfId="9000" xr:uid="{00000000-0005-0000-0000-0000ED1E0000}"/>
    <cellStyle name="SAPBEXfilterText 11" xfId="811" xr:uid="{00000000-0005-0000-0000-0000EE1E0000}"/>
    <cellStyle name="SAPBEXfilterText 11 2" xfId="9001" xr:uid="{00000000-0005-0000-0000-0000EF1E0000}"/>
    <cellStyle name="SAPBEXfilterText 11 3" xfId="9002" xr:uid="{00000000-0005-0000-0000-0000F01E0000}"/>
    <cellStyle name="SAPBEXfilterText 11 4" xfId="9003" xr:uid="{00000000-0005-0000-0000-0000F11E0000}"/>
    <cellStyle name="SAPBEXfilterText 12" xfId="812" xr:uid="{00000000-0005-0000-0000-0000F21E0000}"/>
    <cellStyle name="SAPBEXfilterText 12 2" xfId="9004" xr:uid="{00000000-0005-0000-0000-0000F31E0000}"/>
    <cellStyle name="SAPBEXfilterText 12 3" xfId="9005" xr:uid="{00000000-0005-0000-0000-0000F41E0000}"/>
    <cellStyle name="SAPBEXfilterText 12 4" xfId="9006" xr:uid="{00000000-0005-0000-0000-0000F51E0000}"/>
    <cellStyle name="SAPBEXfilterText 13" xfId="813" xr:uid="{00000000-0005-0000-0000-0000F61E0000}"/>
    <cellStyle name="SAPBEXfilterText 13 2" xfId="9007" xr:uid="{00000000-0005-0000-0000-0000F71E0000}"/>
    <cellStyle name="SAPBEXfilterText 13 3" xfId="9008" xr:uid="{00000000-0005-0000-0000-0000F81E0000}"/>
    <cellStyle name="SAPBEXfilterText 13 4" xfId="9009" xr:uid="{00000000-0005-0000-0000-0000F91E0000}"/>
    <cellStyle name="SAPBEXfilterText 14" xfId="814" xr:uid="{00000000-0005-0000-0000-0000FA1E0000}"/>
    <cellStyle name="SAPBEXfilterText 14 2" xfId="9010" xr:uid="{00000000-0005-0000-0000-0000FB1E0000}"/>
    <cellStyle name="SAPBEXfilterText 14 3" xfId="9011" xr:uid="{00000000-0005-0000-0000-0000FC1E0000}"/>
    <cellStyle name="SAPBEXfilterText 14 4" xfId="9012" xr:uid="{00000000-0005-0000-0000-0000FD1E0000}"/>
    <cellStyle name="SAPBEXfilterText 15" xfId="815" xr:uid="{00000000-0005-0000-0000-0000FE1E0000}"/>
    <cellStyle name="SAPBEXfilterText 15 2" xfId="9013" xr:uid="{00000000-0005-0000-0000-0000FF1E0000}"/>
    <cellStyle name="SAPBEXfilterText 15 3" xfId="9014" xr:uid="{00000000-0005-0000-0000-0000001F0000}"/>
    <cellStyle name="SAPBEXfilterText 15 4" xfId="9015" xr:uid="{00000000-0005-0000-0000-0000011F0000}"/>
    <cellStyle name="SAPBEXfilterText 16" xfId="816" xr:uid="{00000000-0005-0000-0000-0000021F0000}"/>
    <cellStyle name="SAPBEXfilterText 16 2" xfId="9016" xr:uid="{00000000-0005-0000-0000-0000031F0000}"/>
    <cellStyle name="SAPBEXfilterText 16 3" xfId="9017" xr:uid="{00000000-0005-0000-0000-0000041F0000}"/>
    <cellStyle name="SAPBEXfilterText 16 4" xfId="9018" xr:uid="{00000000-0005-0000-0000-0000051F0000}"/>
    <cellStyle name="SAPBEXfilterText 17" xfId="817" xr:uid="{00000000-0005-0000-0000-0000061F0000}"/>
    <cellStyle name="SAPBEXfilterText 17 2" xfId="9019" xr:uid="{00000000-0005-0000-0000-0000071F0000}"/>
    <cellStyle name="SAPBEXfilterText 17 3" xfId="9020" xr:uid="{00000000-0005-0000-0000-0000081F0000}"/>
    <cellStyle name="SAPBEXfilterText 17 4" xfId="9021" xr:uid="{00000000-0005-0000-0000-0000091F0000}"/>
    <cellStyle name="SAPBEXfilterText 18" xfId="818" xr:uid="{00000000-0005-0000-0000-00000A1F0000}"/>
    <cellStyle name="SAPBEXfilterText 18 2" xfId="9022" xr:uid="{00000000-0005-0000-0000-00000B1F0000}"/>
    <cellStyle name="SAPBEXfilterText 18 3" xfId="9023" xr:uid="{00000000-0005-0000-0000-00000C1F0000}"/>
    <cellStyle name="SAPBEXfilterText 18 4" xfId="9024" xr:uid="{00000000-0005-0000-0000-00000D1F0000}"/>
    <cellStyle name="SAPBEXfilterText 19" xfId="819" xr:uid="{00000000-0005-0000-0000-00000E1F0000}"/>
    <cellStyle name="SAPBEXfilterText 19 2" xfId="9025" xr:uid="{00000000-0005-0000-0000-00000F1F0000}"/>
    <cellStyle name="SAPBEXfilterText 19 3" xfId="9026" xr:uid="{00000000-0005-0000-0000-0000101F0000}"/>
    <cellStyle name="SAPBEXfilterText 19 4" xfId="9027" xr:uid="{00000000-0005-0000-0000-0000111F0000}"/>
    <cellStyle name="SAPBEXfilterText 2" xfId="820" xr:uid="{00000000-0005-0000-0000-0000121F0000}"/>
    <cellStyle name="SAPBEXfilterText 2 2" xfId="9028" xr:uid="{00000000-0005-0000-0000-0000131F0000}"/>
    <cellStyle name="SAPBEXfilterText 2 3" xfId="9029" xr:uid="{00000000-0005-0000-0000-0000141F0000}"/>
    <cellStyle name="SAPBEXfilterText 2 4" xfId="9030" xr:uid="{00000000-0005-0000-0000-0000151F0000}"/>
    <cellStyle name="SAPBEXfilterText 20" xfId="821" xr:uid="{00000000-0005-0000-0000-0000161F0000}"/>
    <cellStyle name="SAPBEXfilterText 20 2" xfId="9031" xr:uid="{00000000-0005-0000-0000-0000171F0000}"/>
    <cellStyle name="SAPBEXfilterText 20 3" xfId="9032" xr:uid="{00000000-0005-0000-0000-0000181F0000}"/>
    <cellStyle name="SAPBEXfilterText 20 4" xfId="9033" xr:uid="{00000000-0005-0000-0000-0000191F0000}"/>
    <cellStyle name="SAPBEXfilterText 21" xfId="9034" xr:uid="{00000000-0005-0000-0000-00001A1F0000}"/>
    <cellStyle name="SAPBEXfilterText 22" xfId="9035" xr:uid="{00000000-0005-0000-0000-00001B1F0000}"/>
    <cellStyle name="SAPBEXfilterText 23" xfId="9036" xr:uid="{00000000-0005-0000-0000-00001C1F0000}"/>
    <cellStyle name="SAPBEXfilterText 3" xfId="822" xr:uid="{00000000-0005-0000-0000-00001D1F0000}"/>
    <cellStyle name="SAPBEXfilterText 3 2" xfId="9037" xr:uid="{00000000-0005-0000-0000-00001E1F0000}"/>
    <cellStyle name="SAPBEXfilterText 3 3" xfId="9038" xr:uid="{00000000-0005-0000-0000-00001F1F0000}"/>
    <cellStyle name="SAPBEXfilterText 3 4" xfId="9039" xr:uid="{00000000-0005-0000-0000-0000201F0000}"/>
    <cellStyle name="SAPBEXfilterText 4" xfId="823" xr:uid="{00000000-0005-0000-0000-0000211F0000}"/>
    <cellStyle name="SAPBEXfilterText 4 2" xfId="9040" xr:uid="{00000000-0005-0000-0000-0000221F0000}"/>
    <cellStyle name="SAPBEXfilterText 4 3" xfId="9041" xr:uid="{00000000-0005-0000-0000-0000231F0000}"/>
    <cellStyle name="SAPBEXfilterText 4 4" xfId="9042" xr:uid="{00000000-0005-0000-0000-0000241F0000}"/>
    <cellStyle name="SAPBEXfilterText 5" xfId="824" xr:uid="{00000000-0005-0000-0000-0000251F0000}"/>
    <cellStyle name="SAPBEXfilterText 5 2" xfId="9043" xr:uid="{00000000-0005-0000-0000-0000261F0000}"/>
    <cellStyle name="SAPBEXfilterText 5 3" xfId="9044" xr:uid="{00000000-0005-0000-0000-0000271F0000}"/>
    <cellStyle name="SAPBEXfilterText 5 4" xfId="9045" xr:uid="{00000000-0005-0000-0000-0000281F0000}"/>
    <cellStyle name="SAPBEXfilterText 6" xfId="825" xr:uid="{00000000-0005-0000-0000-0000291F0000}"/>
    <cellStyle name="SAPBEXfilterText 6 2" xfId="9046" xr:uid="{00000000-0005-0000-0000-00002A1F0000}"/>
    <cellStyle name="SAPBEXfilterText 6 3" xfId="9047" xr:uid="{00000000-0005-0000-0000-00002B1F0000}"/>
    <cellStyle name="SAPBEXfilterText 6 4" xfId="9048" xr:uid="{00000000-0005-0000-0000-00002C1F0000}"/>
    <cellStyle name="SAPBEXfilterText 7" xfId="826" xr:uid="{00000000-0005-0000-0000-00002D1F0000}"/>
    <cellStyle name="SAPBEXfilterText 7 2" xfId="9049" xr:uid="{00000000-0005-0000-0000-00002E1F0000}"/>
    <cellStyle name="SAPBEXfilterText 7 3" xfId="9050" xr:uid="{00000000-0005-0000-0000-00002F1F0000}"/>
    <cellStyle name="SAPBEXfilterText 7 4" xfId="9051" xr:uid="{00000000-0005-0000-0000-0000301F0000}"/>
    <cellStyle name="SAPBEXfilterText 8" xfId="827" xr:uid="{00000000-0005-0000-0000-0000311F0000}"/>
    <cellStyle name="SAPBEXfilterText 8 2" xfId="9052" xr:uid="{00000000-0005-0000-0000-0000321F0000}"/>
    <cellStyle name="SAPBEXfilterText 8 3" xfId="9053" xr:uid="{00000000-0005-0000-0000-0000331F0000}"/>
    <cellStyle name="SAPBEXfilterText 8 4" xfId="9054" xr:uid="{00000000-0005-0000-0000-0000341F0000}"/>
    <cellStyle name="SAPBEXfilterText 9" xfId="828" xr:uid="{00000000-0005-0000-0000-0000351F0000}"/>
    <cellStyle name="SAPBEXfilterText 9 2" xfId="9055" xr:uid="{00000000-0005-0000-0000-0000361F0000}"/>
    <cellStyle name="SAPBEXfilterText 9 3" xfId="9056" xr:uid="{00000000-0005-0000-0000-0000371F0000}"/>
    <cellStyle name="SAPBEXfilterText 9 4" xfId="9057" xr:uid="{00000000-0005-0000-0000-0000381F0000}"/>
    <cellStyle name="SAPBEXfilterText_Sheet2" xfId="829" xr:uid="{00000000-0005-0000-0000-0000391F0000}"/>
    <cellStyle name="SAPBEXformats" xfId="830" xr:uid="{00000000-0005-0000-0000-00003A1F0000}"/>
    <cellStyle name="SAPBEXformats 10" xfId="831" xr:uid="{00000000-0005-0000-0000-00003B1F0000}"/>
    <cellStyle name="SAPBEXformats 10 2" xfId="9058" xr:uid="{00000000-0005-0000-0000-00003C1F0000}"/>
    <cellStyle name="SAPBEXformats 10 3" xfId="9059" xr:uid="{00000000-0005-0000-0000-00003D1F0000}"/>
    <cellStyle name="SAPBEXformats 10 4" xfId="9060" xr:uid="{00000000-0005-0000-0000-00003E1F0000}"/>
    <cellStyle name="SAPBEXformats 11" xfId="832" xr:uid="{00000000-0005-0000-0000-00003F1F0000}"/>
    <cellStyle name="SAPBEXformats 11 2" xfId="9061" xr:uid="{00000000-0005-0000-0000-0000401F0000}"/>
    <cellStyle name="SAPBEXformats 11 3" xfId="9062" xr:uid="{00000000-0005-0000-0000-0000411F0000}"/>
    <cellStyle name="SAPBEXformats 11 4" xfId="9063" xr:uid="{00000000-0005-0000-0000-0000421F0000}"/>
    <cellStyle name="SAPBEXformats 12" xfId="833" xr:uid="{00000000-0005-0000-0000-0000431F0000}"/>
    <cellStyle name="SAPBEXformats 12 2" xfId="9064" xr:uid="{00000000-0005-0000-0000-0000441F0000}"/>
    <cellStyle name="SAPBEXformats 12 3" xfId="9065" xr:uid="{00000000-0005-0000-0000-0000451F0000}"/>
    <cellStyle name="SAPBEXformats 12 4" xfId="9066" xr:uid="{00000000-0005-0000-0000-0000461F0000}"/>
    <cellStyle name="SAPBEXformats 13" xfId="834" xr:uid="{00000000-0005-0000-0000-0000471F0000}"/>
    <cellStyle name="SAPBEXformats 13 2" xfId="9067" xr:uid="{00000000-0005-0000-0000-0000481F0000}"/>
    <cellStyle name="SAPBEXformats 13 3" xfId="9068" xr:uid="{00000000-0005-0000-0000-0000491F0000}"/>
    <cellStyle name="SAPBEXformats 13 4" xfId="9069" xr:uid="{00000000-0005-0000-0000-00004A1F0000}"/>
    <cellStyle name="SAPBEXformats 14" xfId="835" xr:uid="{00000000-0005-0000-0000-00004B1F0000}"/>
    <cellStyle name="SAPBEXformats 14 2" xfId="9070" xr:uid="{00000000-0005-0000-0000-00004C1F0000}"/>
    <cellStyle name="SAPBEXformats 14 3" xfId="9071" xr:uid="{00000000-0005-0000-0000-00004D1F0000}"/>
    <cellStyle name="SAPBEXformats 14 4" xfId="9072" xr:uid="{00000000-0005-0000-0000-00004E1F0000}"/>
    <cellStyle name="SAPBEXformats 15" xfId="836" xr:uid="{00000000-0005-0000-0000-00004F1F0000}"/>
    <cellStyle name="SAPBEXformats 15 2" xfId="9073" xr:uid="{00000000-0005-0000-0000-0000501F0000}"/>
    <cellStyle name="SAPBEXformats 15 3" xfId="9074" xr:uid="{00000000-0005-0000-0000-0000511F0000}"/>
    <cellStyle name="SAPBEXformats 15 4" xfId="9075" xr:uid="{00000000-0005-0000-0000-0000521F0000}"/>
    <cellStyle name="SAPBEXformats 16" xfId="837" xr:uid="{00000000-0005-0000-0000-0000531F0000}"/>
    <cellStyle name="SAPBEXformats 16 2" xfId="9076" xr:uid="{00000000-0005-0000-0000-0000541F0000}"/>
    <cellStyle name="SAPBEXformats 16 3" xfId="9077" xr:uid="{00000000-0005-0000-0000-0000551F0000}"/>
    <cellStyle name="SAPBEXformats 16 4" xfId="9078" xr:uid="{00000000-0005-0000-0000-0000561F0000}"/>
    <cellStyle name="SAPBEXformats 17" xfId="838" xr:uid="{00000000-0005-0000-0000-0000571F0000}"/>
    <cellStyle name="SAPBEXformats 17 2" xfId="9079" xr:uid="{00000000-0005-0000-0000-0000581F0000}"/>
    <cellStyle name="SAPBEXformats 17 3" xfId="9080" xr:uid="{00000000-0005-0000-0000-0000591F0000}"/>
    <cellStyle name="SAPBEXformats 17 4" xfId="9081" xr:uid="{00000000-0005-0000-0000-00005A1F0000}"/>
    <cellStyle name="SAPBEXformats 18" xfId="839" xr:uid="{00000000-0005-0000-0000-00005B1F0000}"/>
    <cellStyle name="SAPBEXformats 18 2" xfId="9082" xr:uid="{00000000-0005-0000-0000-00005C1F0000}"/>
    <cellStyle name="SAPBEXformats 18 3" xfId="9083" xr:uid="{00000000-0005-0000-0000-00005D1F0000}"/>
    <cellStyle name="SAPBEXformats 18 4" xfId="9084" xr:uid="{00000000-0005-0000-0000-00005E1F0000}"/>
    <cellStyle name="SAPBEXformats 19" xfId="840" xr:uid="{00000000-0005-0000-0000-00005F1F0000}"/>
    <cellStyle name="SAPBEXformats 19 2" xfId="9085" xr:uid="{00000000-0005-0000-0000-0000601F0000}"/>
    <cellStyle name="SAPBEXformats 19 3" xfId="9086" xr:uid="{00000000-0005-0000-0000-0000611F0000}"/>
    <cellStyle name="SAPBEXformats 19 4" xfId="9087" xr:uid="{00000000-0005-0000-0000-0000621F0000}"/>
    <cellStyle name="SAPBEXformats 2" xfId="841" xr:uid="{00000000-0005-0000-0000-0000631F0000}"/>
    <cellStyle name="SAPBEXformats 2 2" xfId="9088" xr:uid="{00000000-0005-0000-0000-0000641F0000}"/>
    <cellStyle name="SAPBEXformats 2 3" xfId="9089" xr:uid="{00000000-0005-0000-0000-0000651F0000}"/>
    <cellStyle name="SAPBEXformats 2 4" xfId="9090" xr:uid="{00000000-0005-0000-0000-0000661F0000}"/>
    <cellStyle name="SAPBEXformats 20" xfId="842" xr:uid="{00000000-0005-0000-0000-0000671F0000}"/>
    <cellStyle name="SAPBEXformats 20 2" xfId="9091" xr:uid="{00000000-0005-0000-0000-0000681F0000}"/>
    <cellStyle name="SAPBEXformats 20 3" xfId="9092" xr:uid="{00000000-0005-0000-0000-0000691F0000}"/>
    <cellStyle name="SAPBEXformats 20 4" xfId="9093" xr:uid="{00000000-0005-0000-0000-00006A1F0000}"/>
    <cellStyle name="SAPBEXformats 21" xfId="9094" xr:uid="{00000000-0005-0000-0000-00006B1F0000}"/>
    <cellStyle name="SAPBEXformats 22" xfId="9095" xr:uid="{00000000-0005-0000-0000-00006C1F0000}"/>
    <cellStyle name="SAPBEXformats 23" xfId="9096" xr:uid="{00000000-0005-0000-0000-00006D1F0000}"/>
    <cellStyle name="SAPBEXformats 3" xfId="843" xr:uid="{00000000-0005-0000-0000-00006E1F0000}"/>
    <cellStyle name="SAPBEXformats 3 2" xfId="9097" xr:uid="{00000000-0005-0000-0000-00006F1F0000}"/>
    <cellStyle name="SAPBEXformats 3 3" xfId="9098" xr:uid="{00000000-0005-0000-0000-0000701F0000}"/>
    <cellStyle name="SAPBEXformats 3 4" xfId="9099" xr:uid="{00000000-0005-0000-0000-0000711F0000}"/>
    <cellStyle name="SAPBEXformats 4" xfId="844" xr:uid="{00000000-0005-0000-0000-0000721F0000}"/>
    <cellStyle name="SAPBEXformats 4 2" xfId="9100" xr:uid="{00000000-0005-0000-0000-0000731F0000}"/>
    <cellStyle name="SAPBEXformats 4 3" xfId="9101" xr:uid="{00000000-0005-0000-0000-0000741F0000}"/>
    <cellStyle name="SAPBEXformats 4 4" xfId="9102" xr:uid="{00000000-0005-0000-0000-0000751F0000}"/>
    <cellStyle name="SAPBEXformats 5" xfId="845" xr:uid="{00000000-0005-0000-0000-0000761F0000}"/>
    <cellStyle name="SAPBEXformats 5 2" xfId="9103" xr:uid="{00000000-0005-0000-0000-0000771F0000}"/>
    <cellStyle name="SAPBEXformats 5 3" xfId="9104" xr:uid="{00000000-0005-0000-0000-0000781F0000}"/>
    <cellStyle name="SAPBEXformats 5 4" xfId="9105" xr:uid="{00000000-0005-0000-0000-0000791F0000}"/>
    <cellStyle name="SAPBEXformats 6" xfId="846" xr:uid="{00000000-0005-0000-0000-00007A1F0000}"/>
    <cellStyle name="SAPBEXformats 6 2" xfId="9106" xr:uid="{00000000-0005-0000-0000-00007B1F0000}"/>
    <cellStyle name="SAPBEXformats 6 3" xfId="9107" xr:uid="{00000000-0005-0000-0000-00007C1F0000}"/>
    <cellStyle name="SAPBEXformats 6 4" xfId="9108" xr:uid="{00000000-0005-0000-0000-00007D1F0000}"/>
    <cellStyle name="SAPBEXformats 7" xfId="847" xr:uid="{00000000-0005-0000-0000-00007E1F0000}"/>
    <cellStyle name="SAPBEXformats 7 2" xfId="9109" xr:uid="{00000000-0005-0000-0000-00007F1F0000}"/>
    <cellStyle name="SAPBEXformats 7 3" xfId="9110" xr:uid="{00000000-0005-0000-0000-0000801F0000}"/>
    <cellStyle name="SAPBEXformats 7 4" xfId="9111" xr:uid="{00000000-0005-0000-0000-0000811F0000}"/>
    <cellStyle name="SAPBEXformats 8" xfId="848" xr:uid="{00000000-0005-0000-0000-0000821F0000}"/>
    <cellStyle name="SAPBEXformats 8 2" xfId="9112" xr:uid="{00000000-0005-0000-0000-0000831F0000}"/>
    <cellStyle name="SAPBEXformats 8 3" xfId="9113" xr:uid="{00000000-0005-0000-0000-0000841F0000}"/>
    <cellStyle name="SAPBEXformats 8 4" xfId="9114" xr:uid="{00000000-0005-0000-0000-0000851F0000}"/>
    <cellStyle name="SAPBEXformats 9" xfId="849" xr:uid="{00000000-0005-0000-0000-0000861F0000}"/>
    <cellStyle name="SAPBEXformats 9 2" xfId="9115" xr:uid="{00000000-0005-0000-0000-0000871F0000}"/>
    <cellStyle name="SAPBEXformats 9 3" xfId="9116" xr:uid="{00000000-0005-0000-0000-0000881F0000}"/>
    <cellStyle name="SAPBEXformats 9 4" xfId="9117" xr:uid="{00000000-0005-0000-0000-0000891F0000}"/>
    <cellStyle name="SAPBEXformats_Sheet2" xfId="850" xr:uid="{00000000-0005-0000-0000-00008A1F0000}"/>
    <cellStyle name="SAPBEXheaderItem" xfId="851" xr:uid="{00000000-0005-0000-0000-00008B1F0000}"/>
    <cellStyle name="SAPBEXheaderItem 10" xfId="852" xr:uid="{00000000-0005-0000-0000-00008C1F0000}"/>
    <cellStyle name="SAPBEXheaderItem 10 2" xfId="9118" xr:uid="{00000000-0005-0000-0000-00008D1F0000}"/>
    <cellStyle name="SAPBEXheaderItem 10 3" xfId="9119" xr:uid="{00000000-0005-0000-0000-00008E1F0000}"/>
    <cellStyle name="SAPBEXheaderItem 10 4" xfId="9120" xr:uid="{00000000-0005-0000-0000-00008F1F0000}"/>
    <cellStyle name="SAPBEXheaderItem 11" xfId="853" xr:uid="{00000000-0005-0000-0000-0000901F0000}"/>
    <cellStyle name="SAPBEXheaderItem 11 2" xfId="9121" xr:uid="{00000000-0005-0000-0000-0000911F0000}"/>
    <cellStyle name="SAPBEXheaderItem 11 3" xfId="9122" xr:uid="{00000000-0005-0000-0000-0000921F0000}"/>
    <cellStyle name="SAPBEXheaderItem 11 4" xfId="9123" xr:uid="{00000000-0005-0000-0000-0000931F0000}"/>
    <cellStyle name="SAPBEXheaderItem 12" xfId="854" xr:uid="{00000000-0005-0000-0000-0000941F0000}"/>
    <cellStyle name="SAPBEXheaderItem 12 2" xfId="9124" xr:uid="{00000000-0005-0000-0000-0000951F0000}"/>
    <cellStyle name="SAPBEXheaderItem 12 3" xfId="9125" xr:uid="{00000000-0005-0000-0000-0000961F0000}"/>
    <cellStyle name="SAPBEXheaderItem 12 4" xfId="9126" xr:uid="{00000000-0005-0000-0000-0000971F0000}"/>
    <cellStyle name="SAPBEXheaderItem 13" xfId="855" xr:uid="{00000000-0005-0000-0000-0000981F0000}"/>
    <cellStyle name="SAPBEXheaderItem 13 2" xfId="9127" xr:uid="{00000000-0005-0000-0000-0000991F0000}"/>
    <cellStyle name="SAPBEXheaderItem 13 3" xfId="9128" xr:uid="{00000000-0005-0000-0000-00009A1F0000}"/>
    <cellStyle name="SAPBEXheaderItem 13 4" xfId="9129" xr:uid="{00000000-0005-0000-0000-00009B1F0000}"/>
    <cellStyle name="SAPBEXheaderItem 14" xfId="856" xr:uid="{00000000-0005-0000-0000-00009C1F0000}"/>
    <cellStyle name="SAPBEXheaderItem 14 2" xfId="9130" xr:uid="{00000000-0005-0000-0000-00009D1F0000}"/>
    <cellStyle name="SAPBEXheaderItem 14 3" xfId="9131" xr:uid="{00000000-0005-0000-0000-00009E1F0000}"/>
    <cellStyle name="SAPBEXheaderItem 14 4" xfId="9132" xr:uid="{00000000-0005-0000-0000-00009F1F0000}"/>
    <cellStyle name="SAPBEXheaderItem 15" xfId="857" xr:uid="{00000000-0005-0000-0000-0000A01F0000}"/>
    <cellStyle name="SAPBEXheaderItem 15 2" xfId="9133" xr:uid="{00000000-0005-0000-0000-0000A11F0000}"/>
    <cellStyle name="SAPBEXheaderItem 15 3" xfId="9134" xr:uid="{00000000-0005-0000-0000-0000A21F0000}"/>
    <cellStyle name="SAPBEXheaderItem 15 4" xfId="9135" xr:uid="{00000000-0005-0000-0000-0000A31F0000}"/>
    <cellStyle name="SAPBEXheaderItem 16" xfId="858" xr:uid="{00000000-0005-0000-0000-0000A41F0000}"/>
    <cellStyle name="SAPBEXheaderItem 16 2" xfId="9136" xr:uid="{00000000-0005-0000-0000-0000A51F0000}"/>
    <cellStyle name="SAPBEXheaderItem 16 3" xfId="9137" xr:uid="{00000000-0005-0000-0000-0000A61F0000}"/>
    <cellStyle name="SAPBEXheaderItem 16 4" xfId="9138" xr:uid="{00000000-0005-0000-0000-0000A71F0000}"/>
    <cellStyle name="SAPBEXheaderItem 17" xfId="859" xr:uid="{00000000-0005-0000-0000-0000A81F0000}"/>
    <cellStyle name="SAPBEXheaderItem 17 2" xfId="9139" xr:uid="{00000000-0005-0000-0000-0000A91F0000}"/>
    <cellStyle name="SAPBEXheaderItem 17 3" xfId="9140" xr:uid="{00000000-0005-0000-0000-0000AA1F0000}"/>
    <cellStyle name="SAPBEXheaderItem 17 4" xfId="9141" xr:uid="{00000000-0005-0000-0000-0000AB1F0000}"/>
    <cellStyle name="SAPBEXheaderItem 18" xfId="860" xr:uid="{00000000-0005-0000-0000-0000AC1F0000}"/>
    <cellStyle name="SAPBEXheaderItem 18 2" xfId="9142" xr:uid="{00000000-0005-0000-0000-0000AD1F0000}"/>
    <cellStyle name="SAPBEXheaderItem 18 3" xfId="9143" xr:uid="{00000000-0005-0000-0000-0000AE1F0000}"/>
    <cellStyle name="SAPBEXheaderItem 18 4" xfId="9144" xr:uid="{00000000-0005-0000-0000-0000AF1F0000}"/>
    <cellStyle name="SAPBEXheaderItem 19" xfId="861" xr:uid="{00000000-0005-0000-0000-0000B01F0000}"/>
    <cellStyle name="SAPBEXheaderItem 19 2" xfId="9145" xr:uid="{00000000-0005-0000-0000-0000B11F0000}"/>
    <cellStyle name="SAPBEXheaderItem 19 3" xfId="9146" xr:uid="{00000000-0005-0000-0000-0000B21F0000}"/>
    <cellStyle name="SAPBEXheaderItem 19 4" xfId="9147" xr:uid="{00000000-0005-0000-0000-0000B31F0000}"/>
    <cellStyle name="SAPBEXheaderItem 2" xfId="862" xr:uid="{00000000-0005-0000-0000-0000B41F0000}"/>
    <cellStyle name="SAPBEXheaderItem 2 2" xfId="9148" xr:uid="{00000000-0005-0000-0000-0000B51F0000}"/>
    <cellStyle name="SAPBEXheaderItem 2 3" xfId="9149" xr:uid="{00000000-0005-0000-0000-0000B61F0000}"/>
    <cellStyle name="SAPBEXheaderItem 2 4" xfId="9150" xr:uid="{00000000-0005-0000-0000-0000B71F0000}"/>
    <cellStyle name="SAPBEXheaderItem 20" xfId="863" xr:uid="{00000000-0005-0000-0000-0000B81F0000}"/>
    <cellStyle name="SAPBEXheaderItem 20 2" xfId="9151" xr:uid="{00000000-0005-0000-0000-0000B91F0000}"/>
    <cellStyle name="SAPBEXheaderItem 20 3" xfId="9152" xr:uid="{00000000-0005-0000-0000-0000BA1F0000}"/>
    <cellStyle name="SAPBEXheaderItem 20 4" xfId="9153" xr:uid="{00000000-0005-0000-0000-0000BB1F0000}"/>
    <cellStyle name="SAPBEXheaderItem 21" xfId="9154" xr:uid="{00000000-0005-0000-0000-0000BC1F0000}"/>
    <cellStyle name="SAPBEXheaderItem 22" xfId="9155" xr:uid="{00000000-0005-0000-0000-0000BD1F0000}"/>
    <cellStyle name="SAPBEXheaderItem 23" xfId="9156" xr:uid="{00000000-0005-0000-0000-0000BE1F0000}"/>
    <cellStyle name="SAPBEXheaderItem 3" xfId="864" xr:uid="{00000000-0005-0000-0000-0000BF1F0000}"/>
    <cellStyle name="SAPBEXheaderItem 3 2" xfId="9157" xr:uid="{00000000-0005-0000-0000-0000C01F0000}"/>
    <cellStyle name="SAPBEXheaderItem 3 3" xfId="9158" xr:uid="{00000000-0005-0000-0000-0000C11F0000}"/>
    <cellStyle name="SAPBEXheaderItem 3 4" xfId="9159" xr:uid="{00000000-0005-0000-0000-0000C21F0000}"/>
    <cellStyle name="SAPBEXheaderItem 4" xfId="865" xr:uid="{00000000-0005-0000-0000-0000C31F0000}"/>
    <cellStyle name="SAPBEXheaderItem 4 2" xfId="9160" xr:uid="{00000000-0005-0000-0000-0000C41F0000}"/>
    <cellStyle name="SAPBEXheaderItem 4 3" xfId="9161" xr:uid="{00000000-0005-0000-0000-0000C51F0000}"/>
    <cellStyle name="SAPBEXheaderItem 4 4" xfId="9162" xr:uid="{00000000-0005-0000-0000-0000C61F0000}"/>
    <cellStyle name="SAPBEXheaderItem 5" xfId="866" xr:uid="{00000000-0005-0000-0000-0000C71F0000}"/>
    <cellStyle name="SAPBEXheaderItem 5 2" xfId="9163" xr:uid="{00000000-0005-0000-0000-0000C81F0000}"/>
    <cellStyle name="SAPBEXheaderItem 5 3" xfId="9164" xr:uid="{00000000-0005-0000-0000-0000C91F0000}"/>
    <cellStyle name="SAPBEXheaderItem 5 4" xfId="9165" xr:uid="{00000000-0005-0000-0000-0000CA1F0000}"/>
    <cellStyle name="SAPBEXheaderItem 6" xfId="867" xr:uid="{00000000-0005-0000-0000-0000CB1F0000}"/>
    <cellStyle name="SAPBEXheaderItem 6 2" xfId="9166" xr:uid="{00000000-0005-0000-0000-0000CC1F0000}"/>
    <cellStyle name="SAPBEXheaderItem 6 3" xfId="9167" xr:uid="{00000000-0005-0000-0000-0000CD1F0000}"/>
    <cellStyle name="SAPBEXheaderItem 6 4" xfId="9168" xr:uid="{00000000-0005-0000-0000-0000CE1F0000}"/>
    <cellStyle name="SAPBEXheaderItem 7" xfId="868" xr:uid="{00000000-0005-0000-0000-0000CF1F0000}"/>
    <cellStyle name="SAPBEXheaderItem 7 2" xfId="9169" xr:uid="{00000000-0005-0000-0000-0000D01F0000}"/>
    <cellStyle name="SAPBEXheaderItem 7 3" xfId="9170" xr:uid="{00000000-0005-0000-0000-0000D11F0000}"/>
    <cellStyle name="SAPBEXheaderItem 7 4" xfId="9171" xr:uid="{00000000-0005-0000-0000-0000D21F0000}"/>
    <cellStyle name="SAPBEXheaderItem 8" xfId="869" xr:uid="{00000000-0005-0000-0000-0000D31F0000}"/>
    <cellStyle name="SAPBEXheaderItem 8 2" xfId="9172" xr:uid="{00000000-0005-0000-0000-0000D41F0000}"/>
    <cellStyle name="SAPBEXheaderItem 8 3" xfId="9173" xr:uid="{00000000-0005-0000-0000-0000D51F0000}"/>
    <cellStyle name="SAPBEXheaderItem 8 4" xfId="9174" xr:uid="{00000000-0005-0000-0000-0000D61F0000}"/>
    <cellStyle name="SAPBEXheaderItem 9" xfId="870" xr:uid="{00000000-0005-0000-0000-0000D71F0000}"/>
    <cellStyle name="SAPBEXheaderItem 9 2" xfId="9175" xr:uid="{00000000-0005-0000-0000-0000D81F0000}"/>
    <cellStyle name="SAPBEXheaderItem 9 3" xfId="9176" xr:uid="{00000000-0005-0000-0000-0000D91F0000}"/>
    <cellStyle name="SAPBEXheaderItem 9 4" xfId="9177" xr:uid="{00000000-0005-0000-0000-0000DA1F0000}"/>
    <cellStyle name="SAPBEXheaderItem_Sheet2" xfId="871" xr:uid="{00000000-0005-0000-0000-0000DB1F0000}"/>
    <cellStyle name="SAPBEXheaderText" xfId="872" xr:uid="{00000000-0005-0000-0000-0000DC1F0000}"/>
    <cellStyle name="SAPBEXheaderText 10" xfId="873" xr:uid="{00000000-0005-0000-0000-0000DD1F0000}"/>
    <cellStyle name="SAPBEXheaderText 10 2" xfId="9178" xr:uid="{00000000-0005-0000-0000-0000DE1F0000}"/>
    <cellStyle name="SAPBEXheaderText 10 3" xfId="9179" xr:uid="{00000000-0005-0000-0000-0000DF1F0000}"/>
    <cellStyle name="SAPBEXheaderText 10 4" xfId="9180" xr:uid="{00000000-0005-0000-0000-0000E01F0000}"/>
    <cellStyle name="SAPBEXheaderText 11" xfId="874" xr:uid="{00000000-0005-0000-0000-0000E11F0000}"/>
    <cellStyle name="SAPBEXheaderText 11 2" xfId="9181" xr:uid="{00000000-0005-0000-0000-0000E21F0000}"/>
    <cellStyle name="SAPBEXheaderText 11 3" xfId="9182" xr:uid="{00000000-0005-0000-0000-0000E31F0000}"/>
    <cellStyle name="SAPBEXheaderText 11 4" xfId="9183" xr:uid="{00000000-0005-0000-0000-0000E41F0000}"/>
    <cellStyle name="SAPBEXheaderText 12" xfId="875" xr:uid="{00000000-0005-0000-0000-0000E51F0000}"/>
    <cellStyle name="SAPBEXheaderText 12 2" xfId="9184" xr:uid="{00000000-0005-0000-0000-0000E61F0000}"/>
    <cellStyle name="SAPBEXheaderText 12 3" xfId="9185" xr:uid="{00000000-0005-0000-0000-0000E71F0000}"/>
    <cellStyle name="SAPBEXheaderText 12 4" xfId="9186" xr:uid="{00000000-0005-0000-0000-0000E81F0000}"/>
    <cellStyle name="SAPBEXheaderText 13" xfId="876" xr:uid="{00000000-0005-0000-0000-0000E91F0000}"/>
    <cellStyle name="SAPBEXheaderText 13 2" xfId="9187" xr:uid="{00000000-0005-0000-0000-0000EA1F0000}"/>
    <cellStyle name="SAPBEXheaderText 13 3" xfId="9188" xr:uid="{00000000-0005-0000-0000-0000EB1F0000}"/>
    <cellStyle name="SAPBEXheaderText 13 4" xfId="9189" xr:uid="{00000000-0005-0000-0000-0000EC1F0000}"/>
    <cellStyle name="SAPBEXheaderText 14" xfId="877" xr:uid="{00000000-0005-0000-0000-0000ED1F0000}"/>
    <cellStyle name="SAPBEXheaderText 14 2" xfId="9190" xr:uid="{00000000-0005-0000-0000-0000EE1F0000}"/>
    <cellStyle name="SAPBEXheaderText 14 3" xfId="9191" xr:uid="{00000000-0005-0000-0000-0000EF1F0000}"/>
    <cellStyle name="SAPBEXheaderText 14 4" xfId="9192" xr:uid="{00000000-0005-0000-0000-0000F01F0000}"/>
    <cellStyle name="SAPBEXheaderText 15" xfId="878" xr:uid="{00000000-0005-0000-0000-0000F11F0000}"/>
    <cellStyle name="SAPBEXheaderText 15 2" xfId="9193" xr:uid="{00000000-0005-0000-0000-0000F21F0000}"/>
    <cellStyle name="SAPBEXheaderText 15 3" xfId="9194" xr:uid="{00000000-0005-0000-0000-0000F31F0000}"/>
    <cellStyle name="SAPBEXheaderText 15 4" xfId="9195" xr:uid="{00000000-0005-0000-0000-0000F41F0000}"/>
    <cellStyle name="SAPBEXheaderText 16" xfId="879" xr:uid="{00000000-0005-0000-0000-0000F51F0000}"/>
    <cellStyle name="SAPBEXheaderText 16 2" xfId="9196" xr:uid="{00000000-0005-0000-0000-0000F61F0000}"/>
    <cellStyle name="SAPBEXheaderText 16 3" xfId="9197" xr:uid="{00000000-0005-0000-0000-0000F71F0000}"/>
    <cellStyle name="SAPBEXheaderText 16 4" xfId="9198" xr:uid="{00000000-0005-0000-0000-0000F81F0000}"/>
    <cellStyle name="SAPBEXheaderText 17" xfId="880" xr:uid="{00000000-0005-0000-0000-0000F91F0000}"/>
    <cellStyle name="SAPBEXheaderText 17 2" xfId="9199" xr:uid="{00000000-0005-0000-0000-0000FA1F0000}"/>
    <cellStyle name="SAPBEXheaderText 17 3" xfId="9200" xr:uid="{00000000-0005-0000-0000-0000FB1F0000}"/>
    <cellStyle name="SAPBEXheaderText 17 4" xfId="9201" xr:uid="{00000000-0005-0000-0000-0000FC1F0000}"/>
    <cellStyle name="SAPBEXheaderText 18" xfId="881" xr:uid="{00000000-0005-0000-0000-0000FD1F0000}"/>
    <cellStyle name="SAPBEXheaderText 18 2" xfId="9202" xr:uid="{00000000-0005-0000-0000-0000FE1F0000}"/>
    <cellStyle name="SAPBEXheaderText 18 3" xfId="9203" xr:uid="{00000000-0005-0000-0000-0000FF1F0000}"/>
    <cellStyle name="SAPBEXheaderText 18 4" xfId="9204" xr:uid="{00000000-0005-0000-0000-000000200000}"/>
    <cellStyle name="SAPBEXheaderText 19" xfId="882" xr:uid="{00000000-0005-0000-0000-000001200000}"/>
    <cellStyle name="SAPBEXheaderText 19 2" xfId="9205" xr:uid="{00000000-0005-0000-0000-000002200000}"/>
    <cellStyle name="SAPBEXheaderText 19 3" xfId="9206" xr:uid="{00000000-0005-0000-0000-000003200000}"/>
    <cellStyle name="SAPBEXheaderText 19 4" xfId="9207" xr:uid="{00000000-0005-0000-0000-000004200000}"/>
    <cellStyle name="SAPBEXheaderText 2" xfId="883" xr:uid="{00000000-0005-0000-0000-000005200000}"/>
    <cellStyle name="SAPBEXheaderText 2 2" xfId="9208" xr:uid="{00000000-0005-0000-0000-000006200000}"/>
    <cellStyle name="SAPBEXheaderText 2 3" xfId="9209" xr:uid="{00000000-0005-0000-0000-000007200000}"/>
    <cellStyle name="SAPBEXheaderText 2 4" xfId="9210" xr:uid="{00000000-0005-0000-0000-000008200000}"/>
    <cellStyle name="SAPBEXheaderText 20" xfId="884" xr:uid="{00000000-0005-0000-0000-000009200000}"/>
    <cellStyle name="SAPBEXheaderText 20 2" xfId="9211" xr:uid="{00000000-0005-0000-0000-00000A200000}"/>
    <cellStyle name="SAPBEXheaderText 20 3" xfId="9212" xr:uid="{00000000-0005-0000-0000-00000B200000}"/>
    <cellStyle name="SAPBEXheaderText 20 4" xfId="9213" xr:uid="{00000000-0005-0000-0000-00000C200000}"/>
    <cellStyle name="SAPBEXheaderText 21" xfId="9214" xr:uid="{00000000-0005-0000-0000-00000D200000}"/>
    <cellStyle name="SAPBEXheaderText 22" xfId="9215" xr:uid="{00000000-0005-0000-0000-00000E200000}"/>
    <cellStyle name="SAPBEXheaderText 23" xfId="9216" xr:uid="{00000000-0005-0000-0000-00000F200000}"/>
    <cellStyle name="SAPBEXheaderText 3" xfId="885" xr:uid="{00000000-0005-0000-0000-000010200000}"/>
    <cellStyle name="SAPBEXheaderText 3 2" xfId="9217" xr:uid="{00000000-0005-0000-0000-000011200000}"/>
    <cellStyle name="SAPBEXheaderText 3 3" xfId="9218" xr:uid="{00000000-0005-0000-0000-000012200000}"/>
    <cellStyle name="SAPBEXheaderText 3 4" xfId="9219" xr:uid="{00000000-0005-0000-0000-000013200000}"/>
    <cellStyle name="SAPBEXheaderText 4" xfId="886" xr:uid="{00000000-0005-0000-0000-000014200000}"/>
    <cellStyle name="SAPBEXheaderText 4 2" xfId="9220" xr:uid="{00000000-0005-0000-0000-000015200000}"/>
    <cellStyle name="SAPBEXheaderText 4 3" xfId="9221" xr:uid="{00000000-0005-0000-0000-000016200000}"/>
    <cellStyle name="SAPBEXheaderText 4 4" xfId="9222" xr:uid="{00000000-0005-0000-0000-000017200000}"/>
    <cellStyle name="SAPBEXheaderText 5" xfId="887" xr:uid="{00000000-0005-0000-0000-000018200000}"/>
    <cellStyle name="SAPBEXheaderText 5 2" xfId="9223" xr:uid="{00000000-0005-0000-0000-000019200000}"/>
    <cellStyle name="SAPBEXheaderText 5 3" xfId="9224" xr:uid="{00000000-0005-0000-0000-00001A200000}"/>
    <cellStyle name="SAPBEXheaderText 5 4" xfId="9225" xr:uid="{00000000-0005-0000-0000-00001B200000}"/>
    <cellStyle name="SAPBEXheaderText 6" xfId="888" xr:uid="{00000000-0005-0000-0000-00001C200000}"/>
    <cellStyle name="SAPBEXheaderText 6 2" xfId="9226" xr:uid="{00000000-0005-0000-0000-00001D200000}"/>
    <cellStyle name="SAPBEXheaderText 6 3" xfId="9227" xr:uid="{00000000-0005-0000-0000-00001E200000}"/>
    <cellStyle name="SAPBEXheaderText 6 4" xfId="9228" xr:uid="{00000000-0005-0000-0000-00001F200000}"/>
    <cellStyle name="SAPBEXheaderText 7" xfId="889" xr:uid="{00000000-0005-0000-0000-000020200000}"/>
    <cellStyle name="SAPBEXheaderText 7 2" xfId="9229" xr:uid="{00000000-0005-0000-0000-000021200000}"/>
    <cellStyle name="SAPBEXheaderText 7 3" xfId="9230" xr:uid="{00000000-0005-0000-0000-000022200000}"/>
    <cellStyle name="SAPBEXheaderText 7 4" xfId="9231" xr:uid="{00000000-0005-0000-0000-000023200000}"/>
    <cellStyle name="SAPBEXheaderText 8" xfId="890" xr:uid="{00000000-0005-0000-0000-000024200000}"/>
    <cellStyle name="SAPBEXheaderText 8 2" xfId="9232" xr:uid="{00000000-0005-0000-0000-000025200000}"/>
    <cellStyle name="SAPBEXheaderText 8 3" xfId="9233" xr:uid="{00000000-0005-0000-0000-000026200000}"/>
    <cellStyle name="SAPBEXheaderText 8 4" xfId="9234" xr:uid="{00000000-0005-0000-0000-000027200000}"/>
    <cellStyle name="SAPBEXheaderText 9" xfId="891" xr:uid="{00000000-0005-0000-0000-000028200000}"/>
    <cellStyle name="SAPBEXheaderText 9 2" xfId="9235" xr:uid="{00000000-0005-0000-0000-000029200000}"/>
    <cellStyle name="SAPBEXheaderText 9 3" xfId="9236" xr:uid="{00000000-0005-0000-0000-00002A200000}"/>
    <cellStyle name="SAPBEXheaderText 9 4" xfId="9237" xr:uid="{00000000-0005-0000-0000-00002B200000}"/>
    <cellStyle name="SAPBEXheaderText_Sheet2" xfId="892" xr:uid="{00000000-0005-0000-0000-00002C200000}"/>
    <cellStyle name="SAPBEXHLevel0" xfId="893" xr:uid="{00000000-0005-0000-0000-00002D200000}"/>
    <cellStyle name="SAPBEXHLevel0 10" xfId="894" xr:uid="{00000000-0005-0000-0000-00002E200000}"/>
    <cellStyle name="SAPBEXHLevel0 10 2" xfId="9238" xr:uid="{00000000-0005-0000-0000-00002F200000}"/>
    <cellStyle name="SAPBEXHLevel0 10 3" xfId="9239" xr:uid="{00000000-0005-0000-0000-000030200000}"/>
    <cellStyle name="SAPBEXHLevel0 10 4" xfId="9240" xr:uid="{00000000-0005-0000-0000-000031200000}"/>
    <cellStyle name="SAPBEXHLevel0 11" xfId="895" xr:uid="{00000000-0005-0000-0000-000032200000}"/>
    <cellStyle name="SAPBEXHLevel0 11 2" xfId="9241" xr:uid="{00000000-0005-0000-0000-000033200000}"/>
    <cellStyle name="SAPBEXHLevel0 11 3" xfId="9242" xr:uid="{00000000-0005-0000-0000-000034200000}"/>
    <cellStyle name="SAPBEXHLevel0 11 4" xfId="9243" xr:uid="{00000000-0005-0000-0000-000035200000}"/>
    <cellStyle name="SAPBEXHLevel0 12" xfId="896" xr:uid="{00000000-0005-0000-0000-000036200000}"/>
    <cellStyle name="SAPBEXHLevel0 12 2" xfId="9244" xr:uid="{00000000-0005-0000-0000-000037200000}"/>
    <cellStyle name="SAPBEXHLevel0 12 3" xfId="9245" xr:uid="{00000000-0005-0000-0000-000038200000}"/>
    <cellStyle name="SAPBEXHLevel0 12 4" xfId="9246" xr:uid="{00000000-0005-0000-0000-000039200000}"/>
    <cellStyle name="SAPBEXHLevel0 13" xfId="897" xr:uid="{00000000-0005-0000-0000-00003A200000}"/>
    <cellStyle name="SAPBEXHLevel0 13 2" xfId="9247" xr:uid="{00000000-0005-0000-0000-00003B200000}"/>
    <cellStyle name="SAPBEXHLevel0 13 3" xfId="9248" xr:uid="{00000000-0005-0000-0000-00003C200000}"/>
    <cellStyle name="SAPBEXHLevel0 13 4" xfId="9249" xr:uid="{00000000-0005-0000-0000-00003D200000}"/>
    <cellStyle name="SAPBEXHLevel0 14" xfId="898" xr:uid="{00000000-0005-0000-0000-00003E200000}"/>
    <cellStyle name="SAPBEXHLevel0 14 2" xfId="9250" xr:uid="{00000000-0005-0000-0000-00003F200000}"/>
    <cellStyle name="SAPBEXHLevel0 14 3" xfId="9251" xr:uid="{00000000-0005-0000-0000-000040200000}"/>
    <cellStyle name="SAPBEXHLevel0 14 4" xfId="9252" xr:uid="{00000000-0005-0000-0000-000041200000}"/>
    <cellStyle name="SAPBEXHLevel0 15" xfId="899" xr:uid="{00000000-0005-0000-0000-000042200000}"/>
    <cellStyle name="SAPBEXHLevel0 15 2" xfId="9253" xr:uid="{00000000-0005-0000-0000-000043200000}"/>
    <cellStyle name="SAPBEXHLevel0 15 3" xfId="9254" xr:uid="{00000000-0005-0000-0000-000044200000}"/>
    <cellStyle name="SAPBEXHLevel0 15 4" xfId="9255" xr:uid="{00000000-0005-0000-0000-000045200000}"/>
    <cellStyle name="SAPBEXHLevel0 16" xfId="900" xr:uid="{00000000-0005-0000-0000-000046200000}"/>
    <cellStyle name="SAPBEXHLevel0 16 2" xfId="9256" xr:uid="{00000000-0005-0000-0000-000047200000}"/>
    <cellStyle name="SAPBEXHLevel0 16 3" xfId="9257" xr:uid="{00000000-0005-0000-0000-000048200000}"/>
    <cellStyle name="SAPBEXHLevel0 16 4" xfId="9258" xr:uid="{00000000-0005-0000-0000-000049200000}"/>
    <cellStyle name="SAPBEXHLevel0 17" xfId="901" xr:uid="{00000000-0005-0000-0000-00004A200000}"/>
    <cellStyle name="SAPBEXHLevel0 17 2" xfId="9259" xr:uid="{00000000-0005-0000-0000-00004B200000}"/>
    <cellStyle name="SAPBEXHLevel0 17 3" xfId="9260" xr:uid="{00000000-0005-0000-0000-00004C200000}"/>
    <cellStyle name="SAPBEXHLevel0 17 4" xfId="9261" xr:uid="{00000000-0005-0000-0000-00004D200000}"/>
    <cellStyle name="SAPBEXHLevel0 18" xfId="902" xr:uid="{00000000-0005-0000-0000-00004E200000}"/>
    <cellStyle name="SAPBEXHLevel0 18 2" xfId="9262" xr:uid="{00000000-0005-0000-0000-00004F200000}"/>
    <cellStyle name="SAPBEXHLevel0 18 3" xfId="9263" xr:uid="{00000000-0005-0000-0000-000050200000}"/>
    <cellStyle name="SAPBEXHLevel0 18 4" xfId="9264" xr:uid="{00000000-0005-0000-0000-000051200000}"/>
    <cellStyle name="SAPBEXHLevel0 19" xfId="903" xr:uid="{00000000-0005-0000-0000-000052200000}"/>
    <cellStyle name="SAPBEXHLevel0 19 2" xfId="9265" xr:uid="{00000000-0005-0000-0000-000053200000}"/>
    <cellStyle name="SAPBEXHLevel0 19 3" xfId="9266" xr:uid="{00000000-0005-0000-0000-000054200000}"/>
    <cellStyle name="SAPBEXHLevel0 19 4" xfId="9267" xr:uid="{00000000-0005-0000-0000-000055200000}"/>
    <cellStyle name="SAPBEXHLevel0 2" xfId="904" xr:uid="{00000000-0005-0000-0000-000056200000}"/>
    <cellStyle name="SAPBEXHLevel0 2 2" xfId="9268" xr:uid="{00000000-0005-0000-0000-000057200000}"/>
    <cellStyle name="SAPBEXHLevel0 2 3" xfId="9269" xr:uid="{00000000-0005-0000-0000-000058200000}"/>
    <cellStyle name="SAPBEXHLevel0 2 4" xfId="9270" xr:uid="{00000000-0005-0000-0000-000059200000}"/>
    <cellStyle name="SAPBEXHLevel0 20" xfId="905" xr:uid="{00000000-0005-0000-0000-00005A200000}"/>
    <cellStyle name="SAPBEXHLevel0 20 2" xfId="9271" xr:uid="{00000000-0005-0000-0000-00005B200000}"/>
    <cellStyle name="SAPBEXHLevel0 20 3" xfId="9272" xr:uid="{00000000-0005-0000-0000-00005C200000}"/>
    <cellStyle name="SAPBEXHLevel0 20 4" xfId="9273" xr:uid="{00000000-0005-0000-0000-00005D200000}"/>
    <cellStyle name="SAPBEXHLevel0 21" xfId="9274" xr:uid="{00000000-0005-0000-0000-00005E200000}"/>
    <cellStyle name="SAPBEXHLevel0 22" xfId="9275" xr:uid="{00000000-0005-0000-0000-00005F200000}"/>
    <cellStyle name="SAPBEXHLevel0 23" xfId="9276" xr:uid="{00000000-0005-0000-0000-000060200000}"/>
    <cellStyle name="SAPBEXHLevel0 3" xfId="906" xr:uid="{00000000-0005-0000-0000-000061200000}"/>
    <cellStyle name="SAPBEXHLevel0 3 2" xfId="9277" xr:uid="{00000000-0005-0000-0000-000062200000}"/>
    <cellStyle name="SAPBEXHLevel0 3 3" xfId="9278" xr:uid="{00000000-0005-0000-0000-000063200000}"/>
    <cellStyle name="SAPBEXHLevel0 3 4" xfId="9279" xr:uid="{00000000-0005-0000-0000-000064200000}"/>
    <cellStyle name="SAPBEXHLevel0 4" xfId="907" xr:uid="{00000000-0005-0000-0000-000065200000}"/>
    <cellStyle name="SAPBEXHLevel0 4 2" xfId="9280" xr:uid="{00000000-0005-0000-0000-000066200000}"/>
    <cellStyle name="SAPBEXHLevel0 4 3" xfId="9281" xr:uid="{00000000-0005-0000-0000-000067200000}"/>
    <cellStyle name="SAPBEXHLevel0 4 4" xfId="9282" xr:uid="{00000000-0005-0000-0000-000068200000}"/>
    <cellStyle name="SAPBEXHLevel0 5" xfId="908" xr:uid="{00000000-0005-0000-0000-000069200000}"/>
    <cellStyle name="SAPBEXHLevel0 5 2" xfId="9283" xr:uid="{00000000-0005-0000-0000-00006A200000}"/>
    <cellStyle name="SAPBEXHLevel0 5 3" xfId="9284" xr:uid="{00000000-0005-0000-0000-00006B200000}"/>
    <cellStyle name="SAPBEXHLevel0 5 4" xfId="9285" xr:uid="{00000000-0005-0000-0000-00006C200000}"/>
    <cellStyle name="SAPBEXHLevel0 6" xfId="909" xr:uid="{00000000-0005-0000-0000-00006D200000}"/>
    <cellStyle name="SAPBEXHLevel0 6 2" xfId="9286" xr:uid="{00000000-0005-0000-0000-00006E200000}"/>
    <cellStyle name="SAPBEXHLevel0 6 3" xfId="9287" xr:uid="{00000000-0005-0000-0000-00006F200000}"/>
    <cellStyle name="SAPBEXHLevel0 6 4" xfId="9288" xr:uid="{00000000-0005-0000-0000-000070200000}"/>
    <cellStyle name="SAPBEXHLevel0 7" xfId="910" xr:uid="{00000000-0005-0000-0000-000071200000}"/>
    <cellStyle name="SAPBEXHLevel0 7 2" xfId="9289" xr:uid="{00000000-0005-0000-0000-000072200000}"/>
    <cellStyle name="SAPBEXHLevel0 7 3" xfId="9290" xr:uid="{00000000-0005-0000-0000-000073200000}"/>
    <cellStyle name="SAPBEXHLevel0 7 4" xfId="9291" xr:uid="{00000000-0005-0000-0000-000074200000}"/>
    <cellStyle name="SAPBEXHLevel0 8" xfId="911" xr:uid="{00000000-0005-0000-0000-000075200000}"/>
    <cellStyle name="SAPBEXHLevel0 8 2" xfId="9292" xr:uid="{00000000-0005-0000-0000-000076200000}"/>
    <cellStyle name="SAPBEXHLevel0 8 3" xfId="9293" xr:uid="{00000000-0005-0000-0000-000077200000}"/>
    <cellStyle name="SAPBEXHLevel0 8 4" xfId="9294" xr:uid="{00000000-0005-0000-0000-000078200000}"/>
    <cellStyle name="SAPBEXHLevel0 9" xfId="912" xr:uid="{00000000-0005-0000-0000-000079200000}"/>
    <cellStyle name="SAPBEXHLevel0 9 2" xfId="9295" xr:uid="{00000000-0005-0000-0000-00007A200000}"/>
    <cellStyle name="SAPBEXHLevel0 9 3" xfId="9296" xr:uid="{00000000-0005-0000-0000-00007B200000}"/>
    <cellStyle name="SAPBEXHLevel0 9 4" xfId="9297" xr:uid="{00000000-0005-0000-0000-00007C200000}"/>
    <cellStyle name="SAPBEXHLevel0_Sheet2" xfId="913" xr:uid="{00000000-0005-0000-0000-00007D200000}"/>
    <cellStyle name="SAPBEXHLevel0X" xfId="914" xr:uid="{00000000-0005-0000-0000-00007E200000}"/>
    <cellStyle name="SAPBEXHLevel0X 10" xfId="915" xr:uid="{00000000-0005-0000-0000-00007F200000}"/>
    <cellStyle name="SAPBEXHLevel0X 10 2" xfId="9298" xr:uid="{00000000-0005-0000-0000-000080200000}"/>
    <cellStyle name="SAPBEXHLevel0X 10 3" xfId="9299" xr:uid="{00000000-0005-0000-0000-000081200000}"/>
    <cellStyle name="SAPBEXHLevel0X 10 4" xfId="9300" xr:uid="{00000000-0005-0000-0000-000082200000}"/>
    <cellStyle name="SAPBEXHLevel0X 11" xfId="916" xr:uid="{00000000-0005-0000-0000-000083200000}"/>
    <cellStyle name="SAPBEXHLevel0X 11 2" xfId="9301" xr:uid="{00000000-0005-0000-0000-000084200000}"/>
    <cellStyle name="SAPBEXHLevel0X 11 3" xfId="9302" xr:uid="{00000000-0005-0000-0000-000085200000}"/>
    <cellStyle name="SAPBEXHLevel0X 11 4" xfId="9303" xr:uid="{00000000-0005-0000-0000-000086200000}"/>
    <cellStyle name="SAPBEXHLevel0X 12" xfId="917" xr:uid="{00000000-0005-0000-0000-000087200000}"/>
    <cellStyle name="SAPBEXHLevel0X 12 2" xfId="9304" xr:uid="{00000000-0005-0000-0000-000088200000}"/>
    <cellStyle name="SAPBEXHLevel0X 12 3" xfId="9305" xr:uid="{00000000-0005-0000-0000-000089200000}"/>
    <cellStyle name="SAPBEXHLevel0X 12 4" xfId="9306" xr:uid="{00000000-0005-0000-0000-00008A200000}"/>
    <cellStyle name="SAPBEXHLevel0X 13" xfId="918" xr:uid="{00000000-0005-0000-0000-00008B200000}"/>
    <cellStyle name="SAPBEXHLevel0X 13 2" xfId="9307" xr:uid="{00000000-0005-0000-0000-00008C200000}"/>
    <cellStyle name="SAPBEXHLevel0X 13 3" xfId="9308" xr:uid="{00000000-0005-0000-0000-00008D200000}"/>
    <cellStyle name="SAPBEXHLevel0X 13 4" xfId="9309" xr:uid="{00000000-0005-0000-0000-00008E200000}"/>
    <cellStyle name="SAPBEXHLevel0X 14" xfId="919" xr:uid="{00000000-0005-0000-0000-00008F200000}"/>
    <cellStyle name="SAPBEXHLevel0X 14 2" xfId="9310" xr:uid="{00000000-0005-0000-0000-000090200000}"/>
    <cellStyle name="SAPBEXHLevel0X 14 3" xfId="9311" xr:uid="{00000000-0005-0000-0000-000091200000}"/>
    <cellStyle name="SAPBEXHLevel0X 14 4" xfId="9312" xr:uid="{00000000-0005-0000-0000-000092200000}"/>
    <cellStyle name="SAPBEXHLevel0X 15" xfId="920" xr:uid="{00000000-0005-0000-0000-000093200000}"/>
    <cellStyle name="SAPBEXHLevel0X 15 2" xfId="9313" xr:uid="{00000000-0005-0000-0000-000094200000}"/>
    <cellStyle name="SAPBEXHLevel0X 15 3" xfId="9314" xr:uid="{00000000-0005-0000-0000-000095200000}"/>
    <cellStyle name="SAPBEXHLevel0X 15 4" xfId="9315" xr:uid="{00000000-0005-0000-0000-000096200000}"/>
    <cellStyle name="SAPBEXHLevel0X 16" xfId="921" xr:uid="{00000000-0005-0000-0000-000097200000}"/>
    <cellStyle name="SAPBEXHLevel0X 16 2" xfId="9316" xr:uid="{00000000-0005-0000-0000-000098200000}"/>
    <cellStyle name="SAPBEXHLevel0X 16 3" xfId="9317" xr:uid="{00000000-0005-0000-0000-000099200000}"/>
    <cellStyle name="SAPBEXHLevel0X 16 4" xfId="9318" xr:uid="{00000000-0005-0000-0000-00009A200000}"/>
    <cellStyle name="SAPBEXHLevel0X 17" xfId="922" xr:uid="{00000000-0005-0000-0000-00009B200000}"/>
    <cellStyle name="SAPBEXHLevel0X 17 2" xfId="9319" xr:uid="{00000000-0005-0000-0000-00009C200000}"/>
    <cellStyle name="SAPBEXHLevel0X 17 3" xfId="9320" xr:uid="{00000000-0005-0000-0000-00009D200000}"/>
    <cellStyle name="SAPBEXHLevel0X 17 4" xfId="9321" xr:uid="{00000000-0005-0000-0000-00009E200000}"/>
    <cellStyle name="SAPBEXHLevel0X 18" xfId="923" xr:uid="{00000000-0005-0000-0000-00009F200000}"/>
    <cellStyle name="SAPBEXHLevel0X 18 2" xfId="9322" xr:uid="{00000000-0005-0000-0000-0000A0200000}"/>
    <cellStyle name="SAPBEXHLevel0X 18 3" xfId="9323" xr:uid="{00000000-0005-0000-0000-0000A1200000}"/>
    <cellStyle name="SAPBEXHLevel0X 18 4" xfId="9324" xr:uid="{00000000-0005-0000-0000-0000A2200000}"/>
    <cellStyle name="SAPBEXHLevel0X 19" xfId="924" xr:uid="{00000000-0005-0000-0000-0000A3200000}"/>
    <cellStyle name="SAPBEXHLevel0X 19 2" xfId="9325" xr:uid="{00000000-0005-0000-0000-0000A4200000}"/>
    <cellStyle name="SAPBEXHLevel0X 19 3" xfId="9326" xr:uid="{00000000-0005-0000-0000-0000A5200000}"/>
    <cellStyle name="SAPBEXHLevel0X 19 4" xfId="9327" xr:uid="{00000000-0005-0000-0000-0000A6200000}"/>
    <cellStyle name="SAPBEXHLevel0X 2" xfId="925" xr:uid="{00000000-0005-0000-0000-0000A7200000}"/>
    <cellStyle name="SAPBEXHLevel0X 2 2" xfId="9328" xr:uid="{00000000-0005-0000-0000-0000A8200000}"/>
    <cellStyle name="SAPBEXHLevel0X 2 3" xfId="9329" xr:uid="{00000000-0005-0000-0000-0000A9200000}"/>
    <cellStyle name="SAPBEXHLevel0X 2 4" xfId="9330" xr:uid="{00000000-0005-0000-0000-0000AA200000}"/>
    <cellStyle name="SAPBEXHLevel0X 20" xfId="926" xr:uid="{00000000-0005-0000-0000-0000AB200000}"/>
    <cellStyle name="SAPBEXHLevel0X 20 2" xfId="9331" xr:uid="{00000000-0005-0000-0000-0000AC200000}"/>
    <cellStyle name="SAPBEXHLevel0X 20 3" xfId="9332" xr:uid="{00000000-0005-0000-0000-0000AD200000}"/>
    <cellStyle name="SAPBEXHLevel0X 20 4" xfId="9333" xr:uid="{00000000-0005-0000-0000-0000AE200000}"/>
    <cellStyle name="SAPBEXHLevel0X 21" xfId="9334" xr:uid="{00000000-0005-0000-0000-0000AF200000}"/>
    <cellStyle name="SAPBEXHLevel0X 22" xfId="9335" xr:uid="{00000000-0005-0000-0000-0000B0200000}"/>
    <cellStyle name="SAPBEXHLevel0X 23" xfId="9336" xr:uid="{00000000-0005-0000-0000-0000B1200000}"/>
    <cellStyle name="SAPBEXHLevel0X 3" xfId="927" xr:uid="{00000000-0005-0000-0000-0000B2200000}"/>
    <cellStyle name="SAPBEXHLevel0X 3 2" xfId="9337" xr:uid="{00000000-0005-0000-0000-0000B3200000}"/>
    <cellStyle name="SAPBEXHLevel0X 3 3" xfId="9338" xr:uid="{00000000-0005-0000-0000-0000B4200000}"/>
    <cellStyle name="SAPBEXHLevel0X 3 4" xfId="9339" xr:uid="{00000000-0005-0000-0000-0000B5200000}"/>
    <cellStyle name="SAPBEXHLevel0X 4" xfId="928" xr:uid="{00000000-0005-0000-0000-0000B6200000}"/>
    <cellStyle name="SAPBEXHLevel0X 4 2" xfId="9340" xr:uid="{00000000-0005-0000-0000-0000B7200000}"/>
    <cellStyle name="SAPBEXHLevel0X 4 3" xfId="9341" xr:uid="{00000000-0005-0000-0000-0000B8200000}"/>
    <cellStyle name="SAPBEXHLevel0X 4 4" xfId="9342" xr:uid="{00000000-0005-0000-0000-0000B9200000}"/>
    <cellStyle name="SAPBEXHLevel0X 5" xfId="929" xr:uid="{00000000-0005-0000-0000-0000BA200000}"/>
    <cellStyle name="SAPBEXHLevel0X 5 2" xfId="9343" xr:uid="{00000000-0005-0000-0000-0000BB200000}"/>
    <cellStyle name="SAPBEXHLevel0X 5 3" xfId="9344" xr:uid="{00000000-0005-0000-0000-0000BC200000}"/>
    <cellStyle name="SAPBEXHLevel0X 5 4" xfId="9345" xr:uid="{00000000-0005-0000-0000-0000BD200000}"/>
    <cellStyle name="SAPBEXHLevel0X 6" xfId="930" xr:uid="{00000000-0005-0000-0000-0000BE200000}"/>
    <cellStyle name="SAPBEXHLevel0X 6 2" xfId="9346" xr:uid="{00000000-0005-0000-0000-0000BF200000}"/>
    <cellStyle name="SAPBEXHLevel0X 6 3" xfId="9347" xr:uid="{00000000-0005-0000-0000-0000C0200000}"/>
    <cellStyle name="SAPBEXHLevel0X 6 4" xfId="9348" xr:uid="{00000000-0005-0000-0000-0000C1200000}"/>
    <cellStyle name="SAPBEXHLevel0X 7" xfId="931" xr:uid="{00000000-0005-0000-0000-0000C2200000}"/>
    <cellStyle name="SAPBEXHLevel0X 7 2" xfId="9349" xr:uid="{00000000-0005-0000-0000-0000C3200000}"/>
    <cellStyle name="SAPBEXHLevel0X 7 3" xfId="9350" xr:uid="{00000000-0005-0000-0000-0000C4200000}"/>
    <cellStyle name="SAPBEXHLevel0X 7 4" xfId="9351" xr:uid="{00000000-0005-0000-0000-0000C5200000}"/>
    <cellStyle name="SAPBEXHLevel0X 8" xfId="932" xr:uid="{00000000-0005-0000-0000-0000C6200000}"/>
    <cellStyle name="SAPBEXHLevel0X 8 2" xfId="9352" xr:uid="{00000000-0005-0000-0000-0000C7200000}"/>
    <cellStyle name="SAPBEXHLevel0X 8 3" xfId="9353" xr:uid="{00000000-0005-0000-0000-0000C8200000}"/>
    <cellStyle name="SAPBEXHLevel0X 8 4" xfId="9354" xr:uid="{00000000-0005-0000-0000-0000C9200000}"/>
    <cellStyle name="SAPBEXHLevel0X 9" xfId="933" xr:uid="{00000000-0005-0000-0000-0000CA200000}"/>
    <cellStyle name="SAPBEXHLevel0X 9 2" xfId="9355" xr:uid="{00000000-0005-0000-0000-0000CB200000}"/>
    <cellStyle name="SAPBEXHLevel0X 9 3" xfId="9356" xr:uid="{00000000-0005-0000-0000-0000CC200000}"/>
    <cellStyle name="SAPBEXHLevel0X 9 4" xfId="9357" xr:uid="{00000000-0005-0000-0000-0000CD200000}"/>
    <cellStyle name="SAPBEXHLevel0X_Sheet2" xfId="934" xr:uid="{00000000-0005-0000-0000-0000CE200000}"/>
    <cellStyle name="SAPBEXHLevel1" xfId="935" xr:uid="{00000000-0005-0000-0000-0000CF200000}"/>
    <cellStyle name="SAPBEXHLevel1 10" xfId="936" xr:uid="{00000000-0005-0000-0000-0000D0200000}"/>
    <cellStyle name="SAPBEXHLevel1 10 2" xfId="9358" xr:uid="{00000000-0005-0000-0000-0000D1200000}"/>
    <cellStyle name="SAPBEXHLevel1 10 3" xfId="9359" xr:uid="{00000000-0005-0000-0000-0000D2200000}"/>
    <cellStyle name="SAPBEXHLevel1 10 4" xfId="9360" xr:uid="{00000000-0005-0000-0000-0000D3200000}"/>
    <cellStyle name="SAPBEXHLevel1 11" xfId="937" xr:uid="{00000000-0005-0000-0000-0000D4200000}"/>
    <cellStyle name="SAPBEXHLevel1 11 2" xfId="9361" xr:uid="{00000000-0005-0000-0000-0000D5200000}"/>
    <cellStyle name="SAPBEXHLevel1 11 3" xfId="9362" xr:uid="{00000000-0005-0000-0000-0000D6200000}"/>
    <cellStyle name="SAPBEXHLevel1 11 4" xfId="9363" xr:uid="{00000000-0005-0000-0000-0000D7200000}"/>
    <cellStyle name="SAPBEXHLevel1 12" xfId="938" xr:uid="{00000000-0005-0000-0000-0000D8200000}"/>
    <cellStyle name="SAPBEXHLevel1 12 2" xfId="9364" xr:uid="{00000000-0005-0000-0000-0000D9200000}"/>
    <cellStyle name="SAPBEXHLevel1 12 3" xfId="9365" xr:uid="{00000000-0005-0000-0000-0000DA200000}"/>
    <cellStyle name="SAPBEXHLevel1 12 4" xfId="9366" xr:uid="{00000000-0005-0000-0000-0000DB200000}"/>
    <cellStyle name="SAPBEXHLevel1 13" xfId="939" xr:uid="{00000000-0005-0000-0000-0000DC200000}"/>
    <cellStyle name="SAPBEXHLevel1 13 2" xfId="9367" xr:uid="{00000000-0005-0000-0000-0000DD200000}"/>
    <cellStyle name="SAPBEXHLevel1 13 3" xfId="9368" xr:uid="{00000000-0005-0000-0000-0000DE200000}"/>
    <cellStyle name="SAPBEXHLevel1 13 4" xfId="9369" xr:uid="{00000000-0005-0000-0000-0000DF200000}"/>
    <cellStyle name="SAPBEXHLevel1 14" xfId="940" xr:uid="{00000000-0005-0000-0000-0000E0200000}"/>
    <cellStyle name="SAPBEXHLevel1 14 2" xfId="9370" xr:uid="{00000000-0005-0000-0000-0000E1200000}"/>
    <cellStyle name="SAPBEXHLevel1 14 3" xfId="9371" xr:uid="{00000000-0005-0000-0000-0000E2200000}"/>
    <cellStyle name="SAPBEXHLevel1 14 4" xfId="9372" xr:uid="{00000000-0005-0000-0000-0000E3200000}"/>
    <cellStyle name="SAPBEXHLevel1 15" xfId="941" xr:uid="{00000000-0005-0000-0000-0000E4200000}"/>
    <cellStyle name="SAPBEXHLevel1 15 2" xfId="9373" xr:uid="{00000000-0005-0000-0000-0000E5200000}"/>
    <cellStyle name="SAPBEXHLevel1 15 3" xfId="9374" xr:uid="{00000000-0005-0000-0000-0000E6200000}"/>
    <cellStyle name="SAPBEXHLevel1 15 4" xfId="9375" xr:uid="{00000000-0005-0000-0000-0000E7200000}"/>
    <cellStyle name="SAPBEXHLevel1 16" xfId="942" xr:uid="{00000000-0005-0000-0000-0000E8200000}"/>
    <cellStyle name="SAPBEXHLevel1 16 2" xfId="9376" xr:uid="{00000000-0005-0000-0000-0000E9200000}"/>
    <cellStyle name="SAPBEXHLevel1 16 3" xfId="9377" xr:uid="{00000000-0005-0000-0000-0000EA200000}"/>
    <cellStyle name="SAPBEXHLevel1 16 4" xfId="9378" xr:uid="{00000000-0005-0000-0000-0000EB200000}"/>
    <cellStyle name="SAPBEXHLevel1 17" xfId="943" xr:uid="{00000000-0005-0000-0000-0000EC200000}"/>
    <cellStyle name="SAPBEXHLevel1 17 2" xfId="9379" xr:uid="{00000000-0005-0000-0000-0000ED200000}"/>
    <cellStyle name="SAPBEXHLevel1 17 3" xfId="9380" xr:uid="{00000000-0005-0000-0000-0000EE200000}"/>
    <cellStyle name="SAPBEXHLevel1 17 4" xfId="9381" xr:uid="{00000000-0005-0000-0000-0000EF200000}"/>
    <cellStyle name="SAPBEXHLevel1 18" xfId="944" xr:uid="{00000000-0005-0000-0000-0000F0200000}"/>
    <cellStyle name="SAPBEXHLevel1 18 2" xfId="9382" xr:uid="{00000000-0005-0000-0000-0000F1200000}"/>
    <cellStyle name="SAPBEXHLevel1 18 3" xfId="9383" xr:uid="{00000000-0005-0000-0000-0000F2200000}"/>
    <cellStyle name="SAPBEXHLevel1 18 4" xfId="9384" xr:uid="{00000000-0005-0000-0000-0000F3200000}"/>
    <cellStyle name="SAPBEXHLevel1 19" xfId="945" xr:uid="{00000000-0005-0000-0000-0000F4200000}"/>
    <cellStyle name="SAPBEXHLevel1 19 2" xfId="9385" xr:uid="{00000000-0005-0000-0000-0000F5200000}"/>
    <cellStyle name="SAPBEXHLevel1 19 3" xfId="9386" xr:uid="{00000000-0005-0000-0000-0000F6200000}"/>
    <cellStyle name="SAPBEXHLevel1 19 4" xfId="9387" xr:uid="{00000000-0005-0000-0000-0000F7200000}"/>
    <cellStyle name="SAPBEXHLevel1 2" xfId="946" xr:uid="{00000000-0005-0000-0000-0000F8200000}"/>
    <cellStyle name="SAPBEXHLevel1 2 2" xfId="9388" xr:uid="{00000000-0005-0000-0000-0000F9200000}"/>
    <cellStyle name="SAPBEXHLevel1 2 3" xfId="9389" xr:uid="{00000000-0005-0000-0000-0000FA200000}"/>
    <cellStyle name="SAPBEXHLevel1 2 4" xfId="9390" xr:uid="{00000000-0005-0000-0000-0000FB200000}"/>
    <cellStyle name="SAPBEXHLevel1 20" xfId="947" xr:uid="{00000000-0005-0000-0000-0000FC200000}"/>
    <cellStyle name="SAPBEXHLevel1 20 2" xfId="9391" xr:uid="{00000000-0005-0000-0000-0000FD200000}"/>
    <cellStyle name="SAPBEXHLevel1 20 3" xfId="9392" xr:uid="{00000000-0005-0000-0000-0000FE200000}"/>
    <cellStyle name="SAPBEXHLevel1 20 4" xfId="9393" xr:uid="{00000000-0005-0000-0000-0000FF200000}"/>
    <cellStyle name="SAPBEXHLevel1 21" xfId="9394" xr:uid="{00000000-0005-0000-0000-000000210000}"/>
    <cellStyle name="SAPBEXHLevel1 22" xfId="9395" xr:uid="{00000000-0005-0000-0000-000001210000}"/>
    <cellStyle name="SAPBEXHLevel1 23" xfId="9396" xr:uid="{00000000-0005-0000-0000-000002210000}"/>
    <cellStyle name="SAPBEXHLevel1 3" xfId="948" xr:uid="{00000000-0005-0000-0000-000003210000}"/>
    <cellStyle name="SAPBEXHLevel1 3 2" xfId="9397" xr:uid="{00000000-0005-0000-0000-000004210000}"/>
    <cellStyle name="SAPBEXHLevel1 3 3" xfId="9398" xr:uid="{00000000-0005-0000-0000-000005210000}"/>
    <cellStyle name="SAPBEXHLevel1 3 4" xfId="9399" xr:uid="{00000000-0005-0000-0000-000006210000}"/>
    <cellStyle name="SAPBEXHLevel1 4" xfId="949" xr:uid="{00000000-0005-0000-0000-000007210000}"/>
    <cellStyle name="SAPBEXHLevel1 4 2" xfId="9400" xr:uid="{00000000-0005-0000-0000-000008210000}"/>
    <cellStyle name="SAPBEXHLevel1 4 3" xfId="9401" xr:uid="{00000000-0005-0000-0000-000009210000}"/>
    <cellStyle name="SAPBEXHLevel1 4 4" xfId="9402" xr:uid="{00000000-0005-0000-0000-00000A210000}"/>
    <cellStyle name="SAPBEXHLevel1 5" xfId="950" xr:uid="{00000000-0005-0000-0000-00000B210000}"/>
    <cellStyle name="SAPBEXHLevel1 5 2" xfId="9403" xr:uid="{00000000-0005-0000-0000-00000C210000}"/>
    <cellStyle name="SAPBEXHLevel1 5 3" xfId="9404" xr:uid="{00000000-0005-0000-0000-00000D210000}"/>
    <cellStyle name="SAPBEXHLevel1 5 4" xfId="9405" xr:uid="{00000000-0005-0000-0000-00000E210000}"/>
    <cellStyle name="SAPBEXHLevel1 6" xfId="951" xr:uid="{00000000-0005-0000-0000-00000F210000}"/>
    <cellStyle name="SAPBEXHLevel1 6 2" xfId="9406" xr:uid="{00000000-0005-0000-0000-000010210000}"/>
    <cellStyle name="SAPBEXHLevel1 6 3" xfId="9407" xr:uid="{00000000-0005-0000-0000-000011210000}"/>
    <cellStyle name="SAPBEXHLevel1 6 4" xfId="9408" xr:uid="{00000000-0005-0000-0000-000012210000}"/>
    <cellStyle name="SAPBEXHLevel1 7" xfId="952" xr:uid="{00000000-0005-0000-0000-000013210000}"/>
    <cellStyle name="SAPBEXHLevel1 7 2" xfId="9409" xr:uid="{00000000-0005-0000-0000-000014210000}"/>
    <cellStyle name="SAPBEXHLevel1 7 3" xfId="9410" xr:uid="{00000000-0005-0000-0000-000015210000}"/>
    <cellStyle name="SAPBEXHLevel1 7 4" xfId="9411" xr:uid="{00000000-0005-0000-0000-000016210000}"/>
    <cellStyle name="SAPBEXHLevel1 8" xfId="953" xr:uid="{00000000-0005-0000-0000-000017210000}"/>
    <cellStyle name="SAPBEXHLevel1 8 2" xfId="9412" xr:uid="{00000000-0005-0000-0000-000018210000}"/>
    <cellStyle name="SAPBEXHLevel1 8 3" xfId="9413" xr:uid="{00000000-0005-0000-0000-000019210000}"/>
    <cellStyle name="SAPBEXHLevel1 8 4" xfId="9414" xr:uid="{00000000-0005-0000-0000-00001A210000}"/>
    <cellStyle name="SAPBEXHLevel1 9" xfId="954" xr:uid="{00000000-0005-0000-0000-00001B210000}"/>
    <cellStyle name="SAPBEXHLevel1 9 2" xfId="9415" xr:uid="{00000000-0005-0000-0000-00001C210000}"/>
    <cellStyle name="SAPBEXHLevel1 9 3" xfId="9416" xr:uid="{00000000-0005-0000-0000-00001D210000}"/>
    <cellStyle name="SAPBEXHLevel1 9 4" xfId="9417" xr:uid="{00000000-0005-0000-0000-00001E210000}"/>
    <cellStyle name="SAPBEXHLevel1_Sheet2" xfId="955" xr:uid="{00000000-0005-0000-0000-00001F210000}"/>
    <cellStyle name="SAPBEXHLevel1X" xfId="956" xr:uid="{00000000-0005-0000-0000-000020210000}"/>
    <cellStyle name="SAPBEXHLevel1X 10" xfId="957" xr:uid="{00000000-0005-0000-0000-000021210000}"/>
    <cellStyle name="SAPBEXHLevel1X 10 2" xfId="9418" xr:uid="{00000000-0005-0000-0000-000022210000}"/>
    <cellStyle name="SAPBEXHLevel1X 10 3" xfId="9419" xr:uid="{00000000-0005-0000-0000-000023210000}"/>
    <cellStyle name="SAPBEXHLevel1X 10 4" xfId="9420" xr:uid="{00000000-0005-0000-0000-000024210000}"/>
    <cellStyle name="SAPBEXHLevel1X 11" xfId="958" xr:uid="{00000000-0005-0000-0000-000025210000}"/>
    <cellStyle name="SAPBEXHLevel1X 11 2" xfId="9421" xr:uid="{00000000-0005-0000-0000-000026210000}"/>
    <cellStyle name="SAPBEXHLevel1X 11 3" xfId="9422" xr:uid="{00000000-0005-0000-0000-000027210000}"/>
    <cellStyle name="SAPBEXHLevel1X 11 4" xfId="9423" xr:uid="{00000000-0005-0000-0000-000028210000}"/>
    <cellStyle name="SAPBEXHLevel1X 12" xfId="959" xr:uid="{00000000-0005-0000-0000-000029210000}"/>
    <cellStyle name="SAPBEXHLevel1X 12 2" xfId="9424" xr:uid="{00000000-0005-0000-0000-00002A210000}"/>
    <cellStyle name="SAPBEXHLevel1X 12 3" xfId="9425" xr:uid="{00000000-0005-0000-0000-00002B210000}"/>
    <cellStyle name="SAPBEXHLevel1X 12 4" xfId="9426" xr:uid="{00000000-0005-0000-0000-00002C210000}"/>
    <cellStyle name="SAPBEXHLevel1X 13" xfId="960" xr:uid="{00000000-0005-0000-0000-00002D210000}"/>
    <cellStyle name="SAPBEXHLevel1X 13 2" xfId="9427" xr:uid="{00000000-0005-0000-0000-00002E210000}"/>
    <cellStyle name="SAPBEXHLevel1X 13 3" xfId="9428" xr:uid="{00000000-0005-0000-0000-00002F210000}"/>
    <cellStyle name="SAPBEXHLevel1X 13 4" xfId="9429" xr:uid="{00000000-0005-0000-0000-000030210000}"/>
    <cellStyle name="SAPBEXHLevel1X 14" xfId="961" xr:uid="{00000000-0005-0000-0000-000031210000}"/>
    <cellStyle name="SAPBEXHLevel1X 14 2" xfId="9430" xr:uid="{00000000-0005-0000-0000-000032210000}"/>
    <cellStyle name="SAPBEXHLevel1X 14 3" xfId="9431" xr:uid="{00000000-0005-0000-0000-000033210000}"/>
    <cellStyle name="SAPBEXHLevel1X 14 4" xfId="9432" xr:uid="{00000000-0005-0000-0000-000034210000}"/>
    <cellStyle name="SAPBEXHLevel1X 15" xfId="962" xr:uid="{00000000-0005-0000-0000-000035210000}"/>
    <cellStyle name="SAPBEXHLevel1X 15 2" xfId="9433" xr:uid="{00000000-0005-0000-0000-000036210000}"/>
    <cellStyle name="SAPBEXHLevel1X 15 3" xfId="9434" xr:uid="{00000000-0005-0000-0000-000037210000}"/>
    <cellStyle name="SAPBEXHLevel1X 15 4" xfId="9435" xr:uid="{00000000-0005-0000-0000-000038210000}"/>
    <cellStyle name="SAPBEXHLevel1X 16" xfId="963" xr:uid="{00000000-0005-0000-0000-000039210000}"/>
    <cellStyle name="SAPBEXHLevel1X 16 2" xfId="9436" xr:uid="{00000000-0005-0000-0000-00003A210000}"/>
    <cellStyle name="SAPBEXHLevel1X 16 3" xfId="9437" xr:uid="{00000000-0005-0000-0000-00003B210000}"/>
    <cellStyle name="SAPBEXHLevel1X 16 4" xfId="9438" xr:uid="{00000000-0005-0000-0000-00003C210000}"/>
    <cellStyle name="SAPBEXHLevel1X 17" xfId="964" xr:uid="{00000000-0005-0000-0000-00003D210000}"/>
    <cellStyle name="SAPBEXHLevel1X 17 2" xfId="9439" xr:uid="{00000000-0005-0000-0000-00003E210000}"/>
    <cellStyle name="SAPBEXHLevel1X 17 3" xfId="9440" xr:uid="{00000000-0005-0000-0000-00003F210000}"/>
    <cellStyle name="SAPBEXHLevel1X 17 4" xfId="9441" xr:uid="{00000000-0005-0000-0000-000040210000}"/>
    <cellStyle name="SAPBEXHLevel1X 18" xfId="965" xr:uid="{00000000-0005-0000-0000-000041210000}"/>
    <cellStyle name="SAPBEXHLevel1X 18 2" xfId="9442" xr:uid="{00000000-0005-0000-0000-000042210000}"/>
    <cellStyle name="SAPBEXHLevel1X 18 3" xfId="9443" xr:uid="{00000000-0005-0000-0000-000043210000}"/>
    <cellStyle name="SAPBEXHLevel1X 18 4" xfId="9444" xr:uid="{00000000-0005-0000-0000-000044210000}"/>
    <cellStyle name="SAPBEXHLevel1X 19" xfId="966" xr:uid="{00000000-0005-0000-0000-000045210000}"/>
    <cellStyle name="SAPBEXHLevel1X 19 2" xfId="9445" xr:uid="{00000000-0005-0000-0000-000046210000}"/>
    <cellStyle name="SAPBEXHLevel1X 19 3" xfId="9446" xr:uid="{00000000-0005-0000-0000-000047210000}"/>
    <cellStyle name="SAPBEXHLevel1X 19 4" xfId="9447" xr:uid="{00000000-0005-0000-0000-000048210000}"/>
    <cellStyle name="SAPBEXHLevel1X 2" xfId="967" xr:uid="{00000000-0005-0000-0000-000049210000}"/>
    <cellStyle name="SAPBEXHLevel1X 2 2" xfId="9448" xr:uid="{00000000-0005-0000-0000-00004A210000}"/>
    <cellStyle name="SAPBEXHLevel1X 2 3" xfId="9449" xr:uid="{00000000-0005-0000-0000-00004B210000}"/>
    <cellStyle name="SAPBEXHLevel1X 2 4" xfId="9450" xr:uid="{00000000-0005-0000-0000-00004C210000}"/>
    <cellStyle name="SAPBEXHLevel1X 20" xfId="968" xr:uid="{00000000-0005-0000-0000-00004D210000}"/>
    <cellStyle name="SAPBEXHLevel1X 20 2" xfId="9451" xr:uid="{00000000-0005-0000-0000-00004E210000}"/>
    <cellStyle name="SAPBEXHLevel1X 20 3" xfId="9452" xr:uid="{00000000-0005-0000-0000-00004F210000}"/>
    <cellStyle name="SAPBEXHLevel1X 20 4" xfId="9453" xr:uid="{00000000-0005-0000-0000-000050210000}"/>
    <cellStyle name="SAPBEXHLevel1X 21" xfId="9454" xr:uid="{00000000-0005-0000-0000-000051210000}"/>
    <cellStyle name="SAPBEXHLevel1X 22" xfId="9455" xr:uid="{00000000-0005-0000-0000-000052210000}"/>
    <cellStyle name="SAPBEXHLevel1X 23" xfId="9456" xr:uid="{00000000-0005-0000-0000-000053210000}"/>
    <cellStyle name="SAPBEXHLevel1X 3" xfId="969" xr:uid="{00000000-0005-0000-0000-000054210000}"/>
    <cellStyle name="SAPBEXHLevel1X 3 2" xfId="9457" xr:uid="{00000000-0005-0000-0000-000055210000}"/>
    <cellStyle name="SAPBEXHLevel1X 3 3" xfId="9458" xr:uid="{00000000-0005-0000-0000-000056210000}"/>
    <cellStyle name="SAPBEXHLevel1X 3 4" xfId="9459" xr:uid="{00000000-0005-0000-0000-000057210000}"/>
    <cellStyle name="SAPBEXHLevel1X 4" xfId="970" xr:uid="{00000000-0005-0000-0000-000058210000}"/>
    <cellStyle name="SAPBEXHLevel1X 4 2" xfId="9460" xr:uid="{00000000-0005-0000-0000-000059210000}"/>
    <cellStyle name="SAPBEXHLevel1X 4 3" xfId="9461" xr:uid="{00000000-0005-0000-0000-00005A210000}"/>
    <cellStyle name="SAPBEXHLevel1X 4 4" xfId="9462" xr:uid="{00000000-0005-0000-0000-00005B210000}"/>
    <cellStyle name="SAPBEXHLevel1X 5" xfId="971" xr:uid="{00000000-0005-0000-0000-00005C210000}"/>
    <cellStyle name="SAPBEXHLevel1X 5 2" xfId="9463" xr:uid="{00000000-0005-0000-0000-00005D210000}"/>
    <cellStyle name="SAPBEXHLevel1X 5 3" xfId="9464" xr:uid="{00000000-0005-0000-0000-00005E210000}"/>
    <cellStyle name="SAPBEXHLevel1X 5 4" xfId="9465" xr:uid="{00000000-0005-0000-0000-00005F210000}"/>
    <cellStyle name="SAPBEXHLevel1X 6" xfId="972" xr:uid="{00000000-0005-0000-0000-000060210000}"/>
    <cellStyle name="SAPBEXHLevel1X 6 2" xfId="9466" xr:uid="{00000000-0005-0000-0000-000061210000}"/>
    <cellStyle name="SAPBEXHLevel1X 6 3" xfId="9467" xr:uid="{00000000-0005-0000-0000-000062210000}"/>
    <cellStyle name="SAPBEXHLevel1X 6 4" xfId="9468" xr:uid="{00000000-0005-0000-0000-000063210000}"/>
    <cellStyle name="SAPBEXHLevel1X 7" xfId="973" xr:uid="{00000000-0005-0000-0000-000064210000}"/>
    <cellStyle name="SAPBEXHLevel1X 7 2" xfId="9469" xr:uid="{00000000-0005-0000-0000-000065210000}"/>
    <cellStyle name="SAPBEXHLevel1X 7 3" xfId="9470" xr:uid="{00000000-0005-0000-0000-000066210000}"/>
    <cellStyle name="SAPBEXHLevel1X 7 4" xfId="9471" xr:uid="{00000000-0005-0000-0000-000067210000}"/>
    <cellStyle name="SAPBEXHLevel1X 8" xfId="974" xr:uid="{00000000-0005-0000-0000-000068210000}"/>
    <cellStyle name="SAPBEXHLevel1X 8 2" xfId="9472" xr:uid="{00000000-0005-0000-0000-000069210000}"/>
    <cellStyle name="SAPBEXHLevel1X 8 3" xfId="9473" xr:uid="{00000000-0005-0000-0000-00006A210000}"/>
    <cellStyle name="SAPBEXHLevel1X 8 4" xfId="9474" xr:uid="{00000000-0005-0000-0000-00006B210000}"/>
    <cellStyle name="SAPBEXHLevel1X 9" xfId="975" xr:uid="{00000000-0005-0000-0000-00006C210000}"/>
    <cellStyle name="SAPBEXHLevel1X 9 2" xfId="9475" xr:uid="{00000000-0005-0000-0000-00006D210000}"/>
    <cellStyle name="SAPBEXHLevel1X 9 3" xfId="9476" xr:uid="{00000000-0005-0000-0000-00006E210000}"/>
    <cellStyle name="SAPBEXHLevel1X 9 4" xfId="9477" xr:uid="{00000000-0005-0000-0000-00006F210000}"/>
    <cellStyle name="SAPBEXHLevel1X_Sheet2" xfId="976" xr:uid="{00000000-0005-0000-0000-000070210000}"/>
    <cellStyle name="SAPBEXHLevel2" xfId="977" xr:uid="{00000000-0005-0000-0000-000071210000}"/>
    <cellStyle name="SAPBEXHLevel2 10" xfId="978" xr:uid="{00000000-0005-0000-0000-000072210000}"/>
    <cellStyle name="SAPBEXHLevel2 10 2" xfId="9478" xr:uid="{00000000-0005-0000-0000-000073210000}"/>
    <cellStyle name="SAPBEXHLevel2 10 3" xfId="9479" xr:uid="{00000000-0005-0000-0000-000074210000}"/>
    <cellStyle name="SAPBEXHLevel2 10 4" xfId="9480" xr:uid="{00000000-0005-0000-0000-000075210000}"/>
    <cellStyle name="SAPBEXHLevel2 11" xfId="979" xr:uid="{00000000-0005-0000-0000-000076210000}"/>
    <cellStyle name="SAPBEXHLevel2 11 2" xfId="9481" xr:uid="{00000000-0005-0000-0000-000077210000}"/>
    <cellStyle name="SAPBEXHLevel2 11 3" xfId="9482" xr:uid="{00000000-0005-0000-0000-000078210000}"/>
    <cellStyle name="SAPBEXHLevel2 11 4" xfId="9483" xr:uid="{00000000-0005-0000-0000-000079210000}"/>
    <cellStyle name="SAPBEXHLevel2 12" xfId="980" xr:uid="{00000000-0005-0000-0000-00007A210000}"/>
    <cellStyle name="SAPBEXHLevel2 12 2" xfId="9484" xr:uid="{00000000-0005-0000-0000-00007B210000}"/>
    <cellStyle name="SAPBEXHLevel2 12 3" xfId="9485" xr:uid="{00000000-0005-0000-0000-00007C210000}"/>
    <cellStyle name="SAPBEXHLevel2 12 4" xfId="9486" xr:uid="{00000000-0005-0000-0000-00007D210000}"/>
    <cellStyle name="SAPBEXHLevel2 13" xfId="981" xr:uid="{00000000-0005-0000-0000-00007E210000}"/>
    <cellStyle name="SAPBEXHLevel2 13 2" xfId="9487" xr:uid="{00000000-0005-0000-0000-00007F210000}"/>
    <cellStyle name="SAPBEXHLevel2 13 3" xfId="9488" xr:uid="{00000000-0005-0000-0000-000080210000}"/>
    <cellStyle name="SAPBEXHLevel2 13 4" xfId="9489" xr:uid="{00000000-0005-0000-0000-000081210000}"/>
    <cellStyle name="SAPBEXHLevel2 14" xfId="982" xr:uid="{00000000-0005-0000-0000-000082210000}"/>
    <cellStyle name="SAPBEXHLevel2 14 2" xfId="9490" xr:uid="{00000000-0005-0000-0000-000083210000}"/>
    <cellStyle name="SAPBEXHLevel2 14 3" xfId="9491" xr:uid="{00000000-0005-0000-0000-000084210000}"/>
    <cellStyle name="SAPBEXHLevel2 14 4" xfId="9492" xr:uid="{00000000-0005-0000-0000-000085210000}"/>
    <cellStyle name="SAPBEXHLevel2 15" xfId="983" xr:uid="{00000000-0005-0000-0000-000086210000}"/>
    <cellStyle name="SAPBEXHLevel2 15 2" xfId="9493" xr:uid="{00000000-0005-0000-0000-000087210000}"/>
    <cellStyle name="SAPBEXHLevel2 15 3" xfId="9494" xr:uid="{00000000-0005-0000-0000-000088210000}"/>
    <cellStyle name="SAPBEXHLevel2 15 4" xfId="9495" xr:uid="{00000000-0005-0000-0000-000089210000}"/>
    <cellStyle name="SAPBEXHLevel2 16" xfId="984" xr:uid="{00000000-0005-0000-0000-00008A210000}"/>
    <cellStyle name="SAPBEXHLevel2 16 2" xfId="9496" xr:uid="{00000000-0005-0000-0000-00008B210000}"/>
    <cellStyle name="SAPBEXHLevel2 16 3" xfId="9497" xr:uid="{00000000-0005-0000-0000-00008C210000}"/>
    <cellStyle name="SAPBEXHLevel2 16 4" xfId="9498" xr:uid="{00000000-0005-0000-0000-00008D210000}"/>
    <cellStyle name="SAPBEXHLevel2 17" xfId="985" xr:uid="{00000000-0005-0000-0000-00008E210000}"/>
    <cellStyle name="SAPBEXHLevel2 17 2" xfId="9499" xr:uid="{00000000-0005-0000-0000-00008F210000}"/>
    <cellStyle name="SAPBEXHLevel2 17 3" xfId="9500" xr:uid="{00000000-0005-0000-0000-000090210000}"/>
    <cellStyle name="SAPBEXHLevel2 17 4" xfId="9501" xr:uid="{00000000-0005-0000-0000-000091210000}"/>
    <cellStyle name="SAPBEXHLevel2 18" xfId="986" xr:uid="{00000000-0005-0000-0000-000092210000}"/>
    <cellStyle name="SAPBEXHLevel2 18 2" xfId="9502" xr:uid="{00000000-0005-0000-0000-000093210000}"/>
    <cellStyle name="SAPBEXHLevel2 18 3" xfId="9503" xr:uid="{00000000-0005-0000-0000-000094210000}"/>
    <cellStyle name="SAPBEXHLevel2 18 4" xfId="9504" xr:uid="{00000000-0005-0000-0000-000095210000}"/>
    <cellStyle name="SAPBEXHLevel2 19" xfId="987" xr:uid="{00000000-0005-0000-0000-000096210000}"/>
    <cellStyle name="SAPBEXHLevel2 19 2" xfId="9505" xr:uid="{00000000-0005-0000-0000-000097210000}"/>
    <cellStyle name="SAPBEXHLevel2 19 3" xfId="9506" xr:uid="{00000000-0005-0000-0000-000098210000}"/>
    <cellStyle name="SAPBEXHLevel2 19 4" xfId="9507" xr:uid="{00000000-0005-0000-0000-000099210000}"/>
    <cellStyle name="SAPBEXHLevel2 2" xfId="988" xr:uid="{00000000-0005-0000-0000-00009A210000}"/>
    <cellStyle name="SAPBEXHLevel2 2 2" xfId="9508" xr:uid="{00000000-0005-0000-0000-00009B210000}"/>
    <cellStyle name="SAPBEXHLevel2 2 3" xfId="9509" xr:uid="{00000000-0005-0000-0000-00009C210000}"/>
    <cellStyle name="SAPBEXHLevel2 2 4" xfId="9510" xr:uid="{00000000-0005-0000-0000-00009D210000}"/>
    <cellStyle name="SAPBEXHLevel2 20" xfId="989" xr:uid="{00000000-0005-0000-0000-00009E210000}"/>
    <cellStyle name="SAPBEXHLevel2 20 2" xfId="9511" xr:uid="{00000000-0005-0000-0000-00009F210000}"/>
    <cellStyle name="SAPBEXHLevel2 20 3" xfId="9512" xr:uid="{00000000-0005-0000-0000-0000A0210000}"/>
    <cellStyle name="SAPBEXHLevel2 20 4" xfId="9513" xr:uid="{00000000-0005-0000-0000-0000A1210000}"/>
    <cellStyle name="SAPBEXHLevel2 21" xfId="9514" xr:uid="{00000000-0005-0000-0000-0000A2210000}"/>
    <cellStyle name="SAPBEXHLevel2 22" xfId="9515" xr:uid="{00000000-0005-0000-0000-0000A3210000}"/>
    <cellStyle name="SAPBEXHLevel2 23" xfId="9516" xr:uid="{00000000-0005-0000-0000-0000A4210000}"/>
    <cellStyle name="SAPBEXHLevel2 3" xfId="990" xr:uid="{00000000-0005-0000-0000-0000A5210000}"/>
    <cellStyle name="SAPBEXHLevel2 3 2" xfId="9517" xr:uid="{00000000-0005-0000-0000-0000A6210000}"/>
    <cellStyle name="SAPBEXHLevel2 3 3" xfId="9518" xr:uid="{00000000-0005-0000-0000-0000A7210000}"/>
    <cellStyle name="SAPBEXHLevel2 3 4" xfId="9519" xr:uid="{00000000-0005-0000-0000-0000A8210000}"/>
    <cellStyle name="SAPBEXHLevel2 4" xfId="991" xr:uid="{00000000-0005-0000-0000-0000A9210000}"/>
    <cellStyle name="SAPBEXHLevel2 4 2" xfId="9520" xr:uid="{00000000-0005-0000-0000-0000AA210000}"/>
    <cellStyle name="SAPBEXHLevel2 4 3" xfId="9521" xr:uid="{00000000-0005-0000-0000-0000AB210000}"/>
    <cellStyle name="SAPBEXHLevel2 4 4" xfId="9522" xr:uid="{00000000-0005-0000-0000-0000AC210000}"/>
    <cellStyle name="SAPBEXHLevel2 5" xfId="992" xr:uid="{00000000-0005-0000-0000-0000AD210000}"/>
    <cellStyle name="SAPBEXHLevel2 5 2" xfId="9523" xr:uid="{00000000-0005-0000-0000-0000AE210000}"/>
    <cellStyle name="SAPBEXHLevel2 5 3" xfId="9524" xr:uid="{00000000-0005-0000-0000-0000AF210000}"/>
    <cellStyle name="SAPBEXHLevel2 5 4" xfId="9525" xr:uid="{00000000-0005-0000-0000-0000B0210000}"/>
    <cellStyle name="SAPBEXHLevel2 6" xfId="993" xr:uid="{00000000-0005-0000-0000-0000B1210000}"/>
    <cellStyle name="SAPBEXHLevel2 6 2" xfId="9526" xr:uid="{00000000-0005-0000-0000-0000B2210000}"/>
    <cellStyle name="SAPBEXHLevel2 6 3" xfId="9527" xr:uid="{00000000-0005-0000-0000-0000B3210000}"/>
    <cellStyle name="SAPBEXHLevel2 6 4" xfId="9528" xr:uid="{00000000-0005-0000-0000-0000B4210000}"/>
    <cellStyle name="SAPBEXHLevel2 7" xfId="994" xr:uid="{00000000-0005-0000-0000-0000B5210000}"/>
    <cellStyle name="SAPBEXHLevel2 7 2" xfId="9529" xr:uid="{00000000-0005-0000-0000-0000B6210000}"/>
    <cellStyle name="SAPBEXHLevel2 7 3" xfId="9530" xr:uid="{00000000-0005-0000-0000-0000B7210000}"/>
    <cellStyle name="SAPBEXHLevel2 7 4" xfId="9531" xr:uid="{00000000-0005-0000-0000-0000B8210000}"/>
    <cellStyle name="SAPBEXHLevel2 8" xfId="995" xr:uid="{00000000-0005-0000-0000-0000B9210000}"/>
    <cellStyle name="SAPBEXHLevel2 8 2" xfId="9532" xr:uid="{00000000-0005-0000-0000-0000BA210000}"/>
    <cellStyle name="SAPBEXHLevel2 8 3" xfId="9533" xr:uid="{00000000-0005-0000-0000-0000BB210000}"/>
    <cellStyle name="SAPBEXHLevel2 8 4" xfId="9534" xr:uid="{00000000-0005-0000-0000-0000BC210000}"/>
    <cellStyle name="SAPBEXHLevel2 9" xfId="996" xr:uid="{00000000-0005-0000-0000-0000BD210000}"/>
    <cellStyle name="SAPBEXHLevel2 9 2" xfId="9535" xr:uid="{00000000-0005-0000-0000-0000BE210000}"/>
    <cellStyle name="SAPBEXHLevel2 9 3" xfId="9536" xr:uid="{00000000-0005-0000-0000-0000BF210000}"/>
    <cellStyle name="SAPBEXHLevel2 9 4" xfId="9537" xr:uid="{00000000-0005-0000-0000-0000C0210000}"/>
    <cellStyle name="SAPBEXHLevel2_Sheet2" xfId="997" xr:uid="{00000000-0005-0000-0000-0000C1210000}"/>
    <cellStyle name="SAPBEXHLevel2X" xfId="998" xr:uid="{00000000-0005-0000-0000-0000C2210000}"/>
    <cellStyle name="SAPBEXHLevel2X 10" xfId="999" xr:uid="{00000000-0005-0000-0000-0000C3210000}"/>
    <cellStyle name="SAPBEXHLevel2X 10 2" xfId="9538" xr:uid="{00000000-0005-0000-0000-0000C4210000}"/>
    <cellStyle name="SAPBEXHLevel2X 10 3" xfId="9539" xr:uid="{00000000-0005-0000-0000-0000C5210000}"/>
    <cellStyle name="SAPBEXHLevel2X 10 4" xfId="9540" xr:uid="{00000000-0005-0000-0000-0000C6210000}"/>
    <cellStyle name="SAPBEXHLevel2X 11" xfId="1000" xr:uid="{00000000-0005-0000-0000-0000C7210000}"/>
    <cellStyle name="SAPBEXHLevel2X 11 2" xfId="9541" xr:uid="{00000000-0005-0000-0000-0000C8210000}"/>
    <cellStyle name="SAPBEXHLevel2X 11 3" xfId="9542" xr:uid="{00000000-0005-0000-0000-0000C9210000}"/>
    <cellStyle name="SAPBEXHLevel2X 11 4" xfId="9543" xr:uid="{00000000-0005-0000-0000-0000CA210000}"/>
    <cellStyle name="SAPBEXHLevel2X 12" xfId="1001" xr:uid="{00000000-0005-0000-0000-0000CB210000}"/>
    <cellStyle name="SAPBEXHLevel2X 12 2" xfId="9544" xr:uid="{00000000-0005-0000-0000-0000CC210000}"/>
    <cellStyle name="SAPBEXHLevel2X 12 3" xfId="9545" xr:uid="{00000000-0005-0000-0000-0000CD210000}"/>
    <cellStyle name="SAPBEXHLevel2X 12 4" xfId="9546" xr:uid="{00000000-0005-0000-0000-0000CE210000}"/>
    <cellStyle name="SAPBEXHLevel2X 13" xfId="1002" xr:uid="{00000000-0005-0000-0000-0000CF210000}"/>
    <cellStyle name="SAPBEXHLevel2X 13 2" xfId="9547" xr:uid="{00000000-0005-0000-0000-0000D0210000}"/>
    <cellStyle name="SAPBEXHLevel2X 13 3" xfId="9548" xr:uid="{00000000-0005-0000-0000-0000D1210000}"/>
    <cellStyle name="SAPBEXHLevel2X 13 4" xfId="9549" xr:uid="{00000000-0005-0000-0000-0000D2210000}"/>
    <cellStyle name="SAPBEXHLevel2X 14" xfId="1003" xr:uid="{00000000-0005-0000-0000-0000D3210000}"/>
    <cellStyle name="SAPBEXHLevel2X 14 2" xfId="9550" xr:uid="{00000000-0005-0000-0000-0000D4210000}"/>
    <cellStyle name="SAPBEXHLevel2X 14 3" xfId="9551" xr:uid="{00000000-0005-0000-0000-0000D5210000}"/>
    <cellStyle name="SAPBEXHLevel2X 14 4" xfId="9552" xr:uid="{00000000-0005-0000-0000-0000D6210000}"/>
    <cellStyle name="SAPBEXHLevel2X 15" xfId="1004" xr:uid="{00000000-0005-0000-0000-0000D7210000}"/>
    <cellStyle name="SAPBEXHLevel2X 15 2" xfId="9553" xr:uid="{00000000-0005-0000-0000-0000D8210000}"/>
    <cellStyle name="SAPBEXHLevel2X 15 3" xfId="9554" xr:uid="{00000000-0005-0000-0000-0000D9210000}"/>
    <cellStyle name="SAPBEXHLevel2X 15 4" xfId="9555" xr:uid="{00000000-0005-0000-0000-0000DA210000}"/>
    <cellStyle name="SAPBEXHLevel2X 16" xfId="1005" xr:uid="{00000000-0005-0000-0000-0000DB210000}"/>
    <cellStyle name="SAPBEXHLevel2X 16 2" xfId="9556" xr:uid="{00000000-0005-0000-0000-0000DC210000}"/>
    <cellStyle name="SAPBEXHLevel2X 16 3" xfId="9557" xr:uid="{00000000-0005-0000-0000-0000DD210000}"/>
    <cellStyle name="SAPBEXHLevel2X 16 4" xfId="9558" xr:uid="{00000000-0005-0000-0000-0000DE210000}"/>
    <cellStyle name="SAPBEXHLevel2X 17" xfId="1006" xr:uid="{00000000-0005-0000-0000-0000DF210000}"/>
    <cellStyle name="SAPBEXHLevel2X 17 2" xfId="9559" xr:uid="{00000000-0005-0000-0000-0000E0210000}"/>
    <cellStyle name="SAPBEXHLevel2X 17 3" xfId="9560" xr:uid="{00000000-0005-0000-0000-0000E1210000}"/>
    <cellStyle name="SAPBEXHLevel2X 17 4" xfId="9561" xr:uid="{00000000-0005-0000-0000-0000E2210000}"/>
    <cellStyle name="SAPBEXHLevel2X 18" xfId="1007" xr:uid="{00000000-0005-0000-0000-0000E3210000}"/>
    <cellStyle name="SAPBEXHLevel2X 18 2" xfId="9562" xr:uid="{00000000-0005-0000-0000-0000E4210000}"/>
    <cellStyle name="SAPBEXHLevel2X 18 3" xfId="9563" xr:uid="{00000000-0005-0000-0000-0000E5210000}"/>
    <cellStyle name="SAPBEXHLevel2X 18 4" xfId="9564" xr:uid="{00000000-0005-0000-0000-0000E6210000}"/>
    <cellStyle name="SAPBEXHLevel2X 19" xfId="1008" xr:uid="{00000000-0005-0000-0000-0000E7210000}"/>
    <cellStyle name="SAPBEXHLevel2X 19 2" xfId="9565" xr:uid="{00000000-0005-0000-0000-0000E8210000}"/>
    <cellStyle name="SAPBEXHLevel2X 19 3" xfId="9566" xr:uid="{00000000-0005-0000-0000-0000E9210000}"/>
    <cellStyle name="SAPBEXHLevel2X 19 4" xfId="9567" xr:uid="{00000000-0005-0000-0000-0000EA210000}"/>
    <cellStyle name="SAPBEXHLevel2X 2" xfId="1009" xr:uid="{00000000-0005-0000-0000-0000EB210000}"/>
    <cellStyle name="SAPBEXHLevel2X 2 2" xfId="9568" xr:uid="{00000000-0005-0000-0000-0000EC210000}"/>
    <cellStyle name="SAPBEXHLevel2X 2 3" xfId="9569" xr:uid="{00000000-0005-0000-0000-0000ED210000}"/>
    <cellStyle name="SAPBEXHLevel2X 2 4" xfId="9570" xr:uid="{00000000-0005-0000-0000-0000EE210000}"/>
    <cellStyle name="SAPBEXHLevel2X 20" xfId="1010" xr:uid="{00000000-0005-0000-0000-0000EF210000}"/>
    <cellStyle name="SAPBEXHLevel2X 20 2" xfId="9571" xr:uid="{00000000-0005-0000-0000-0000F0210000}"/>
    <cellStyle name="SAPBEXHLevel2X 20 3" xfId="9572" xr:uid="{00000000-0005-0000-0000-0000F1210000}"/>
    <cellStyle name="SAPBEXHLevel2X 20 4" xfId="9573" xr:uid="{00000000-0005-0000-0000-0000F2210000}"/>
    <cellStyle name="SAPBEXHLevel2X 21" xfId="9574" xr:uid="{00000000-0005-0000-0000-0000F3210000}"/>
    <cellStyle name="SAPBEXHLevel2X 22" xfId="9575" xr:uid="{00000000-0005-0000-0000-0000F4210000}"/>
    <cellStyle name="SAPBEXHLevel2X 23" xfId="9576" xr:uid="{00000000-0005-0000-0000-0000F5210000}"/>
    <cellStyle name="SAPBEXHLevel2X 3" xfId="1011" xr:uid="{00000000-0005-0000-0000-0000F6210000}"/>
    <cellStyle name="SAPBEXHLevel2X 3 2" xfId="9577" xr:uid="{00000000-0005-0000-0000-0000F7210000}"/>
    <cellStyle name="SAPBEXHLevel2X 3 3" xfId="9578" xr:uid="{00000000-0005-0000-0000-0000F8210000}"/>
    <cellStyle name="SAPBEXHLevel2X 3 4" xfId="9579" xr:uid="{00000000-0005-0000-0000-0000F9210000}"/>
    <cellStyle name="SAPBEXHLevel2X 4" xfId="1012" xr:uid="{00000000-0005-0000-0000-0000FA210000}"/>
    <cellStyle name="SAPBEXHLevel2X 4 2" xfId="9580" xr:uid="{00000000-0005-0000-0000-0000FB210000}"/>
    <cellStyle name="SAPBEXHLevel2X 4 3" xfId="9581" xr:uid="{00000000-0005-0000-0000-0000FC210000}"/>
    <cellStyle name="SAPBEXHLevel2X 4 4" xfId="9582" xr:uid="{00000000-0005-0000-0000-0000FD210000}"/>
    <cellStyle name="SAPBEXHLevel2X 5" xfId="1013" xr:uid="{00000000-0005-0000-0000-0000FE210000}"/>
    <cellStyle name="SAPBEXHLevel2X 5 2" xfId="9583" xr:uid="{00000000-0005-0000-0000-0000FF210000}"/>
    <cellStyle name="SAPBEXHLevel2X 5 3" xfId="9584" xr:uid="{00000000-0005-0000-0000-000000220000}"/>
    <cellStyle name="SAPBEXHLevel2X 5 4" xfId="9585" xr:uid="{00000000-0005-0000-0000-000001220000}"/>
    <cellStyle name="SAPBEXHLevel2X 6" xfId="1014" xr:uid="{00000000-0005-0000-0000-000002220000}"/>
    <cellStyle name="SAPBEXHLevel2X 6 2" xfId="9586" xr:uid="{00000000-0005-0000-0000-000003220000}"/>
    <cellStyle name="SAPBEXHLevel2X 6 3" xfId="9587" xr:uid="{00000000-0005-0000-0000-000004220000}"/>
    <cellStyle name="SAPBEXHLevel2X 6 4" xfId="9588" xr:uid="{00000000-0005-0000-0000-000005220000}"/>
    <cellStyle name="SAPBEXHLevel2X 7" xfId="1015" xr:uid="{00000000-0005-0000-0000-000006220000}"/>
    <cellStyle name="SAPBEXHLevel2X 7 2" xfId="9589" xr:uid="{00000000-0005-0000-0000-000007220000}"/>
    <cellStyle name="SAPBEXHLevel2X 7 3" xfId="9590" xr:uid="{00000000-0005-0000-0000-000008220000}"/>
    <cellStyle name="SAPBEXHLevel2X 7 4" xfId="9591" xr:uid="{00000000-0005-0000-0000-000009220000}"/>
    <cellStyle name="SAPBEXHLevel2X 8" xfId="1016" xr:uid="{00000000-0005-0000-0000-00000A220000}"/>
    <cellStyle name="SAPBEXHLevel2X 8 2" xfId="9592" xr:uid="{00000000-0005-0000-0000-00000B220000}"/>
    <cellStyle name="SAPBEXHLevel2X 8 3" xfId="9593" xr:uid="{00000000-0005-0000-0000-00000C220000}"/>
    <cellStyle name="SAPBEXHLevel2X 8 4" xfId="9594" xr:uid="{00000000-0005-0000-0000-00000D220000}"/>
    <cellStyle name="SAPBEXHLevel2X 9" xfId="1017" xr:uid="{00000000-0005-0000-0000-00000E220000}"/>
    <cellStyle name="SAPBEXHLevel2X 9 2" xfId="9595" xr:uid="{00000000-0005-0000-0000-00000F220000}"/>
    <cellStyle name="SAPBEXHLevel2X 9 3" xfId="9596" xr:uid="{00000000-0005-0000-0000-000010220000}"/>
    <cellStyle name="SAPBEXHLevel2X 9 4" xfId="9597" xr:uid="{00000000-0005-0000-0000-000011220000}"/>
    <cellStyle name="SAPBEXHLevel2X_Sheet2" xfId="1018" xr:uid="{00000000-0005-0000-0000-000012220000}"/>
    <cellStyle name="SAPBEXHLevel3" xfId="1019" xr:uid="{00000000-0005-0000-0000-000013220000}"/>
    <cellStyle name="SAPBEXHLevel3 10" xfId="1020" xr:uid="{00000000-0005-0000-0000-000014220000}"/>
    <cellStyle name="SAPBEXHLevel3 10 2" xfId="9598" xr:uid="{00000000-0005-0000-0000-000015220000}"/>
    <cellStyle name="SAPBEXHLevel3 10 3" xfId="9599" xr:uid="{00000000-0005-0000-0000-000016220000}"/>
    <cellStyle name="SAPBEXHLevel3 10 4" xfId="9600" xr:uid="{00000000-0005-0000-0000-000017220000}"/>
    <cellStyle name="SAPBEXHLevel3 11" xfId="1021" xr:uid="{00000000-0005-0000-0000-000018220000}"/>
    <cellStyle name="SAPBEXHLevel3 11 2" xfId="9601" xr:uid="{00000000-0005-0000-0000-000019220000}"/>
    <cellStyle name="SAPBEXHLevel3 11 3" xfId="9602" xr:uid="{00000000-0005-0000-0000-00001A220000}"/>
    <cellStyle name="SAPBEXHLevel3 11 4" xfId="9603" xr:uid="{00000000-0005-0000-0000-00001B220000}"/>
    <cellStyle name="SAPBEXHLevel3 12" xfId="1022" xr:uid="{00000000-0005-0000-0000-00001C220000}"/>
    <cellStyle name="SAPBEXHLevel3 12 2" xfId="9604" xr:uid="{00000000-0005-0000-0000-00001D220000}"/>
    <cellStyle name="SAPBEXHLevel3 12 3" xfId="9605" xr:uid="{00000000-0005-0000-0000-00001E220000}"/>
    <cellStyle name="SAPBEXHLevel3 12 4" xfId="9606" xr:uid="{00000000-0005-0000-0000-00001F220000}"/>
    <cellStyle name="SAPBEXHLevel3 13" xfId="1023" xr:uid="{00000000-0005-0000-0000-000020220000}"/>
    <cellStyle name="SAPBEXHLevel3 13 2" xfId="9607" xr:uid="{00000000-0005-0000-0000-000021220000}"/>
    <cellStyle name="SAPBEXHLevel3 13 3" xfId="9608" xr:uid="{00000000-0005-0000-0000-000022220000}"/>
    <cellStyle name="SAPBEXHLevel3 13 4" xfId="9609" xr:uid="{00000000-0005-0000-0000-000023220000}"/>
    <cellStyle name="SAPBEXHLevel3 14" xfId="1024" xr:uid="{00000000-0005-0000-0000-000024220000}"/>
    <cellStyle name="SAPBEXHLevel3 14 2" xfId="9610" xr:uid="{00000000-0005-0000-0000-000025220000}"/>
    <cellStyle name="SAPBEXHLevel3 14 3" xfId="9611" xr:uid="{00000000-0005-0000-0000-000026220000}"/>
    <cellStyle name="SAPBEXHLevel3 14 4" xfId="9612" xr:uid="{00000000-0005-0000-0000-000027220000}"/>
    <cellStyle name="SAPBEXHLevel3 15" xfId="1025" xr:uid="{00000000-0005-0000-0000-000028220000}"/>
    <cellStyle name="SAPBEXHLevel3 15 2" xfId="9613" xr:uid="{00000000-0005-0000-0000-000029220000}"/>
    <cellStyle name="SAPBEXHLevel3 15 3" xfId="9614" xr:uid="{00000000-0005-0000-0000-00002A220000}"/>
    <cellStyle name="SAPBEXHLevel3 15 4" xfId="9615" xr:uid="{00000000-0005-0000-0000-00002B220000}"/>
    <cellStyle name="SAPBEXHLevel3 16" xfId="1026" xr:uid="{00000000-0005-0000-0000-00002C220000}"/>
    <cellStyle name="SAPBEXHLevel3 16 2" xfId="9616" xr:uid="{00000000-0005-0000-0000-00002D220000}"/>
    <cellStyle name="SAPBEXHLevel3 16 3" xfId="9617" xr:uid="{00000000-0005-0000-0000-00002E220000}"/>
    <cellStyle name="SAPBEXHLevel3 16 4" xfId="9618" xr:uid="{00000000-0005-0000-0000-00002F220000}"/>
    <cellStyle name="SAPBEXHLevel3 17" xfId="1027" xr:uid="{00000000-0005-0000-0000-000030220000}"/>
    <cellStyle name="SAPBEXHLevel3 17 2" xfId="9619" xr:uid="{00000000-0005-0000-0000-000031220000}"/>
    <cellStyle name="SAPBEXHLevel3 17 3" xfId="9620" xr:uid="{00000000-0005-0000-0000-000032220000}"/>
    <cellStyle name="SAPBEXHLevel3 17 4" xfId="9621" xr:uid="{00000000-0005-0000-0000-000033220000}"/>
    <cellStyle name="SAPBEXHLevel3 18" xfId="1028" xr:uid="{00000000-0005-0000-0000-000034220000}"/>
    <cellStyle name="SAPBEXHLevel3 18 2" xfId="9622" xr:uid="{00000000-0005-0000-0000-000035220000}"/>
    <cellStyle name="SAPBEXHLevel3 18 3" xfId="9623" xr:uid="{00000000-0005-0000-0000-000036220000}"/>
    <cellStyle name="SAPBEXHLevel3 18 4" xfId="9624" xr:uid="{00000000-0005-0000-0000-000037220000}"/>
    <cellStyle name="SAPBEXHLevel3 19" xfId="1029" xr:uid="{00000000-0005-0000-0000-000038220000}"/>
    <cellStyle name="SAPBEXHLevel3 19 2" xfId="9625" xr:uid="{00000000-0005-0000-0000-000039220000}"/>
    <cellStyle name="SAPBEXHLevel3 19 3" xfId="9626" xr:uid="{00000000-0005-0000-0000-00003A220000}"/>
    <cellStyle name="SAPBEXHLevel3 19 4" xfId="9627" xr:uid="{00000000-0005-0000-0000-00003B220000}"/>
    <cellStyle name="SAPBEXHLevel3 2" xfId="1030" xr:uid="{00000000-0005-0000-0000-00003C220000}"/>
    <cellStyle name="SAPBEXHLevel3 2 2" xfId="9628" xr:uid="{00000000-0005-0000-0000-00003D220000}"/>
    <cellStyle name="SAPBEXHLevel3 2 3" xfId="9629" xr:uid="{00000000-0005-0000-0000-00003E220000}"/>
    <cellStyle name="SAPBEXHLevel3 2 4" xfId="9630" xr:uid="{00000000-0005-0000-0000-00003F220000}"/>
    <cellStyle name="SAPBEXHLevel3 20" xfId="1031" xr:uid="{00000000-0005-0000-0000-000040220000}"/>
    <cellStyle name="SAPBEXHLevel3 20 2" xfId="9631" xr:uid="{00000000-0005-0000-0000-000041220000}"/>
    <cellStyle name="SAPBEXHLevel3 20 3" xfId="9632" xr:uid="{00000000-0005-0000-0000-000042220000}"/>
    <cellStyle name="SAPBEXHLevel3 20 4" xfId="9633" xr:uid="{00000000-0005-0000-0000-000043220000}"/>
    <cellStyle name="SAPBEXHLevel3 21" xfId="9634" xr:uid="{00000000-0005-0000-0000-000044220000}"/>
    <cellStyle name="SAPBEXHLevel3 22" xfId="9635" xr:uid="{00000000-0005-0000-0000-000045220000}"/>
    <cellStyle name="SAPBEXHLevel3 23" xfId="9636" xr:uid="{00000000-0005-0000-0000-000046220000}"/>
    <cellStyle name="SAPBEXHLevel3 3" xfId="1032" xr:uid="{00000000-0005-0000-0000-000047220000}"/>
    <cellStyle name="SAPBEXHLevel3 3 2" xfId="9637" xr:uid="{00000000-0005-0000-0000-000048220000}"/>
    <cellStyle name="SAPBEXHLevel3 3 3" xfId="9638" xr:uid="{00000000-0005-0000-0000-000049220000}"/>
    <cellStyle name="SAPBEXHLevel3 3 4" xfId="9639" xr:uid="{00000000-0005-0000-0000-00004A220000}"/>
    <cellStyle name="SAPBEXHLevel3 4" xfId="1033" xr:uid="{00000000-0005-0000-0000-00004B220000}"/>
    <cellStyle name="SAPBEXHLevel3 4 2" xfId="9640" xr:uid="{00000000-0005-0000-0000-00004C220000}"/>
    <cellStyle name="SAPBEXHLevel3 4 3" xfId="9641" xr:uid="{00000000-0005-0000-0000-00004D220000}"/>
    <cellStyle name="SAPBEXHLevel3 4 4" xfId="9642" xr:uid="{00000000-0005-0000-0000-00004E220000}"/>
    <cellStyle name="SAPBEXHLevel3 5" xfId="1034" xr:uid="{00000000-0005-0000-0000-00004F220000}"/>
    <cellStyle name="SAPBEXHLevel3 5 2" xfId="9643" xr:uid="{00000000-0005-0000-0000-000050220000}"/>
    <cellStyle name="SAPBEXHLevel3 5 3" xfId="9644" xr:uid="{00000000-0005-0000-0000-000051220000}"/>
    <cellStyle name="SAPBEXHLevel3 5 4" xfId="9645" xr:uid="{00000000-0005-0000-0000-000052220000}"/>
    <cellStyle name="SAPBEXHLevel3 6" xfId="1035" xr:uid="{00000000-0005-0000-0000-000053220000}"/>
    <cellStyle name="SAPBEXHLevel3 6 2" xfId="9646" xr:uid="{00000000-0005-0000-0000-000054220000}"/>
    <cellStyle name="SAPBEXHLevel3 6 3" xfId="9647" xr:uid="{00000000-0005-0000-0000-000055220000}"/>
    <cellStyle name="SAPBEXHLevel3 6 4" xfId="9648" xr:uid="{00000000-0005-0000-0000-000056220000}"/>
    <cellStyle name="SAPBEXHLevel3 7" xfId="1036" xr:uid="{00000000-0005-0000-0000-000057220000}"/>
    <cellStyle name="SAPBEXHLevel3 7 2" xfId="9649" xr:uid="{00000000-0005-0000-0000-000058220000}"/>
    <cellStyle name="SAPBEXHLevel3 7 3" xfId="9650" xr:uid="{00000000-0005-0000-0000-000059220000}"/>
    <cellStyle name="SAPBEXHLevel3 7 4" xfId="9651" xr:uid="{00000000-0005-0000-0000-00005A220000}"/>
    <cellStyle name="SAPBEXHLevel3 8" xfId="1037" xr:uid="{00000000-0005-0000-0000-00005B220000}"/>
    <cellStyle name="SAPBEXHLevel3 8 2" xfId="9652" xr:uid="{00000000-0005-0000-0000-00005C220000}"/>
    <cellStyle name="SAPBEXHLevel3 8 3" xfId="9653" xr:uid="{00000000-0005-0000-0000-00005D220000}"/>
    <cellStyle name="SAPBEXHLevel3 8 4" xfId="9654" xr:uid="{00000000-0005-0000-0000-00005E220000}"/>
    <cellStyle name="SAPBEXHLevel3 9" xfId="1038" xr:uid="{00000000-0005-0000-0000-00005F220000}"/>
    <cellStyle name="SAPBEXHLevel3 9 2" xfId="9655" xr:uid="{00000000-0005-0000-0000-000060220000}"/>
    <cellStyle name="SAPBEXHLevel3 9 3" xfId="9656" xr:uid="{00000000-0005-0000-0000-000061220000}"/>
    <cellStyle name="SAPBEXHLevel3 9 4" xfId="9657" xr:uid="{00000000-0005-0000-0000-000062220000}"/>
    <cellStyle name="SAPBEXHLevel3_Sheet2" xfId="1039" xr:uid="{00000000-0005-0000-0000-000063220000}"/>
    <cellStyle name="SAPBEXHLevel3X" xfId="1040" xr:uid="{00000000-0005-0000-0000-000064220000}"/>
    <cellStyle name="SAPBEXHLevel3X 10" xfId="1041" xr:uid="{00000000-0005-0000-0000-000065220000}"/>
    <cellStyle name="SAPBEXHLevel3X 10 2" xfId="9658" xr:uid="{00000000-0005-0000-0000-000066220000}"/>
    <cellStyle name="SAPBEXHLevel3X 10 3" xfId="9659" xr:uid="{00000000-0005-0000-0000-000067220000}"/>
    <cellStyle name="SAPBEXHLevel3X 10 4" xfId="9660" xr:uid="{00000000-0005-0000-0000-000068220000}"/>
    <cellStyle name="SAPBEXHLevel3X 11" xfId="1042" xr:uid="{00000000-0005-0000-0000-000069220000}"/>
    <cellStyle name="SAPBEXHLevel3X 11 2" xfId="9661" xr:uid="{00000000-0005-0000-0000-00006A220000}"/>
    <cellStyle name="SAPBEXHLevel3X 11 3" xfId="9662" xr:uid="{00000000-0005-0000-0000-00006B220000}"/>
    <cellStyle name="SAPBEXHLevel3X 11 4" xfId="9663" xr:uid="{00000000-0005-0000-0000-00006C220000}"/>
    <cellStyle name="SAPBEXHLevel3X 12" xfId="1043" xr:uid="{00000000-0005-0000-0000-00006D220000}"/>
    <cellStyle name="SAPBEXHLevel3X 12 2" xfId="9664" xr:uid="{00000000-0005-0000-0000-00006E220000}"/>
    <cellStyle name="SAPBEXHLevel3X 12 3" xfId="9665" xr:uid="{00000000-0005-0000-0000-00006F220000}"/>
    <cellStyle name="SAPBEXHLevel3X 12 4" xfId="9666" xr:uid="{00000000-0005-0000-0000-000070220000}"/>
    <cellStyle name="SAPBEXHLevel3X 13" xfId="1044" xr:uid="{00000000-0005-0000-0000-000071220000}"/>
    <cellStyle name="SAPBEXHLevel3X 13 2" xfId="9667" xr:uid="{00000000-0005-0000-0000-000072220000}"/>
    <cellStyle name="SAPBEXHLevel3X 13 3" xfId="9668" xr:uid="{00000000-0005-0000-0000-000073220000}"/>
    <cellStyle name="SAPBEXHLevel3X 13 4" xfId="9669" xr:uid="{00000000-0005-0000-0000-000074220000}"/>
    <cellStyle name="SAPBEXHLevel3X 14" xfId="1045" xr:uid="{00000000-0005-0000-0000-000075220000}"/>
    <cellStyle name="SAPBEXHLevel3X 14 2" xfId="9670" xr:uid="{00000000-0005-0000-0000-000076220000}"/>
    <cellStyle name="SAPBEXHLevel3X 14 3" xfId="9671" xr:uid="{00000000-0005-0000-0000-000077220000}"/>
    <cellStyle name="SAPBEXHLevel3X 14 4" xfId="9672" xr:uid="{00000000-0005-0000-0000-000078220000}"/>
    <cellStyle name="SAPBEXHLevel3X 15" xfId="1046" xr:uid="{00000000-0005-0000-0000-000079220000}"/>
    <cellStyle name="SAPBEXHLevel3X 15 2" xfId="9673" xr:uid="{00000000-0005-0000-0000-00007A220000}"/>
    <cellStyle name="SAPBEXHLevel3X 15 3" xfId="9674" xr:uid="{00000000-0005-0000-0000-00007B220000}"/>
    <cellStyle name="SAPBEXHLevel3X 15 4" xfId="9675" xr:uid="{00000000-0005-0000-0000-00007C220000}"/>
    <cellStyle name="SAPBEXHLevel3X 16" xfId="1047" xr:uid="{00000000-0005-0000-0000-00007D220000}"/>
    <cellStyle name="SAPBEXHLevel3X 16 2" xfId="9676" xr:uid="{00000000-0005-0000-0000-00007E220000}"/>
    <cellStyle name="SAPBEXHLevel3X 16 3" xfId="9677" xr:uid="{00000000-0005-0000-0000-00007F220000}"/>
    <cellStyle name="SAPBEXHLevel3X 16 4" xfId="9678" xr:uid="{00000000-0005-0000-0000-000080220000}"/>
    <cellStyle name="SAPBEXHLevel3X 17" xfId="1048" xr:uid="{00000000-0005-0000-0000-000081220000}"/>
    <cellStyle name="SAPBEXHLevel3X 17 2" xfId="9679" xr:uid="{00000000-0005-0000-0000-000082220000}"/>
    <cellStyle name="SAPBEXHLevel3X 17 3" xfId="9680" xr:uid="{00000000-0005-0000-0000-000083220000}"/>
    <cellStyle name="SAPBEXHLevel3X 17 4" xfId="9681" xr:uid="{00000000-0005-0000-0000-000084220000}"/>
    <cellStyle name="SAPBEXHLevel3X 18" xfId="1049" xr:uid="{00000000-0005-0000-0000-000085220000}"/>
    <cellStyle name="SAPBEXHLevel3X 18 2" xfId="9682" xr:uid="{00000000-0005-0000-0000-000086220000}"/>
    <cellStyle name="SAPBEXHLevel3X 18 3" xfId="9683" xr:uid="{00000000-0005-0000-0000-000087220000}"/>
    <cellStyle name="SAPBEXHLevel3X 18 4" xfId="9684" xr:uid="{00000000-0005-0000-0000-000088220000}"/>
    <cellStyle name="SAPBEXHLevel3X 19" xfId="1050" xr:uid="{00000000-0005-0000-0000-000089220000}"/>
    <cellStyle name="SAPBEXHLevel3X 19 2" xfId="9685" xr:uid="{00000000-0005-0000-0000-00008A220000}"/>
    <cellStyle name="SAPBEXHLevel3X 19 3" xfId="9686" xr:uid="{00000000-0005-0000-0000-00008B220000}"/>
    <cellStyle name="SAPBEXHLevel3X 19 4" xfId="9687" xr:uid="{00000000-0005-0000-0000-00008C220000}"/>
    <cellStyle name="SAPBEXHLevel3X 2" xfId="1051" xr:uid="{00000000-0005-0000-0000-00008D220000}"/>
    <cellStyle name="SAPBEXHLevel3X 2 2" xfId="9688" xr:uid="{00000000-0005-0000-0000-00008E220000}"/>
    <cellStyle name="SAPBEXHLevel3X 2 3" xfId="9689" xr:uid="{00000000-0005-0000-0000-00008F220000}"/>
    <cellStyle name="SAPBEXHLevel3X 2 4" xfId="9690" xr:uid="{00000000-0005-0000-0000-000090220000}"/>
    <cellStyle name="SAPBEXHLevel3X 20" xfId="1052" xr:uid="{00000000-0005-0000-0000-000091220000}"/>
    <cellStyle name="SAPBEXHLevel3X 20 2" xfId="9691" xr:uid="{00000000-0005-0000-0000-000092220000}"/>
    <cellStyle name="SAPBEXHLevel3X 20 3" xfId="9692" xr:uid="{00000000-0005-0000-0000-000093220000}"/>
    <cellStyle name="SAPBEXHLevel3X 20 4" xfId="9693" xr:uid="{00000000-0005-0000-0000-000094220000}"/>
    <cellStyle name="SAPBEXHLevel3X 21" xfId="9694" xr:uid="{00000000-0005-0000-0000-000095220000}"/>
    <cellStyle name="SAPBEXHLevel3X 22" xfId="9695" xr:uid="{00000000-0005-0000-0000-000096220000}"/>
    <cellStyle name="SAPBEXHLevel3X 23" xfId="9696" xr:uid="{00000000-0005-0000-0000-000097220000}"/>
    <cellStyle name="SAPBEXHLevel3X 3" xfId="1053" xr:uid="{00000000-0005-0000-0000-000098220000}"/>
    <cellStyle name="SAPBEXHLevel3X 3 2" xfId="9697" xr:uid="{00000000-0005-0000-0000-000099220000}"/>
    <cellStyle name="SAPBEXHLevel3X 3 3" xfId="9698" xr:uid="{00000000-0005-0000-0000-00009A220000}"/>
    <cellStyle name="SAPBEXHLevel3X 3 4" xfId="9699" xr:uid="{00000000-0005-0000-0000-00009B220000}"/>
    <cellStyle name="SAPBEXHLevel3X 4" xfId="1054" xr:uid="{00000000-0005-0000-0000-00009C220000}"/>
    <cellStyle name="SAPBEXHLevel3X 4 2" xfId="9700" xr:uid="{00000000-0005-0000-0000-00009D220000}"/>
    <cellStyle name="SAPBEXHLevel3X 4 3" xfId="9701" xr:uid="{00000000-0005-0000-0000-00009E220000}"/>
    <cellStyle name="SAPBEXHLevel3X 4 4" xfId="9702" xr:uid="{00000000-0005-0000-0000-00009F220000}"/>
    <cellStyle name="SAPBEXHLevel3X 5" xfId="1055" xr:uid="{00000000-0005-0000-0000-0000A0220000}"/>
    <cellStyle name="SAPBEXHLevel3X 5 2" xfId="9703" xr:uid="{00000000-0005-0000-0000-0000A1220000}"/>
    <cellStyle name="SAPBEXHLevel3X 5 3" xfId="9704" xr:uid="{00000000-0005-0000-0000-0000A2220000}"/>
    <cellStyle name="SAPBEXHLevel3X 5 4" xfId="9705" xr:uid="{00000000-0005-0000-0000-0000A3220000}"/>
    <cellStyle name="SAPBEXHLevel3X 6" xfId="1056" xr:uid="{00000000-0005-0000-0000-0000A4220000}"/>
    <cellStyle name="SAPBEXHLevel3X 6 2" xfId="9706" xr:uid="{00000000-0005-0000-0000-0000A5220000}"/>
    <cellStyle name="SAPBEXHLevel3X 6 3" xfId="9707" xr:uid="{00000000-0005-0000-0000-0000A6220000}"/>
    <cellStyle name="SAPBEXHLevel3X 6 4" xfId="9708" xr:uid="{00000000-0005-0000-0000-0000A7220000}"/>
    <cellStyle name="SAPBEXHLevel3X 7" xfId="1057" xr:uid="{00000000-0005-0000-0000-0000A8220000}"/>
    <cellStyle name="SAPBEXHLevel3X 7 2" xfId="9709" xr:uid="{00000000-0005-0000-0000-0000A9220000}"/>
    <cellStyle name="SAPBEXHLevel3X 7 3" xfId="9710" xr:uid="{00000000-0005-0000-0000-0000AA220000}"/>
    <cellStyle name="SAPBEXHLevel3X 7 4" xfId="9711" xr:uid="{00000000-0005-0000-0000-0000AB220000}"/>
    <cellStyle name="SAPBEXHLevel3X 8" xfId="1058" xr:uid="{00000000-0005-0000-0000-0000AC220000}"/>
    <cellStyle name="SAPBEXHLevel3X 8 2" xfId="9712" xr:uid="{00000000-0005-0000-0000-0000AD220000}"/>
    <cellStyle name="SAPBEXHLevel3X 8 3" xfId="9713" xr:uid="{00000000-0005-0000-0000-0000AE220000}"/>
    <cellStyle name="SAPBEXHLevel3X 8 4" xfId="9714" xr:uid="{00000000-0005-0000-0000-0000AF220000}"/>
    <cellStyle name="SAPBEXHLevel3X 9" xfId="1059" xr:uid="{00000000-0005-0000-0000-0000B0220000}"/>
    <cellStyle name="SAPBEXHLevel3X 9 2" xfId="9715" xr:uid="{00000000-0005-0000-0000-0000B1220000}"/>
    <cellStyle name="SAPBEXHLevel3X 9 3" xfId="9716" xr:uid="{00000000-0005-0000-0000-0000B2220000}"/>
    <cellStyle name="SAPBEXHLevel3X 9 4" xfId="9717" xr:uid="{00000000-0005-0000-0000-0000B3220000}"/>
    <cellStyle name="SAPBEXHLevel3X_Sheet2" xfId="1060" xr:uid="{00000000-0005-0000-0000-0000B4220000}"/>
    <cellStyle name="SAPBEXinputData" xfId="1061" xr:uid="{00000000-0005-0000-0000-0000B5220000}"/>
    <cellStyle name="SAPBEXinputData 10" xfId="1062" xr:uid="{00000000-0005-0000-0000-0000B6220000}"/>
    <cellStyle name="SAPBEXinputData 11" xfId="1063" xr:uid="{00000000-0005-0000-0000-0000B7220000}"/>
    <cellStyle name="SAPBEXinputData 12" xfId="1064" xr:uid="{00000000-0005-0000-0000-0000B8220000}"/>
    <cellStyle name="SAPBEXinputData 13" xfId="1065" xr:uid="{00000000-0005-0000-0000-0000B9220000}"/>
    <cellStyle name="SAPBEXinputData 14" xfId="1066" xr:uid="{00000000-0005-0000-0000-0000BA220000}"/>
    <cellStyle name="SAPBEXinputData 15" xfId="1067" xr:uid="{00000000-0005-0000-0000-0000BB220000}"/>
    <cellStyle name="SAPBEXinputData 16" xfId="1068" xr:uid="{00000000-0005-0000-0000-0000BC220000}"/>
    <cellStyle name="SAPBEXinputData 17" xfId="1069" xr:uid="{00000000-0005-0000-0000-0000BD220000}"/>
    <cellStyle name="SAPBEXinputData 18" xfId="1070" xr:uid="{00000000-0005-0000-0000-0000BE220000}"/>
    <cellStyle name="SAPBEXinputData 19" xfId="1071" xr:uid="{00000000-0005-0000-0000-0000BF220000}"/>
    <cellStyle name="SAPBEXinputData 2" xfId="1072" xr:uid="{00000000-0005-0000-0000-0000C0220000}"/>
    <cellStyle name="SAPBEXinputData 20" xfId="1073" xr:uid="{00000000-0005-0000-0000-0000C1220000}"/>
    <cellStyle name="SAPBEXinputData 3" xfId="1074" xr:uid="{00000000-0005-0000-0000-0000C2220000}"/>
    <cellStyle name="SAPBEXinputData 4" xfId="1075" xr:uid="{00000000-0005-0000-0000-0000C3220000}"/>
    <cellStyle name="SAPBEXinputData 5" xfId="1076" xr:uid="{00000000-0005-0000-0000-0000C4220000}"/>
    <cellStyle name="SAPBEXinputData 6" xfId="1077" xr:uid="{00000000-0005-0000-0000-0000C5220000}"/>
    <cellStyle name="SAPBEXinputData 7" xfId="1078" xr:uid="{00000000-0005-0000-0000-0000C6220000}"/>
    <cellStyle name="SAPBEXinputData 8" xfId="1079" xr:uid="{00000000-0005-0000-0000-0000C7220000}"/>
    <cellStyle name="SAPBEXinputData 9" xfId="1080" xr:uid="{00000000-0005-0000-0000-0000C8220000}"/>
    <cellStyle name="SAPBEXinputData_Sheet2" xfId="1081" xr:uid="{00000000-0005-0000-0000-0000C9220000}"/>
    <cellStyle name="SAPBEXItemHeader" xfId="1082" xr:uid="{00000000-0005-0000-0000-0000CA220000}"/>
    <cellStyle name="SAPBEXItemHeader 2" xfId="9718" xr:uid="{00000000-0005-0000-0000-0000CB220000}"/>
    <cellStyle name="SAPBEXItemHeader 3" xfId="9719" xr:uid="{00000000-0005-0000-0000-0000CC220000}"/>
    <cellStyle name="SAPBEXItemHeader 4" xfId="9720" xr:uid="{00000000-0005-0000-0000-0000CD220000}"/>
    <cellStyle name="SAPBEXresData" xfId="1083" xr:uid="{00000000-0005-0000-0000-0000CE220000}"/>
    <cellStyle name="SAPBEXresData 10" xfId="1084" xr:uid="{00000000-0005-0000-0000-0000CF220000}"/>
    <cellStyle name="SAPBEXresData 10 2" xfId="9721" xr:uid="{00000000-0005-0000-0000-0000D0220000}"/>
    <cellStyle name="SAPBEXresData 10 3" xfId="9722" xr:uid="{00000000-0005-0000-0000-0000D1220000}"/>
    <cellStyle name="SAPBEXresData 10 4" xfId="9723" xr:uid="{00000000-0005-0000-0000-0000D2220000}"/>
    <cellStyle name="SAPBEXresData 11" xfId="1085" xr:uid="{00000000-0005-0000-0000-0000D3220000}"/>
    <cellStyle name="SAPBEXresData 11 2" xfId="9724" xr:uid="{00000000-0005-0000-0000-0000D4220000}"/>
    <cellStyle name="SAPBEXresData 11 3" xfId="9725" xr:uid="{00000000-0005-0000-0000-0000D5220000}"/>
    <cellStyle name="SAPBEXresData 11 4" xfId="9726" xr:uid="{00000000-0005-0000-0000-0000D6220000}"/>
    <cellStyle name="SAPBEXresData 12" xfId="1086" xr:uid="{00000000-0005-0000-0000-0000D7220000}"/>
    <cellStyle name="SAPBEXresData 12 2" xfId="9727" xr:uid="{00000000-0005-0000-0000-0000D8220000}"/>
    <cellStyle name="SAPBEXresData 12 3" xfId="9728" xr:uid="{00000000-0005-0000-0000-0000D9220000}"/>
    <cellStyle name="SAPBEXresData 12 4" xfId="9729" xr:uid="{00000000-0005-0000-0000-0000DA220000}"/>
    <cellStyle name="SAPBEXresData 13" xfId="1087" xr:uid="{00000000-0005-0000-0000-0000DB220000}"/>
    <cellStyle name="SAPBEXresData 13 2" xfId="9730" xr:uid="{00000000-0005-0000-0000-0000DC220000}"/>
    <cellStyle name="SAPBEXresData 13 3" xfId="9731" xr:uid="{00000000-0005-0000-0000-0000DD220000}"/>
    <cellStyle name="SAPBEXresData 13 4" xfId="9732" xr:uid="{00000000-0005-0000-0000-0000DE220000}"/>
    <cellStyle name="SAPBEXresData 14" xfId="1088" xr:uid="{00000000-0005-0000-0000-0000DF220000}"/>
    <cellStyle name="SAPBEXresData 14 2" xfId="9733" xr:uid="{00000000-0005-0000-0000-0000E0220000}"/>
    <cellStyle name="SAPBEXresData 14 3" xfId="9734" xr:uid="{00000000-0005-0000-0000-0000E1220000}"/>
    <cellStyle name="SAPBEXresData 14 4" xfId="9735" xr:uid="{00000000-0005-0000-0000-0000E2220000}"/>
    <cellStyle name="SAPBEXresData 15" xfId="1089" xr:uid="{00000000-0005-0000-0000-0000E3220000}"/>
    <cellStyle name="SAPBEXresData 15 2" xfId="9736" xr:uid="{00000000-0005-0000-0000-0000E4220000}"/>
    <cellStyle name="SAPBEXresData 15 3" xfId="9737" xr:uid="{00000000-0005-0000-0000-0000E5220000}"/>
    <cellStyle name="SAPBEXresData 15 4" xfId="9738" xr:uid="{00000000-0005-0000-0000-0000E6220000}"/>
    <cellStyle name="SAPBEXresData 16" xfId="1090" xr:uid="{00000000-0005-0000-0000-0000E7220000}"/>
    <cellStyle name="SAPBEXresData 16 2" xfId="9739" xr:uid="{00000000-0005-0000-0000-0000E8220000}"/>
    <cellStyle name="SAPBEXresData 16 3" xfId="9740" xr:uid="{00000000-0005-0000-0000-0000E9220000}"/>
    <cellStyle name="SAPBEXresData 16 4" xfId="9741" xr:uid="{00000000-0005-0000-0000-0000EA220000}"/>
    <cellStyle name="SAPBEXresData 17" xfId="1091" xr:uid="{00000000-0005-0000-0000-0000EB220000}"/>
    <cellStyle name="SAPBEXresData 17 2" xfId="9742" xr:uid="{00000000-0005-0000-0000-0000EC220000}"/>
    <cellStyle name="SAPBEXresData 17 3" xfId="9743" xr:uid="{00000000-0005-0000-0000-0000ED220000}"/>
    <cellStyle name="SAPBEXresData 17 4" xfId="9744" xr:uid="{00000000-0005-0000-0000-0000EE220000}"/>
    <cellStyle name="SAPBEXresData 18" xfId="1092" xr:uid="{00000000-0005-0000-0000-0000EF220000}"/>
    <cellStyle name="SAPBEXresData 18 2" xfId="9745" xr:uid="{00000000-0005-0000-0000-0000F0220000}"/>
    <cellStyle name="SAPBEXresData 18 3" xfId="9746" xr:uid="{00000000-0005-0000-0000-0000F1220000}"/>
    <cellStyle name="SAPBEXresData 18 4" xfId="9747" xr:uid="{00000000-0005-0000-0000-0000F2220000}"/>
    <cellStyle name="SAPBEXresData 19" xfId="1093" xr:uid="{00000000-0005-0000-0000-0000F3220000}"/>
    <cellStyle name="SAPBEXresData 19 2" xfId="9748" xr:uid="{00000000-0005-0000-0000-0000F4220000}"/>
    <cellStyle name="SAPBEXresData 19 3" xfId="9749" xr:uid="{00000000-0005-0000-0000-0000F5220000}"/>
    <cellStyle name="SAPBEXresData 19 4" xfId="9750" xr:uid="{00000000-0005-0000-0000-0000F6220000}"/>
    <cellStyle name="SAPBEXresData 2" xfId="1094" xr:uid="{00000000-0005-0000-0000-0000F7220000}"/>
    <cellStyle name="SAPBEXresData 2 2" xfId="9751" xr:uid="{00000000-0005-0000-0000-0000F8220000}"/>
    <cellStyle name="SAPBEXresData 2 3" xfId="9752" xr:uid="{00000000-0005-0000-0000-0000F9220000}"/>
    <cellStyle name="SAPBEXresData 2 4" xfId="9753" xr:uid="{00000000-0005-0000-0000-0000FA220000}"/>
    <cellStyle name="SAPBEXresData 20" xfId="1095" xr:uid="{00000000-0005-0000-0000-0000FB220000}"/>
    <cellStyle name="SAPBEXresData 20 2" xfId="9754" xr:uid="{00000000-0005-0000-0000-0000FC220000}"/>
    <cellStyle name="SAPBEXresData 20 3" xfId="9755" xr:uid="{00000000-0005-0000-0000-0000FD220000}"/>
    <cellStyle name="SAPBEXresData 20 4" xfId="9756" xr:uid="{00000000-0005-0000-0000-0000FE220000}"/>
    <cellStyle name="SAPBEXresData 21" xfId="9757" xr:uid="{00000000-0005-0000-0000-0000FF220000}"/>
    <cellStyle name="SAPBEXresData 22" xfId="9758" xr:uid="{00000000-0005-0000-0000-000000230000}"/>
    <cellStyle name="SAPBEXresData 23" xfId="9759" xr:uid="{00000000-0005-0000-0000-000001230000}"/>
    <cellStyle name="SAPBEXresData 3" xfId="1096" xr:uid="{00000000-0005-0000-0000-000002230000}"/>
    <cellStyle name="SAPBEXresData 3 2" xfId="9760" xr:uid="{00000000-0005-0000-0000-000003230000}"/>
    <cellStyle name="SAPBEXresData 3 3" xfId="9761" xr:uid="{00000000-0005-0000-0000-000004230000}"/>
    <cellStyle name="SAPBEXresData 3 4" xfId="9762" xr:uid="{00000000-0005-0000-0000-000005230000}"/>
    <cellStyle name="SAPBEXresData 4" xfId="1097" xr:uid="{00000000-0005-0000-0000-000006230000}"/>
    <cellStyle name="SAPBEXresData 4 2" xfId="9763" xr:uid="{00000000-0005-0000-0000-000007230000}"/>
    <cellStyle name="SAPBEXresData 4 3" xfId="9764" xr:uid="{00000000-0005-0000-0000-000008230000}"/>
    <cellStyle name="SAPBEXresData 4 4" xfId="9765" xr:uid="{00000000-0005-0000-0000-000009230000}"/>
    <cellStyle name="SAPBEXresData 5" xfId="1098" xr:uid="{00000000-0005-0000-0000-00000A230000}"/>
    <cellStyle name="SAPBEXresData 5 2" xfId="9766" xr:uid="{00000000-0005-0000-0000-00000B230000}"/>
    <cellStyle name="SAPBEXresData 5 3" xfId="9767" xr:uid="{00000000-0005-0000-0000-00000C230000}"/>
    <cellStyle name="SAPBEXresData 5 4" xfId="9768" xr:uid="{00000000-0005-0000-0000-00000D230000}"/>
    <cellStyle name="SAPBEXresData 6" xfId="1099" xr:uid="{00000000-0005-0000-0000-00000E230000}"/>
    <cellStyle name="SAPBEXresData 6 2" xfId="9769" xr:uid="{00000000-0005-0000-0000-00000F230000}"/>
    <cellStyle name="SAPBEXresData 6 3" xfId="9770" xr:uid="{00000000-0005-0000-0000-000010230000}"/>
    <cellStyle name="SAPBEXresData 6 4" xfId="9771" xr:uid="{00000000-0005-0000-0000-000011230000}"/>
    <cellStyle name="SAPBEXresData 7" xfId="1100" xr:uid="{00000000-0005-0000-0000-000012230000}"/>
    <cellStyle name="SAPBEXresData 7 2" xfId="9772" xr:uid="{00000000-0005-0000-0000-000013230000}"/>
    <cellStyle name="SAPBEXresData 7 3" xfId="9773" xr:uid="{00000000-0005-0000-0000-000014230000}"/>
    <cellStyle name="SAPBEXresData 7 4" xfId="9774" xr:uid="{00000000-0005-0000-0000-000015230000}"/>
    <cellStyle name="SAPBEXresData 8" xfId="1101" xr:uid="{00000000-0005-0000-0000-000016230000}"/>
    <cellStyle name="SAPBEXresData 8 2" xfId="9775" xr:uid="{00000000-0005-0000-0000-000017230000}"/>
    <cellStyle name="SAPBEXresData 8 3" xfId="9776" xr:uid="{00000000-0005-0000-0000-000018230000}"/>
    <cellStyle name="SAPBEXresData 8 4" xfId="9777" xr:uid="{00000000-0005-0000-0000-000019230000}"/>
    <cellStyle name="SAPBEXresData 9" xfId="1102" xr:uid="{00000000-0005-0000-0000-00001A230000}"/>
    <cellStyle name="SAPBEXresData 9 2" xfId="9778" xr:uid="{00000000-0005-0000-0000-00001B230000}"/>
    <cellStyle name="SAPBEXresData 9 3" xfId="9779" xr:uid="{00000000-0005-0000-0000-00001C230000}"/>
    <cellStyle name="SAPBEXresData 9 4" xfId="9780" xr:uid="{00000000-0005-0000-0000-00001D230000}"/>
    <cellStyle name="SAPBEXresData_Sheet2" xfId="1103" xr:uid="{00000000-0005-0000-0000-00001E230000}"/>
    <cellStyle name="SAPBEXresDataEmph" xfId="1104" xr:uid="{00000000-0005-0000-0000-00001F230000}"/>
    <cellStyle name="SAPBEXresDataEmph 10" xfId="1105" xr:uid="{00000000-0005-0000-0000-000020230000}"/>
    <cellStyle name="SAPBEXresDataEmph 11" xfId="1106" xr:uid="{00000000-0005-0000-0000-000021230000}"/>
    <cellStyle name="SAPBEXresDataEmph 12" xfId="1107" xr:uid="{00000000-0005-0000-0000-000022230000}"/>
    <cellStyle name="SAPBEXresDataEmph 13" xfId="1108" xr:uid="{00000000-0005-0000-0000-000023230000}"/>
    <cellStyle name="SAPBEXresDataEmph 14" xfId="1109" xr:uid="{00000000-0005-0000-0000-000024230000}"/>
    <cellStyle name="SAPBEXresDataEmph 15" xfId="1110" xr:uid="{00000000-0005-0000-0000-000025230000}"/>
    <cellStyle name="SAPBEXresDataEmph 16" xfId="1111" xr:uid="{00000000-0005-0000-0000-000026230000}"/>
    <cellStyle name="SAPBEXresDataEmph 17" xfId="1112" xr:uid="{00000000-0005-0000-0000-000027230000}"/>
    <cellStyle name="SAPBEXresDataEmph 18" xfId="1113" xr:uid="{00000000-0005-0000-0000-000028230000}"/>
    <cellStyle name="SAPBEXresDataEmph 19" xfId="1114" xr:uid="{00000000-0005-0000-0000-000029230000}"/>
    <cellStyle name="SAPBEXresDataEmph 2" xfId="1115" xr:uid="{00000000-0005-0000-0000-00002A230000}"/>
    <cellStyle name="SAPBEXresDataEmph 20" xfId="1116" xr:uid="{00000000-0005-0000-0000-00002B230000}"/>
    <cellStyle name="SAPBEXresDataEmph 3" xfId="1117" xr:uid="{00000000-0005-0000-0000-00002C230000}"/>
    <cellStyle name="SAPBEXresDataEmph 4" xfId="1118" xr:uid="{00000000-0005-0000-0000-00002D230000}"/>
    <cellStyle name="SAPBEXresDataEmph 5" xfId="1119" xr:uid="{00000000-0005-0000-0000-00002E230000}"/>
    <cellStyle name="SAPBEXresDataEmph 6" xfId="1120" xr:uid="{00000000-0005-0000-0000-00002F230000}"/>
    <cellStyle name="SAPBEXresDataEmph 7" xfId="1121" xr:uid="{00000000-0005-0000-0000-000030230000}"/>
    <cellStyle name="SAPBEXresDataEmph 8" xfId="1122" xr:uid="{00000000-0005-0000-0000-000031230000}"/>
    <cellStyle name="SAPBEXresDataEmph 9" xfId="1123" xr:uid="{00000000-0005-0000-0000-000032230000}"/>
    <cellStyle name="SAPBEXresDataEmph_Sheet2" xfId="1124" xr:uid="{00000000-0005-0000-0000-000033230000}"/>
    <cellStyle name="SAPBEXresItem" xfId="1125" xr:uid="{00000000-0005-0000-0000-000034230000}"/>
    <cellStyle name="SAPBEXresItem 10" xfId="1126" xr:uid="{00000000-0005-0000-0000-000035230000}"/>
    <cellStyle name="SAPBEXresItem 10 2" xfId="9781" xr:uid="{00000000-0005-0000-0000-000036230000}"/>
    <cellStyle name="SAPBEXresItem 10 3" xfId="9782" xr:uid="{00000000-0005-0000-0000-000037230000}"/>
    <cellStyle name="SAPBEXresItem 10 4" xfId="9783" xr:uid="{00000000-0005-0000-0000-000038230000}"/>
    <cellStyle name="SAPBEXresItem 11" xfId="1127" xr:uid="{00000000-0005-0000-0000-000039230000}"/>
    <cellStyle name="SAPBEXresItem 11 2" xfId="9784" xr:uid="{00000000-0005-0000-0000-00003A230000}"/>
    <cellStyle name="SAPBEXresItem 11 3" xfId="9785" xr:uid="{00000000-0005-0000-0000-00003B230000}"/>
    <cellStyle name="SAPBEXresItem 11 4" xfId="9786" xr:uid="{00000000-0005-0000-0000-00003C230000}"/>
    <cellStyle name="SAPBEXresItem 12" xfId="1128" xr:uid="{00000000-0005-0000-0000-00003D230000}"/>
    <cellStyle name="SAPBEXresItem 12 2" xfId="9787" xr:uid="{00000000-0005-0000-0000-00003E230000}"/>
    <cellStyle name="SAPBEXresItem 12 3" xfId="9788" xr:uid="{00000000-0005-0000-0000-00003F230000}"/>
    <cellStyle name="SAPBEXresItem 12 4" xfId="9789" xr:uid="{00000000-0005-0000-0000-000040230000}"/>
    <cellStyle name="SAPBEXresItem 13" xfId="1129" xr:uid="{00000000-0005-0000-0000-000041230000}"/>
    <cellStyle name="SAPBEXresItem 13 2" xfId="9790" xr:uid="{00000000-0005-0000-0000-000042230000}"/>
    <cellStyle name="SAPBEXresItem 13 3" xfId="9791" xr:uid="{00000000-0005-0000-0000-000043230000}"/>
    <cellStyle name="SAPBEXresItem 13 4" xfId="9792" xr:uid="{00000000-0005-0000-0000-000044230000}"/>
    <cellStyle name="SAPBEXresItem 14" xfId="1130" xr:uid="{00000000-0005-0000-0000-000045230000}"/>
    <cellStyle name="SAPBEXresItem 14 2" xfId="9793" xr:uid="{00000000-0005-0000-0000-000046230000}"/>
    <cellStyle name="SAPBEXresItem 14 3" xfId="9794" xr:uid="{00000000-0005-0000-0000-000047230000}"/>
    <cellStyle name="SAPBEXresItem 14 4" xfId="9795" xr:uid="{00000000-0005-0000-0000-000048230000}"/>
    <cellStyle name="SAPBEXresItem 15" xfId="1131" xr:uid="{00000000-0005-0000-0000-000049230000}"/>
    <cellStyle name="SAPBEXresItem 15 2" xfId="9796" xr:uid="{00000000-0005-0000-0000-00004A230000}"/>
    <cellStyle name="SAPBEXresItem 15 3" xfId="9797" xr:uid="{00000000-0005-0000-0000-00004B230000}"/>
    <cellStyle name="SAPBEXresItem 15 4" xfId="9798" xr:uid="{00000000-0005-0000-0000-00004C230000}"/>
    <cellStyle name="SAPBEXresItem 16" xfId="1132" xr:uid="{00000000-0005-0000-0000-00004D230000}"/>
    <cellStyle name="SAPBEXresItem 16 2" xfId="9799" xr:uid="{00000000-0005-0000-0000-00004E230000}"/>
    <cellStyle name="SAPBEXresItem 16 3" xfId="9800" xr:uid="{00000000-0005-0000-0000-00004F230000}"/>
    <cellStyle name="SAPBEXresItem 16 4" xfId="9801" xr:uid="{00000000-0005-0000-0000-000050230000}"/>
    <cellStyle name="SAPBEXresItem 17" xfId="1133" xr:uid="{00000000-0005-0000-0000-000051230000}"/>
    <cellStyle name="SAPBEXresItem 17 2" xfId="9802" xr:uid="{00000000-0005-0000-0000-000052230000}"/>
    <cellStyle name="SAPBEXresItem 17 3" xfId="9803" xr:uid="{00000000-0005-0000-0000-000053230000}"/>
    <cellStyle name="SAPBEXresItem 17 4" xfId="9804" xr:uid="{00000000-0005-0000-0000-000054230000}"/>
    <cellStyle name="SAPBEXresItem 18" xfId="1134" xr:uid="{00000000-0005-0000-0000-000055230000}"/>
    <cellStyle name="SAPBEXresItem 18 2" xfId="9805" xr:uid="{00000000-0005-0000-0000-000056230000}"/>
    <cellStyle name="SAPBEXresItem 18 3" xfId="9806" xr:uid="{00000000-0005-0000-0000-000057230000}"/>
    <cellStyle name="SAPBEXresItem 18 4" xfId="9807" xr:uid="{00000000-0005-0000-0000-000058230000}"/>
    <cellStyle name="SAPBEXresItem 19" xfId="1135" xr:uid="{00000000-0005-0000-0000-000059230000}"/>
    <cellStyle name="SAPBEXresItem 19 2" xfId="9808" xr:uid="{00000000-0005-0000-0000-00005A230000}"/>
    <cellStyle name="SAPBEXresItem 19 3" xfId="9809" xr:uid="{00000000-0005-0000-0000-00005B230000}"/>
    <cellStyle name="SAPBEXresItem 19 4" xfId="9810" xr:uid="{00000000-0005-0000-0000-00005C230000}"/>
    <cellStyle name="SAPBEXresItem 2" xfId="1136" xr:uid="{00000000-0005-0000-0000-00005D230000}"/>
    <cellStyle name="SAPBEXresItem 2 2" xfId="9811" xr:uid="{00000000-0005-0000-0000-00005E230000}"/>
    <cellStyle name="SAPBEXresItem 2 3" xfId="9812" xr:uid="{00000000-0005-0000-0000-00005F230000}"/>
    <cellStyle name="SAPBEXresItem 2 4" xfId="9813" xr:uid="{00000000-0005-0000-0000-000060230000}"/>
    <cellStyle name="SAPBEXresItem 20" xfId="1137" xr:uid="{00000000-0005-0000-0000-000061230000}"/>
    <cellStyle name="SAPBEXresItem 20 2" xfId="9814" xr:uid="{00000000-0005-0000-0000-000062230000}"/>
    <cellStyle name="SAPBEXresItem 20 3" xfId="9815" xr:uid="{00000000-0005-0000-0000-000063230000}"/>
    <cellStyle name="SAPBEXresItem 20 4" xfId="9816" xr:uid="{00000000-0005-0000-0000-000064230000}"/>
    <cellStyle name="SAPBEXresItem 21" xfId="9817" xr:uid="{00000000-0005-0000-0000-000065230000}"/>
    <cellStyle name="SAPBEXresItem 22" xfId="9818" xr:uid="{00000000-0005-0000-0000-000066230000}"/>
    <cellStyle name="SAPBEXresItem 23" xfId="9819" xr:uid="{00000000-0005-0000-0000-000067230000}"/>
    <cellStyle name="SAPBEXresItem 3" xfId="1138" xr:uid="{00000000-0005-0000-0000-000068230000}"/>
    <cellStyle name="SAPBEXresItem 3 2" xfId="9820" xr:uid="{00000000-0005-0000-0000-000069230000}"/>
    <cellStyle name="SAPBEXresItem 3 3" xfId="9821" xr:uid="{00000000-0005-0000-0000-00006A230000}"/>
    <cellStyle name="SAPBEXresItem 3 4" xfId="9822" xr:uid="{00000000-0005-0000-0000-00006B230000}"/>
    <cellStyle name="SAPBEXresItem 4" xfId="1139" xr:uid="{00000000-0005-0000-0000-00006C230000}"/>
    <cellStyle name="SAPBEXresItem 4 2" xfId="9823" xr:uid="{00000000-0005-0000-0000-00006D230000}"/>
    <cellStyle name="SAPBEXresItem 4 3" xfId="9824" xr:uid="{00000000-0005-0000-0000-00006E230000}"/>
    <cellStyle name="SAPBEXresItem 4 4" xfId="9825" xr:uid="{00000000-0005-0000-0000-00006F230000}"/>
    <cellStyle name="SAPBEXresItem 5" xfId="1140" xr:uid="{00000000-0005-0000-0000-000070230000}"/>
    <cellStyle name="SAPBEXresItem 5 2" xfId="9826" xr:uid="{00000000-0005-0000-0000-000071230000}"/>
    <cellStyle name="SAPBEXresItem 5 3" xfId="9827" xr:uid="{00000000-0005-0000-0000-000072230000}"/>
    <cellStyle name="SAPBEXresItem 5 4" xfId="9828" xr:uid="{00000000-0005-0000-0000-000073230000}"/>
    <cellStyle name="SAPBEXresItem 6" xfId="1141" xr:uid="{00000000-0005-0000-0000-000074230000}"/>
    <cellStyle name="SAPBEXresItem 6 2" xfId="9829" xr:uid="{00000000-0005-0000-0000-000075230000}"/>
    <cellStyle name="SAPBEXresItem 6 3" xfId="9830" xr:uid="{00000000-0005-0000-0000-000076230000}"/>
    <cellStyle name="SAPBEXresItem 6 4" xfId="9831" xr:uid="{00000000-0005-0000-0000-000077230000}"/>
    <cellStyle name="SAPBEXresItem 7" xfId="1142" xr:uid="{00000000-0005-0000-0000-000078230000}"/>
    <cellStyle name="SAPBEXresItem 7 2" xfId="9832" xr:uid="{00000000-0005-0000-0000-000079230000}"/>
    <cellStyle name="SAPBEXresItem 7 3" xfId="9833" xr:uid="{00000000-0005-0000-0000-00007A230000}"/>
    <cellStyle name="SAPBEXresItem 7 4" xfId="9834" xr:uid="{00000000-0005-0000-0000-00007B230000}"/>
    <cellStyle name="SAPBEXresItem 8" xfId="1143" xr:uid="{00000000-0005-0000-0000-00007C230000}"/>
    <cellStyle name="SAPBEXresItem 8 2" xfId="9835" xr:uid="{00000000-0005-0000-0000-00007D230000}"/>
    <cellStyle name="SAPBEXresItem 8 3" xfId="9836" xr:uid="{00000000-0005-0000-0000-00007E230000}"/>
    <cellStyle name="SAPBEXresItem 8 4" xfId="9837" xr:uid="{00000000-0005-0000-0000-00007F230000}"/>
    <cellStyle name="SAPBEXresItem 9" xfId="1144" xr:uid="{00000000-0005-0000-0000-000080230000}"/>
    <cellStyle name="SAPBEXresItem 9 2" xfId="9838" xr:uid="{00000000-0005-0000-0000-000081230000}"/>
    <cellStyle name="SAPBEXresItem 9 3" xfId="9839" xr:uid="{00000000-0005-0000-0000-000082230000}"/>
    <cellStyle name="SAPBEXresItem 9 4" xfId="9840" xr:uid="{00000000-0005-0000-0000-000083230000}"/>
    <cellStyle name="SAPBEXresItem_Sheet2" xfId="1145" xr:uid="{00000000-0005-0000-0000-000084230000}"/>
    <cellStyle name="SAPBEXresItemX" xfId="1146" xr:uid="{00000000-0005-0000-0000-000085230000}"/>
    <cellStyle name="SAPBEXresItemX 10" xfId="1147" xr:uid="{00000000-0005-0000-0000-000086230000}"/>
    <cellStyle name="SAPBEXresItemX 10 2" xfId="9841" xr:uid="{00000000-0005-0000-0000-000087230000}"/>
    <cellStyle name="SAPBEXresItemX 10 3" xfId="9842" xr:uid="{00000000-0005-0000-0000-000088230000}"/>
    <cellStyle name="SAPBEXresItemX 10 4" xfId="9843" xr:uid="{00000000-0005-0000-0000-000089230000}"/>
    <cellStyle name="SAPBEXresItemX 11" xfId="1148" xr:uid="{00000000-0005-0000-0000-00008A230000}"/>
    <cellStyle name="SAPBEXresItemX 11 2" xfId="9844" xr:uid="{00000000-0005-0000-0000-00008B230000}"/>
    <cellStyle name="SAPBEXresItemX 11 3" xfId="9845" xr:uid="{00000000-0005-0000-0000-00008C230000}"/>
    <cellStyle name="SAPBEXresItemX 11 4" xfId="9846" xr:uid="{00000000-0005-0000-0000-00008D230000}"/>
    <cellStyle name="SAPBEXresItemX 12" xfId="1149" xr:uid="{00000000-0005-0000-0000-00008E230000}"/>
    <cellStyle name="SAPBEXresItemX 12 2" xfId="9847" xr:uid="{00000000-0005-0000-0000-00008F230000}"/>
    <cellStyle name="SAPBEXresItemX 12 3" xfId="9848" xr:uid="{00000000-0005-0000-0000-000090230000}"/>
    <cellStyle name="SAPBEXresItemX 12 4" xfId="9849" xr:uid="{00000000-0005-0000-0000-000091230000}"/>
    <cellStyle name="SAPBEXresItemX 13" xfId="1150" xr:uid="{00000000-0005-0000-0000-000092230000}"/>
    <cellStyle name="SAPBEXresItemX 13 2" xfId="9850" xr:uid="{00000000-0005-0000-0000-000093230000}"/>
    <cellStyle name="SAPBEXresItemX 13 3" xfId="9851" xr:uid="{00000000-0005-0000-0000-000094230000}"/>
    <cellStyle name="SAPBEXresItemX 13 4" xfId="9852" xr:uid="{00000000-0005-0000-0000-000095230000}"/>
    <cellStyle name="SAPBEXresItemX 14" xfId="1151" xr:uid="{00000000-0005-0000-0000-000096230000}"/>
    <cellStyle name="SAPBEXresItemX 14 2" xfId="9853" xr:uid="{00000000-0005-0000-0000-000097230000}"/>
    <cellStyle name="SAPBEXresItemX 14 3" xfId="9854" xr:uid="{00000000-0005-0000-0000-000098230000}"/>
    <cellStyle name="SAPBEXresItemX 14 4" xfId="9855" xr:uid="{00000000-0005-0000-0000-000099230000}"/>
    <cellStyle name="SAPBEXresItemX 15" xfId="1152" xr:uid="{00000000-0005-0000-0000-00009A230000}"/>
    <cellStyle name="SAPBEXresItemX 15 2" xfId="9856" xr:uid="{00000000-0005-0000-0000-00009B230000}"/>
    <cellStyle name="SAPBEXresItemX 15 3" xfId="9857" xr:uid="{00000000-0005-0000-0000-00009C230000}"/>
    <cellStyle name="SAPBEXresItemX 15 4" xfId="9858" xr:uid="{00000000-0005-0000-0000-00009D230000}"/>
    <cellStyle name="SAPBEXresItemX 16" xfId="1153" xr:uid="{00000000-0005-0000-0000-00009E230000}"/>
    <cellStyle name="SAPBEXresItemX 16 2" xfId="9859" xr:uid="{00000000-0005-0000-0000-00009F230000}"/>
    <cellStyle name="SAPBEXresItemX 16 3" xfId="9860" xr:uid="{00000000-0005-0000-0000-0000A0230000}"/>
    <cellStyle name="SAPBEXresItemX 16 4" xfId="9861" xr:uid="{00000000-0005-0000-0000-0000A1230000}"/>
    <cellStyle name="SAPBEXresItemX 17" xfId="1154" xr:uid="{00000000-0005-0000-0000-0000A2230000}"/>
    <cellStyle name="SAPBEXresItemX 17 2" xfId="9862" xr:uid="{00000000-0005-0000-0000-0000A3230000}"/>
    <cellStyle name="SAPBEXresItemX 17 3" xfId="9863" xr:uid="{00000000-0005-0000-0000-0000A4230000}"/>
    <cellStyle name="SAPBEXresItemX 17 4" xfId="9864" xr:uid="{00000000-0005-0000-0000-0000A5230000}"/>
    <cellStyle name="SAPBEXresItemX 18" xfId="1155" xr:uid="{00000000-0005-0000-0000-0000A6230000}"/>
    <cellStyle name="SAPBEXresItemX 18 2" xfId="9865" xr:uid="{00000000-0005-0000-0000-0000A7230000}"/>
    <cellStyle name="SAPBEXresItemX 18 3" xfId="9866" xr:uid="{00000000-0005-0000-0000-0000A8230000}"/>
    <cellStyle name="SAPBEXresItemX 18 4" xfId="9867" xr:uid="{00000000-0005-0000-0000-0000A9230000}"/>
    <cellStyle name="SAPBEXresItemX 19" xfId="1156" xr:uid="{00000000-0005-0000-0000-0000AA230000}"/>
    <cellStyle name="SAPBEXresItemX 19 2" xfId="9868" xr:uid="{00000000-0005-0000-0000-0000AB230000}"/>
    <cellStyle name="SAPBEXresItemX 19 3" xfId="9869" xr:uid="{00000000-0005-0000-0000-0000AC230000}"/>
    <cellStyle name="SAPBEXresItemX 19 4" xfId="9870" xr:uid="{00000000-0005-0000-0000-0000AD230000}"/>
    <cellStyle name="SAPBEXresItemX 2" xfId="1157" xr:uid="{00000000-0005-0000-0000-0000AE230000}"/>
    <cellStyle name="SAPBEXresItemX 2 2" xfId="9871" xr:uid="{00000000-0005-0000-0000-0000AF230000}"/>
    <cellStyle name="SAPBEXresItemX 2 3" xfId="9872" xr:uid="{00000000-0005-0000-0000-0000B0230000}"/>
    <cellStyle name="SAPBEXresItemX 2 4" xfId="9873" xr:uid="{00000000-0005-0000-0000-0000B1230000}"/>
    <cellStyle name="SAPBEXresItemX 20" xfId="1158" xr:uid="{00000000-0005-0000-0000-0000B2230000}"/>
    <cellStyle name="SAPBEXresItemX 20 2" xfId="9874" xr:uid="{00000000-0005-0000-0000-0000B3230000}"/>
    <cellStyle name="SAPBEXresItemX 20 3" xfId="9875" xr:uid="{00000000-0005-0000-0000-0000B4230000}"/>
    <cellStyle name="SAPBEXresItemX 20 4" xfId="9876" xr:uid="{00000000-0005-0000-0000-0000B5230000}"/>
    <cellStyle name="SAPBEXresItemX 21" xfId="9877" xr:uid="{00000000-0005-0000-0000-0000B6230000}"/>
    <cellStyle name="SAPBEXresItemX 22" xfId="9878" xr:uid="{00000000-0005-0000-0000-0000B7230000}"/>
    <cellStyle name="SAPBEXresItemX 23" xfId="9879" xr:uid="{00000000-0005-0000-0000-0000B8230000}"/>
    <cellStyle name="SAPBEXresItemX 3" xfId="1159" xr:uid="{00000000-0005-0000-0000-0000B9230000}"/>
    <cellStyle name="SAPBEXresItemX 3 2" xfId="9880" xr:uid="{00000000-0005-0000-0000-0000BA230000}"/>
    <cellStyle name="SAPBEXresItemX 3 3" xfId="9881" xr:uid="{00000000-0005-0000-0000-0000BB230000}"/>
    <cellStyle name="SAPBEXresItemX 3 4" xfId="9882" xr:uid="{00000000-0005-0000-0000-0000BC230000}"/>
    <cellStyle name="SAPBEXresItemX 4" xfId="1160" xr:uid="{00000000-0005-0000-0000-0000BD230000}"/>
    <cellStyle name="SAPBEXresItemX 4 2" xfId="9883" xr:uid="{00000000-0005-0000-0000-0000BE230000}"/>
    <cellStyle name="SAPBEXresItemX 4 3" xfId="9884" xr:uid="{00000000-0005-0000-0000-0000BF230000}"/>
    <cellStyle name="SAPBEXresItemX 4 4" xfId="9885" xr:uid="{00000000-0005-0000-0000-0000C0230000}"/>
    <cellStyle name="SAPBEXresItemX 5" xfId="1161" xr:uid="{00000000-0005-0000-0000-0000C1230000}"/>
    <cellStyle name="SAPBEXresItemX 5 2" xfId="9886" xr:uid="{00000000-0005-0000-0000-0000C2230000}"/>
    <cellStyle name="SAPBEXresItemX 5 3" xfId="9887" xr:uid="{00000000-0005-0000-0000-0000C3230000}"/>
    <cellStyle name="SAPBEXresItemX 5 4" xfId="9888" xr:uid="{00000000-0005-0000-0000-0000C4230000}"/>
    <cellStyle name="SAPBEXresItemX 6" xfId="1162" xr:uid="{00000000-0005-0000-0000-0000C5230000}"/>
    <cellStyle name="SAPBEXresItemX 6 2" xfId="9889" xr:uid="{00000000-0005-0000-0000-0000C6230000}"/>
    <cellStyle name="SAPBEXresItemX 6 3" xfId="9890" xr:uid="{00000000-0005-0000-0000-0000C7230000}"/>
    <cellStyle name="SAPBEXresItemX 6 4" xfId="9891" xr:uid="{00000000-0005-0000-0000-0000C8230000}"/>
    <cellStyle name="SAPBEXresItemX 7" xfId="1163" xr:uid="{00000000-0005-0000-0000-0000C9230000}"/>
    <cellStyle name="SAPBEXresItemX 7 2" xfId="9892" xr:uid="{00000000-0005-0000-0000-0000CA230000}"/>
    <cellStyle name="SAPBEXresItemX 7 3" xfId="9893" xr:uid="{00000000-0005-0000-0000-0000CB230000}"/>
    <cellStyle name="SAPBEXresItemX 7 4" xfId="9894" xr:uid="{00000000-0005-0000-0000-0000CC230000}"/>
    <cellStyle name="SAPBEXresItemX 8" xfId="1164" xr:uid="{00000000-0005-0000-0000-0000CD230000}"/>
    <cellStyle name="SAPBEXresItemX 8 2" xfId="9895" xr:uid="{00000000-0005-0000-0000-0000CE230000}"/>
    <cellStyle name="SAPBEXresItemX 8 3" xfId="9896" xr:uid="{00000000-0005-0000-0000-0000CF230000}"/>
    <cellStyle name="SAPBEXresItemX 8 4" xfId="9897" xr:uid="{00000000-0005-0000-0000-0000D0230000}"/>
    <cellStyle name="SAPBEXresItemX 9" xfId="1165" xr:uid="{00000000-0005-0000-0000-0000D1230000}"/>
    <cellStyle name="SAPBEXresItemX 9 2" xfId="9898" xr:uid="{00000000-0005-0000-0000-0000D2230000}"/>
    <cellStyle name="SAPBEXresItemX 9 3" xfId="9899" xr:uid="{00000000-0005-0000-0000-0000D3230000}"/>
    <cellStyle name="SAPBEXresItemX 9 4" xfId="9900" xr:uid="{00000000-0005-0000-0000-0000D4230000}"/>
    <cellStyle name="SAPBEXresItemX_Sheet2" xfId="1166" xr:uid="{00000000-0005-0000-0000-0000D5230000}"/>
    <cellStyle name="SAPBEXstdData" xfId="1167" xr:uid="{00000000-0005-0000-0000-0000D6230000}"/>
    <cellStyle name="SAPBEXstdData 10" xfId="1168" xr:uid="{00000000-0005-0000-0000-0000D7230000}"/>
    <cellStyle name="SAPBEXstdData 10 2" xfId="9901" xr:uid="{00000000-0005-0000-0000-0000D8230000}"/>
    <cellStyle name="SAPBEXstdData 10 3" xfId="9902" xr:uid="{00000000-0005-0000-0000-0000D9230000}"/>
    <cellStyle name="SAPBEXstdData 10 4" xfId="9903" xr:uid="{00000000-0005-0000-0000-0000DA230000}"/>
    <cellStyle name="SAPBEXstdData 11" xfId="1169" xr:uid="{00000000-0005-0000-0000-0000DB230000}"/>
    <cellStyle name="SAPBEXstdData 11 2" xfId="9904" xr:uid="{00000000-0005-0000-0000-0000DC230000}"/>
    <cellStyle name="SAPBEXstdData 11 3" xfId="9905" xr:uid="{00000000-0005-0000-0000-0000DD230000}"/>
    <cellStyle name="SAPBEXstdData 11 4" xfId="9906" xr:uid="{00000000-0005-0000-0000-0000DE230000}"/>
    <cellStyle name="SAPBEXstdData 12" xfId="1170" xr:uid="{00000000-0005-0000-0000-0000DF230000}"/>
    <cellStyle name="SAPBEXstdData 12 2" xfId="9907" xr:uid="{00000000-0005-0000-0000-0000E0230000}"/>
    <cellStyle name="SAPBEXstdData 12 3" xfId="9908" xr:uid="{00000000-0005-0000-0000-0000E1230000}"/>
    <cellStyle name="SAPBEXstdData 12 4" xfId="9909" xr:uid="{00000000-0005-0000-0000-0000E2230000}"/>
    <cellStyle name="SAPBEXstdData 13" xfId="1171" xr:uid="{00000000-0005-0000-0000-0000E3230000}"/>
    <cellStyle name="SAPBEXstdData 13 2" xfId="9910" xr:uid="{00000000-0005-0000-0000-0000E4230000}"/>
    <cellStyle name="SAPBEXstdData 13 3" xfId="9911" xr:uid="{00000000-0005-0000-0000-0000E5230000}"/>
    <cellStyle name="SAPBEXstdData 13 4" xfId="9912" xr:uid="{00000000-0005-0000-0000-0000E6230000}"/>
    <cellStyle name="SAPBEXstdData 14" xfId="1172" xr:uid="{00000000-0005-0000-0000-0000E7230000}"/>
    <cellStyle name="SAPBEXstdData 14 2" xfId="9913" xr:uid="{00000000-0005-0000-0000-0000E8230000}"/>
    <cellStyle name="SAPBEXstdData 14 3" xfId="9914" xr:uid="{00000000-0005-0000-0000-0000E9230000}"/>
    <cellStyle name="SAPBEXstdData 14 4" xfId="9915" xr:uid="{00000000-0005-0000-0000-0000EA230000}"/>
    <cellStyle name="SAPBEXstdData 15" xfId="1173" xr:uid="{00000000-0005-0000-0000-0000EB230000}"/>
    <cellStyle name="SAPBEXstdData 15 2" xfId="9916" xr:uid="{00000000-0005-0000-0000-0000EC230000}"/>
    <cellStyle name="SAPBEXstdData 15 3" xfId="9917" xr:uid="{00000000-0005-0000-0000-0000ED230000}"/>
    <cellStyle name="SAPBEXstdData 15 4" xfId="9918" xr:uid="{00000000-0005-0000-0000-0000EE230000}"/>
    <cellStyle name="SAPBEXstdData 16" xfId="1174" xr:uid="{00000000-0005-0000-0000-0000EF230000}"/>
    <cellStyle name="SAPBEXstdData 16 2" xfId="9919" xr:uid="{00000000-0005-0000-0000-0000F0230000}"/>
    <cellStyle name="SAPBEXstdData 16 3" xfId="9920" xr:uid="{00000000-0005-0000-0000-0000F1230000}"/>
    <cellStyle name="SAPBEXstdData 16 4" xfId="9921" xr:uid="{00000000-0005-0000-0000-0000F2230000}"/>
    <cellStyle name="SAPBEXstdData 17" xfId="1175" xr:uid="{00000000-0005-0000-0000-0000F3230000}"/>
    <cellStyle name="SAPBEXstdData 17 2" xfId="9922" xr:uid="{00000000-0005-0000-0000-0000F4230000}"/>
    <cellStyle name="SAPBEXstdData 17 3" xfId="9923" xr:uid="{00000000-0005-0000-0000-0000F5230000}"/>
    <cellStyle name="SAPBEXstdData 17 4" xfId="9924" xr:uid="{00000000-0005-0000-0000-0000F6230000}"/>
    <cellStyle name="SAPBEXstdData 18" xfId="1176" xr:uid="{00000000-0005-0000-0000-0000F7230000}"/>
    <cellStyle name="SAPBEXstdData 18 2" xfId="9925" xr:uid="{00000000-0005-0000-0000-0000F8230000}"/>
    <cellStyle name="SAPBEXstdData 18 3" xfId="9926" xr:uid="{00000000-0005-0000-0000-0000F9230000}"/>
    <cellStyle name="SAPBEXstdData 18 4" xfId="9927" xr:uid="{00000000-0005-0000-0000-0000FA230000}"/>
    <cellStyle name="SAPBEXstdData 19" xfId="1177" xr:uid="{00000000-0005-0000-0000-0000FB230000}"/>
    <cellStyle name="SAPBEXstdData 19 2" xfId="9928" xr:uid="{00000000-0005-0000-0000-0000FC230000}"/>
    <cellStyle name="SAPBEXstdData 19 3" xfId="9929" xr:uid="{00000000-0005-0000-0000-0000FD230000}"/>
    <cellStyle name="SAPBEXstdData 19 4" xfId="9930" xr:uid="{00000000-0005-0000-0000-0000FE230000}"/>
    <cellStyle name="SAPBEXstdData 2" xfId="1178" xr:uid="{00000000-0005-0000-0000-0000FF230000}"/>
    <cellStyle name="SAPBEXstdData 2 2" xfId="9931" xr:uid="{00000000-0005-0000-0000-000000240000}"/>
    <cellStyle name="SAPBEXstdData 2 3" xfId="9932" xr:uid="{00000000-0005-0000-0000-000001240000}"/>
    <cellStyle name="SAPBEXstdData 2 4" xfId="9933" xr:uid="{00000000-0005-0000-0000-000002240000}"/>
    <cellStyle name="SAPBEXstdData 20" xfId="1179" xr:uid="{00000000-0005-0000-0000-000003240000}"/>
    <cellStyle name="SAPBEXstdData 20 2" xfId="9934" xr:uid="{00000000-0005-0000-0000-000004240000}"/>
    <cellStyle name="SAPBEXstdData 20 3" xfId="9935" xr:uid="{00000000-0005-0000-0000-000005240000}"/>
    <cellStyle name="SAPBEXstdData 20 4" xfId="9936" xr:uid="{00000000-0005-0000-0000-000006240000}"/>
    <cellStyle name="SAPBEXstdData 21" xfId="9937" xr:uid="{00000000-0005-0000-0000-000007240000}"/>
    <cellStyle name="SAPBEXstdData 22" xfId="9938" xr:uid="{00000000-0005-0000-0000-000008240000}"/>
    <cellStyle name="SAPBEXstdData 23" xfId="9939" xr:uid="{00000000-0005-0000-0000-000009240000}"/>
    <cellStyle name="SAPBEXstdData 3" xfId="1180" xr:uid="{00000000-0005-0000-0000-00000A240000}"/>
    <cellStyle name="SAPBEXstdData 3 2" xfId="9940" xr:uid="{00000000-0005-0000-0000-00000B240000}"/>
    <cellStyle name="SAPBEXstdData 3 3" xfId="9941" xr:uid="{00000000-0005-0000-0000-00000C240000}"/>
    <cellStyle name="SAPBEXstdData 3 4" xfId="9942" xr:uid="{00000000-0005-0000-0000-00000D240000}"/>
    <cellStyle name="SAPBEXstdData 4" xfId="1181" xr:uid="{00000000-0005-0000-0000-00000E240000}"/>
    <cellStyle name="SAPBEXstdData 4 2" xfId="9943" xr:uid="{00000000-0005-0000-0000-00000F240000}"/>
    <cellStyle name="SAPBEXstdData 4 3" xfId="9944" xr:uid="{00000000-0005-0000-0000-000010240000}"/>
    <cellStyle name="SAPBEXstdData 4 4" xfId="9945" xr:uid="{00000000-0005-0000-0000-000011240000}"/>
    <cellStyle name="SAPBEXstdData 5" xfId="1182" xr:uid="{00000000-0005-0000-0000-000012240000}"/>
    <cellStyle name="SAPBEXstdData 5 2" xfId="9946" xr:uid="{00000000-0005-0000-0000-000013240000}"/>
    <cellStyle name="SAPBEXstdData 5 3" xfId="9947" xr:uid="{00000000-0005-0000-0000-000014240000}"/>
    <cellStyle name="SAPBEXstdData 5 4" xfId="9948" xr:uid="{00000000-0005-0000-0000-000015240000}"/>
    <cellStyle name="SAPBEXstdData 6" xfId="1183" xr:uid="{00000000-0005-0000-0000-000016240000}"/>
    <cellStyle name="SAPBEXstdData 6 2" xfId="9949" xr:uid="{00000000-0005-0000-0000-000017240000}"/>
    <cellStyle name="SAPBEXstdData 6 3" xfId="9950" xr:uid="{00000000-0005-0000-0000-000018240000}"/>
    <cellStyle name="SAPBEXstdData 6 4" xfId="9951" xr:uid="{00000000-0005-0000-0000-000019240000}"/>
    <cellStyle name="SAPBEXstdData 7" xfId="1184" xr:uid="{00000000-0005-0000-0000-00001A240000}"/>
    <cellStyle name="SAPBEXstdData 7 2" xfId="9952" xr:uid="{00000000-0005-0000-0000-00001B240000}"/>
    <cellStyle name="SAPBEXstdData 7 3" xfId="9953" xr:uid="{00000000-0005-0000-0000-00001C240000}"/>
    <cellStyle name="SAPBEXstdData 7 4" xfId="9954" xr:uid="{00000000-0005-0000-0000-00001D240000}"/>
    <cellStyle name="SAPBEXstdData 8" xfId="1185" xr:uid="{00000000-0005-0000-0000-00001E240000}"/>
    <cellStyle name="SAPBEXstdData 8 2" xfId="9955" xr:uid="{00000000-0005-0000-0000-00001F240000}"/>
    <cellStyle name="SAPBEXstdData 8 3" xfId="9956" xr:uid="{00000000-0005-0000-0000-000020240000}"/>
    <cellStyle name="SAPBEXstdData 8 4" xfId="9957" xr:uid="{00000000-0005-0000-0000-000021240000}"/>
    <cellStyle name="SAPBEXstdData 9" xfId="1186" xr:uid="{00000000-0005-0000-0000-000022240000}"/>
    <cellStyle name="SAPBEXstdData 9 2" xfId="9958" xr:uid="{00000000-0005-0000-0000-000023240000}"/>
    <cellStyle name="SAPBEXstdData 9 3" xfId="9959" xr:uid="{00000000-0005-0000-0000-000024240000}"/>
    <cellStyle name="SAPBEXstdData 9 4" xfId="9960" xr:uid="{00000000-0005-0000-0000-000025240000}"/>
    <cellStyle name="SAPBEXstdData_Sheet2" xfId="1187" xr:uid="{00000000-0005-0000-0000-000026240000}"/>
    <cellStyle name="SAPBEXstdDataEmph" xfId="1188" xr:uid="{00000000-0005-0000-0000-000027240000}"/>
    <cellStyle name="SAPBEXstdDataEmph 10" xfId="1189" xr:uid="{00000000-0005-0000-0000-000028240000}"/>
    <cellStyle name="SAPBEXstdDataEmph 10 2" xfId="9961" xr:uid="{00000000-0005-0000-0000-000029240000}"/>
    <cellStyle name="SAPBEXstdDataEmph 10 3" xfId="9962" xr:uid="{00000000-0005-0000-0000-00002A240000}"/>
    <cellStyle name="SAPBEXstdDataEmph 10 4" xfId="9963" xr:uid="{00000000-0005-0000-0000-00002B240000}"/>
    <cellStyle name="SAPBEXstdDataEmph 11" xfId="1190" xr:uid="{00000000-0005-0000-0000-00002C240000}"/>
    <cellStyle name="SAPBEXstdDataEmph 11 2" xfId="9964" xr:uid="{00000000-0005-0000-0000-00002D240000}"/>
    <cellStyle name="SAPBEXstdDataEmph 11 3" xfId="9965" xr:uid="{00000000-0005-0000-0000-00002E240000}"/>
    <cellStyle name="SAPBEXstdDataEmph 11 4" xfId="9966" xr:uid="{00000000-0005-0000-0000-00002F240000}"/>
    <cellStyle name="SAPBEXstdDataEmph 12" xfId="1191" xr:uid="{00000000-0005-0000-0000-000030240000}"/>
    <cellStyle name="SAPBEXstdDataEmph 12 2" xfId="9967" xr:uid="{00000000-0005-0000-0000-000031240000}"/>
    <cellStyle name="SAPBEXstdDataEmph 12 3" xfId="9968" xr:uid="{00000000-0005-0000-0000-000032240000}"/>
    <cellStyle name="SAPBEXstdDataEmph 12 4" xfId="9969" xr:uid="{00000000-0005-0000-0000-000033240000}"/>
    <cellStyle name="SAPBEXstdDataEmph 13" xfId="1192" xr:uid="{00000000-0005-0000-0000-000034240000}"/>
    <cellStyle name="SAPBEXstdDataEmph 13 2" xfId="9970" xr:uid="{00000000-0005-0000-0000-000035240000}"/>
    <cellStyle name="SAPBEXstdDataEmph 13 3" xfId="9971" xr:uid="{00000000-0005-0000-0000-000036240000}"/>
    <cellStyle name="SAPBEXstdDataEmph 13 4" xfId="9972" xr:uid="{00000000-0005-0000-0000-000037240000}"/>
    <cellStyle name="SAPBEXstdDataEmph 14" xfId="1193" xr:uid="{00000000-0005-0000-0000-000038240000}"/>
    <cellStyle name="SAPBEXstdDataEmph 14 2" xfId="9973" xr:uid="{00000000-0005-0000-0000-000039240000}"/>
    <cellStyle name="SAPBEXstdDataEmph 14 3" xfId="9974" xr:uid="{00000000-0005-0000-0000-00003A240000}"/>
    <cellStyle name="SAPBEXstdDataEmph 14 4" xfId="9975" xr:uid="{00000000-0005-0000-0000-00003B240000}"/>
    <cellStyle name="SAPBEXstdDataEmph 15" xfId="1194" xr:uid="{00000000-0005-0000-0000-00003C240000}"/>
    <cellStyle name="SAPBEXstdDataEmph 15 2" xfId="9976" xr:uid="{00000000-0005-0000-0000-00003D240000}"/>
    <cellStyle name="SAPBEXstdDataEmph 15 3" xfId="9977" xr:uid="{00000000-0005-0000-0000-00003E240000}"/>
    <cellStyle name="SAPBEXstdDataEmph 15 4" xfId="9978" xr:uid="{00000000-0005-0000-0000-00003F240000}"/>
    <cellStyle name="SAPBEXstdDataEmph 16" xfId="1195" xr:uid="{00000000-0005-0000-0000-000040240000}"/>
    <cellStyle name="SAPBEXstdDataEmph 16 2" xfId="9979" xr:uid="{00000000-0005-0000-0000-000041240000}"/>
    <cellStyle name="SAPBEXstdDataEmph 16 3" xfId="9980" xr:uid="{00000000-0005-0000-0000-000042240000}"/>
    <cellStyle name="SAPBEXstdDataEmph 16 4" xfId="9981" xr:uid="{00000000-0005-0000-0000-000043240000}"/>
    <cellStyle name="SAPBEXstdDataEmph 17" xfId="1196" xr:uid="{00000000-0005-0000-0000-000044240000}"/>
    <cellStyle name="SAPBEXstdDataEmph 17 2" xfId="9982" xr:uid="{00000000-0005-0000-0000-000045240000}"/>
    <cellStyle name="SAPBEXstdDataEmph 17 3" xfId="9983" xr:uid="{00000000-0005-0000-0000-000046240000}"/>
    <cellStyle name="SAPBEXstdDataEmph 17 4" xfId="9984" xr:uid="{00000000-0005-0000-0000-000047240000}"/>
    <cellStyle name="SAPBEXstdDataEmph 18" xfId="1197" xr:uid="{00000000-0005-0000-0000-000048240000}"/>
    <cellStyle name="SAPBEXstdDataEmph 18 2" xfId="9985" xr:uid="{00000000-0005-0000-0000-000049240000}"/>
    <cellStyle name="SAPBEXstdDataEmph 18 3" xfId="9986" xr:uid="{00000000-0005-0000-0000-00004A240000}"/>
    <cellStyle name="SAPBEXstdDataEmph 18 4" xfId="9987" xr:uid="{00000000-0005-0000-0000-00004B240000}"/>
    <cellStyle name="SAPBEXstdDataEmph 19" xfId="1198" xr:uid="{00000000-0005-0000-0000-00004C240000}"/>
    <cellStyle name="SAPBEXstdDataEmph 19 2" xfId="9988" xr:uid="{00000000-0005-0000-0000-00004D240000}"/>
    <cellStyle name="SAPBEXstdDataEmph 19 3" xfId="9989" xr:uid="{00000000-0005-0000-0000-00004E240000}"/>
    <cellStyle name="SAPBEXstdDataEmph 19 4" xfId="9990" xr:uid="{00000000-0005-0000-0000-00004F240000}"/>
    <cellStyle name="SAPBEXstdDataEmph 2" xfId="1199" xr:uid="{00000000-0005-0000-0000-000050240000}"/>
    <cellStyle name="SAPBEXstdDataEmph 2 2" xfId="9991" xr:uid="{00000000-0005-0000-0000-000051240000}"/>
    <cellStyle name="SAPBEXstdDataEmph 2 3" xfId="9992" xr:uid="{00000000-0005-0000-0000-000052240000}"/>
    <cellStyle name="SAPBEXstdDataEmph 2 4" xfId="9993" xr:uid="{00000000-0005-0000-0000-000053240000}"/>
    <cellStyle name="SAPBEXstdDataEmph 20" xfId="1200" xr:uid="{00000000-0005-0000-0000-000054240000}"/>
    <cellStyle name="SAPBEXstdDataEmph 20 2" xfId="9994" xr:uid="{00000000-0005-0000-0000-000055240000}"/>
    <cellStyle name="SAPBEXstdDataEmph 20 3" xfId="9995" xr:uid="{00000000-0005-0000-0000-000056240000}"/>
    <cellStyle name="SAPBEXstdDataEmph 20 4" xfId="9996" xr:uid="{00000000-0005-0000-0000-000057240000}"/>
    <cellStyle name="SAPBEXstdDataEmph 21" xfId="9997" xr:uid="{00000000-0005-0000-0000-000058240000}"/>
    <cellStyle name="SAPBEXstdDataEmph 22" xfId="9998" xr:uid="{00000000-0005-0000-0000-000059240000}"/>
    <cellStyle name="SAPBEXstdDataEmph 23" xfId="9999" xr:uid="{00000000-0005-0000-0000-00005A240000}"/>
    <cellStyle name="SAPBEXstdDataEmph 3" xfId="1201" xr:uid="{00000000-0005-0000-0000-00005B240000}"/>
    <cellStyle name="SAPBEXstdDataEmph 3 2" xfId="10000" xr:uid="{00000000-0005-0000-0000-00005C240000}"/>
    <cellStyle name="SAPBEXstdDataEmph 3 3" xfId="10001" xr:uid="{00000000-0005-0000-0000-00005D240000}"/>
    <cellStyle name="SAPBEXstdDataEmph 3 4" xfId="10002" xr:uid="{00000000-0005-0000-0000-00005E240000}"/>
    <cellStyle name="SAPBEXstdDataEmph 4" xfId="1202" xr:uid="{00000000-0005-0000-0000-00005F240000}"/>
    <cellStyle name="SAPBEXstdDataEmph 4 2" xfId="10003" xr:uid="{00000000-0005-0000-0000-000060240000}"/>
    <cellStyle name="SAPBEXstdDataEmph 4 3" xfId="10004" xr:uid="{00000000-0005-0000-0000-000061240000}"/>
    <cellStyle name="SAPBEXstdDataEmph 4 4" xfId="10005" xr:uid="{00000000-0005-0000-0000-000062240000}"/>
    <cellStyle name="SAPBEXstdDataEmph 5" xfId="1203" xr:uid="{00000000-0005-0000-0000-000063240000}"/>
    <cellStyle name="SAPBEXstdDataEmph 5 2" xfId="10006" xr:uid="{00000000-0005-0000-0000-000064240000}"/>
    <cellStyle name="SAPBEXstdDataEmph 5 3" xfId="10007" xr:uid="{00000000-0005-0000-0000-000065240000}"/>
    <cellStyle name="SAPBEXstdDataEmph 5 4" xfId="10008" xr:uid="{00000000-0005-0000-0000-000066240000}"/>
    <cellStyle name="SAPBEXstdDataEmph 6" xfId="1204" xr:uid="{00000000-0005-0000-0000-000067240000}"/>
    <cellStyle name="SAPBEXstdDataEmph 6 2" xfId="10009" xr:uid="{00000000-0005-0000-0000-000068240000}"/>
    <cellStyle name="SAPBEXstdDataEmph 6 3" xfId="10010" xr:uid="{00000000-0005-0000-0000-000069240000}"/>
    <cellStyle name="SAPBEXstdDataEmph 6 4" xfId="10011" xr:uid="{00000000-0005-0000-0000-00006A240000}"/>
    <cellStyle name="SAPBEXstdDataEmph 7" xfId="1205" xr:uid="{00000000-0005-0000-0000-00006B240000}"/>
    <cellStyle name="SAPBEXstdDataEmph 7 2" xfId="10012" xr:uid="{00000000-0005-0000-0000-00006C240000}"/>
    <cellStyle name="SAPBEXstdDataEmph 7 3" xfId="10013" xr:uid="{00000000-0005-0000-0000-00006D240000}"/>
    <cellStyle name="SAPBEXstdDataEmph 7 4" xfId="10014" xr:uid="{00000000-0005-0000-0000-00006E240000}"/>
    <cellStyle name="SAPBEXstdDataEmph 8" xfId="1206" xr:uid="{00000000-0005-0000-0000-00006F240000}"/>
    <cellStyle name="SAPBEXstdDataEmph 8 2" xfId="10015" xr:uid="{00000000-0005-0000-0000-000070240000}"/>
    <cellStyle name="SAPBEXstdDataEmph 8 3" xfId="10016" xr:uid="{00000000-0005-0000-0000-000071240000}"/>
    <cellStyle name="SAPBEXstdDataEmph 8 4" xfId="10017" xr:uid="{00000000-0005-0000-0000-000072240000}"/>
    <cellStyle name="SAPBEXstdDataEmph 9" xfId="1207" xr:uid="{00000000-0005-0000-0000-000073240000}"/>
    <cellStyle name="SAPBEXstdDataEmph 9 2" xfId="10018" xr:uid="{00000000-0005-0000-0000-000074240000}"/>
    <cellStyle name="SAPBEXstdDataEmph 9 3" xfId="10019" xr:uid="{00000000-0005-0000-0000-000075240000}"/>
    <cellStyle name="SAPBEXstdDataEmph 9 4" xfId="10020" xr:uid="{00000000-0005-0000-0000-000076240000}"/>
    <cellStyle name="SAPBEXstdDataEmph_Sheet2" xfId="1208" xr:uid="{00000000-0005-0000-0000-000077240000}"/>
    <cellStyle name="SAPBEXstdItem" xfId="1209" xr:uid="{00000000-0005-0000-0000-000078240000}"/>
    <cellStyle name="SAPBEXstdItem 10" xfId="1210" xr:uid="{00000000-0005-0000-0000-000079240000}"/>
    <cellStyle name="SAPBEXstdItem 10 2" xfId="10021" xr:uid="{00000000-0005-0000-0000-00007A240000}"/>
    <cellStyle name="SAPBEXstdItem 10 3" xfId="10022" xr:uid="{00000000-0005-0000-0000-00007B240000}"/>
    <cellStyle name="SAPBEXstdItem 10 4" xfId="10023" xr:uid="{00000000-0005-0000-0000-00007C240000}"/>
    <cellStyle name="SAPBEXstdItem 11" xfId="1211" xr:uid="{00000000-0005-0000-0000-00007D240000}"/>
    <cellStyle name="SAPBEXstdItem 11 2" xfId="10024" xr:uid="{00000000-0005-0000-0000-00007E240000}"/>
    <cellStyle name="SAPBEXstdItem 11 3" xfId="10025" xr:uid="{00000000-0005-0000-0000-00007F240000}"/>
    <cellStyle name="SAPBEXstdItem 11 4" xfId="10026" xr:uid="{00000000-0005-0000-0000-000080240000}"/>
    <cellStyle name="SAPBEXstdItem 12" xfId="1212" xr:uid="{00000000-0005-0000-0000-000081240000}"/>
    <cellStyle name="SAPBEXstdItem 12 2" xfId="10027" xr:uid="{00000000-0005-0000-0000-000082240000}"/>
    <cellStyle name="SAPBEXstdItem 12 3" xfId="10028" xr:uid="{00000000-0005-0000-0000-000083240000}"/>
    <cellStyle name="SAPBEXstdItem 12 4" xfId="10029" xr:uid="{00000000-0005-0000-0000-000084240000}"/>
    <cellStyle name="SAPBEXstdItem 13" xfId="1213" xr:uid="{00000000-0005-0000-0000-000085240000}"/>
    <cellStyle name="SAPBEXstdItem 13 2" xfId="10030" xr:uid="{00000000-0005-0000-0000-000086240000}"/>
    <cellStyle name="SAPBEXstdItem 13 3" xfId="10031" xr:uid="{00000000-0005-0000-0000-000087240000}"/>
    <cellStyle name="SAPBEXstdItem 13 4" xfId="10032" xr:uid="{00000000-0005-0000-0000-000088240000}"/>
    <cellStyle name="SAPBEXstdItem 14" xfId="1214" xr:uid="{00000000-0005-0000-0000-000089240000}"/>
    <cellStyle name="SAPBEXstdItem 14 2" xfId="10033" xr:uid="{00000000-0005-0000-0000-00008A240000}"/>
    <cellStyle name="SAPBEXstdItem 14 3" xfId="10034" xr:uid="{00000000-0005-0000-0000-00008B240000}"/>
    <cellStyle name="SAPBEXstdItem 14 4" xfId="10035" xr:uid="{00000000-0005-0000-0000-00008C240000}"/>
    <cellStyle name="SAPBEXstdItem 15" xfId="1215" xr:uid="{00000000-0005-0000-0000-00008D240000}"/>
    <cellStyle name="SAPBEXstdItem 15 2" xfId="10036" xr:uid="{00000000-0005-0000-0000-00008E240000}"/>
    <cellStyle name="SAPBEXstdItem 15 3" xfId="10037" xr:uid="{00000000-0005-0000-0000-00008F240000}"/>
    <cellStyle name="SAPBEXstdItem 15 4" xfId="10038" xr:uid="{00000000-0005-0000-0000-000090240000}"/>
    <cellStyle name="SAPBEXstdItem 16" xfId="1216" xr:uid="{00000000-0005-0000-0000-000091240000}"/>
    <cellStyle name="SAPBEXstdItem 16 2" xfId="10039" xr:uid="{00000000-0005-0000-0000-000092240000}"/>
    <cellStyle name="SAPBEXstdItem 16 3" xfId="10040" xr:uid="{00000000-0005-0000-0000-000093240000}"/>
    <cellStyle name="SAPBEXstdItem 16 4" xfId="10041" xr:uid="{00000000-0005-0000-0000-000094240000}"/>
    <cellStyle name="SAPBEXstdItem 17" xfId="1217" xr:uid="{00000000-0005-0000-0000-000095240000}"/>
    <cellStyle name="SAPBEXstdItem 17 2" xfId="10042" xr:uid="{00000000-0005-0000-0000-000096240000}"/>
    <cellStyle name="SAPBEXstdItem 17 3" xfId="10043" xr:uid="{00000000-0005-0000-0000-000097240000}"/>
    <cellStyle name="SAPBEXstdItem 17 4" xfId="10044" xr:uid="{00000000-0005-0000-0000-000098240000}"/>
    <cellStyle name="SAPBEXstdItem 18" xfId="1218" xr:uid="{00000000-0005-0000-0000-000099240000}"/>
    <cellStyle name="SAPBEXstdItem 18 2" xfId="10045" xr:uid="{00000000-0005-0000-0000-00009A240000}"/>
    <cellStyle name="SAPBEXstdItem 18 3" xfId="10046" xr:uid="{00000000-0005-0000-0000-00009B240000}"/>
    <cellStyle name="SAPBEXstdItem 18 4" xfId="10047" xr:uid="{00000000-0005-0000-0000-00009C240000}"/>
    <cellStyle name="SAPBEXstdItem 19" xfId="1219" xr:uid="{00000000-0005-0000-0000-00009D240000}"/>
    <cellStyle name="SAPBEXstdItem 19 2" xfId="10048" xr:uid="{00000000-0005-0000-0000-00009E240000}"/>
    <cellStyle name="SAPBEXstdItem 19 3" xfId="10049" xr:uid="{00000000-0005-0000-0000-00009F240000}"/>
    <cellStyle name="SAPBEXstdItem 19 4" xfId="10050" xr:uid="{00000000-0005-0000-0000-0000A0240000}"/>
    <cellStyle name="SAPBEXstdItem 2" xfId="1220" xr:uid="{00000000-0005-0000-0000-0000A1240000}"/>
    <cellStyle name="SAPBEXstdItem 2 2" xfId="10051" xr:uid="{00000000-0005-0000-0000-0000A2240000}"/>
    <cellStyle name="SAPBEXstdItem 2 3" xfId="10052" xr:uid="{00000000-0005-0000-0000-0000A3240000}"/>
    <cellStyle name="SAPBEXstdItem 2 4" xfId="10053" xr:uid="{00000000-0005-0000-0000-0000A4240000}"/>
    <cellStyle name="SAPBEXstdItem 20" xfId="1221" xr:uid="{00000000-0005-0000-0000-0000A5240000}"/>
    <cellStyle name="SAPBEXstdItem 20 2" xfId="10054" xr:uid="{00000000-0005-0000-0000-0000A6240000}"/>
    <cellStyle name="SAPBEXstdItem 20 3" xfId="10055" xr:uid="{00000000-0005-0000-0000-0000A7240000}"/>
    <cellStyle name="SAPBEXstdItem 20 4" xfId="10056" xr:uid="{00000000-0005-0000-0000-0000A8240000}"/>
    <cellStyle name="SAPBEXstdItem 21" xfId="10057" xr:uid="{00000000-0005-0000-0000-0000A9240000}"/>
    <cellStyle name="SAPBEXstdItem 22" xfId="10058" xr:uid="{00000000-0005-0000-0000-0000AA240000}"/>
    <cellStyle name="SAPBEXstdItem 23" xfId="10059" xr:uid="{00000000-0005-0000-0000-0000AB240000}"/>
    <cellStyle name="SAPBEXstdItem 3" xfId="1222" xr:uid="{00000000-0005-0000-0000-0000AC240000}"/>
    <cellStyle name="SAPBEXstdItem 3 2" xfId="10060" xr:uid="{00000000-0005-0000-0000-0000AD240000}"/>
    <cellStyle name="SAPBEXstdItem 3 3" xfId="10061" xr:uid="{00000000-0005-0000-0000-0000AE240000}"/>
    <cellStyle name="SAPBEXstdItem 3 4" xfId="10062" xr:uid="{00000000-0005-0000-0000-0000AF240000}"/>
    <cellStyle name="SAPBEXstdItem 4" xfId="1223" xr:uid="{00000000-0005-0000-0000-0000B0240000}"/>
    <cellStyle name="SAPBEXstdItem 4 2" xfId="10063" xr:uid="{00000000-0005-0000-0000-0000B1240000}"/>
    <cellStyle name="SAPBEXstdItem 4 3" xfId="10064" xr:uid="{00000000-0005-0000-0000-0000B2240000}"/>
    <cellStyle name="SAPBEXstdItem 4 4" xfId="10065" xr:uid="{00000000-0005-0000-0000-0000B3240000}"/>
    <cellStyle name="SAPBEXstdItem 5" xfId="1224" xr:uid="{00000000-0005-0000-0000-0000B4240000}"/>
    <cellStyle name="SAPBEXstdItem 5 2" xfId="10066" xr:uid="{00000000-0005-0000-0000-0000B5240000}"/>
    <cellStyle name="SAPBEXstdItem 5 3" xfId="10067" xr:uid="{00000000-0005-0000-0000-0000B6240000}"/>
    <cellStyle name="SAPBEXstdItem 5 4" xfId="10068" xr:uid="{00000000-0005-0000-0000-0000B7240000}"/>
    <cellStyle name="SAPBEXstdItem 6" xfId="1225" xr:uid="{00000000-0005-0000-0000-0000B8240000}"/>
    <cellStyle name="SAPBEXstdItem 6 2" xfId="10069" xr:uid="{00000000-0005-0000-0000-0000B9240000}"/>
    <cellStyle name="SAPBEXstdItem 6 3" xfId="10070" xr:uid="{00000000-0005-0000-0000-0000BA240000}"/>
    <cellStyle name="SAPBEXstdItem 6 4" xfId="10071" xr:uid="{00000000-0005-0000-0000-0000BB240000}"/>
    <cellStyle name="SAPBEXstdItem 7" xfId="1226" xr:uid="{00000000-0005-0000-0000-0000BC240000}"/>
    <cellStyle name="SAPBEXstdItem 7 2" xfId="10072" xr:uid="{00000000-0005-0000-0000-0000BD240000}"/>
    <cellStyle name="SAPBEXstdItem 7 3" xfId="10073" xr:uid="{00000000-0005-0000-0000-0000BE240000}"/>
    <cellStyle name="SAPBEXstdItem 7 4" xfId="10074" xr:uid="{00000000-0005-0000-0000-0000BF240000}"/>
    <cellStyle name="SAPBEXstdItem 8" xfId="1227" xr:uid="{00000000-0005-0000-0000-0000C0240000}"/>
    <cellStyle name="SAPBEXstdItem 8 2" xfId="10075" xr:uid="{00000000-0005-0000-0000-0000C1240000}"/>
    <cellStyle name="SAPBEXstdItem 8 3" xfId="10076" xr:uid="{00000000-0005-0000-0000-0000C2240000}"/>
    <cellStyle name="SAPBEXstdItem 8 4" xfId="10077" xr:uid="{00000000-0005-0000-0000-0000C3240000}"/>
    <cellStyle name="SAPBEXstdItem 9" xfId="1228" xr:uid="{00000000-0005-0000-0000-0000C4240000}"/>
    <cellStyle name="SAPBEXstdItem 9 2" xfId="10078" xr:uid="{00000000-0005-0000-0000-0000C5240000}"/>
    <cellStyle name="SAPBEXstdItem 9 3" xfId="10079" xr:uid="{00000000-0005-0000-0000-0000C6240000}"/>
    <cellStyle name="SAPBEXstdItem 9 4" xfId="10080" xr:uid="{00000000-0005-0000-0000-0000C7240000}"/>
    <cellStyle name="SAPBEXstdItem_Sheet2" xfId="1229" xr:uid="{00000000-0005-0000-0000-0000C8240000}"/>
    <cellStyle name="SAPBEXstdItemX" xfId="1230" xr:uid="{00000000-0005-0000-0000-0000C9240000}"/>
    <cellStyle name="SAPBEXstdItemX 10" xfId="1231" xr:uid="{00000000-0005-0000-0000-0000CA240000}"/>
    <cellStyle name="SAPBEXstdItemX 10 2" xfId="10081" xr:uid="{00000000-0005-0000-0000-0000CB240000}"/>
    <cellStyle name="SAPBEXstdItemX 10 3" xfId="10082" xr:uid="{00000000-0005-0000-0000-0000CC240000}"/>
    <cellStyle name="SAPBEXstdItemX 10 4" xfId="10083" xr:uid="{00000000-0005-0000-0000-0000CD240000}"/>
    <cellStyle name="SAPBEXstdItemX 11" xfId="1232" xr:uid="{00000000-0005-0000-0000-0000CE240000}"/>
    <cellStyle name="SAPBEXstdItemX 11 2" xfId="10084" xr:uid="{00000000-0005-0000-0000-0000CF240000}"/>
    <cellStyle name="SAPBEXstdItemX 11 3" xfId="10085" xr:uid="{00000000-0005-0000-0000-0000D0240000}"/>
    <cellStyle name="SAPBEXstdItemX 11 4" xfId="10086" xr:uid="{00000000-0005-0000-0000-0000D1240000}"/>
    <cellStyle name="SAPBEXstdItemX 12" xfId="1233" xr:uid="{00000000-0005-0000-0000-0000D2240000}"/>
    <cellStyle name="SAPBEXstdItemX 12 2" xfId="10087" xr:uid="{00000000-0005-0000-0000-0000D3240000}"/>
    <cellStyle name="SAPBEXstdItemX 12 3" xfId="10088" xr:uid="{00000000-0005-0000-0000-0000D4240000}"/>
    <cellStyle name="SAPBEXstdItemX 12 4" xfId="10089" xr:uid="{00000000-0005-0000-0000-0000D5240000}"/>
    <cellStyle name="SAPBEXstdItemX 13" xfId="1234" xr:uid="{00000000-0005-0000-0000-0000D6240000}"/>
    <cellStyle name="SAPBEXstdItemX 13 2" xfId="10090" xr:uid="{00000000-0005-0000-0000-0000D7240000}"/>
    <cellStyle name="SAPBEXstdItemX 13 3" xfId="10091" xr:uid="{00000000-0005-0000-0000-0000D8240000}"/>
    <cellStyle name="SAPBEXstdItemX 13 4" xfId="10092" xr:uid="{00000000-0005-0000-0000-0000D9240000}"/>
    <cellStyle name="SAPBEXstdItemX 14" xfId="1235" xr:uid="{00000000-0005-0000-0000-0000DA240000}"/>
    <cellStyle name="SAPBEXstdItemX 14 2" xfId="10093" xr:uid="{00000000-0005-0000-0000-0000DB240000}"/>
    <cellStyle name="SAPBEXstdItemX 14 3" xfId="10094" xr:uid="{00000000-0005-0000-0000-0000DC240000}"/>
    <cellStyle name="SAPBEXstdItemX 14 4" xfId="10095" xr:uid="{00000000-0005-0000-0000-0000DD240000}"/>
    <cellStyle name="SAPBEXstdItemX 15" xfId="1236" xr:uid="{00000000-0005-0000-0000-0000DE240000}"/>
    <cellStyle name="SAPBEXstdItemX 15 2" xfId="10096" xr:uid="{00000000-0005-0000-0000-0000DF240000}"/>
    <cellStyle name="SAPBEXstdItemX 15 3" xfId="10097" xr:uid="{00000000-0005-0000-0000-0000E0240000}"/>
    <cellStyle name="SAPBEXstdItemX 15 4" xfId="10098" xr:uid="{00000000-0005-0000-0000-0000E1240000}"/>
    <cellStyle name="SAPBEXstdItemX 16" xfId="1237" xr:uid="{00000000-0005-0000-0000-0000E2240000}"/>
    <cellStyle name="SAPBEXstdItemX 16 2" xfId="10099" xr:uid="{00000000-0005-0000-0000-0000E3240000}"/>
    <cellStyle name="SAPBEXstdItemX 16 3" xfId="10100" xr:uid="{00000000-0005-0000-0000-0000E4240000}"/>
    <cellStyle name="SAPBEXstdItemX 16 4" xfId="10101" xr:uid="{00000000-0005-0000-0000-0000E5240000}"/>
    <cellStyle name="SAPBEXstdItemX 17" xfId="1238" xr:uid="{00000000-0005-0000-0000-0000E6240000}"/>
    <cellStyle name="SAPBEXstdItemX 17 2" xfId="10102" xr:uid="{00000000-0005-0000-0000-0000E7240000}"/>
    <cellStyle name="SAPBEXstdItemX 17 3" xfId="10103" xr:uid="{00000000-0005-0000-0000-0000E8240000}"/>
    <cellStyle name="SAPBEXstdItemX 17 4" xfId="10104" xr:uid="{00000000-0005-0000-0000-0000E9240000}"/>
    <cellStyle name="SAPBEXstdItemX 18" xfId="1239" xr:uid="{00000000-0005-0000-0000-0000EA240000}"/>
    <cellStyle name="SAPBEXstdItemX 18 2" xfId="10105" xr:uid="{00000000-0005-0000-0000-0000EB240000}"/>
    <cellStyle name="SAPBEXstdItemX 18 3" xfId="10106" xr:uid="{00000000-0005-0000-0000-0000EC240000}"/>
    <cellStyle name="SAPBEXstdItemX 18 4" xfId="10107" xr:uid="{00000000-0005-0000-0000-0000ED240000}"/>
    <cellStyle name="SAPBEXstdItemX 19" xfId="1240" xr:uid="{00000000-0005-0000-0000-0000EE240000}"/>
    <cellStyle name="SAPBEXstdItemX 19 2" xfId="10108" xr:uid="{00000000-0005-0000-0000-0000EF240000}"/>
    <cellStyle name="SAPBEXstdItemX 19 3" xfId="10109" xr:uid="{00000000-0005-0000-0000-0000F0240000}"/>
    <cellStyle name="SAPBEXstdItemX 19 4" xfId="10110" xr:uid="{00000000-0005-0000-0000-0000F1240000}"/>
    <cellStyle name="SAPBEXstdItemX 2" xfId="1241" xr:uid="{00000000-0005-0000-0000-0000F2240000}"/>
    <cellStyle name="SAPBEXstdItemX 2 2" xfId="10111" xr:uid="{00000000-0005-0000-0000-0000F3240000}"/>
    <cellStyle name="SAPBEXstdItemX 2 3" xfId="10112" xr:uid="{00000000-0005-0000-0000-0000F4240000}"/>
    <cellStyle name="SAPBEXstdItemX 2 4" xfId="10113" xr:uid="{00000000-0005-0000-0000-0000F5240000}"/>
    <cellStyle name="SAPBEXstdItemX 20" xfId="1242" xr:uid="{00000000-0005-0000-0000-0000F6240000}"/>
    <cellStyle name="SAPBEXstdItemX 20 2" xfId="10114" xr:uid="{00000000-0005-0000-0000-0000F7240000}"/>
    <cellStyle name="SAPBEXstdItemX 20 3" xfId="10115" xr:uid="{00000000-0005-0000-0000-0000F8240000}"/>
    <cellStyle name="SAPBEXstdItemX 20 4" xfId="10116" xr:uid="{00000000-0005-0000-0000-0000F9240000}"/>
    <cellStyle name="SAPBEXstdItemX 21" xfId="10117" xr:uid="{00000000-0005-0000-0000-0000FA240000}"/>
    <cellStyle name="SAPBEXstdItemX 22" xfId="10118" xr:uid="{00000000-0005-0000-0000-0000FB240000}"/>
    <cellStyle name="SAPBEXstdItemX 23" xfId="10119" xr:uid="{00000000-0005-0000-0000-0000FC240000}"/>
    <cellStyle name="SAPBEXstdItemX 3" xfId="1243" xr:uid="{00000000-0005-0000-0000-0000FD240000}"/>
    <cellStyle name="SAPBEXstdItemX 3 2" xfId="10120" xr:uid="{00000000-0005-0000-0000-0000FE240000}"/>
    <cellStyle name="SAPBEXstdItemX 3 3" xfId="10121" xr:uid="{00000000-0005-0000-0000-0000FF240000}"/>
    <cellStyle name="SAPBEXstdItemX 3 4" xfId="10122" xr:uid="{00000000-0005-0000-0000-000000250000}"/>
    <cellStyle name="SAPBEXstdItemX 4" xfId="1244" xr:uid="{00000000-0005-0000-0000-000001250000}"/>
    <cellStyle name="SAPBEXstdItemX 4 2" xfId="10123" xr:uid="{00000000-0005-0000-0000-000002250000}"/>
    <cellStyle name="SAPBEXstdItemX 4 3" xfId="10124" xr:uid="{00000000-0005-0000-0000-000003250000}"/>
    <cellStyle name="SAPBEXstdItemX 4 4" xfId="10125" xr:uid="{00000000-0005-0000-0000-000004250000}"/>
    <cellStyle name="SAPBEXstdItemX 5" xfId="1245" xr:uid="{00000000-0005-0000-0000-000005250000}"/>
    <cellStyle name="SAPBEXstdItemX 5 2" xfId="10126" xr:uid="{00000000-0005-0000-0000-000006250000}"/>
    <cellStyle name="SAPBEXstdItemX 5 3" xfId="10127" xr:uid="{00000000-0005-0000-0000-000007250000}"/>
    <cellStyle name="SAPBEXstdItemX 5 4" xfId="10128" xr:uid="{00000000-0005-0000-0000-000008250000}"/>
    <cellStyle name="SAPBEXstdItemX 6" xfId="1246" xr:uid="{00000000-0005-0000-0000-000009250000}"/>
    <cellStyle name="SAPBEXstdItemX 6 2" xfId="10129" xr:uid="{00000000-0005-0000-0000-00000A250000}"/>
    <cellStyle name="SAPBEXstdItemX 6 3" xfId="10130" xr:uid="{00000000-0005-0000-0000-00000B250000}"/>
    <cellStyle name="SAPBEXstdItemX 6 4" xfId="10131" xr:uid="{00000000-0005-0000-0000-00000C250000}"/>
    <cellStyle name="SAPBEXstdItemX 7" xfId="1247" xr:uid="{00000000-0005-0000-0000-00000D250000}"/>
    <cellStyle name="SAPBEXstdItemX 7 2" xfId="10132" xr:uid="{00000000-0005-0000-0000-00000E250000}"/>
    <cellStyle name="SAPBEXstdItemX 7 3" xfId="10133" xr:uid="{00000000-0005-0000-0000-00000F250000}"/>
    <cellStyle name="SAPBEXstdItemX 7 4" xfId="10134" xr:uid="{00000000-0005-0000-0000-000010250000}"/>
    <cellStyle name="SAPBEXstdItemX 8" xfId="1248" xr:uid="{00000000-0005-0000-0000-000011250000}"/>
    <cellStyle name="SAPBEXstdItemX 8 2" xfId="10135" xr:uid="{00000000-0005-0000-0000-000012250000}"/>
    <cellStyle name="SAPBEXstdItemX 8 3" xfId="10136" xr:uid="{00000000-0005-0000-0000-000013250000}"/>
    <cellStyle name="SAPBEXstdItemX 8 4" xfId="10137" xr:uid="{00000000-0005-0000-0000-000014250000}"/>
    <cellStyle name="SAPBEXstdItemX 9" xfId="1249" xr:uid="{00000000-0005-0000-0000-000015250000}"/>
    <cellStyle name="SAPBEXstdItemX 9 2" xfId="10138" xr:uid="{00000000-0005-0000-0000-000016250000}"/>
    <cellStyle name="SAPBEXstdItemX 9 3" xfId="10139" xr:uid="{00000000-0005-0000-0000-000017250000}"/>
    <cellStyle name="SAPBEXstdItemX 9 4" xfId="10140" xr:uid="{00000000-0005-0000-0000-000018250000}"/>
    <cellStyle name="SAPBEXstdItemX_Sheet2" xfId="1250" xr:uid="{00000000-0005-0000-0000-000019250000}"/>
    <cellStyle name="SAPBEXtitle" xfId="1251" xr:uid="{00000000-0005-0000-0000-00001A250000}"/>
    <cellStyle name="SAPBEXtitle 10" xfId="1252" xr:uid="{00000000-0005-0000-0000-00001B250000}"/>
    <cellStyle name="SAPBEXtitle 10 2" xfId="10141" xr:uid="{00000000-0005-0000-0000-00001C250000}"/>
    <cellStyle name="SAPBEXtitle 10 3" xfId="10142" xr:uid="{00000000-0005-0000-0000-00001D250000}"/>
    <cellStyle name="SAPBEXtitle 10 4" xfId="10143" xr:uid="{00000000-0005-0000-0000-00001E250000}"/>
    <cellStyle name="SAPBEXtitle 11" xfId="1253" xr:uid="{00000000-0005-0000-0000-00001F250000}"/>
    <cellStyle name="SAPBEXtitle 11 2" xfId="10144" xr:uid="{00000000-0005-0000-0000-000020250000}"/>
    <cellStyle name="SAPBEXtitle 11 3" xfId="10145" xr:uid="{00000000-0005-0000-0000-000021250000}"/>
    <cellStyle name="SAPBEXtitle 11 4" xfId="10146" xr:uid="{00000000-0005-0000-0000-000022250000}"/>
    <cellStyle name="SAPBEXtitle 12" xfId="1254" xr:uid="{00000000-0005-0000-0000-000023250000}"/>
    <cellStyle name="SAPBEXtitle 12 2" xfId="10147" xr:uid="{00000000-0005-0000-0000-000024250000}"/>
    <cellStyle name="SAPBEXtitle 12 3" xfId="10148" xr:uid="{00000000-0005-0000-0000-000025250000}"/>
    <cellStyle name="SAPBEXtitle 12 4" xfId="10149" xr:uid="{00000000-0005-0000-0000-000026250000}"/>
    <cellStyle name="SAPBEXtitle 13" xfId="1255" xr:uid="{00000000-0005-0000-0000-000027250000}"/>
    <cellStyle name="SAPBEXtitle 13 2" xfId="10150" xr:uid="{00000000-0005-0000-0000-000028250000}"/>
    <cellStyle name="SAPBEXtitle 13 3" xfId="10151" xr:uid="{00000000-0005-0000-0000-000029250000}"/>
    <cellStyle name="SAPBEXtitle 13 4" xfId="10152" xr:uid="{00000000-0005-0000-0000-00002A250000}"/>
    <cellStyle name="SAPBEXtitle 14" xfId="1256" xr:uid="{00000000-0005-0000-0000-00002B250000}"/>
    <cellStyle name="SAPBEXtitle 14 2" xfId="10153" xr:uid="{00000000-0005-0000-0000-00002C250000}"/>
    <cellStyle name="SAPBEXtitle 14 3" xfId="10154" xr:uid="{00000000-0005-0000-0000-00002D250000}"/>
    <cellStyle name="SAPBEXtitle 14 4" xfId="10155" xr:uid="{00000000-0005-0000-0000-00002E250000}"/>
    <cellStyle name="SAPBEXtitle 15" xfId="1257" xr:uid="{00000000-0005-0000-0000-00002F250000}"/>
    <cellStyle name="SAPBEXtitle 15 2" xfId="10156" xr:uid="{00000000-0005-0000-0000-000030250000}"/>
    <cellStyle name="SAPBEXtitle 15 3" xfId="10157" xr:uid="{00000000-0005-0000-0000-000031250000}"/>
    <cellStyle name="SAPBEXtitle 15 4" xfId="10158" xr:uid="{00000000-0005-0000-0000-000032250000}"/>
    <cellStyle name="SAPBEXtitle 16" xfId="1258" xr:uid="{00000000-0005-0000-0000-000033250000}"/>
    <cellStyle name="SAPBEXtitle 16 2" xfId="10159" xr:uid="{00000000-0005-0000-0000-000034250000}"/>
    <cellStyle name="SAPBEXtitle 16 3" xfId="10160" xr:uid="{00000000-0005-0000-0000-000035250000}"/>
    <cellStyle name="SAPBEXtitle 16 4" xfId="10161" xr:uid="{00000000-0005-0000-0000-000036250000}"/>
    <cellStyle name="SAPBEXtitle 17" xfId="1259" xr:uid="{00000000-0005-0000-0000-000037250000}"/>
    <cellStyle name="SAPBEXtitle 17 2" xfId="10162" xr:uid="{00000000-0005-0000-0000-000038250000}"/>
    <cellStyle name="SAPBEXtitle 17 3" xfId="10163" xr:uid="{00000000-0005-0000-0000-000039250000}"/>
    <cellStyle name="SAPBEXtitle 17 4" xfId="10164" xr:uid="{00000000-0005-0000-0000-00003A250000}"/>
    <cellStyle name="SAPBEXtitle 18" xfId="1260" xr:uid="{00000000-0005-0000-0000-00003B250000}"/>
    <cellStyle name="SAPBEXtitle 18 2" xfId="10165" xr:uid="{00000000-0005-0000-0000-00003C250000}"/>
    <cellStyle name="SAPBEXtitle 18 3" xfId="10166" xr:uid="{00000000-0005-0000-0000-00003D250000}"/>
    <cellStyle name="SAPBEXtitle 18 4" xfId="10167" xr:uid="{00000000-0005-0000-0000-00003E250000}"/>
    <cellStyle name="SAPBEXtitle 19" xfId="1261" xr:uid="{00000000-0005-0000-0000-00003F250000}"/>
    <cellStyle name="SAPBEXtitle 19 2" xfId="10168" xr:uid="{00000000-0005-0000-0000-000040250000}"/>
    <cellStyle name="SAPBEXtitle 19 3" xfId="10169" xr:uid="{00000000-0005-0000-0000-000041250000}"/>
    <cellStyle name="SAPBEXtitle 19 4" xfId="10170" xr:uid="{00000000-0005-0000-0000-000042250000}"/>
    <cellStyle name="SAPBEXtitle 2" xfId="1262" xr:uid="{00000000-0005-0000-0000-000043250000}"/>
    <cellStyle name="SAPBEXtitle 2 2" xfId="10171" xr:uid="{00000000-0005-0000-0000-000044250000}"/>
    <cellStyle name="SAPBEXtitle 2 3" xfId="10172" xr:uid="{00000000-0005-0000-0000-000045250000}"/>
    <cellStyle name="SAPBEXtitle 2 4" xfId="10173" xr:uid="{00000000-0005-0000-0000-000046250000}"/>
    <cellStyle name="SAPBEXtitle 20" xfId="1263" xr:uid="{00000000-0005-0000-0000-000047250000}"/>
    <cellStyle name="SAPBEXtitle 20 2" xfId="10174" xr:uid="{00000000-0005-0000-0000-000048250000}"/>
    <cellStyle name="SAPBEXtitle 20 3" xfId="10175" xr:uid="{00000000-0005-0000-0000-000049250000}"/>
    <cellStyle name="SAPBEXtitle 20 4" xfId="10176" xr:uid="{00000000-0005-0000-0000-00004A250000}"/>
    <cellStyle name="SAPBEXtitle 21" xfId="10177" xr:uid="{00000000-0005-0000-0000-00004B250000}"/>
    <cellStyle name="SAPBEXtitle 22" xfId="10178" xr:uid="{00000000-0005-0000-0000-00004C250000}"/>
    <cellStyle name="SAPBEXtitle 23" xfId="10179" xr:uid="{00000000-0005-0000-0000-00004D250000}"/>
    <cellStyle name="SAPBEXtitle 3" xfId="1264" xr:uid="{00000000-0005-0000-0000-00004E250000}"/>
    <cellStyle name="SAPBEXtitle 3 2" xfId="10180" xr:uid="{00000000-0005-0000-0000-00004F250000}"/>
    <cellStyle name="SAPBEXtitle 3 3" xfId="10181" xr:uid="{00000000-0005-0000-0000-000050250000}"/>
    <cellStyle name="SAPBEXtitle 3 4" xfId="10182" xr:uid="{00000000-0005-0000-0000-000051250000}"/>
    <cellStyle name="SAPBEXtitle 4" xfId="1265" xr:uid="{00000000-0005-0000-0000-000052250000}"/>
    <cellStyle name="SAPBEXtitle 4 2" xfId="10183" xr:uid="{00000000-0005-0000-0000-000053250000}"/>
    <cellStyle name="SAPBEXtitle 4 3" xfId="10184" xr:uid="{00000000-0005-0000-0000-000054250000}"/>
    <cellStyle name="SAPBEXtitle 4 4" xfId="10185" xr:uid="{00000000-0005-0000-0000-000055250000}"/>
    <cellStyle name="SAPBEXtitle 5" xfId="1266" xr:uid="{00000000-0005-0000-0000-000056250000}"/>
    <cellStyle name="SAPBEXtitle 5 2" xfId="10186" xr:uid="{00000000-0005-0000-0000-000057250000}"/>
    <cellStyle name="SAPBEXtitle 5 3" xfId="10187" xr:uid="{00000000-0005-0000-0000-000058250000}"/>
    <cellStyle name="SAPBEXtitle 5 4" xfId="10188" xr:uid="{00000000-0005-0000-0000-000059250000}"/>
    <cellStyle name="SAPBEXtitle 6" xfId="1267" xr:uid="{00000000-0005-0000-0000-00005A250000}"/>
    <cellStyle name="SAPBEXtitle 6 2" xfId="10189" xr:uid="{00000000-0005-0000-0000-00005B250000}"/>
    <cellStyle name="SAPBEXtitle 6 3" xfId="10190" xr:uid="{00000000-0005-0000-0000-00005C250000}"/>
    <cellStyle name="SAPBEXtitle 6 4" xfId="10191" xr:uid="{00000000-0005-0000-0000-00005D250000}"/>
    <cellStyle name="SAPBEXtitle 7" xfId="1268" xr:uid="{00000000-0005-0000-0000-00005E250000}"/>
    <cellStyle name="SAPBEXtitle 7 2" xfId="10192" xr:uid="{00000000-0005-0000-0000-00005F250000}"/>
    <cellStyle name="SAPBEXtitle 7 3" xfId="10193" xr:uid="{00000000-0005-0000-0000-000060250000}"/>
    <cellStyle name="SAPBEXtitle 7 4" xfId="10194" xr:uid="{00000000-0005-0000-0000-000061250000}"/>
    <cellStyle name="SAPBEXtitle 8" xfId="1269" xr:uid="{00000000-0005-0000-0000-000062250000}"/>
    <cellStyle name="SAPBEXtitle 8 2" xfId="10195" xr:uid="{00000000-0005-0000-0000-000063250000}"/>
    <cellStyle name="SAPBEXtitle 8 3" xfId="10196" xr:uid="{00000000-0005-0000-0000-000064250000}"/>
    <cellStyle name="SAPBEXtitle 8 4" xfId="10197" xr:uid="{00000000-0005-0000-0000-000065250000}"/>
    <cellStyle name="SAPBEXtitle 9" xfId="1270" xr:uid="{00000000-0005-0000-0000-000066250000}"/>
    <cellStyle name="SAPBEXtitle 9 2" xfId="10198" xr:uid="{00000000-0005-0000-0000-000067250000}"/>
    <cellStyle name="SAPBEXtitle 9 3" xfId="10199" xr:uid="{00000000-0005-0000-0000-000068250000}"/>
    <cellStyle name="SAPBEXtitle 9 4" xfId="10200" xr:uid="{00000000-0005-0000-0000-000069250000}"/>
    <cellStyle name="SAPBEXtitle_Sheet2" xfId="1271" xr:uid="{00000000-0005-0000-0000-00006A250000}"/>
    <cellStyle name="SAPBEXunassignedItem" xfId="1272" xr:uid="{00000000-0005-0000-0000-00006B250000}"/>
    <cellStyle name="SAPBEXunassignedItem 10" xfId="1273" xr:uid="{00000000-0005-0000-0000-00006C250000}"/>
    <cellStyle name="SAPBEXunassignedItem 2" xfId="1274" xr:uid="{00000000-0005-0000-0000-00006D250000}"/>
    <cellStyle name="SAPBEXunassignedItem 3" xfId="1275" xr:uid="{00000000-0005-0000-0000-00006E250000}"/>
    <cellStyle name="SAPBEXunassignedItem 4" xfId="1276" xr:uid="{00000000-0005-0000-0000-00006F250000}"/>
    <cellStyle name="SAPBEXunassignedItem 5" xfId="1277" xr:uid="{00000000-0005-0000-0000-000070250000}"/>
    <cellStyle name="SAPBEXunassignedItem 6" xfId="1278" xr:uid="{00000000-0005-0000-0000-000071250000}"/>
    <cellStyle name="SAPBEXunassignedItem 7" xfId="1279" xr:uid="{00000000-0005-0000-0000-000072250000}"/>
    <cellStyle name="SAPBEXunassignedItem 8" xfId="1280" xr:uid="{00000000-0005-0000-0000-000073250000}"/>
    <cellStyle name="SAPBEXunassignedItem 9" xfId="1281" xr:uid="{00000000-0005-0000-0000-000074250000}"/>
    <cellStyle name="SAPBEXunassignedItem_Sheet2" xfId="1282" xr:uid="{00000000-0005-0000-0000-000075250000}"/>
    <cellStyle name="SAPBEXundefined" xfId="1283" xr:uid="{00000000-0005-0000-0000-000076250000}"/>
    <cellStyle name="SAPBEXundefined 10" xfId="1284" xr:uid="{00000000-0005-0000-0000-000077250000}"/>
    <cellStyle name="SAPBEXundefined 10 2" xfId="10201" xr:uid="{00000000-0005-0000-0000-000078250000}"/>
    <cellStyle name="SAPBEXundefined 10 3" xfId="10202" xr:uid="{00000000-0005-0000-0000-000079250000}"/>
    <cellStyle name="SAPBEXundefined 10 4" xfId="10203" xr:uid="{00000000-0005-0000-0000-00007A250000}"/>
    <cellStyle name="SAPBEXundefined 11" xfId="1285" xr:uid="{00000000-0005-0000-0000-00007B250000}"/>
    <cellStyle name="SAPBEXundefined 11 2" xfId="10204" xr:uid="{00000000-0005-0000-0000-00007C250000}"/>
    <cellStyle name="SAPBEXundefined 11 3" xfId="10205" xr:uid="{00000000-0005-0000-0000-00007D250000}"/>
    <cellStyle name="SAPBEXundefined 11 4" xfId="10206" xr:uid="{00000000-0005-0000-0000-00007E250000}"/>
    <cellStyle name="SAPBEXundefined 12" xfId="1286" xr:uid="{00000000-0005-0000-0000-00007F250000}"/>
    <cellStyle name="SAPBEXundefined 12 2" xfId="10207" xr:uid="{00000000-0005-0000-0000-000080250000}"/>
    <cellStyle name="SAPBEXundefined 12 3" xfId="10208" xr:uid="{00000000-0005-0000-0000-000081250000}"/>
    <cellStyle name="SAPBEXundefined 12 4" xfId="10209" xr:uid="{00000000-0005-0000-0000-000082250000}"/>
    <cellStyle name="SAPBEXundefined 13" xfId="1287" xr:uid="{00000000-0005-0000-0000-000083250000}"/>
    <cellStyle name="SAPBEXundefined 13 2" xfId="10210" xr:uid="{00000000-0005-0000-0000-000084250000}"/>
    <cellStyle name="SAPBEXundefined 13 3" xfId="10211" xr:uid="{00000000-0005-0000-0000-000085250000}"/>
    <cellStyle name="SAPBEXundefined 13 4" xfId="10212" xr:uid="{00000000-0005-0000-0000-000086250000}"/>
    <cellStyle name="SAPBEXundefined 14" xfId="1288" xr:uid="{00000000-0005-0000-0000-000087250000}"/>
    <cellStyle name="SAPBEXundefined 14 2" xfId="10213" xr:uid="{00000000-0005-0000-0000-000088250000}"/>
    <cellStyle name="SAPBEXundefined 14 3" xfId="10214" xr:uid="{00000000-0005-0000-0000-000089250000}"/>
    <cellStyle name="SAPBEXundefined 14 4" xfId="10215" xr:uid="{00000000-0005-0000-0000-00008A250000}"/>
    <cellStyle name="SAPBEXundefined 15" xfId="1289" xr:uid="{00000000-0005-0000-0000-00008B250000}"/>
    <cellStyle name="SAPBEXundefined 15 2" xfId="10216" xr:uid="{00000000-0005-0000-0000-00008C250000}"/>
    <cellStyle name="SAPBEXundefined 15 3" xfId="10217" xr:uid="{00000000-0005-0000-0000-00008D250000}"/>
    <cellStyle name="SAPBEXundefined 15 4" xfId="10218" xr:uid="{00000000-0005-0000-0000-00008E250000}"/>
    <cellStyle name="SAPBEXundefined 16" xfId="1290" xr:uid="{00000000-0005-0000-0000-00008F250000}"/>
    <cellStyle name="SAPBEXundefined 16 2" xfId="10219" xr:uid="{00000000-0005-0000-0000-000090250000}"/>
    <cellStyle name="SAPBEXundefined 16 3" xfId="10220" xr:uid="{00000000-0005-0000-0000-000091250000}"/>
    <cellStyle name="SAPBEXundefined 16 4" xfId="10221" xr:uid="{00000000-0005-0000-0000-000092250000}"/>
    <cellStyle name="SAPBEXundefined 17" xfId="1291" xr:uid="{00000000-0005-0000-0000-000093250000}"/>
    <cellStyle name="SAPBEXundefined 17 2" xfId="10222" xr:uid="{00000000-0005-0000-0000-000094250000}"/>
    <cellStyle name="SAPBEXundefined 17 3" xfId="10223" xr:uid="{00000000-0005-0000-0000-000095250000}"/>
    <cellStyle name="SAPBEXundefined 17 4" xfId="10224" xr:uid="{00000000-0005-0000-0000-000096250000}"/>
    <cellStyle name="SAPBEXundefined 18" xfId="1292" xr:uid="{00000000-0005-0000-0000-000097250000}"/>
    <cellStyle name="SAPBEXundefined 18 2" xfId="10225" xr:uid="{00000000-0005-0000-0000-000098250000}"/>
    <cellStyle name="SAPBEXundefined 18 3" xfId="10226" xr:uid="{00000000-0005-0000-0000-000099250000}"/>
    <cellStyle name="SAPBEXundefined 18 4" xfId="10227" xr:uid="{00000000-0005-0000-0000-00009A250000}"/>
    <cellStyle name="SAPBEXundefined 19" xfId="1293" xr:uid="{00000000-0005-0000-0000-00009B250000}"/>
    <cellStyle name="SAPBEXundefined 19 2" xfId="10228" xr:uid="{00000000-0005-0000-0000-00009C250000}"/>
    <cellStyle name="SAPBEXundefined 19 3" xfId="10229" xr:uid="{00000000-0005-0000-0000-00009D250000}"/>
    <cellStyle name="SAPBEXundefined 19 4" xfId="10230" xr:uid="{00000000-0005-0000-0000-00009E250000}"/>
    <cellStyle name="SAPBEXundefined 2" xfId="1294" xr:uid="{00000000-0005-0000-0000-00009F250000}"/>
    <cellStyle name="SAPBEXundefined 2 2" xfId="10231" xr:uid="{00000000-0005-0000-0000-0000A0250000}"/>
    <cellStyle name="SAPBEXundefined 2 3" xfId="10232" xr:uid="{00000000-0005-0000-0000-0000A1250000}"/>
    <cellStyle name="SAPBEXundefined 2 4" xfId="10233" xr:uid="{00000000-0005-0000-0000-0000A2250000}"/>
    <cellStyle name="SAPBEXundefined 20" xfId="1295" xr:uid="{00000000-0005-0000-0000-0000A3250000}"/>
    <cellStyle name="SAPBEXundefined 20 2" xfId="10234" xr:uid="{00000000-0005-0000-0000-0000A4250000}"/>
    <cellStyle name="SAPBEXundefined 20 3" xfId="10235" xr:uid="{00000000-0005-0000-0000-0000A5250000}"/>
    <cellStyle name="SAPBEXundefined 20 4" xfId="10236" xr:uid="{00000000-0005-0000-0000-0000A6250000}"/>
    <cellStyle name="SAPBEXundefined 21" xfId="10237" xr:uid="{00000000-0005-0000-0000-0000A7250000}"/>
    <cellStyle name="SAPBEXundefined 22" xfId="10238" xr:uid="{00000000-0005-0000-0000-0000A8250000}"/>
    <cellStyle name="SAPBEXundefined 23" xfId="10239" xr:uid="{00000000-0005-0000-0000-0000A9250000}"/>
    <cellStyle name="SAPBEXundefined 3" xfId="1296" xr:uid="{00000000-0005-0000-0000-0000AA250000}"/>
    <cellStyle name="SAPBEXundefined 3 2" xfId="10240" xr:uid="{00000000-0005-0000-0000-0000AB250000}"/>
    <cellStyle name="SAPBEXundefined 3 3" xfId="10241" xr:uid="{00000000-0005-0000-0000-0000AC250000}"/>
    <cellStyle name="SAPBEXundefined 3 4" xfId="10242" xr:uid="{00000000-0005-0000-0000-0000AD250000}"/>
    <cellStyle name="SAPBEXundefined 4" xfId="1297" xr:uid="{00000000-0005-0000-0000-0000AE250000}"/>
    <cellStyle name="SAPBEXundefined 4 2" xfId="10243" xr:uid="{00000000-0005-0000-0000-0000AF250000}"/>
    <cellStyle name="SAPBEXundefined 4 3" xfId="10244" xr:uid="{00000000-0005-0000-0000-0000B0250000}"/>
    <cellStyle name="SAPBEXundefined 4 4" xfId="10245" xr:uid="{00000000-0005-0000-0000-0000B1250000}"/>
    <cellStyle name="SAPBEXundefined 5" xfId="1298" xr:uid="{00000000-0005-0000-0000-0000B2250000}"/>
    <cellStyle name="SAPBEXundefined 5 2" xfId="10246" xr:uid="{00000000-0005-0000-0000-0000B3250000}"/>
    <cellStyle name="SAPBEXundefined 5 3" xfId="10247" xr:uid="{00000000-0005-0000-0000-0000B4250000}"/>
    <cellStyle name="SAPBEXundefined 5 4" xfId="10248" xr:uid="{00000000-0005-0000-0000-0000B5250000}"/>
    <cellStyle name="SAPBEXundefined 6" xfId="1299" xr:uid="{00000000-0005-0000-0000-0000B6250000}"/>
    <cellStyle name="SAPBEXundefined 6 2" xfId="10249" xr:uid="{00000000-0005-0000-0000-0000B7250000}"/>
    <cellStyle name="SAPBEXundefined 6 3" xfId="10250" xr:uid="{00000000-0005-0000-0000-0000B8250000}"/>
    <cellStyle name="SAPBEXundefined 6 4" xfId="10251" xr:uid="{00000000-0005-0000-0000-0000B9250000}"/>
    <cellStyle name="SAPBEXundefined 7" xfId="1300" xr:uid="{00000000-0005-0000-0000-0000BA250000}"/>
    <cellStyle name="SAPBEXundefined 7 2" xfId="10252" xr:uid="{00000000-0005-0000-0000-0000BB250000}"/>
    <cellStyle name="SAPBEXundefined 7 3" xfId="10253" xr:uid="{00000000-0005-0000-0000-0000BC250000}"/>
    <cellStyle name="SAPBEXundefined 7 4" xfId="10254" xr:uid="{00000000-0005-0000-0000-0000BD250000}"/>
    <cellStyle name="SAPBEXundefined 8" xfId="1301" xr:uid="{00000000-0005-0000-0000-0000BE250000}"/>
    <cellStyle name="SAPBEXundefined 8 2" xfId="10255" xr:uid="{00000000-0005-0000-0000-0000BF250000}"/>
    <cellStyle name="SAPBEXundefined 8 3" xfId="10256" xr:uid="{00000000-0005-0000-0000-0000C0250000}"/>
    <cellStyle name="SAPBEXundefined 8 4" xfId="10257" xr:uid="{00000000-0005-0000-0000-0000C1250000}"/>
    <cellStyle name="SAPBEXundefined 9" xfId="1302" xr:uid="{00000000-0005-0000-0000-0000C2250000}"/>
    <cellStyle name="SAPBEXundefined 9 2" xfId="10258" xr:uid="{00000000-0005-0000-0000-0000C3250000}"/>
    <cellStyle name="SAPBEXundefined 9 3" xfId="10259" xr:uid="{00000000-0005-0000-0000-0000C4250000}"/>
    <cellStyle name="SAPBEXundefined 9 4" xfId="10260" xr:uid="{00000000-0005-0000-0000-0000C5250000}"/>
    <cellStyle name="SAPBEXundefined_Sheet2" xfId="1303" xr:uid="{00000000-0005-0000-0000-0000C6250000}"/>
    <cellStyle name="ScripFactor" xfId="6431" xr:uid="{00000000-0005-0000-0000-0000C7250000}"/>
    <cellStyle name="Section" xfId="10825" xr:uid="{00000000-0005-0000-0000-0000C8250000}"/>
    <cellStyle name="Shade-1" xfId="10826" xr:uid="{00000000-0005-0000-0000-0000C9250000}"/>
    <cellStyle name="Shade-2" xfId="10827" xr:uid="{00000000-0005-0000-0000-0000CA250000}"/>
    <cellStyle name="Shade-2 2" xfId="10828" xr:uid="{00000000-0005-0000-0000-0000CB250000}"/>
    <cellStyle name="ShadedCells_Database" xfId="4142" xr:uid="{00000000-0005-0000-0000-0000CC250000}"/>
    <cellStyle name="Shares" xfId="10261" xr:uid="{00000000-0005-0000-0000-0000CD250000}"/>
    <cellStyle name="Sheet Title" xfId="1304" xr:uid="{00000000-0005-0000-0000-0000CE250000}"/>
    <cellStyle name="Sheet Title 10" xfId="1305" xr:uid="{00000000-0005-0000-0000-0000CF250000}"/>
    <cellStyle name="Sheet Title 11" xfId="1306" xr:uid="{00000000-0005-0000-0000-0000D0250000}"/>
    <cellStyle name="Sheet Title 12" xfId="1307" xr:uid="{00000000-0005-0000-0000-0000D1250000}"/>
    <cellStyle name="Sheet Title 13" xfId="1308" xr:uid="{00000000-0005-0000-0000-0000D2250000}"/>
    <cellStyle name="Sheet Title 14" xfId="1309" xr:uid="{00000000-0005-0000-0000-0000D3250000}"/>
    <cellStyle name="Sheet Title 15" xfId="1310" xr:uid="{00000000-0005-0000-0000-0000D4250000}"/>
    <cellStyle name="Sheet Title 16" xfId="1311" xr:uid="{00000000-0005-0000-0000-0000D5250000}"/>
    <cellStyle name="Sheet Title 17" xfId="1312" xr:uid="{00000000-0005-0000-0000-0000D6250000}"/>
    <cellStyle name="Sheet Title 18" xfId="1313" xr:uid="{00000000-0005-0000-0000-0000D7250000}"/>
    <cellStyle name="Sheet Title 19" xfId="1314" xr:uid="{00000000-0005-0000-0000-0000D8250000}"/>
    <cellStyle name="Sheet Title 2" xfId="1315" xr:uid="{00000000-0005-0000-0000-0000D9250000}"/>
    <cellStyle name="Sheet Title 20" xfId="1316" xr:uid="{00000000-0005-0000-0000-0000DA250000}"/>
    <cellStyle name="Sheet Title 3" xfId="1317" xr:uid="{00000000-0005-0000-0000-0000DB250000}"/>
    <cellStyle name="Sheet Title 4" xfId="1318" xr:uid="{00000000-0005-0000-0000-0000DC250000}"/>
    <cellStyle name="Sheet Title 5" xfId="1319" xr:uid="{00000000-0005-0000-0000-0000DD250000}"/>
    <cellStyle name="Sheet Title 6" xfId="1320" xr:uid="{00000000-0005-0000-0000-0000DE250000}"/>
    <cellStyle name="Sheet Title 7" xfId="1321" xr:uid="{00000000-0005-0000-0000-0000DF250000}"/>
    <cellStyle name="Sheet Title 8" xfId="1322" xr:uid="{00000000-0005-0000-0000-0000E0250000}"/>
    <cellStyle name="Sheet Title 9" xfId="1323" xr:uid="{00000000-0005-0000-0000-0000E1250000}"/>
    <cellStyle name="ShOut" xfId="7592" xr:uid="{00000000-0005-0000-0000-0000E2250000}"/>
    <cellStyle name="sin nada" xfId="7324" xr:uid="{00000000-0005-0000-0000-0000E3250000}"/>
    <cellStyle name="Source" xfId="10829" xr:uid="{00000000-0005-0000-0000-0000E4250000}"/>
    <cellStyle name="SSComma0" xfId="7325" xr:uid="{00000000-0005-0000-0000-0000E5250000}"/>
    <cellStyle name="SSComma0 2" xfId="10262" xr:uid="{00000000-0005-0000-0000-0000E6250000}"/>
    <cellStyle name="SSComma0 3" xfId="10263" xr:uid="{00000000-0005-0000-0000-0000E7250000}"/>
    <cellStyle name="SSComma0 4" xfId="10264" xr:uid="{00000000-0005-0000-0000-0000E8250000}"/>
    <cellStyle name="SSComma2" xfId="7326" xr:uid="{00000000-0005-0000-0000-0000E9250000}"/>
    <cellStyle name="SSComma2 2" xfId="10265" xr:uid="{00000000-0005-0000-0000-0000EA250000}"/>
    <cellStyle name="SSComma2 3" xfId="10266" xr:uid="{00000000-0005-0000-0000-0000EB250000}"/>
    <cellStyle name="SSComma2 4" xfId="10267" xr:uid="{00000000-0005-0000-0000-0000EC250000}"/>
    <cellStyle name="SSDecs3" xfId="7327" xr:uid="{00000000-0005-0000-0000-0000ED250000}"/>
    <cellStyle name="SSDecs3 2" xfId="10268" xr:uid="{00000000-0005-0000-0000-0000EE250000}"/>
    <cellStyle name="SSDecs3 3" xfId="10269" xr:uid="{00000000-0005-0000-0000-0000EF250000}"/>
    <cellStyle name="SSDecs3 4" xfId="10270" xr:uid="{00000000-0005-0000-0000-0000F0250000}"/>
    <cellStyle name="SSDflt" xfId="7328" xr:uid="{00000000-0005-0000-0000-0000F1250000}"/>
    <cellStyle name="SSDfltPct" xfId="7329" xr:uid="{00000000-0005-0000-0000-0000F2250000}"/>
    <cellStyle name="SSDfltPct 2" xfId="10271" xr:uid="{00000000-0005-0000-0000-0000F3250000}"/>
    <cellStyle name="SSDfltPct 3" xfId="10272" xr:uid="{00000000-0005-0000-0000-0000F4250000}"/>
    <cellStyle name="SSDfltPct 4" xfId="10273" xr:uid="{00000000-0005-0000-0000-0000F5250000}"/>
    <cellStyle name="SSDfltPct0" xfId="7330" xr:uid="{00000000-0005-0000-0000-0000F6250000}"/>
    <cellStyle name="SSDfltPct0 2" xfId="10274" xr:uid="{00000000-0005-0000-0000-0000F7250000}"/>
    <cellStyle name="SSDfltPct0 3" xfId="10275" xr:uid="{00000000-0005-0000-0000-0000F8250000}"/>
    <cellStyle name="SSDfltPct0 4" xfId="10276" xr:uid="{00000000-0005-0000-0000-0000F9250000}"/>
    <cellStyle name="SSFixed2" xfId="7331" xr:uid="{00000000-0005-0000-0000-0000FA250000}"/>
    <cellStyle name="SSFixed2 2" xfId="10277" xr:uid="{00000000-0005-0000-0000-0000FB250000}"/>
    <cellStyle name="SSFixed2 3" xfId="10278" xr:uid="{00000000-0005-0000-0000-0000FC250000}"/>
    <cellStyle name="SSFixed2 4" xfId="10279" xr:uid="{00000000-0005-0000-0000-0000FD250000}"/>
    <cellStyle name="Standard" xfId="4143" xr:uid="{00000000-0005-0000-0000-0000FE250000}"/>
    <cellStyle name="Style 1" xfId="1324" xr:uid="{00000000-0005-0000-0000-0000FF250000}"/>
    <cellStyle name="Style 1 2" xfId="1325" xr:uid="{00000000-0005-0000-0000-000000260000}"/>
    <cellStyle name="Style 10" xfId="1326" xr:uid="{00000000-0005-0000-0000-000001260000}"/>
    <cellStyle name="Style 100" xfId="1327" xr:uid="{00000000-0005-0000-0000-000002260000}"/>
    <cellStyle name="Style 101" xfId="1328" xr:uid="{00000000-0005-0000-0000-000003260000}"/>
    <cellStyle name="Style 102" xfId="1329" xr:uid="{00000000-0005-0000-0000-000004260000}"/>
    <cellStyle name="Style 103" xfId="1330" xr:uid="{00000000-0005-0000-0000-000005260000}"/>
    <cellStyle name="Style 104" xfId="1331" xr:uid="{00000000-0005-0000-0000-000006260000}"/>
    <cellStyle name="Style 105" xfId="1332" xr:uid="{00000000-0005-0000-0000-000007260000}"/>
    <cellStyle name="Style 106" xfId="1333" xr:uid="{00000000-0005-0000-0000-000008260000}"/>
    <cellStyle name="Style 107" xfId="1334" xr:uid="{00000000-0005-0000-0000-000009260000}"/>
    <cellStyle name="Style 108" xfId="1335" xr:uid="{00000000-0005-0000-0000-00000A260000}"/>
    <cellStyle name="Style 109" xfId="1336" xr:uid="{00000000-0005-0000-0000-00000B260000}"/>
    <cellStyle name="Style 11" xfId="1337" xr:uid="{00000000-0005-0000-0000-00000C260000}"/>
    <cellStyle name="Style 110" xfId="1338" xr:uid="{00000000-0005-0000-0000-00000D260000}"/>
    <cellStyle name="Style 111" xfId="1339" xr:uid="{00000000-0005-0000-0000-00000E260000}"/>
    <cellStyle name="Style 112" xfId="1340" xr:uid="{00000000-0005-0000-0000-00000F260000}"/>
    <cellStyle name="Style 113" xfId="1341" xr:uid="{00000000-0005-0000-0000-000010260000}"/>
    <cellStyle name="Style 114" xfId="1342" xr:uid="{00000000-0005-0000-0000-000011260000}"/>
    <cellStyle name="Style 115" xfId="1343" xr:uid="{00000000-0005-0000-0000-000012260000}"/>
    <cellStyle name="Style 116" xfId="1344" xr:uid="{00000000-0005-0000-0000-000013260000}"/>
    <cellStyle name="Style 117" xfId="1345" xr:uid="{00000000-0005-0000-0000-000014260000}"/>
    <cellStyle name="Style 118" xfId="1346" xr:uid="{00000000-0005-0000-0000-000015260000}"/>
    <cellStyle name="Style 119" xfId="1347" xr:uid="{00000000-0005-0000-0000-000016260000}"/>
    <cellStyle name="Style 12" xfId="1348" xr:uid="{00000000-0005-0000-0000-000017260000}"/>
    <cellStyle name="Style 120" xfId="1349" xr:uid="{00000000-0005-0000-0000-000018260000}"/>
    <cellStyle name="Style 121" xfId="1350" xr:uid="{00000000-0005-0000-0000-000019260000}"/>
    <cellStyle name="Style 122" xfId="1351" xr:uid="{00000000-0005-0000-0000-00001A260000}"/>
    <cellStyle name="Style 123" xfId="1352" xr:uid="{00000000-0005-0000-0000-00001B260000}"/>
    <cellStyle name="Style 124" xfId="1353" xr:uid="{00000000-0005-0000-0000-00001C260000}"/>
    <cellStyle name="Style 125" xfId="1354" xr:uid="{00000000-0005-0000-0000-00001D260000}"/>
    <cellStyle name="Style 126" xfId="1355" xr:uid="{00000000-0005-0000-0000-00001E260000}"/>
    <cellStyle name="Style 127" xfId="1356" xr:uid="{00000000-0005-0000-0000-00001F260000}"/>
    <cellStyle name="Style 128" xfId="1357" xr:uid="{00000000-0005-0000-0000-000020260000}"/>
    <cellStyle name="Style 129" xfId="1358" xr:uid="{00000000-0005-0000-0000-000021260000}"/>
    <cellStyle name="Style 13" xfId="1359" xr:uid="{00000000-0005-0000-0000-000022260000}"/>
    <cellStyle name="Style 130" xfId="1360" xr:uid="{00000000-0005-0000-0000-000023260000}"/>
    <cellStyle name="Style 131" xfId="1361" xr:uid="{00000000-0005-0000-0000-000024260000}"/>
    <cellStyle name="Style 132" xfId="1362" xr:uid="{00000000-0005-0000-0000-000025260000}"/>
    <cellStyle name="Style 133" xfId="1363" xr:uid="{00000000-0005-0000-0000-000026260000}"/>
    <cellStyle name="Style 134" xfId="1364" xr:uid="{00000000-0005-0000-0000-000027260000}"/>
    <cellStyle name="Style 135" xfId="1365" xr:uid="{00000000-0005-0000-0000-000028260000}"/>
    <cellStyle name="Style 136" xfId="1366" xr:uid="{00000000-0005-0000-0000-000029260000}"/>
    <cellStyle name="Style 137" xfId="1367" xr:uid="{00000000-0005-0000-0000-00002A260000}"/>
    <cellStyle name="Style 138" xfId="1368" xr:uid="{00000000-0005-0000-0000-00002B260000}"/>
    <cellStyle name="Style 139" xfId="1369" xr:uid="{00000000-0005-0000-0000-00002C260000}"/>
    <cellStyle name="Style 14" xfId="1370" xr:uid="{00000000-0005-0000-0000-00002D260000}"/>
    <cellStyle name="Style 140" xfId="1371" xr:uid="{00000000-0005-0000-0000-00002E260000}"/>
    <cellStyle name="Style 141" xfId="1372" xr:uid="{00000000-0005-0000-0000-00002F260000}"/>
    <cellStyle name="Style 142" xfId="1373" xr:uid="{00000000-0005-0000-0000-000030260000}"/>
    <cellStyle name="Style 143" xfId="1374" xr:uid="{00000000-0005-0000-0000-000031260000}"/>
    <cellStyle name="Style 144" xfId="1375" xr:uid="{00000000-0005-0000-0000-000032260000}"/>
    <cellStyle name="Style 145" xfId="1376" xr:uid="{00000000-0005-0000-0000-000033260000}"/>
    <cellStyle name="Style 146" xfId="1377" xr:uid="{00000000-0005-0000-0000-000034260000}"/>
    <cellStyle name="Style 147" xfId="1378" xr:uid="{00000000-0005-0000-0000-000035260000}"/>
    <cellStyle name="Style 148" xfId="1379" xr:uid="{00000000-0005-0000-0000-000036260000}"/>
    <cellStyle name="Style 149" xfId="1380" xr:uid="{00000000-0005-0000-0000-000037260000}"/>
    <cellStyle name="Style 15" xfId="1381" xr:uid="{00000000-0005-0000-0000-000038260000}"/>
    <cellStyle name="Style 150" xfId="1382" xr:uid="{00000000-0005-0000-0000-000039260000}"/>
    <cellStyle name="Style 151" xfId="1383" xr:uid="{00000000-0005-0000-0000-00003A260000}"/>
    <cellStyle name="Style 152" xfId="1384" xr:uid="{00000000-0005-0000-0000-00003B260000}"/>
    <cellStyle name="Style 153" xfId="1385" xr:uid="{00000000-0005-0000-0000-00003C260000}"/>
    <cellStyle name="Style 154" xfId="1386" xr:uid="{00000000-0005-0000-0000-00003D260000}"/>
    <cellStyle name="Style 155" xfId="1387" xr:uid="{00000000-0005-0000-0000-00003E260000}"/>
    <cellStyle name="Style 156" xfId="1388" xr:uid="{00000000-0005-0000-0000-00003F260000}"/>
    <cellStyle name="Style 157" xfId="1389" xr:uid="{00000000-0005-0000-0000-000040260000}"/>
    <cellStyle name="Style 158" xfId="1390" xr:uid="{00000000-0005-0000-0000-000041260000}"/>
    <cellStyle name="Style 159" xfId="1391" xr:uid="{00000000-0005-0000-0000-000042260000}"/>
    <cellStyle name="Style 16" xfId="1392" xr:uid="{00000000-0005-0000-0000-000043260000}"/>
    <cellStyle name="Style 160" xfId="1393" xr:uid="{00000000-0005-0000-0000-000044260000}"/>
    <cellStyle name="Style 161" xfId="1394" xr:uid="{00000000-0005-0000-0000-000045260000}"/>
    <cellStyle name="Style 162" xfId="1395" xr:uid="{00000000-0005-0000-0000-000046260000}"/>
    <cellStyle name="Style 163" xfId="1396" xr:uid="{00000000-0005-0000-0000-000047260000}"/>
    <cellStyle name="Style 164" xfId="1397" xr:uid="{00000000-0005-0000-0000-000048260000}"/>
    <cellStyle name="Style 165" xfId="1398" xr:uid="{00000000-0005-0000-0000-000049260000}"/>
    <cellStyle name="Style 166" xfId="1399" xr:uid="{00000000-0005-0000-0000-00004A260000}"/>
    <cellStyle name="Style 167" xfId="1400" xr:uid="{00000000-0005-0000-0000-00004B260000}"/>
    <cellStyle name="Style 168" xfId="1401" xr:uid="{00000000-0005-0000-0000-00004C260000}"/>
    <cellStyle name="Style 169" xfId="1402" xr:uid="{00000000-0005-0000-0000-00004D260000}"/>
    <cellStyle name="Style 17" xfId="1403" xr:uid="{00000000-0005-0000-0000-00004E260000}"/>
    <cellStyle name="Style 170" xfId="1404" xr:uid="{00000000-0005-0000-0000-00004F260000}"/>
    <cellStyle name="Style 171" xfId="1405" xr:uid="{00000000-0005-0000-0000-000050260000}"/>
    <cellStyle name="Style 172" xfId="1406" xr:uid="{00000000-0005-0000-0000-000051260000}"/>
    <cellStyle name="Style 173" xfId="1407" xr:uid="{00000000-0005-0000-0000-000052260000}"/>
    <cellStyle name="Style 174" xfId="1408" xr:uid="{00000000-0005-0000-0000-000053260000}"/>
    <cellStyle name="Style 175" xfId="1409" xr:uid="{00000000-0005-0000-0000-000054260000}"/>
    <cellStyle name="Style 176" xfId="1410" xr:uid="{00000000-0005-0000-0000-000055260000}"/>
    <cellStyle name="Style 177" xfId="1411" xr:uid="{00000000-0005-0000-0000-000056260000}"/>
    <cellStyle name="Style 178" xfId="1412" xr:uid="{00000000-0005-0000-0000-000057260000}"/>
    <cellStyle name="Style 179" xfId="1413" xr:uid="{00000000-0005-0000-0000-000058260000}"/>
    <cellStyle name="Style 18" xfId="1414" xr:uid="{00000000-0005-0000-0000-000059260000}"/>
    <cellStyle name="Style 180" xfId="1415" xr:uid="{00000000-0005-0000-0000-00005A260000}"/>
    <cellStyle name="Style 181" xfId="1416" xr:uid="{00000000-0005-0000-0000-00005B260000}"/>
    <cellStyle name="Style 182" xfId="1417" xr:uid="{00000000-0005-0000-0000-00005C260000}"/>
    <cellStyle name="Style 183" xfId="1418" xr:uid="{00000000-0005-0000-0000-00005D260000}"/>
    <cellStyle name="Style 184" xfId="1419" xr:uid="{00000000-0005-0000-0000-00005E260000}"/>
    <cellStyle name="Style 185" xfId="1420" xr:uid="{00000000-0005-0000-0000-00005F260000}"/>
    <cellStyle name="Style 186" xfId="1421" xr:uid="{00000000-0005-0000-0000-000060260000}"/>
    <cellStyle name="Style 187" xfId="1422" xr:uid="{00000000-0005-0000-0000-000061260000}"/>
    <cellStyle name="Style 188" xfId="1423" xr:uid="{00000000-0005-0000-0000-000062260000}"/>
    <cellStyle name="Style 189" xfId="1424" xr:uid="{00000000-0005-0000-0000-000063260000}"/>
    <cellStyle name="Style 19" xfId="1425" xr:uid="{00000000-0005-0000-0000-000064260000}"/>
    <cellStyle name="Style 190" xfId="1426" xr:uid="{00000000-0005-0000-0000-000065260000}"/>
    <cellStyle name="Style 191" xfId="1427" xr:uid="{00000000-0005-0000-0000-000066260000}"/>
    <cellStyle name="Style 192" xfId="1428" xr:uid="{00000000-0005-0000-0000-000067260000}"/>
    <cellStyle name="Style 193" xfId="1429" xr:uid="{00000000-0005-0000-0000-000068260000}"/>
    <cellStyle name="Style 194" xfId="1430" xr:uid="{00000000-0005-0000-0000-000069260000}"/>
    <cellStyle name="Style 195" xfId="1431" xr:uid="{00000000-0005-0000-0000-00006A260000}"/>
    <cellStyle name="Style 196" xfId="1432" xr:uid="{00000000-0005-0000-0000-00006B260000}"/>
    <cellStyle name="Style 197" xfId="1433" xr:uid="{00000000-0005-0000-0000-00006C260000}"/>
    <cellStyle name="Style 198" xfId="1434" xr:uid="{00000000-0005-0000-0000-00006D260000}"/>
    <cellStyle name="Style 199" xfId="1435" xr:uid="{00000000-0005-0000-0000-00006E260000}"/>
    <cellStyle name="Style 2" xfId="1436" xr:uid="{00000000-0005-0000-0000-00006F260000}"/>
    <cellStyle name="Style 20" xfId="1437" xr:uid="{00000000-0005-0000-0000-000070260000}"/>
    <cellStyle name="Style 200" xfId="1438" xr:uid="{00000000-0005-0000-0000-000071260000}"/>
    <cellStyle name="Style 201" xfId="1439" xr:uid="{00000000-0005-0000-0000-000072260000}"/>
    <cellStyle name="Style 202" xfId="1440" xr:uid="{00000000-0005-0000-0000-000073260000}"/>
    <cellStyle name="Style 203" xfId="1441" xr:uid="{00000000-0005-0000-0000-000074260000}"/>
    <cellStyle name="Style 204" xfId="1442" xr:uid="{00000000-0005-0000-0000-000075260000}"/>
    <cellStyle name="Style 205" xfId="1443" xr:uid="{00000000-0005-0000-0000-000076260000}"/>
    <cellStyle name="Style 206" xfId="1444" xr:uid="{00000000-0005-0000-0000-000077260000}"/>
    <cellStyle name="Style 207" xfId="1445" xr:uid="{00000000-0005-0000-0000-000078260000}"/>
    <cellStyle name="Style 208" xfId="1446" xr:uid="{00000000-0005-0000-0000-000079260000}"/>
    <cellStyle name="Style 209" xfId="1447" xr:uid="{00000000-0005-0000-0000-00007A260000}"/>
    <cellStyle name="Style 21" xfId="1448" xr:uid="{00000000-0005-0000-0000-00007B260000}"/>
    <cellStyle name="Style 210" xfId="1449" xr:uid="{00000000-0005-0000-0000-00007C260000}"/>
    <cellStyle name="Style 211" xfId="1450" xr:uid="{00000000-0005-0000-0000-00007D260000}"/>
    <cellStyle name="Style 212" xfId="1451" xr:uid="{00000000-0005-0000-0000-00007E260000}"/>
    <cellStyle name="Style 213" xfId="1452" xr:uid="{00000000-0005-0000-0000-00007F260000}"/>
    <cellStyle name="Style 214" xfId="1453" xr:uid="{00000000-0005-0000-0000-000080260000}"/>
    <cellStyle name="Style 215" xfId="1454" xr:uid="{00000000-0005-0000-0000-000081260000}"/>
    <cellStyle name="Style 216" xfId="1455" xr:uid="{00000000-0005-0000-0000-000082260000}"/>
    <cellStyle name="Style 217" xfId="1456" xr:uid="{00000000-0005-0000-0000-000083260000}"/>
    <cellStyle name="Style 218" xfId="1457" xr:uid="{00000000-0005-0000-0000-000084260000}"/>
    <cellStyle name="Style 219" xfId="1458" xr:uid="{00000000-0005-0000-0000-000085260000}"/>
    <cellStyle name="Style 22" xfId="1459" xr:uid="{00000000-0005-0000-0000-000086260000}"/>
    <cellStyle name="Style 220" xfId="1460" xr:uid="{00000000-0005-0000-0000-000087260000}"/>
    <cellStyle name="Style 221" xfId="1461" xr:uid="{00000000-0005-0000-0000-000088260000}"/>
    <cellStyle name="Style 222" xfId="1462" xr:uid="{00000000-0005-0000-0000-000089260000}"/>
    <cellStyle name="Style 223" xfId="1463" xr:uid="{00000000-0005-0000-0000-00008A260000}"/>
    <cellStyle name="Style 224" xfId="1464" xr:uid="{00000000-0005-0000-0000-00008B260000}"/>
    <cellStyle name="Style 225" xfId="1465" xr:uid="{00000000-0005-0000-0000-00008C260000}"/>
    <cellStyle name="Style 226" xfId="1466" xr:uid="{00000000-0005-0000-0000-00008D260000}"/>
    <cellStyle name="Style 227" xfId="1467" xr:uid="{00000000-0005-0000-0000-00008E260000}"/>
    <cellStyle name="Style 228" xfId="1468" xr:uid="{00000000-0005-0000-0000-00008F260000}"/>
    <cellStyle name="Style 229" xfId="1469" xr:uid="{00000000-0005-0000-0000-000090260000}"/>
    <cellStyle name="Style 23" xfId="1470" xr:uid="{00000000-0005-0000-0000-000091260000}"/>
    <cellStyle name="Style 230" xfId="1471" xr:uid="{00000000-0005-0000-0000-000092260000}"/>
    <cellStyle name="Style 231" xfId="1472" xr:uid="{00000000-0005-0000-0000-000093260000}"/>
    <cellStyle name="Style 232" xfId="1473" xr:uid="{00000000-0005-0000-0000-000094260000}"/>
    <cellStyle name="Style 233" xfId="1474" xr:uid="{00000000-0005-0000-0000-000095260000}"/>
    <cellStyle name="Style 234" xfId="1475" xr:uid="{00000000-0005-0000-0000-000096260000}"/>
    <cellStyle name="Style 235" xfId="1476" xr:uid="{00000000-0005-0000-0000-000097260000}"/>
    <cellStyle name="Style 236" xfId="1477" xr:uid="{00000000-0005-0000-0000-000098260000}"/>
    <cellStyle name="Style 237" xfId="1478" xr:uid="{00000000-0005-0000-0000-000099260000}"/>
    <cellStyle name="Style 238" xfId="1479" xr:uid="{00000000-0005-0000-0000-00009A260000}"/>
    <cellStyle name="Style 239" xfId="1480" xr:uid="{00000000-0005-0000-0000-00009B260000}"/>
    <cellStyle name="Style 24" xfId="1481" xr:uid="{00000000-0005-0000-0000-00009C260000}"/>
    <cellStyle name="Style 240" xfId="1482" xr:uid="{00000000-0005-0000-0000-00009D260000}"/>
    <cellStyle name="Style 241" xfId="1483" xr:uid="{00000000-0005-0000-0000-00009E260000}"/>
    <cellStyle name="Style 242" xfId="1484" xr:uid="{00000000-0005-0000-0000-00009F260000}"/>
    <cellStyle name="Style 243" xfId="1485" xr:uid="{00000000-0005-0000-0000-0000A0260000}"/>
    <cellStyle name="Style 244" xfId="1486" xr:uid="{00000000-0005-0000-0000-0000A1260000}"/>
    <cellStyle name="Style 245" xfId="1487" xr:uid="{00000000-0005-0000-0000-0000A2260000}"/>
    <cellStyle name="Style 246" xfId="1488" xr:uid="{00000000-0005-0000-0000-0000A3260000}"/>
    <cellStyle name="Style 247" xfId="1489" xr:uid="{00000000-0005-0000-0000-0000A4260000}"/>
    <cellStyle name="Style 248" xfId="1490" xr:uid="{00000000-0005-0000-0000-0000A5260000}"/>
    <cellStyle name="Style 249" xfId="1491" xr:uid="{00000000-0005-0000-0000-0000A6260000}"/>
    <cellStyle name="Style 25" xfId="1492" xr:uid="{00000000-0005-0000-0000-0000A7260000}"/>
    <cellStyle name="Style 250" xfId="1493" xr:uid="{00000000-0005-0000-0000-0000A8260000}"/>
    <cellStyle name="Style 251" xfId="1494" xr:uid="{00000000-0005-0000-0000-0000A9260000}"/>
    <cellStyle name="Style 252" xfId="1495" xr:uid="{00000000-0005-0000-0000-0000AA260000}"/>
    <cellStyle name="Style 253" xfId="1496" xr:uid="{00000000-0005-0000-0000-0000AB260000}"/>
    <cellStyle name="Style 254" xfId="1497" xr:uid="{00000000-0005-0000-0000-0000AC260000}"/>
    <cellStyle name="Style 255" xfId="1498" xr:uid="{00000000-0005-0000-0000-0000AD260000}"/>
    <cellStyle name="Style 256" xfId="1499" xr:uid="{00000000-0005-0000-0000-0000AE260000}"/>
    <cellStyle name="Style 26" xfId="1500" xr:uid="{00000000-0005-0000-0000-0000AF260000}"/>
    <cellStyle name="Style 27" xfId="1501" xr:uid="{00000000-0005-0000-0000-0000B0260000}"/>
    <cellStyle name="Style 28" xfId="1502" xr:uid="{00000000-0005-0000-0000-0000B1260000}"/>
    <cellStyle name="Style 29" xfId="1503" xr:uid="{00000000-0005-0000-0000-0000B2260000}"/>
    <cellStyle name="Style 3" xfId="1504" xr:uid="{00000000-0005-0000-0000-0000B3260000}"/>
    <cellStyle name="Style 30" xfId="1505" xr:uid="{00000000-0005-0000-0000-0000B4260000}"/>
    <cellStyle name="Style 31" xfId="1506" xr:uid="{00000000-0005-0000-0000-0000B5260000}"/>
    <cellStyle name="Style 32" xfId="1507" xr:uid="{00000000-0005-0000-0000-0000B6260000}"/>
    <cellStyle name="Style 33" xfId="1508" xr:uid="{00000000-0005-0000-0000-0000B7260000}"/>
    <cellStyle name="Style 34" xfId="1509" xr:uid="{00000000-0005-0000-0000-0000B8260000}"/>
    <cellStyle name="Style 35" xfId="1510" xr:uid="{00000000-0005-0000-0000-0000B9260000}"/>
    <cellStyle name="Style 36" xfId="1511" xr:uid="{00000000-0005-0000-0000-0000BA260000}"/>
    <cellStyle name="Style 37" xfId="1512" xr:uid="{00000000-0005-0000-0000-0000BB260000}"/>
    <cellStyle name="Style 38" xfId="1513" xr:uid="{00000000-0005-0000-0000-0000BC260000}"/>
    <cellStyle name="Style 39" xfId="1514" xr:uid="{00000000-0005-0000-0000-0000BD260000}"/>
    <cellStyle name="Style 4" xfId="1515" xr:uid="{00000000-0005-0000-0000-0000BE260000}"/>
    <cellStyle name="Style 40" xfId="1516" xr:uid="{00000000-0005-0000-0000-0000BF260000}"/>
    <cellStyle name="Style 41" xfId="1517" xr:uid="{00000000-0005-0000-0000-0000C0260000}"/>
    <cellStyle name="Style 42" xfId="1518" xr:uid="{00000000-0005-0000-0000-0000C1260000}"/>
    <cellStyle name="Style 43" xfId="1519" xr:uid="{00000000-0005-0000-0000-0000C2260000}"/>
    <cellStyle name="Style 44" xfId="1520" xr:uid="{00000000-0005-0000-0000-0000C3260000}"/>
    <cellStyle name="Style 45" xfId="1521" xr:uid="{00000000-0005-0000-0000-0000C4260000}"/>
    <cellStyle name="Style 46" xfId="1522" xr:uid="{00000000-0005-0000-0000-0000C5260000}"/>
    <cellStyle name="Style 47" xfId="1523" xr:uid="{00000000-0005-0000-0000-0000C6260000}"/>
    <cellStyle name="Style 48" xfId="1524" xr:uid="{00000000-0005-0000-0000-0000C7260000}"/>
    <cellStyle name="Style 49" xfId="1525" xr:uid="{00000000-0005-0000-0000-0000C8260000}"/>
    <cellStyle name="Style 5" xfId="1526" xr:uid="{00000000-0005-0000-0000-0000C9260000}"/>
    <cellStyle name="Style 50" xfId="1527" xr:uid="{00000000-0005-0000-0000-0000CA260000}"/>
    <cellStyle name="Style 51" xfId="1528" xr:uid="{00000000-0005-0000-0000-0000CB260000}"/>
    <cellStyle name="Style 52" xfId="1529" xr:uid="{00000000-0005-0000-0000-0000CC260000}"/>
    <cellStyle name="Style 53" xfId="1530" xr:uid="{00000000-0005-0000-0000-0000CD260000}"/>
    <cellStyle name="Style 54" xfId="1531" xr:uid="{00000000-0005-0000-0000-0000CE260000}"/>
    <cellStyle name="Style 55" xfId="1532" xr:uid="{00000000-0005-0000-0000-0000CF260000}"/>
    <cellStyle name="Style 56" xfId="1533" xr:uid="{00000000-0005-0000-0000-0000D0260000}"/>
    <cellStyle name="Style 57" xfId="1534" xr:uid="{00000000-0005-0000-0000-0000D1260000}"/>
    <cellStyle name="Style 58" xfId="1535" xr:uid="{00000000-0005-0000-0000-0000D2260000}"/>
    <cellStyle name="Style 59" xfId="1536" xr:uid="{00000000-0005-0000-0000-0000D3260000}"/>
    <cellStyle name="Style 6" xfId="1537" xr:uid="{00000000-0005-0000-0000-0000D4260000}"/>
    <cellStyle name="Style 60" xfId="1538" xr:uid="{00000000-0005-0000-0000-0000D5260000}"/>
    <cellStyle name="Style 61" xfId="1539" xr:uid="{00000000-0005-0000-0000-0000D6260000}"/>
    <cellStyle name="Style 62" xfId="1540" xr:uid="{00000000-0005-0000-0000-0000D7260000}"/>
    <cellStyle name="Style 63" xfId="1541" xr:uid="{00000000-0005-0000-0000-0000D8260000}"/>
    <cellStyle name="Style 64" xfId="1542" xr:uid="{00000000-0005-0000-0000-0000D9260000}"/>
    <cellStyle name="Style 65" xfId="1543" xr:uid="{00000000-0005-0000-0000-0000DA260000}"/>
    <cellStyle name="Style 66" xfId="1544" xr:uid="{00000000-0005-0000-0000-0000DB260000}"/>
    <cellStyle name="Style 67" xfId="1545" xr:uid="{00000000-0005-0000-0000-0000DC260000}"/>
    <cellStyle name="Style 68" xfId="1546" xr:uid="{00000000-0005-0000-0000-0000DD260000}"/>
    <cellStyle name="Style 69" xfId="1547" xr:uid="{00000000-0005-0000-0000-0000DE260000}"/>
    <cellStyle name="Style 7" xfId="1548" xr:uid="{00000000-0005-0000-0000-0000DF260000}"/>
    <cellStyle name="Style 70" xfId="1549" xr:uid="{00000000-0005-0000-0000-0000E0260000}"/>
    <cellStyle name="Style 71" xfId="1550" xr:uid="{00000000-0005-0000-0000-0000E1260000}"/>
    <cellStyle name="Style 72" xfId="1551" xr:uid="{00000000-0005-0000-0000-0000E2260000}"/>
    <cellStyle name="Style 73" xfId="1552" xr:uid="{00000000-0005-0000-0000-0000E3260000}"/>
    <cellStyle name="Style 74" xfId="1553" xr:uid="{00000000-0005-0000-0000-0000E4260000}"/>
    <cellStyle name="Style 75" xfId="1554" xr:uid="{00000000-0005-0000-0000-0000E5260000}"/>
    <cellStyle name="Style 76" xfId="1555" xr:uid="{00000000-0005-0000-0000-0000E6260000}"/>
    <cellStyle name="Style 77" xfId="1556" xr:uid="{00000000-0005-0000-0000-0000E7260000}"/>
    <cellStyle name="Style 78" xfId="1557" xr:uid="{00000000-0005-0000-0000-0000E8260000}"/>
    <cellStyle name="Style 79" xfId="1558" xr:uid="{00000000-0005-0000-0000-0000E9260000}"/>
    <cellStyle name="Style 8" xfId="1559" xr:uid="{00000000-0005-0000-0000-0000EA260000}"/>
    <cellStyle name="Style 80" xfId="1560" xr:uid="{00000000-0005-0000-0000-0000EB260000}"/>
    <cellStyle name="Style 81" xfId="1561" xr:uid="{00000000-0005-0000-0000-0000EC260000}"/>
    <cellStyle name="Style 82" xfId="1562" xr:uid="{00000000-0005-0000-0000-0000ED260000}"/>
    <cellStyle name="Style 83" xfId="1563" xr:uid="{00000000-0005-0000-0000-0000EE260000}"/>
    <cellStyle name="Style 84" xfId="1564" xr:uid="{00000000-0005-0000-0000-0000EF260000}"/>
    <cellStyle name="Style 85" xfId="1565" xr:uid="{00000000-0005-0000-0000-0000F0260000}"/>
    <cellStyle name="Style 86" xfId="1566" xr:uid="{00000000-0005-0000-0000-0000F1260000}"/>
    <cellStyle name="Style 87" xfId="1567" xr:uid="{00000000-0005-0000-0000-0000F2260000}"/>
    <cellStyle name="Style 88" xfId="1568" xr:uid="{00000000-0005-0000-0000-0000F3260000}"/>
    <cellStyle name="Style 89" xfId="1569" xr:uid="{00000000-0005-0000-0000-0000F4260000}"/>
    <cellStyle name="Style 9" xfId="1570" xr:uid="{00000000-0005-0000-0000-0000F5260000}"/>
    <cellStyle name="Style 90" xfId="1571" xr:uid="{00000000-0005-0000-0000-0000F6260000}"/>
    <cellStyle name="Style 91" xfId="1572" xr:uid="{00000000-0005-0000-0000-0000F7260000}"/>
    <cellStyle name="Style 92" xfId="1573" xr:uid="{00000000-0005-0000-0000-0000F8260000}"/>
    <cellStyle name="Style 93" xfId="1574" xr:uid="{00000000-0005-0000-0000-0000F9260000}"/>
    <cellStyle name="Style 94" xfId="1575" xr:uid="{00000000-0005-0000-0000-0000FA260000}"/>
    <cellStyle name="Style 95" xfId="1576" xr:uid="{00000000-0005-0000-0000-0000FB260000}"/>
    <cellStyle name="Style 96" xfId="1577" xr:uid="{00000000-0005-0000-0000-0000FC260000}"/>
    <cellStyle name="Style 97" xfId="1578" xr:uid="{00000000-0005-0000-0000-0000FD260000}"/>
    <cellStyle name="Style 98" xfId="1579" xr:uid="{00000000-0005-0000-0000-0000FE260000}"/>
    <cellStyle name="Style 99" xfId="1580" xr:uid="{00000000-0005-0000-0000-0000FF260000}"/>
    <cellStyle name="Style D green" xfId="4144" xr:uid="{00000000-0005-0000-0000-000000270000}"/>
    <cellStyle name="Style D green 2" xfId="6432" xr:uid="{00000000-0005-0000-0000-000001270000}"/>
    <cellStyle name="Style D green 3" xfId="7332" xr:uid="{00000000-0005-0000-0000-000002270000}"/>
    <cellStyle name="Style E" xfId="4145" xr:uid="{00000000-0005-0000-0000-000003270000}"/>
    <cellStyle name="Style H" xfId="4146" xr:uid="{00000000-0005-0000-0000-000004270000}"/>
    <cellStyle name="Sub total" xfId="4147" xr:uid="{00000000-0005-0000-0000-000005270000}"/>
    <cellStyle name="subhead" xfId="6434" xr:uid="{00000000-0005-0000-0000-000006270000}"/>
    <cellStyle name="SubTotal" xfId="10830" xr:uid="{00000000-0005-0000-0000-000007270000}"/>
    <cellStyle name="Sum" xfId="7593" xr:uid="{00000000-0005-0000-0000-000008270000}"/>
    <cellStyle name="Swiss" xfId="7594" xr:uid="{00000000-0005-0000-0000-000009270000}"/>
    <cellStyle name="swisses" xfId="7333" xr:uid="{00000000-0005-0000-0000-00000A270000}"/>
    <cellStyle name="t" xfId="7595" xr:uid="{00000000-0005-0000-0000-00000B270000}"/>
    <cellStyle name="Table end" xfId="4148" xr:uid="{00000000-0005-0000-0000-00000C270000}"/>
    <cellStyle name="Table head" xfId="4149" xr:uid="{00000000-0005-0000-0000-00000D270000}"/>
    <cellStyle name="Table head 2" xfId="7776" xr:uid="{00000000-0005-0000-0000-00000E270000}"/>
    <cellStyle name="Table Head Aligned" xfId="7334" xr:uid="{00000000-0005-0000-0000-00000F270000}"/>
    <cellStyle name="Table Head Aligned 2" xfId="7795" xr:uid="{00000000-0005-0000-0000-000010270000}"/>
    <cellStyle name="Table Head Blue" xfId="7335" xr:uid="{00000000-0005-0000-0000-000011270000}"/>
    <cellStyle name="Table Head Green" xfId="7336" xr:uid="{00000000-0005-0000-0000-000012270000}"/>
    <cellStyle name="Table Head Green 2" xfId="7796" xr:uid="{00000000-0005-0000-0000-000013270000}"/>
    <cellStyle name="Table head_DCF" xfId="7337" xr:uid="{00000000-0005-0000-0000-000014270000}"/>
    <cellStyle name="Table Heading" xfId="4150" xr:uid="{00000000-0005-0000-0000-000015270000}"/>
    <cellStyle name="table text bold" xfId="4151" xr:uid="{00000000-0005-0000-0000-000016270000}"/>
    <cellStyle name="table text bold green" xfId="4152" xr:uid="{00000000-0005-0000-0000-000017270000}"/>
    <cellStyle name="table text bold_Beta" xfId="6435" xr:uid="{00000000-0005-0000-0000-000018270000}"/>
    <cellStyle name="table text light" xfId="4153" xr:uid="{00000000-0005-0000-0000-000019270000}"/>
    <cellStyle name="Table Title" xfId="7338" xr:uid="{00000000-0005-0000-0000-00001A270000}"/>
    <cellStyle name="Table Units" xfId="7339" xr:uid="{00000000-0005-0000-0000-00001B270000}"/>
    <cellStyle name="TableTitle" xfId="7340" xr:uid="{00000000-0005-0000-0000-00001C270000}"/>
    <cellStyle name="Time" xfId="7596" xr:uid="{00000000-0005-0000-0000-00001D270000}"/>
    <cellStyle name="times" xfId="7341" xr:uid="{00000000-0005-0000-0000-00001E270000}"/>
    <cellStyle name="Title - PROJECT" xfId="7597" xr:uid="{00000000-0005-0000-0000-00001F270000}"/>
    <cellStyle name="Title - Underline" xfId="7598" xr:uid="{00000000-0005-0000-0000-000020270000}"/>
    <cellStyle name="Title 2" xfId="1581" xr:uid="{00000000-0005-0000-0000-000021270000}"/>
    <cellStyle name="Title 3" xfId="6436" xr:uid="{00000000-0005-0000-0000-000022270000}"/>
    <cellStyle name="Title1" xfId="7599" xr:uid="{00000000-0005-0000-0000-000023270000}"/>
    <cellStyle name="Title2" xfId="7600" xr:uid="{00000000-0005-0000-0000-000024270000}"/>
    <cellStyle name="Titles" xfId="4154" xr:uid="{00000000-0005-0000-0000-000025270000}"/>
    <cellStyle name="Titles - Col. Headings" xfId="7601" xr:uid="{00000000-0005-0000-0000-000026270000}"/>
    <cellStyle name="Titles - Other" xfId="7602" xr:uid="{00000000-0005-0000-0000-000027270000}"/>
    <cellStyle name="Titulo fecha 2" xfId="7342" xr:uid="{00000000-0005-0000-0000-000028270000}"/>
    <cellStyle name="Titulos Fecha" xfId="7343" xr:uid="{00000000-0005-0000-0000-000029270000}"/>
    <cellStyle name="Titulos Fecha 2" xfId="7797" xr:uid="{00000000-0005-0000-0000-00002A270000}"/>
    <cellStyle name="Topline" xfId="7344" xr:uid="{00000000-0005-0000-0000-00002B270000}"/>
    <cellStyle name="Total 2" xfId="1582" xr:uid="{00000000-0005-0000-0000-00002C270000}"/>
    <cellStyle name="Total 2 2" xfId="6919" xr:uid="{00000000-0005-0000-0000-00002D270000}"/>
    <cellStyle name="Total 2 3" xfId="6899" xr:uid="{00000000-0005-0000-0000-00002E270000}"/>
    <cellStyle name="Total 3" xfId="4155" xr:uid="{00000000-0005-0000-0000-00002F270000}"/>
    <cellStyle name="Total 4" xfId="6437" xr:uid="{00000000-0005-0000-0000-000030270000}"/>
    <cellStyle name="Total 5" xfId="10831" xr:uid="{00000000-0005-0000-0000-000031270000}"/>
    <cellStyle name="Tusental (0)_laroux" xfId="7345" xr:uid="{00000000-0005-0000-0000-000032270000}"/>
    <cellStyle name="Tusental_laroux" xfId="7346" xr:uid="{00000000-0005-0000-0000-000033270000}"/>
    <cellStyle name="u" xfId="4156" xr:uid="{00000000-0005-0000-0000-000034270000}"/>
    <cellStyle name="u_Beta" xfId="6439" xr:uid="{00000000-0005-0000-0000-000035270000}"/>
    <cellStyle name="u_Cashflow" xfId="6440" xr:uid="{00000000-0005-0000-0000-000036270000}"/>
    <cellStyle name="u_Cashflow_Honghua MSTR" xfId="6441" xr:uid="{00000000-0005-0000-0000-000037270000}"/>
    <cellStyle name="u_new-Sub" xfId="4157" xr:uid="{00000000-0005-0000-0000-000038270000}"/>
    <cellStyle name="u_P&amp;L" xfId="6442" xr:uid="{00000000-0005-0000-0000-000039270000}"/>
    <cellStyle name="u_P&amp;L_Honghua MSTR" xfId="6443" xr:uid="{00000000-0005-0000-0000-00003A270000}"/>
    <cellStyle name="u_PetroChina Master" xfId="6444" xr:uid="{00000000-0005-0000-0000-00003B270000}"/>
    <cellStyle name="u_PetroChina Master_WIP(20-F update)" xfId="6445" xr:uid="{00000000-0005-0000-0000-00003C270000}"/>
    <cellStyle name="u_PetroChina Master_WIP(20-F update)_Cashflow" xfId="6446" xr:uid="{00000000-0005-0000-0000-00003D270000}"/>
    <cellStyle name="u_PetroChina Master_WIP(20-F update)_Cashflow_Honghua MSTR" xfId="6447" xr:uid="{00000000-0005-0000-0000-00003E270000}"/>
    <cellStyle name="u_PetroChina Master_WIP(20-F update)_P&amp;L" xfId="6448" xr:uid="{00000000-0005-0000-0000-00003F270000}"/>
    <cellStyle name="u_PetroChina Master_WIP(20-F update)_P&amp;L_Honghua MSTR" xfId="6449" xr:uid="{00000000-0005-0000-0000-000040270000}"/>
    <cellStyle name="u_PetroChina Master_WIP(20-F update)_Sinopec MSTR" xfId="6450" xr:uid="{00000000-0005-0000-0000-000041270000}"/>
    <cellStyle name="u_PetroChina Master_WIP(20-F update)_Sinopec MSTR Wip" xfId="6451" xr:uid="{00000000-0005-0000-0000-000042270000}"/>
    <cellStyle name="u_PetroChina Master_WIP(20-F update)_Sinopec MSTR_WIP_KK" xfId="6452" xr:uid="{00000000-0005-0000-0000-000043270000}"/>
    <cellStyle name="u_Sinopec MSTR" xfId="6453" xr:uid="{00000000-0005-0000-0000-000044270000}"/>
    <cellStyle name="u_Sinopec MSTR Wip" xfId="6454" xr:uid="{00000000-0005-0000-0000-000045270000}"/>
    <cellStyle name="u_Sinopec MSTR_WIP_KK" xfId="6455" xr:uid="{00000000-0005-0000-0000-000046270000}"/>
    <cellStyle name="u_Sinopec MSTR-WIP_20F update" xfId="6456" xr:uid="{00000000-0005-0000-0000-000047270000}"/>
    <cellStyle name="underline" xfId="6457" xr:uid="{00000000-0005-0000-0000-000048270000}"/>
    <cellStyle name="UnderLine 2" xfId="7347" xr:uid="{00000000-0005-0000-0000-000049270000}"/>
    <cellStyle name="UnderLine 2 2" xfId="7798" xr:uid="{00000000-0005-0000-0000-00004A270000}"/>
    <cellStyle name="underline 3" xfId="7793" xr:uid="{00000000-0005-0000-0000-00004B270000}"/>
    <cellStyle name="underline 4" xfId="7789" xr:uid="{00000000-0005-0000-0000-00004C270000}"/>
    <cellStyle name="underline 5" xfId="7782" xr:uid="{00000000-0005-0000-0000-00004D270000}"/>
    <cellStyle name="underline 6" xfId="7788" xr:uid="{00000000-0005-0000-0000-00004E270000}"/>
    <cellStyle name="unm" xfId="7603" xr:uid="{00000000-0005-0000-0000-00004F270000}"/>
    <cellStyle name="Valuta (0)_laroux" xfId="7348" xr:uid="{00000000-0005-0000-0000-000050270000}"/>
    <cellStyle name="Valuta_laroux" xfId="7349" xr:uid="{00000000-0005-0000-0000-000051270000}"/>
    <cellStyle name="Warning Text 2" xfId="1583" xr:uid="{00000000-0005-0000-0000-000052270000}"/>
    <cellStyle name="Warning Text 3" xfId="6458" xr:uid="{00000000-0005-0000-0000-000053270000}"/>
    <cellStyle name="wrap" xfId="6459" xr:uid="{00000000-0005-0000-0000-000054270000}"/>
    <cellStyle name="Year" xfId="4158" xr:uid="{00000000-0005-0000-0000-000055270000}"/>
    <cellStyle name="Years" xfId="7604" xr:uid="{00000000-0005-0000-0000-000056270000}"/>
    <cellStyle name="_CCT Notes to BS 98(EY)" xfId="6745" xr:uid="{00000000-0005-0000-0000-000057270000}"/>
    <cellStyle name="だ[0]_CCT Notes to BS 98(EY)" xfId="6746" xr:uid="{00000000-0005-0000-0000-000058270000}"/>
    <cellStyle name="だ_CCT Consol BS PL 0999-draft" xfId="6747" xr:uid="{00000000-0005-0000-0000-000059270000}"/>
    <cellStyle name="쬞\?1@" xfId="7350" xr:uid="{00000000-0005-0000-0000-00005A270000}"/>
    <cellStyle name="콤마 [0]_BOILER-CO1" xfId="6471" xr:uid="{00000000-0005-0000-0000-00005B270000}"/>
    <cellStyle name="콤마_BOILER-CO1" xfId="6472" xr:uid="{00000000-0005-0000-0000-00005C270000}"/>
    <cellStyle name="통화 [0]_BOILER-CO1" xfId="6473" xr:uid="{00000000-0005-0000-0000-00005D270000}"/>
    <cellStyle name="통화_BOILER-CO1" xfId="6474" xr:uid="{00000000-0005-0000-0000-00005E270000}"/>
    <cellStyle name="표준_030107" xfId="1584" xr:uid="{00000000-0005-0000-0000-00005F270000}"/>
    <cellStyle name="一般_CCT Notes to BS 98(EY)" xfId="6744" xr:uid="{00000000-0005-0000-0000-000060270000}"/>
    <cellStyle name="一般_Realtek Model-wip-Rob" xfId="1585" xr:uid="{00000000-0005-0000-0000-000061270000}"/>
    <cellStyle name="中文表头" xfId="4159" xr:uid="{00000000-0005-0000-0000-000062270000}"/>
    <cellStyle name="分级显示行_1_4附件二凯旋评估表" xfId="4160" xr:uid="{00000000-0005-0000-0000-000063270000}"/>
    <cellStyle name="千位[0]_ 方正PC" xfId="6478" xr:uid="{00000000-0005-0000-0000-000064270000}"/>
    <cellStyle name="千位_ 方正PC" xfId="6479" xr:uid="{00000000-0005-0000-0000-000065270000}"/>
    <cellStyle name="千位分隔 2" xfId="1586" xr:uid="{00000000-0005-0000-0000-000066270000}"/>
    <cellStyle name="千位分隔 2 2" xfId="6481" xr:uid="{00000000-0005-0000-0000-000067270000}"/>
    <cellStyle name="千位分隔 2 2 2" xfId="6949" xr:uid="{00000000-0005-0000-0000-000068270000}"/>
    <cellStyle name="千位分隔 2 2 2 2" xfId="7643" xr:uid="{00000000-0005-0000-0000-000069270000}"/>
    <cellStyle name="千位分隔 2 2 3" xfId="7631" xr:uid="{00000000-0005-0000-0000-00006A270000}"/>
    <cellStyle name="千位分隔 2 3" xfId="7616" xr:uid="{00000000-0005-0000-0000-00006B270000}"/>
    <cellStyle name="千位分隔 2 4" xfId="7777" xr:uid="{00000000-0005-0000-0000-00006C270000}"/>
    <cellStyle name="千位分隔 3" xfId="6482" xr:uid="{00000000-0005-0000-0000-00006D270000}"/>
    <cellStyle name="千位分隔[0]_10" xfId="4161" xr:uid="{00000000-0005-0000-0000-00006E270000}"/>
    <cellStyle name="千位分隔_10" xfId="4162" xr:uid="{00000000-0005-0000-0000-00006F270000}"/>
    <cellStyle name="千分位[0]_ 白土" xfId="4163" xr:uid="{00000000-0005-0000-0000-000070270000}"/>
    <cellStyle name="千分位_ 白土" xfId="4164" xr:uid="{00000000-0005-0000-0000-000071270000}"/>
    <cellStyle name="后继超级链接_9 Provinces Model 031104" xfId="4165" xr:uid="{00000000-0005-0000-0000-000072270000}"/>
    <cellStyle name="好" xfId="1587" xr:uid="{00000000-0005-0000-0000-000073270000}"/>
    <cellStyle name="好 10" xfId="1588" xr:uid="{00000000-0005-0000-0000-000074270000}"/>
    <cellStyle name="好 11" xfId="1589" xr:uid="{00000000-0005-0000-0000-000075270000}"/>
    <cellStyle name="好 12" xfId="1590" xr:uid="{00000000-0005-0000-0000-000076270000}"/>
    <cellStyle name="好 13" xfId="1591" xr:uid="{00000000-0005-0000-0000-000077270000}"/>
    <cellStyle name="好 14" xfId="1592" xr:uid="{00000000-0005-0000-0000-000078270000}"/>
    <cellStyle name="好 15" xfId="1593" xr:uid="{00000000-0005-0000-0000-000079270000}"/>
    <cellStyle name="好 16" xfId="1594" xr:uid="{00000000-0005-0000-0000-00007A270000}"/>
    <cellStyle name="好 17" xfId="1595" xr:uid="{00000000-0005-0000-0000-00007B270000}"/>
    <cellStyle name="好 18" xfId="1596" xr:uid="{00000000-0005-0000-0000-00007C270000}"/>
    <cellStyle name="好 19" xfId="1597" xr:uid="{00000000-0005-0000-0000-00007D270000}"/>
    <cellStyle name="好 2" xfId="1598" xr:uid="{00000000-0005-0000-0000-00007E270000}"/>
    <cellStyle name="好 20" xfId="1599" xr:uid="{00000000-0005-0000-0000-00007F270000}"/>
    <cellStyle name="好 3" xfId="1600" xr:uid="{00000000-0005-0000-0000-000080270000}"/>
    <cellStyle name="好 4" xfId="1601" xr:uid="{00000000-0005-0000-0000-000081270000}"/>
    <cellStyle name="好 5" xfId="1602" xr:uid="{00000000-0005-0000-0000-000082270000}"/>
    <cellStyle name="好 6" xfId="1603" xr:uid="{00000000-0005-0000-0000-000083270000}"/>
    <cellStyle name="好 7" xfId="1604" xr:uid="{00000000-0005-0000-0000-000084270000}"/>
    <cellStyle name="好 8" xfId="1605" xr:uid="{00000000-0005-0000-0000-000085270000}"/>
    <cellStyle name="好 9" xfId="1606" xr:uid="{00000000-0005-0000-0000-000086270000}"/>
    <cellStyle name="好_Sheet2" xfId="1607" xr:uid="{00000000-0005-0000-0000-000087270000}"/>
    <cellStyle name="好_Sheet3" xfId="1608" xr:uid="{00000000-0005-0000-0000-000088270000}"/>
    <cellStyle name="好_全国乘用车市场信息联席会月报表（1001）（批发表）" xfId="1609" xr:uid="{00000000-0005-0000-0000-000089270000}"/>
    <cellStyle name="好_库存" xfId="1610" xr:uid="{00000000-0005-0000-0000-00008A270000}"/>
    <cellStyle name="好_简版" xfId="1611" xr:uid="{00000000-0005-0000-0000-00008B270000}"/>
    <cellStyle name="差" xfId="1612" xr:uid="{00000000-0005-0000-0000-00008C270000}"/>
    <cellStyle name="差_Sheet3" xfId="1613" xr:uid="{00000000-0005-0000-0000-00008D270000}"/>
    <cellStyle name="差_全国乘用车市场信息联席会月报表（1001）（批发表）" xfId="1614" xr:uid="{00000000-0005-0000-0000-00008E270000}"/>
    <cellStyle name="常规 11" xfId="1615" xr:uid="{00000000-0005-0000-0000-00008F270000}"/>
    <cellStyle name="常规 12" xfId="1616" xr:uid="{00000000-0005-0000-0000-000090270000}"/>
    <cellStyle name="常规 13" xfId="1617" xr:uid="{00000000-0005-0000-0000-000091270000}"/>
    <cellStyle name="常规 14" xfId="1618" xr:uid="{00000000-0005-0000-0000-000092270000}"/>
    <cellStyle name="常规 15" xfId="1619" xr:uid="{00000000-0005-0000-0000-000093270000}"/>
    <cellStyle name="常规 16" xfId="1620" xr:uid="{00000000-0005-0000-0000-000094270000}"/>
    <cellStyle name="常规 17" xfId="1621" xr:uid="{00000000-0005-0000-0000-000095270000}"/>
    <cellStyle name="常规 18" xfId="1622" xr:uid="{00000000-0005-0000-0000-000096270000}"/>
    <cellStyle name="常规 19" xfId="1623" xr:uid="{00000000-0005-0000-0000-000097270000}"/>
    <cellStyle name="常规 2" xfId="1624" xr:uid="{00000000-0005-0000-0000-000098270000}"/>
    <cellStyle name="常规 2 10" xfId="1625" xr:uid="{00000000-0005-0000-0000-000099270000}"/>
    <cellStyle name="常规 2 10 2" xfId="1626" xr:uid="{00000000-0005-0000-0000-00009A270000}"/>
    <cellStyle name="常规 2 11" xfId="1627" xr:uid="{00000000-0005-0000-0000-00009B270000}"/>
    <cellStyle name="常规 2 11 2" xfId="1628" xr:uid="{00000000-0005-0000-0000-00009C270000}"/>
    <cellStyle name="常规 2 12" xfId="4212" xr:uid="{00000000-0005-0000-0000-00009D270000}"/>
    <cellStyle name="常规 2 13" xfId="6464" xr:uid="{00000000-0005-0000-0000-00009E270000}"/>
    <cellStyle name="常规 2 2" xfId="1629" xr:uid="{00000000-0005-0000-0000-00009F270000}"/>
    <cellStyle name="常规 2 2 2" xfId="1630" xr:uid="{00000000-0005-0000-0000-0000A0270000}"/>
    <cellStyle name="常规 2 2 2 2" xfId="1631" xr:uid="{00000000-0005-0000-0000-0000A1270000}"/>
    <cellStyle name="常规 2 2 3" xfId="1632" xr:uid="{00000000-0005-0000-0000-0000A2270000}"/>
    <cellStyle name="常规 2 2 3 2" xfId="1633" xr:uid="{00000000-0005-0000-0000-0000A3270000}"/>
    <cellStyle name="常规 2 2 4" xfId="1634" xr:uid="{00000000-0005-0000-0000-0000A4270000}"/>
    <cellStyle name="常规 2 2 4 2" xfId="1635" xr:uid="{00000000-0005-0000-0000-0000A5270000}"/>
    <cellStyle name="常规 2 2 5" xfId="1636" xr:uid="{00000000-0005-0000-0000-0000A6270000}"/>
    <cellStyle name="常规 2 2 5 2" xfId="1637" xr:uid="{00000000-0005-0000-0000-0000A7270000}"/>
    <cellStyle name="常规 2 2 6" xfId="1638" xr:uid="{00000000-0005-0000-0000-0000A8270000}"/>
    <cellStyle name="常规 2 2 6 2" xfId="1639" xr:uid="{00000000-0005-0000-0000-0000A9270000}"/>
    <cellStyle name="常规 2 2 7" xfId="1640" xr:uid="{00000000-0005-0000-0000-0000AA270000}"/>
    <cellStyle name="常规 2 2 7 2" xfId="1641" xr:uid="{00000000-0005-0000-0000-0000AB270000}"/>
    <cellStyle name="常规 2 2 8" xfId="1642" xr:uid="{00000000-0005-0000-0000-0000AC270000}"/>
    <cellStyle name="常规 2 2_北京现代2009年4月报表" xfId="1643" xr:uid="{00000000-0005-0000-0000-0000AD270000}"/>
    <cellStyle name="常规 2 3" xfId="1644" xr:uid="{00000000-0005-0000-0000-0000AE270000}"/>
    <cellStyle name="常规 2 3 2" xfId="1645" xr:uid="{00000000-0005-0000-0000-0000AF270000}"/>
    <cellStyle name="常规 2 3 2 2" xfId="1646" xr:uid="{00000000-0005-0000-0000-0000B0270000}"/>
    <cellStyle name="常规 2 3 3" xfId="1647" xr:uid="{00000000-0005-0000-0000-0000B1270000}"/>
    <cellStyle name="常规 2 3 3 2" xfId="1648" xr:uid="{00000000-0005-0000-0000-0000B2270000}"/>
    <cellStyle name="常规 2 3 4" xfId="1649" xr:uid="{00000000-0005-0000-0000-0000B3270000}"/>
    <cellStyle name="常规 2 3 4 2" xfId="1650" xr:uid="{00000000-0005-0000-0000-0000B4270000}"/>
    <cellStyle name="常规 2 3 5" xfId="1651" xr:uid="{00000000-0005-0000-0000-0000B5270000}"/>
    <cellStyle name="常规 2 3 5 2" xfId="1652" xr:uid="{00000000-0005-0000-0000-0000B6270000}"/>
    <cellStyle name="常规 2 3 6" xfId="1653" xr:uid="{00000000-0005-0000-0000-0000B7270000}"/>
    <cellStyle name="常规 2 3 6 2" xfId="1654" xr:uid="{00000000-0005-0000-0000-0000B8270000}"/>
    <cellStyle name="常规 2 3 7" xfId="1655" xr:uid="{00000000-0005-0000-0000-0000B9270000}"/>
    <cellStyle name="常规 2 3 7 2" xfId="1656" xr:uid="{00000000-0005-0000-0000-0000BA270000}"/>
    <cellStyle name="常规 2 3 8" xfId="1657" xr:uid="{00000000-0005-0000-0000-0000BB270000}"/>
    <cellStyle name="常规 2 3_北京现代2009年4月报表" xfId="1658" xr:uid="{00000000-0005-0000-0000-0000BC270000}"/>
    <cellStyle name="常规 2 4" xfId="1659" xr:uid="{00000000-0005-0000-0000-0000BD270000}"/>
    <cellStyle name="常规 2 4 2" xfId="1660" xr:uid="{00000000-0005-0000-0000-0000BE270000}"/>
    <cellStyle name="常规 2 4 2 2" xfId="1661" xr:uid="{00000000-0005-0000-0000-0000BF270000}"/>
    <cellStyle name="常规 2 4 3" xfId="1662" xr:uid="{00000000-0005-0000-0000-0000C0270000}"/>
    <cellStyle name="常规 2 4 3 2" xfId="1663" xr:uid="{00000000-0005-0000-0000-0000C1270000}"/>
    <cellStyle name="常规 2 4 4" xfId="1664" xr:uid="{00000000-0005-0000-0000-0000C2270000}"/>
    <cellStyle name="常规 2 4 4 2" xfId="1665" xr:uid="{00000000-0005-0000-0000-0000C3270000}"/>
    <cellStyle name="常规 2 4 5" xfId="1666" xr:uid="{00000000-0005-0000-0000-0000C4270000}"/>
    <cellStyle name="常规 2 4 5 2" xfId="1667" xr:uid="{00000000-0005-0000-0000-0000C5270000}"/>
    <cellStyle name="常规 2 4 6" xfId="1668" xr:uid="{00000000-0005-0000-0000-0000C6270000}"/>
    <cellStyle name="常规 2 4 6 2" xfId="1669" xr:uid="{00000000-0005-0000-0000-0000C7270000}"/>
    <cellStyle name="常规 2 4 7" xfId="1670" xr:uid="{00000000-0005-0000-0000-0000C8270000}"/>
    <cellStyle name="常规 2 4 7 2" xfId="1671" xr:uid="{00000000-0005-0000-0000-0000C9270000}"/>
    <cellStyle name="常规 2 4 8" xfId="1672" xr:uid="{00000000-0005-0000-0000-0000CA270000}"/>
    <cellStyle name="常规 2 4_北京现代2009年4月报表" xfId="1673" xr:uid="{00000000-0005-0000-0000-0000CB270000}"/>
    <cellStyle name="常规 2 5" xfId="1674" xr:uid="{00000000-0005-0000-0000-0000CC270000}"/>
    <cellStyle name="常规 2 5 2" xfId="1675" xr:uid="{00000000-0005-0000-0000-0000CD270000}"/>
    <cellStyle name="常规 2 5 2 2" xfId="1676" xr:uid="{00000000-0005-0000-0000-0000CE270000}"/>
    <cellStyle name="常规 2 5 3" xfId="1677" xr:uid="{00000000-0005-0000-0000-0000CF270000}"/>
    <cellStyle name="常规 2 5 3 2" xfId="1678" xr:uid="{00000000-0005-0000-0000-0000D0270000}"/>
    <cellStyle name="常规 2 5 4" xfId="1679" xr:uid="{00000000-0005-0000-0000-0000D1270000}"/>
    <cellStyle name="常规 2 5 4 2" xfId="1680" xr:uid="{00000000-0005-0000-0000-0000D2270000}"/>
    <cellStyle name="常规 2 5 5" xfId="1681" xr:uid="{00000000-0005-0000-0000-0000D3270000}"/>
    <cellStyle name="常规 2 5 5 2" xfId="1682" xr:uid="{00000000-0005-0000-0000-0000D4270000}"/>
    <cellStyle name="常规 2 5 6" xfId="1683" xr:uid="{00000000-0005-0000-0000-0000D5270000}"/>
    <cellStyle name="常规 2 5 6 2" xfId="1684" xr:uid="{00000000-0005-0000-0000-0000D6270000}"/>
    <cellStyle name="常规 2 5 7" xfId="1685" xr:uid="{00000000-0005-0000-0000-0000D7270000}"/>
    <cellStyle name="常规 2 5 7 2" xfId="1686" xr:uid="{00000000-0005-0000-0000-0000D8270000}"/>
    <cellStyle name="常规 2 5 8" xfId="1687" xr:uid="{00000000-0005-0000-0000-0000D9270000}"/>
    <cellStyle name="常规 2 5_北京现代2009年4月报表" xfId="1688" xr:uid="{00000000-0005-0000-0000-0000DA270000}"/>
    <cellStyle name="常规 2 6" xfId="1689" xr:uid="{00000000-0005-0000-0000-0000DB270000}"/>
    <cellStyle name="常规 2 6 2" xfId="1690" xr:uid="{00000000-0005-0000-0000-0000DC270000}"/>
    <cellStyle name="常规 2 7" xfId="1691" xr:uid="{00000000-0005-0000-0000-0000DD270000}"/>
    <cellStyle name="常规 2 7 2" xfId="1692" xr:uid="{00000000-0005-0000-0000-0000DE270000}"/>
    <cellStyle name="常规 2 8" xfId="1693" xr:uid="{00000000-0005-0000-0000-0000DF270000}"/>
    <cellStyle name="常规 2 8 2" xfId="1694" xr:uid="{00000000-0005-0000-0000-0000E0270000}"/>
    <cellStyle name="常规 2 9" xfId="1695" xr:uid="{00000000-0005-0000-0000-0000E1270000}"/>
    <cellStyle name="常规 2 9 2" xfId="1696" xr:uid="{00000000-0005-0000-0000-0000E2270000}"/>
    <cellStyle name="常规 2_狭义乘用车" xfId="1697" xr:uid="{00000000-0005-0000-0000-0000E3270000}"/>
    <cellStyle name="常规 20" xfId="1698" xr:uid="{00000000-0005-0000-0000-0000E4270000}"/>
    <cellStyle name="常规 21" xfId="1699" xr:uid="{00000000-0005-0000-0000-0000E5270000}"/>
    <cellStyle name="常规 3" xfId="1700" xr:uid="{00000000-0005-0000-0000-0000E6270000}"/>
    <cellStyle name="常规 3 10" xfId="1701" xr:uid="{00000000-0005-0000-0000-0000E7270000}"/>
    <cellStyle name="常规 3 10 2" xfId="1702" xr:uid="{00000000-0005-0000-0000-0000E8270000}"/>
    <cellStyle name="常规 3 10 2 2" xfId="1703" xr:uid="{00000000-0005-0000-0000-0000E9270000}"/>
    <cellStyle name="常规 3 10 3" xfId="1704" xr:uid="{00000000-0005-0000-0000-0000EA270000}"/>
    <cellStyle name="常规 3 10 3 2" xfId="1705" xr:uid="{00000000-0005-0000-0000-0000EB270000}"/>
    <cellStyle name="常规 3 10 4" xfId="1706" xr:uid="{00000000-0005-0000-0000-0000EC270000}"/>
    <cellStyle name="常规 3 10 4 2" xfId="1707" xr:uid="{00000000-0005-0000-0000-0000ED270000}"/>
    <cellStyle name="常规 3 10 5" xfId="1708" xr:uid="{00000000-0005-0000-0000-0000EE270000}"/>
    <cellStyle name="常规 3 10 5 2" xfId="1709" xr:uid="{00000000-0005-0000-0000-0000EF270000}"/>
    <cellStyle name="常规 3 10 6" xfId="1710" xr:uid="{00000000-0005-0000-0000-0000F0270000}"/>
    <cellStyle name="常规 3 10 6 2" xfId="1711" xr:uid="{00000000-0005-0000-0000-0000F1270000}"/>
    <cellStyle name="常规 3 10 7" xfId="1712" xr:uid="{00000000-0005-0000-0000-0000F2270000}"/>
    <cellStyle name="常规 3 10 7 2" xfId="1713" xr:uid="{00000000-0005-0000-0000-0000F3270000}"/>
    <cellStyle name="常规 3 10 8" xfId="1714" xr:uid="{00000000-0005-0000-0000-0000F4270000}"/>
    <cellStyle name="常规 3 10_北京现代2009年4月报表" xfId="1715" xr:uid="{00000000-0005-0000-0000-0000F5270000}"/>
    <cellStyle name="常规 3 11" xfId="1716" xr:uid="{00000000-0005-0000-0000-0000F6270000}"/>
    <cellStyle name="常规 3 11 2" xfId="1717" xr:uid="{00000000-0005-0000-0000-0000F7270000}"/>
    <cellStyle name="常规 3 12" xfId="1718" xr:uid="{00000000-0005-0000-0000-0000F8270000}"/>
    <cellStyle name="常规 3 12 2" xfId="1719" xr:uid="{00000000-0005-0000-0000-0000F9270000}"/>
    <cellStyle name="常规 3 13" xfId="1720" xr:uid="{00000000-0005-0000-0000-0000FA270000}"/>
    <cellStyle name="常规 3 13 2" xfId="1721" xr:uid="{00000000-0005-0000-0000-0000FB270000}"/>
    <cellStyle name="常规 3 14" xfId="1722" xr:uid="{00000000-0005-0000-0000-0000FC270000}"/>
    <cellStyle name="常规 3 14 2" xfId="1723" xr:uid="{00000000-0005-0000-0000-0000FD270000}"/>
    <cellStyle name="常规 3 15" xfId="1724" xr:uid="{00000000-0005-0000-0000-0000FE270000}"/>
    <cellStyle name="常规 3 15 2" xfId="1725" xr:uid="{00000000-0005-0000-0000-0000FF270000}"/>
    <cellStyle name="常规 3 16" xfId="1726" xr:uid="{00000000-0005-0000-0000-000000280000}"/>
    <cellStyle name="常规 3 16 2" xfId="1727" xr:uid="{00000000-0005-0000-0000-000001280000}"/>
    <cellStyle name="常规 3 17" xfId="1728" xr:uid="{00000000-0005-0000-0000-000002280000}"/>
    <cellStyle name="常规 3 17 2" xfId="1729" xr:uid="{00000000-0005-0000-0000-000003280000}"/>
    <cellStyle name="常规 3 18" xfId="1730" xr:uid="{00000000-0005-0000-0000-000004280000}"/>
    <cellStyle name="常规 3 18 2" xfId="1731" xr:uid="{00000000-0005-0000-0000-000005280000}"/>
    <cellStyle name="常规 3 19" xfId="1732" xr:uid="{00000000-0005-0000-0000-000006280000}"/>
    <cellStyle name="常规 3 19 2" xfId="1733" xr:uid="{00000000-0005-0000-0000-000007280000}"/>
    <cellStyle name="常规 3 2" xfId="1734" xr:uid="{00000000-0005-0000-0000-000008280000}"/>
    <cellStyle name="常规 3 2 10" xfId="1735" xr:uid="{00000000-0005-0000-0000-000009280000}"/>
    <cellStyle name="常规 3 2 10 2" xfId="1736" xr:uid="{00000000-0005-0000-0000-00000A280000}"/>
    <cellStyle name="常规 3 2 11" xfId="1737" xr:uid="{00000000-0005-0000-0000-00000B280000}"/>
    <cellStyle name="常规 3 2 11 2" xfId="1738" xr:uid="{00000000-0005-0000-0000-00000C280000}"/>
    <cellStyle name="常规 3 2 12" xfId="1739" xr:uid="{00000000-0005-0000-0000-00000D280000}"/>
    <cellStyle name="常规 3 2 2" xfId="1740" xr:uid="{00000000-0005-0000-0000-00000E280000}"/>
    <cellStyle name="常规 3 2 2 2" xfId="1741" xr:uid="{00000000-0005-0000-0000-00000F280000}"/>
    <cellStyle name="常规 3 2 2 2 2" xfId="1742" xr:uid="{00000000-0005-0000-0000-000010280000}"/>
    <cellStyle name="常规 3 2 2 3" xfId="1743" xr:uid="{00000000-0005-0000-0000-000011280000}"/>
    <cellStyle name="常规 3 2 2 3 2" xfId="1744" xr:uid="{00000000-0005-0000-0000-000012280000}"/>
    <cellStyle name="常规 3 2 2 4" xfId="1745" xr:uid="{00000000-0005-0000-0000-000013280000}"/>
    <cellStyle name="常规 3 2 2 4 2" xfId="1746" xr:uid="{00000000-0005-0000-0000-000014280000}"/>
    <cellStyle name="常规 3 2 2 5" xfId="1747" xr:uid="{00000000-0005-0000-0000-000015280000}"/>
    <cellStyle name="常规 3 2 2 5 2" xfId="1748" xr:uid="{00000000-0005-0000-0000-000016280000}"/>
    <cellStyle name="常规 3 2 2 6" xfId="1749" xr:uid="{00000000-0005-0000-0000-000017280000}"/>
    <cellStyle name="常规 3 2 2 6 2" xfId="1750" xr:uid="{00000000-0005-0000-0000-000018280000}"/>
    <cellStyle name="常规 3 2 2 7" xfId="1751" xr:uid="{00000000-0005-0000-0000-000019280000}"/>
    <cellStyle name="常规 3 2 2 7 2" xfId="1752" xr:uid="{00000000-0005-0000-0000-00001A280000}"/>
    <cellStyle name="常规 3 2 2 8" xfId="1753" xr:uid="{00000000-0005-0000-0000-00001B280000}"/>
    <cellStyle name="常规 3 2 2_北京现代2009年4月报表" xfId="1754" xr:uid="{00000000-0005-0000-0000-00001C280000}"/>
    <cellStyle name="常规 3 2 3" xfId="1755" xr:uid="{00000000-0005-0000-0000-00001D280000}"/>
    <cellStyle name="常规 3 2 3 2" xfId="1756" xr:uid="{00000000-0005-0000-0000-00001E280000}"/>
    <cellStyle name="常规 3 2 3 2 2" xfId="1757" xr:uid="{00000000-0005-0000-0000-00001F280000}"/>
    <cellStyle name="常规 3 2 3 3" xfId="1758" xr:uid="{00000000-0005-0000-0000-000020280000}"/>
    <cellStyle name="常规 3 2 3 3 2" xfId="1759" xr:uid="{00000000-0005-0000-0000-000021280000}"/>
    <cellStyle name="常规 3 2 3 4" xfId="1760" xr:uid="{00000000-0005-0000-0000-000022280000}"/>
    <cellStyle name="常规 3 2 3 4 2" xfId="1761" xr:uid="{00000000-0005-0000-0000-000023280000}"/>
    <cellStyle name="常规 3 2 3 5" xfId="1762" xr:uid="{00000000-0005-0000-0000-000024280000}"/>
    <cellStyle name="常规 3 2 3 5 2" xfId="1763" xr:uid="{00000000-0005-0000-0000-000025280000}"/>
    <cellStyle name="常规 3 2 3 6" xfId="1764" xr:uid="{00000000-0005-0000-0000-000026280000}"/>
    <cellStyle name="常规 3 2 3 6 2" xfId="1765" xr:uid="{00000000-0005-0000-0000-000027280000}"/>
    <cellStyle name="常规 3 2 3 7" xfId="1766" xr:uid="{00000000-0005-0000-0000-000028280000}"/>
    <cellStyle name="常规 3 2 3 7 2" xfId="1767" xr:uid="{00000000-0005-0000-0000-000029280000}"/>
    <cellStyle name="常规 3 2 3 8" xfId="1768" xr:uid="{00000000-0005-0000-0000-00002A280000}"/>
    <cellStyle name="常规 3 2 3_北京现代2009年4月报表" xfId="1769" xr:uid="{00000000-0005-0000-0000-00002B280000}"/>
    <cellStyle name="常规 3 2 4" xfId="1770" xr:uid="{00000000-0005-0000-0000-00002C280000}"/>
    <cellStyle name="常规 3 2 4 2" xfId="1771" xr:uid="{00000000-0005-0000-0000-00002D280000}"/>
    <cellStyle name="常规 3 2 4 2 2" xfId="1772" xr:uid="{00000000-0005-0000-0000-00002E280000}"/>
    <cellStyle name="常规 3 2 4 3" xfId="1773" xr:uid="{00000000-0005-0000-0000-00002F280000}"/>
    <cellStyle name="常规 3 2 4 3 2" xfId="1774" xr:uid="{00000000-0005-0000-0000-000030280000}"/>
    <cellStyle name="常规 3 2 4 4" xfId="1775" xr:uid="{00000000-0005-0000-0000-000031280000}"/>
    <cellStyle name="常规 3 2 4 4 2" xfId="1776" xr:uid="{00000000-0005-0000-0000-000032280000}"/>
    <cellStyle name="常规 3 2 4 5" xfId="1777" xr:uid="{00000000-0005-0000-0000-000033280000}"/>
    <cellStyle name="常规 3 2 4 5 2" xfId="1778" xr:uid="{00000000-0005-0000-0000-000034280000}"/>
    <cellStyle name="常规 3 2 4 6" xfId="1779" xr:uid="{00000000-0005-0000-0000-000035280000}"/>
    <cellStyle name="常规 3 2 4 6 2" xfId="1780" xr:uid="{00000000-0005-0000-0000-000036280000}"/>
    <cellStyle name="常规 3 2 4 7" xfId="1781" xr:uid="{00000000-0005-0000-0000-000037280000}"/>
    <cellStyle name="常规 3 2 4 7 2" xfId="1782" xr:uid="{00000000-0005-0000-0000-000038280000}"/>
    <cellStyle name="常规 3 2 4 8" xfId="1783" xr:uid="{00000000-0005-0000-0000-000039280000}"/>
    <cellStyle name="常规 3 2 4_北京现代2009年4月报表" xfId="1784" xr:uid="{00000000-0005-0000-0000-00003A280000}"/>
    <cellStyle name="常规 3 2 5" xfId="1785" xr:uid="{00000000-0005-0000-0000-00003B280000}"/>
    <cellStyle name="常规 3 2 5 2" xfId="1786" xr:uid="{00000000-0005-0000-0000-00003C280000}"/>
    <cellStyle name="常规 3 2 5 2 2" xfId="1787" xr:uid="{00000000-0005-0000-0000-00003D280000}"/>
    <cellStyle name="常规 3 2 5 3" xfId="1788" xr:uid="{00000000-0005-0000-0000-00003E280000}"/>
    <cellStyle name="常规 3 2 5 3 2" xfId="1789" xr:uid="{00000000-0005-0000-0000-00003F280000}"/>
    <cellStyle name="常规 3 2 5 4" xfId="1790" xr:uid="{00000000-0005-0000-0000-000040280000}"/>
    <cellStyle name="常规 3 2 5 4 2" xfId="1791" xr:uid="{00000000-0005-0000-0000-000041280000}"/>
    <cellStyle name="常规 3 2 5 5" xfId="1792" xr:uid="{00000000-0005-0000-0000-000042280000}"/>
    <cellStyle name="常规 3 2 5 5 2" xfId="1793" xr:uid="{00000000-0005-0000-0000-000043280000}"/>
    <cellStyle name="常规 3 2 5 6" xfId="1794" xr:uid="{00000000-0005-0000-0000-000044280000}"/>
    <cellStyle name="常规 3 2 5 6 2" xfId="1795" xr:uid="{00000000-0005-0000-0000-000045280000}"/>
    <cellStyle name="常规 3 2 5 7" xfId="1796" xr:uid="{00000000-0005-0000-0000-000046280000}"/>
    <cellStyle name="常规 3 2 5 7 2" xfId="1797" xr:uid="{00000000-0005-0000-0000-000047280000}"/>
    <cellStyle name="常规 3 2 5 8" xfId="1798" xr:uid="{00000000-0005-0000-0000-000048280000}"/>
    <cellStyle name="常规 3 2 5_北京现代2009年4月报表" xfId="1799" xr:uid="{00000000-0005-0000-0000-000049280000}"/>
    <cellStyle name="常规 3 2 6" xfId="1800" xr:uid="{00000000-0005-0000-0000-00004A280000}"/>
    <cellStyle name="常规 3 2 6 2" xfId="1801" xr:uid="{00000000-0005-0000-0000-00004B280000}"/>
    <cellStyle name="常规 3 2 7" xfId="1802" xr:uid="{00000000-0005-0000-0000-00004C280000}"/>
    <cellStyle name="常规 3 2 7 2" xfId="1803" xr:uid="{00000000-0005-0000-0000-00004D280000}"/>
    <cellStyle name="常规 3 2 8" xfId="1804" xr:uid="{00000000-0005-0000-0000-00004E280000}"/>
    <cellStyle name="常规 3 2 8 2" xfId="1805" xr:uid="{00000000-0005-0000-0000-00004F280000}"/>
    <cellStyle name="常规 3 2 9" xfId="1806" xr:uid="{00000000-0005-0000-0000-000050280000}"/>
    <cellStyle name="常规 3 2 9 2" xfId="1807" xr:uid="{00000000-0005-0000-0000-000051280000}"/>
    <cellStyle name="常规 3 2_北京现代2009年4月报表" xfId="1808" xr:uid="{00000000-0005-0000-0000-000052280000}"/>
    <cellStyle name="常规 3 20" xfId="1809" xr:uid="{00000000-0005-0000-0000-000053280000}"/>
    <cellStyle name="常规 3 20 2" xfId="1810" xr:uid="{00000000-0005-0000-0000-000054280000}"/>
    <cellStyle name="常规 3 21" xfId="1811" xr:uid="{00000000-0005-0000-0000-000055280000}"/>
    <cellStyle name="常规 3 21 2" xfId="1812" xr:uid="{00000000-0005-0000-0000-000056280000}"/>
    <cellStyle name="常规 3 22" xfId="1813" xr:uid="{00000000-0005-0000-0000-000057280000}"/>
    <cellStyle name="常规 3 22 2" xfId="1814" xr:uid="{00000000-0005-0000-0000-000058280000}"/>
    <cellStyle name="常规 3 23" xfId="1815" xr:uid="{00000000-0005-0000-0000-000059280000}"/>
    <cellStyle name="常规 3 24" xfId="6465" xr:uid="{00000000-0005-0000-0000-00005A280000}"/>
    <cellStyle name="常规 3 25" xfId="6860" xr:uid="{00000000-0005-0000-0000-00005B280000}"/>
    <cellStyle name="常规 3 26" xfId="6778" xr:uid="{00000000-0005-0000-0000-00005C280000}"/>
    <cellStyle name="常规 3 27" xfId="6855" xr:uid="{00000000-0005-0000-0000-00005D280000}"/>
    <cellStyle name="常规 3 28" xfId="6776" xr:uid="{00000000-0005-0000-0000-00005E280000}"/>
    <cellStyle name="常规 3 29" xfId="6857" xr:uid="{00000000-0005-0000-0000-00005F280000}"/>
    <cellStyle name="常规 3 3" xfId="1816" xr:uid="{00000000-0005-0000-0000-000060280000}"/>
    <cellStyle name="常规 3 3 10" xfId="1817" xr:uid="{00000000-0005-0000-0000-000061280000}"/>
    <cellStyle name="常规 3 3 10 2" xfId="1818" xr:uid="{00000000-0005-0000-0000-000062280000}"/>
    <cellStyle name="常规 3 3 11" xfId="1819" xr:uid="{00000000-0005-0000-0000-000063280000}"/>
    <cellStyle name="常规 3 3 11 2" xfId="1820" xr:uid="{00000000-0005-0000-0000-000064280000}"/>
    <cellStyle name="常规 3 3 12" xfId="1821" xr:uid="{00000000-0005-0000-0000-000065280000}"/>
    <cellStyle name="常规 3 3 2" xfId="1822" xr:uid="{00000000-0005-0000-0000-000066280000}"/>
    <cellStyle name="常规 3 3 2 2" xfId="1823" xr:uid="{00000000-0005-0000-0000-000067280000}"/>
    <cellStyle name="常规 3 3 2 2 2" xfId="1824" xr:uid="{00000000-0005-0000-0000-000068280000}"/>
    <cellStyle name="常规 3 3 2 3" xfId="1825" xr:uid="{00000000-0005-0000-0000-000069280000}"/>
    <cellStyle name="常规 3 3 2 3 2" xfId="1826" xr:uid="{00000000-0005-0000-0000-00006A280000}"/>
    <cellStyle name="常规 3 3 2 4" xfId="1827" xr:uid="{00000000-0005-0000-0000-00006B280000}"/>
    <cellStyle name="常规 3 3 2 4 2" xfId="1828" xr:uid="{00000000-0005-0000-0000-00006C280000}"/>
    <cellStyle name="常规 3 3 2 5" xfId="1829" xr:uid="{00000000-0005-0000-0000-00006D280000}"/>
    <cellStyle name="常规 3 3 2 5 2" xfId="1830" xr:uid="{00000000-0005-0000-0000-00006E280000}"/>
    <cellStyle name="常规 3 3 2 6" xfId="1831" xr:uid="{00000000-0005-0000-0000-00006F280000}"/>
    <cellStyle name="常规 3 3 2 6 2" xfId="1832" xr:uid="{00000000-0005-0000-0000-000070280000}"/>
    <cellStyle name="常规 3 3 2 7" xfId="1833" xr:uid="{00000000-0005-0000-0000-000071280000}"/>
    <cellStyle name="常规 3 3 2 7 2" xfId="1834" xr:uid="{00000000-0005-0000-0000-000072280000}"/>
    <cellStyle name="常规 3 3 2 8" xfId="1835" xr:uid="{00000000-0005-0000-0000-000073280000}"/>
    <cellStyle name="常规 3 3 2_北京现代2009年4月报表" xfId="1836" xr:uid="{00000000-0005-0000-0000-000074280000}"/>
    <cellStyle name="常规 3 3 3" xfId="1837" xr:uid="{00000000-0005-0000-0000-000075280000}"/>
    <cellStyle name="常规 3 3 3 2" xfId="1838" xr:uid="{00000000-0005-0000-0000-000076280000}"/>
    <cellStyle name="常规 3 3 3 2 2" xfId="1839" xr:uid="{00000000-0005-0000-0000-000077280000}"/>
    <cellStyle name="常规 3 3 3 3" xfId="1840" xr:uid="{00000000-0005-0000-0000-000078280000}"/>
    <cellStyle name="常规 3 3 3 3 2" xfId="1841" xr:uid="{00000000-0005-0000-0000-000079280000}"/>
    <cellStyle name="常规 3 3 3 4" xfId="1842" xr:uid="{00000000-0005-0000-0000-00007A280000}"/>
    <cellStyle name="常规 3 3 3 4 2" xfId="1843" xr:uid="{00000000-0005-0000-0000-00007B280000}"/>
    <cellStyle name="常规 3 3 3 5" xfId="1844" xr:uid="{00000000-0005-0000-0000-00007C280000}"/>
    <cellStyle name="常规 3 3 3 5 2" xfId="1845" xr:uid="{00000000-0005-0000-0000-00007D280000}"/>
    <cellStyle name="常规 3 3 3 6" xfId="1846" xr:uid="{00000000-0005-0000-0000-00007E280000}"/>
    <cellStyle name="常规 3 3 3 6 2" xfId="1847" xr:uid="{00000000-0005-0000-0000-00007F280000}"/>
    <cellStyle name="常规 3 3 3 7" xfId="1848" xr:uid="{00000000-0005-0000-0000-000080280000}"/>
    <cellStyle name="常规 3 3 3 7 2" xfId="1849" xr:uid="{00000000-0005-0000-0000-000081280000}"/>
    <cellStyle name="常规 3 3 3 8" xfId="1850" xr:uid="{00000000-0005-0000-0000-000082280000}"/>
    <cellStyle name="常规 3 3 3_北京现代2009年4月报表" xfId="1851" xr:uid="{00000000-0005-0000-0000-000083280000}"/>
    <cellStyle name="常规 3 3 4" xfId="1852" xr:uid="{00000000-0005-0000-0000-000084280000}"/>
    <cellStyle name="常规 3 3 4 2" xfId="1853" xr:uid="{00000000-0005-0000-0000-000085280000}"/>
    <cellStyle name="常规 3 3 4 2 2" xfId="1854" xr:uid="{00000000-0005-0000-0000-000086280000}"/>
    <cellStyle name="常规 3 3 4 3" xfId="1855" xr:uid="{00000000-0005-0000-0000-000087280000}"/>
    <cellStyle name="常规 3 3 4 3 2" xfId="1856" xr:uid="{00000000-0005-0000-0000-000088280000}"/>
    <cellStyle name="常规 3 3 4 4" xfId="1857" xr:uid="{00000000-0005-0000-0000-000089280000}"/>
    <cellStyle name="常规 3 3 4 4 2" xfId="1858" xr:uid="{00000000-0005-0000-0000-00008A280000}"/>
    <cellStyle name="常规 3 3 4 5" xfId="1859" xr:uid="{00000000-0005-0000-0000-00008B280000}"/>
    <cellStyle name="常规 3 3 4 5 2" xfId="1860" xr:uid="{00000000-0005-0000-0000-00008C280000}"/>
    <cellStyle name="常规 3 3 4 6" xfId="1861" xr:uid="{00000000-0005-0000-0000-00008D280000}"/>
    <cellStyle name="常规 3 3 4 6 2" xfId="1862" xr:uid="{00000000-0005-0000-0000-00008E280000}"/>
    <cellStyle name="常规 3 3 4 7" xfId="1863" xr:uid="{00000000-0005-0000-0000-00008F280000}"/>
    <cellStyle name="常规 3 3 4 7 2" xfId="1864" xr:uid="{00000000-0005-0000-0000-000090280000}"/>
    <cellStyle name="常规 3 3 4 8" xfId="1865" xr:uid="{00000000-0005-0000-0000-000091280000}"/>
    <cellStyle name="常规 3 3 4_北京现代2009年4月报表" xfId="1866" xr:uid="{00000000-0005-0000-0000-000092280000}"/>
    <cellStyle name="常规 3 3 5" xfId="1867" xr:uid="{00000000-0005-0000-0000-000093280000}"/>
    <cellStyle name="常规 3 3 5 2" xfId="1868" xr:uid="{00000000-0005-0000-0000-000094280000}"/>
    <cellStyle name="常规 3 3 5 2 2" xfId="1869" xr:uid="{00000000-0005-0000-0000-000095280000}"/>
    <cellStyle name="常规 3 3 5 3" xfId="1870" xr:uid="{00000000-0005-0000-0000-000096280000}"/>
    <cellStyle name="常规 3 3 5 3 2" xfId="1871" xr:uid="{00000000-0005-0000-0000-000097280000}"/>
    <cellStyle name="常规 3 3 5 4" xfId="1872" xr:uid="{00000000-0005-0000-0000-000098280000}"/>
    <cellStyle name="常规 3 3 5 4 2" xfId="1873" xr:uid="{00000000-0005-0000-0000-000099280000}"/>
    <cellStyle name="常规 3 3 5 5" xfId="1874" xr:uid="{00000000-0005-0000-0000-00009A280000}"/>
    <cellStyle name="常规 3 3 5 5 2" xfId="1875" xr:uid="{00000000-0005-0000-0000-00009B280000}"/>
    <cellStyle name="常规 3 3 5 6" xfId="1876" xr:uid="{00000000-0005-0000-0000-00009C280000}"/>
    <cellStyle name="常规 3 3 5 6 2" xfId="1877" xr:uid="{00000000-0005-0000-0000-00009D280000}"/>
    <cellStyle name="常规 3 3 5 7" xfId="1878" xr:uid="{00000000-0005-0000-0000-00009E280000}"/>
    <cellStyle name="常规 3 3 5 7 2" xfId="1879" xr:uid="{00000000-0005-0000-0000-00009F280000}"/>
    <cellStyle name="常规 3 3 5 8" xfId="1880" xr:uid="{00000000-0005-0000-0000-0000A0280000}"/>
    <cellStyle name="常规 3 3 5_北京现代2009年4月报表" xfId="1881" xr:uid="{00000000-0005-0000-0000-0000A1280000}"/>
    <cellStyle name="常规 3 3 6" xfId="1882" xr:uid="{00000000-0005-0000-0000-0000A2280000}"/>
    <cellStyle name="常规 3 3 6 2" xfId="1883" xr:uid="{00000000-0005-0000-0000-0000A3280000}"/>
    <cellStyle name="常规 3 3 7" xfId="1884" xr:uid="{00000000-0005-0000-0000-0000A4280000}"/>
    <cellStyle name="常规 3 3 7 2" xfId="1885" xr:uid="{00000000-0005-0000-0000-0000A5280000}"/>
    <cellStyle name="常规 3 3 8" xfId="1886" xr:uid="{00000000-0005-0000-0000-0000A6280000}"/>
    <cellStyle name="常规 3 3 8 2" xfId="1887" xr:uid="{00000000-0005-0000-0000-0000A7280000}"/>
    <cellStyle name="常规 3 3 9" xfId="1888" xr:uid="{00000000-0005-0000-0000-0000A8280000}"/>
    <cellStyle name="常规 3 3 9 2" xfId="1889" xr:uid="{00000000-0005-0000-0000-0000A9280000}"/>
    <cellStyle name="常规 3 3_北京现代2009年4月报表" xfId="1890" xr:uid="{00000000-0005-0000-0000-0000AA280000}"/>
    <cellStyle name="常规 3 30" xfId="6773" xr:uid="{00000000-0005-0000-0000-0000AB280000}"/>
    <cellStyle name="常规 3 31" xfId="6861" xr:uid="{00000000-0005-0000-0000-0000AC280000}"/>
    <cellStyle name="常规 3 32" xfId="6303" xr:uid="{00000000-0005-0000-0000-0000AD280000}"/>
    <cellStyle name="常规 3 33" xfId="6838" xr:uid="{00000000-0005-0000-0000-0000AE280000}"/>
    <cellStyle name="常规 3 34" xfId="6304" xr:uid="{00000000-0005-0000-0000-0000AF280000}"/>
    <cellStyle name="常规 3 4" xfId="1891" xr:uid="{00000000-0005-0000-0000-0000B0280000}"/>
    <cellStyle name="常规 3 4 10" xfId="1892" xr:uid="{00000000-0005-0000-0000-0000B1280000}"/>
    <cellStyle name="常规 3 4 10 2" xfId="1893" xr:uid="{00000000-0005-0000-0000-0000B2280000}"/>
    <cellStyle name="常规 3 4 11" xfId="1894" xr:uid="{00000000-0005-0000-0000-0000B3280000}"/>
    <cellStyle name="常规 3 4 11 2" xfId="1895" xr:uid="{00000000-0005-0000-0000-0000B4280000}"/>
    <cellStyle name="常规 3 4 12" xfId="1896" xr:uid="{00000000-0005-0000-0000-0000B5280000}"/>
    <cellStyle name="常规 3 4 2" xfId="1897" xr:uid="{00000000-0005-0000-0000-0000B6280000}"/>
    <cellStyle name="常规 3 4 2 2" xfId="1898" xr:uid="{00000000-0005-0000-0000-0000B7280000}"/>
    <cellStyle name="常规 3 4 2 2 2" xfId="1899" xr:uid="{00000000-0005-0000-0000-0000B8280000}"/>
    <cellStyle name="常规 3 4 2 3" xfId="1900" xr:uid="{00000000-0005-0000-0000-0000B9280000}"/>
    <cellStyle name="常规 3 4 2 3 2" xfId="1901" xr:uid="{00000000-0005-0000-0000-0000BA280000}"/>
    <cellStyle name="常规 3 4 2 4" xfId="1902" xr:uid="{00000000-0005-0000-0000-0000BB280000}"/>
    <cellStyle name="常规 3 4 2 4 2" xfId="1903" xr:uid="{00000000-0005-0000-0000-0000BC280000}"/>
    <cellStyle name="常规 3 4 2 5" xfId="1904" xr:uid="{00000000-0005-0000-0000-0000BD280000}"/>
    <cellStyle name="常规 3 4 2 5 2" xfId="1905" xr:uid="{00000000-0005-0000-0000-0000BE280000}"/>
    <cellStyle name="常规 3 4 2 6" xfId="1906" xr:uid="{00000000-0005-0000-0000-0000BF280000}"/>
    <cellStyle name="常规 3 4 2 6 2" xfId="1907" xr:uid="{00000000-0005-0000-0000-0000C0280000}"/>
    <cellStyle name="常规 3 4 2 7" xfId="1908" xr:uid="{00000000-0005-0000-0000-0000C1280000}"/>
    <cellStyle name="常规 3 4 2 7 2" xfId="1909" xr:uid="{00000000-0005-0000-0000-0000C2280000}"/>
    <cellStyle name="常规 3 4 2 8" xfId="1910" xr:uid="{00000000-0005-0000-0000-0000C3280000}"/>
    <cellStyle name="常规 3 4 2_北京现代2009年4月报表" xfId="1911" xr:uid="{00000000-0005-0000-0000-0000C4280000}"/>
    <cellStyle name="常规 3 4 3" xfId="1912" xr:uid="{00000000-0005-0000-0000-0000C5280000}"/>
    <cellStyle name="常规 3 4 3 2" xfId="1913" xr:uid="{00000000-0005-0000-0000-0000C6280000}"/>
    <cellStyle name="常规 3 4 3 2 2" xfId="1914" xr:uid="{00000000-0005-0000-0000-0000C7280000}"/>
    <cellStyle name="常规 3 4 3 3" xfId="1915" xr:uid="{00000000-0005-0000-0000-0000C8280000}"/>
    <cellStyle name="常规 3 4 3 3 2" xfId="1916" xr:uid="{00000000-0005-0000-0000-0000C9280000}"/>
    <cellStyle name="常规 3 4 3 4" xfId="1917" xr:uid="{00000000-0005-0000-0000-0000CA280000}"/>
    <cellStyle name="常规 3 4 3 4 2" xfId="1918" xr:uid="{00000000-0005-0000-0000-0000CB280000}"/>
    <cellStyle name="常规 3 4 3 5" xfId="1919" xr:uid="{00000000-0005-0000-0000-0000CC280000}"/>
    <cellStyle name="常规 3 4 3 5 2" xfId="1920" xr:uid="{00000000-0005-0000-0000-0000CD280000}"/>
    <cellStyle name="常规 3 4 3 6" xfId="1921" xr:uid="{00000000-0005-0000-0000-0000CE280000}"/>
    <cellStyle name="常规 3 4 3 6 2" xfId="1922" xr:uid="{00000000-0005-0000-0000-0000CF280000}"/>
    <cellStyle name="常规 3 4 3 7" xfId="1923" xr:uid="{00000000-0005-0000-0000-0000D0280000}"/>
    <cellStyle name="常规 3 4 3 7 2" xfId="1924" xr:uid="{00000000-0005-0000-0000-0000D1280000}"/>
    <cellStyle name="常规 3 4 3 8" xfId="1925" xr:uid="{00000000-0005-0000-0000-0000D2280000}"/>
    <cellStyle name="常规 3 4 3_北京现代2009年4月报表" xfId="1926" xr:uid="{00000000-0005-0000-0000-0000D3280000}"/>
    <cellStyle name="常规 3 4 4" xfId="1927" xr:uid="{00000000-0005-0000-0000-0000D4280000}"/>
    <cellStyle name="常规 3 4 4 2" xfId="1928" xr:uid="{00000000-0005-0000-0000-0000D5280000}"/>
    <cellStyle name="常规 3 4 4 2 2" xfId="1929" xr:uid="{00000000-0005-0000-0000-0000D6280000}"/>
    <cellStyle name="常规 3 4 4 3" xfId="1930" xr:uid="{00000000-0005-0000-0000-0000D7280000}"/>
    <cellStyle name="常规 3 4 4 3 2" xfId="1931" xr:uid="{00000000-0005-0000-0000-0000D8280000}"/>
    <cellStyle name="常规 3 4 4 4" xfId="1932" xr:uid="{00000000-0005-0000-0000-0000D9280000}"/>
    <cellStyle name="常规 3 4 4 4 2" xfId="1933" xr:uid="{00000000-0005-0000-0000-0000DA280000}"/>
    <cellStyle name="常规 3 4 4 5" xfId="1934" xr:uid="{00000000-0005-0000-0000-0000DB280000}"/>
    <cellStyle name="常规 3 4 4 5 2" xfId="1935" xr:uid="{00000000-0005-0000-0000-0000DC280000}"/>
    <cellStyle name="常规 3 4 4 6" xfId="1936" xr:uid="{00000000-0005-0000-0000-0000DD280000}"/>
    <cellStyle name="常规 3 4 4 6 2" xfId="1937" xr:uid="{00000000-0005-0000-0000-0000DE280000}"/>
    <cellStyle name="常规 3 4 4 7" xfId="1938" xr:uid="{00000000-0005-0000-0000-0000DF280000}"/>
    <cellStyle name="常规 3 4 4 7 2" xfId="1939" xr:uid="{00000000-0005-0000-0000-0000E0280000}"/>
    <cellStyle name="常规 3 4 4 8" xfId="1940" xr:uid="{00000000-0005-0000-0000-0000E1280000}"/>
    <cellStyle name="常规 3 4 4_北京现代2009年4月报表" xfId="1941" xr:uid="{00000000-0005-0000-0000-0000E2280000}"/>
    <cellStyle name="常规 3 4 5" xfId="1942" xr:uid="{00000000-0005-0000-0000-0000E3280000}"/>
    <cellStyle name="常规 3 4 5 2" xfId="1943" xr:uid="{00000000-0005-0000-0000-0000E4280000}"/>
    <cellStyle name="常规 3 4 5 2 2" xfId="1944" xr:uid="{00000000-0005-0000-0000-0000E5280000}"/>
    <cellStyle name="常规 3 4 5 3" xfId="1945" xr:uid="{00000000-0005-0000-0000-0000E6280000}"/>
    <cellStyle name="常规 3 4 5 3 2" xfId="1946" xr:uid="{00000000-0005-0000-0000-0000E7280000}"/>
    <cellStyle name="常规 3 4 5 4" xfId="1947" xr:uid="{00000000-0005-0000-0000-0000E8280000}"/>
    <cellStyle name="常规 3 4 5 4 2" xfId="1948" xr:uid="{00000000-0005-0000-0000-0000E9280000}"/>
    <cellStyle name="常规 3 4 5 5" xfId="1949" xr:uid="{00000000-0005-0000-0000-0000EA280000}"/>
    <cellStyle name="常规 3 4 5 5 2" xfId="1950" xr:uid="{00000000-0005-0000-0000-0000EB280000}"/>
    <cellStyle name="常规 3 4 5 6" xfId="1951" xr:uid="{00000000-0005-0000-0000-0000EC280000}"/>
    <cellStyle name="常规 3 4 5 6 2" xfId="1952" xr:uid="{00000000-0005-0000-0000-0000ED280000}"/>
    <cellStyle name="常规 3 4 5 7" xfId="1953" xr:uid="{00000000-0005-0000-0000-0000EE280000}"/>
    <cellStyle name="常规 3 4 5 7 2" xfId="1954" xr:uid="{00000000-0005-0000-0000-0000EF280000}"/>
    <cellStyle name="常规 3 4 5 8" xfId="1955" xr:uid="{00000000-0005-0000-0000-0000F0280000}"/>
    <cellStyle name="常规 3 4 5_北京现代2009年4月报表" xfId="1956" xr:uid="{00000000-0005-0000-0000-0000F1280000}"/>
    <cellStyle name="常规 3 4 6" xfId="1957" xr:uid="{00000000-0005-0000-0000-0000F2280000}"/>
    <cellStyle name="常规 3 4 6 2" xfId="1958" xr:uid="{00000000-0005-0000-0000-0000F3280000}"/>
    <cellStyle name="常规 3 4 7" xfId="1959" xr:uid="{00000000-0005-0000-0000-0000F4280000}"/>
    <cellStyle name="常规 3 4 7 2" xfId="1960" xr:uid="{00000000-0005-0000-0000-0000F5280000}"/>
    <cellStyle name="常规 3 4 8" xfId="1961" xr:uid="{00000000-0005-0000-0000-0000F6280000}"/>
    <cellStyle name="常规 3 4 8 2" xfId="1962" xr:uid="{00000000-0005-0000-0000-0000F7280000}"/>
    <cellStyle name="常规 3 4 9" xfId="1963" xr:uid="{00000000-0005-0000-0000-0000F8280000}"/>
    <cellStyle name="常规 3 4 9 2" xfId="1964" xr:uid="{00000000-0005-0000-0000-0000F9280000}"/>
    <cellStyle name="常规 3 4_北京现代2009年4月报表" xfId="1965" xr:uid="{00000000-0005-0000-0000-0000FA280000}"/>
    <cellStyle name="常规 3 5" xfId="1966" xr:uid="{00000000-0005-0000-0000-0000FB280000}"/>
    <cellStyle name="常规 3 5 10" xfId="1967" xr:uid="{00000000-0005-0000-0000-0000FC280000}"/>
    <cellStyle name="常规 3 5 10 2" xfId="1968" xr:uid="{00000000-0005-0000-0000-0000FD280000}"/>
    <cellStyle name="常规 3 5 11" xfId="1969" xr:uid="{00000000-0005-0000-0000-0000FE280000}"/>
    <cellStyle name="常规 3 5 11 2" xfId="1970" xr:uid="{00000000-0005-0000-0000-0000FF280000}"/>
    <cellStyle name="常规 3 5 12" xfId="1971" xr:uid="{00000000-0005-0000-0000-000000290000}"/>
    <cellStyle name="常规 3 5 2" xfId="1972" xr:uid="{00000000-0005-0000-0000-000001290000}"/>
    <cellStyle name="常规 3 5 2 2" xfId="1973" xr:uid="{00000000-0005-0000-0000-000002290000}"/>
    <cellStyle name="常规 3 5 2 2 2" xfId="1974" xr:uid="{00000000-0005-0000-0000-000003290000}"/>
    <cellStyle name="常规 3 5 2 3" xfId="1975" xr:uid="{00000000-0005-0000-0000-000004290000}"/>
    <cellStyle name="常规 3 5 2 3 2" xfId="1976" xr:uid="{00000000-0005-0000-0000-000005290000}"/>
    <cellStyle name="常规 3 5 2 4" xfId="1977" xr:uid="{00000000-0005-0000-0000-000006290000}"/>
    <cellStyle name="常规 3 5 2 4 2" xfId="1978" xr:uid="{00000000-0005-0000-0000-000007290000}"/>
    <cellStyle name="常规 3 5 2 5" xfId="1979" xr:uid="{00000000-0005-0000-0000-000008290000}"/>
    <cellStyle name="常规 3 5 2 5 2" xfId="1980" xr:uid="{00000000-0005-0000-0000-000009290000}"/>
    <cellStyle name="常规 3 5 2 6" xfId="1981" xr:uid="{00000000-0005-0000-0000-00000A290000}"/>
    <cellStyle name="常规 3 5 2 6 2" xfId="1982" xr:uid="{00000000-0005-0000-0000-00000B290000}"/>
    <cellStyle name="常规 3 5 2 7" xfId="1983" xr:uid="{00000000-0005-0000-0000-00000C290000}"/>
    <cellStyle name="常规 3 5 2 7 2" xfId="1984" xr:uid="{00000000-0005-0000-0000-00000D290000}"/>
    <cellStyle name="常规 3 5 2 8" xfId="1985" xr:uid="{00000000-0005-0000-0000-00000E290000}"/>
    <cellStyle name="常规 3 5 2_北京现代2009年4月报表" xfId="1986" xr:uid="{00000000-0005-0000-0000-00000F290000}"/>
    <cellStyle name="常规 3 5 3" xfId="1987" xr:uid="{00000000-0005-0000-0000-000010290000}"/>
    <cellStyle name="常规 3 5 3 2" xfId="1988" xr:uid="{00000000-0005-0000-0000-000011290000}"/>
    <cellStyle name="常规 3 5 3 2 2" xfId="1989" xr:uid="{00000000-0005-0000-0000-000012290000}"/>
    <cellStyle name="常规 3 5 3 3" xfId="1990" xr:uid="{00000000-0005-0000-0000-000013290000}"/>
    <cellStyle name="常规 3 5 3 3 2" xfId="1991" xr:uid="{00000000-0005-0000-0000-000014290000}"/>
    <cellStyle name="常规 3 5 3 4" xfId="1992" xr:uid="{00000000-0005-0000-0000-000015290000}"/>
    <cellStyle name="常规 3 5 3 4 2" xfId="1993" xr:uid="{00000000-0005-0000-0000-000016290000}"/>
    <cellStyle name="常规 3 5 3 5" xfId="1994" xr:uid="{00000000-0005-0000-0000-000017290000}"/>
    <cellStyle name="常规 3 5 3 5 2" xfId="1995" xr:uid="{00000000-0005-0000-0000-000018290000}"/>
    <cellStyle name="常规 3 5 3 6" xfId="1996" xr:uid="{00000000-0005-0000-0000-000019290000}"/>
    <cellStyle name="常规 3 5 3 6 2" xfId="1997" xr:uid="{00000000-0005-0000-0000-00001A290000}"/>
    <cellStyle name="常规 3 5 3 7" xfId="1998" xr:uid="{00000000-0005-0000-0000-00001B290000}"/>
    <cellStyle name="常规 3 5 3 7 2" xfId="1999" xr:uid="{00000000-0005-0000-0000-00001C290000}"/>
    <cellStyle name="常规 3 5 3 8" xfId="2000" xr:uid="{00000000-0005-0000-0000-00001D290000}"/>
    <cellStyle name="常规 3 5 3_北京现代2009年4月报表" xfId="2001" xr:uid="{00000000-0005-0000-0000-00001E290000}"/>
    <cellStyle name="常规 3 5 4" xfId="2002" xr:uid="{00000000-0005-0000-0000-00001F290000}"/>
    <cellStyle name="常规 3 5 4 2" xfId="2003" xr:uid="{00000000-0005-0000-0000-000020290000}"/>
    <cellStyle name="常规 3 5 4 2 2" xfId="2004" xr:uid="{00000000-0005-0000-0000-000021290000}"/>
    <cellStyle name="常规 3 5 4 3" xfId="2005" xr:uid="{00000000-0005-0000-0000-000022290000}"/>
    <cellStyle name="常规 3 5 4 3 2" xfId="2006" xr:uid="{00000000-0005-0000-0000-000023290000}"/>
    <cellStyle name="常规 3 5 4 4" xfId="2007" xr:uid="{00000000-0005-0000-0000-000024290000}"/>
    <cellStyle name="常规 3 5 4 4 2" xfId="2008" xr:uid="{00000000-0005-0000-0000-000025290000}"/>
    <cellStyle name="常规 3 5 4 5" xfId="2009" xr:uid="{00000000-0005-0000-0000-000026290000}"/>
    <cellStyle name="常规 3 5 4 5 2" xfId="2010" xr:uid="{00000000-0005-0000-0000-000027290000}"/>
    <cellStyle name="常规 3 5 4 6" xfId="2011" xr:uid="{00000000-0005-0000-0000-000028290000}"/>
    <cellStyle name="常规 3 5 4 6 2" xfId="2012" xr:uid="{00000000-0005-0000-0000-000029290000}"/>
    <cellStyle name="常规 3 5 4 7" xfId="2013" xr:uid="{00000000-0005-0000-0000-00002A290000}"/>
    <cellStyle name="常规 3 5 4 7 2" xfId="2014" xr:uid="{00000000-0005-0000-0000-00002B290000}"/>
    <cellStyle name="常规 3 5 4 8" xfId="2015" xr:uid="{00000000-0005-0000-0000-00002C290000}"/>
    <cellStyle name="常规 3 5 4_北京现代2009年4月报表" xfId="2016" xr:uid="{00000000-0005-0000-0000-00002D290000}"/>
    <cellStyle name="常规 3 5 5" xfId="2017" xr:uid="{00000000-0005-0000-0000-00002E290000}"/>
    <cellStyle name="常规 3 5 5 2" xfId="2018" xr:uid="{00000000-0005-0000-0000-00002F290000}"/>
    <cellStyle name="常规 3 5 5 2 2" xfId="2019" xr:uid="{00000000-0005-0000-0000-000030290000}"/>
    <cellStyle name="常规 3 5 5 3" xfId="2020" xr:uid="{00000000-0005-0000-0000-000031290000}"/>
    <cellStyle name="常规 3 5 5 3 2" xfId="2021" xr:uid="{00000000-0005-0000-0000-000032290000}"/>
    <cellStyle name="常规 3 5 5 4" xfId="2022" xr:uid="{00000000-0005-0000-0000-000033290000}"/>
    <cellStyle name="常规 3 5 5 4 2" xfId="2023" xr:uid="{00000000-0005-0000-0000-000034290000}"/>
    <cellStyle name="常规 3 5 5 5" xfId="2024" xr:uid="{00000000-0005-0000-0000-000035290000}"/>
    <cellStyle name="常规 3 5 5 5 2" xfId="2025" xr:uid="{00000000-0005-0000-0000-000036290000}"/>
    <cellStyle name="常规 3 5 5 6" xfId="2026" xr:uid="{00000000-0005-0000-0000-000037290000}"/>
    <cellStyle name="常规 3 5 5 6 2" xfId="2027" xr:uid="{00000000-0005-0000-0000-000038290000}"/>
    <cellStyle name="常规 3 5 5 7" xfId="2028" xr:uid="{00000000-0005-0000-0000-000039290000}"/>
    <cellStyle name="常规 3 5 5 7 2" xfId="2029" xr:uid="{00000000-0005-0000-0000-00003A290000}"/>
    <cellStyle name="常规 3 5 5 8" xfId="2030" xr:uid="{00000000-0005-0000-0000-00003B290000}"/>
    <cellStyle name="常规 3 5 5_北京现代2009年4月报表" xfId="2031" xr:uid="{00000000-0005-0000-0000-00003C290000}"/>
    <cellStyle name="常规 3 5 6" xfId="2032" xr:uid="{00000000-0005-0000-0000-00003D290000}"/>
    <cellStyle name="常规 3 5 6 2" xfId="2033" xr:uid="{00000000-0005-0000-0000-00003E290000}"/>
    <cellStyle name="常规 3 5 7" xfId="2034" xr:uid="{00000000-0005-0000-0000-00003F290000}"/>
    <cellStyle name="常规 3 5 7 2" xfId="2035" xr:uid="{00000000-0005-0000-0000-000040290000}"/>
    <cellStyle name="常规 3 5 8" xfId="2036" xr:uid="{00000000-0005-0000-0000-000041290000}"/>
    <cellStyle name="常规 3 5 8 2" xfId="2037" xr:uid="{00000000-0005-0000-0000-000042290000}"/>
    <cellStyle name="常规 3 5 9" xfId="2038" xr:uid="{00000000-0005-0000-0000-000043290000}"/>
    <cellStyle name="常规 3 5 9 2" xfId="2039" xr:uid="{00000000-0005-0000-0000-000044290000}"/>
    <cellStyle name="常规 3 5_北京现代2009年4月报表" xfId="2040" xr:uid="{00000000-0005-0000-0000-000045290000}"/>
    <cellStyle name="常规 3 6" xfId="2041" xr:uid="{00000000-0005-0000-0000-000046290000}"/>
    <cellStyle name="常规 3 6 10" xfId="2042" xr:uid="{00000000-0005-0000-0000-000047290000}"/>
    <cellStyle name="常规 3 6 10 2" xfId="2043" xr:uid="{00000000-0005-0000-0000-000048290000}"/>
    <cellStyle name="常规 3 6 11" xfId="2044" xr:uid="{00000000-0005-0000-0000-000049290000}"/>
    <cellStyle name="常规 3 6 11 2" xfId="2045" xr:uid="{00000000-0005-0000-0000-00004A290000}"/>
    <cellStyle name="常规 3 6 12" xfId="2046" xr:uid="{00000000-0005-0000-0000-00004B290000}"/>
    <cellStyle name="常规 3 6 2" xfId="2047" xr:uid="{00000000-0005-0000-0000-00004C290000}"/>
    <cellStyle name="常规 3 6 2 2" xfId="2048" xr:uid="{00000000-0005-0000-0000-00004D290000}"/>
    <cellStyle name="常规 3 6 2 2 2" xfId="2049" xr:uid="{00000000-0005-0000-0000-00004E290000}"/>
    <cellStyle name="常规 3 6 2 3" xfId="2050" xr:uid="{00000000-0005-0000-0000-00004F290000}"/>
    <cellStyle name="常规 3 6 2 3 2" xfId="2051" xr:uid="{00000000-0005-0000-0000-000050290000}"/>
    <cellStyle name="常规 3 6 2 4" xfId="2052" xr:uid="{00000000-0005-0000-0000-000051290000}"/>
    <cellStyle name="常规 3 6 2 4 2" xfId="2053" xr:uid="{00000000-0005-0000-0000-000052290000}"/>
    <cellStyle name="常规 3 6 2 5" xfId="2054" xr:uid="{00000000-0005-0000-0000-000053290000}"/>
    <cellStyle name="常规 3 6 2 5 2" xfId="2055" xr:uid="{00000000-0005-0000-0000-000054290000}"/>
    <cellStyle name="常规 3 6 2 6" xfId="2056" xr:uid="{00000000-0005-0000-0000-000055290000}"/>
    <cellStyle name="常规 3 6 2 6 2" xfId="2057" xr:uid="{00000000-0005-0000-0000-000056290000}"/>
    <cellStyle name="常规 3 6 2 7" xfId="2058" xr:uid="{00000000-0005-0000-0000-000057290000}"/>
    <cellStyle name="常规 3 6 2 7 2" xfId="2059" xr:uid="{00000000-0005-0000-0000-000058290000}"/>
    <cellStyle name="常规 3 6 2 8" xfId="2060" xr:uid="{00000000-0005-0000-0000-000059290000}"/>
    <cellStyle name="常规 3 6 2_北京现代2009年4月报表" xfId="2061" xr:uid="{00000000-0005-0000-0000-00005A290000}"/>
    <cellStyle name="常规 3 6 3" xfId="2062" xr:uid="{00000000-0005-0000-0000-00005B290000}"/>
    <cellStyle name="常规 3 6 3 2" xfId="2063" xr:uid="{00000000-0005-0000-0000-00005C290000}"/>
    <cellStyle name="常规 3 6 3 2 2" xfId="2064" xr:uid="{00000000-0005-0000-0000-00005D290000}"/>
    <cellStyle name="常规 3 6 3 3" xfId="2065" xr:uid="{00000000-0005-0000-0000-00005E290000}"/>
    <cellStyle name="常规 3 6 3 3 2" xfId="2066" xr:uid="{00000000-0005-0000-0000-00005F290000}"/>
    <cellStyle name="常规 3 6 3 4" xfId="2067" xr:uid="{00000000-0005-0000-0000-000060290000}"/>
    <cellStyle name="常规 3 6 3 4 2" xfId="2068" xr:uid="{00000000-0005-0000-0000-000061290000}"/>
    <cellStyle name="常规 3 6 3 5" xfId="2069" xr:uid="{00000000-0005-0000-0000-000062290000}"/>
    <cellStyle name="常规 3 6 3 5 2" xfId="2070" xr:uid="{00000000-0005-0000-0000-000063290000}"/>
    <cellStyle name="常规 3 6 3 6" xfId="2071" xr:uid="{00000000-0005-0000-0000-000064290000}"/>
    <cellStyle name="常规 3 6 3 6 2" xfId="2072" xr:uid="{00000000-0005-0000-0000-000065290000}"/>
    <cellStyle name="常规 3 6 3 7" xfId="2073" xr:uid="{00000000-0005-0000-0000-000066290000}"/>
    <cellStyle name="常规 3 6 3 7 2" xfId="2074" xr:uid="{00000000-0005-0000-0000-000067290000}"/>
    <cellStyle name="常规 3 6 3 8" xfId="2075" xr:uid="{00000000-0005-0000-0000-000068290000}"/>
    <cellStyle name="常规 3 6 3_北京现代2009年4月报表" xfId="2076" xr:uid="{00000000-0005-0000-0000-000069290000}"/>
    <cellStyle name="常规 3 6 4" xfId="2077" xr:uid="{00000000-0005-0000-0000-00006A290000}"/>
    <cellStyle name="常规 3 6 4 2" xfId="2078" xr:uid="{00000000-0005-0000-0000-00006B290000}"/>
    <cellStyle name="常规 3 6 4 2 2" xfId="2079" xr:uid="{00000000-0005-0000-0000-00006C290000}"/>
    <cellStyle name="常规 3 6 4 3" xfId="2080" xr:uid="{00000000-0005-0000-0000-00006D290000}"/>
    <cellStyle name="常规 3 6 4 3 2" xfId="2081" xr:uid="{00000000-0005-0000-0000-00006E290000}"/>
    <cellStyle name="常规 3 6 4 4" xfId="2082" xr:uid="{00000000-0005-0000-0000-00006F290000}"/>
    <cellStyle name="常规 3 6 4 4 2" xfId="2083" xr:uid="{00000000-0005-0000-0000-000070290000}"/>
    <cellStyle name="常规 3 6 4 5" xfId="2084" xr:uid="{00000000-0005-0000-0000-000071290000}"/>
    <cellStyle name="常规 3 6 4 5 2" xfId="2085" xr:uid="{00000000-0005-0000-0000-000072290000}"/>
    <cellStyle name="常规 3 6 4 6" xfId="2086" xr:uid="{00000000-0005-0000-0000-000073290000}"/>
    <cellStyle name="常规 3 6 4 6 2" xfId="2087" xr:uid="{00000000-0005-0000-0000-000074290000}"/>
    <cellStyle name="常规 3 6 4 7" xfId="2088" xr:uid="{00000000-0005-0000-0000-000075290000}"/>
    <cellStyle name="常规 3 6 4 7 2" xfId="2089" xr:uid="{00000000-0005-0000-0000-000076290000}"/>
    <cellStyle name="常规 3 6 4 8" xfId="2090" xr:uid="{00000000-0005-0000-0000-000077290000}"/>
    <cellStyle name="常规 3 6 4_北京现代2009年4月报表" xfId="2091" xr:uid="{00000000-0005-0000-0000-000078290000}"/>
    <cellStyle name="常规 3 6 5" xfId="2092" xr:uid="{00000000-0005-0000-0000-000079290000}"/>
    <cellStyle name="常规 3 6 5 2" xfId="2093" xr:uid="{00000000-0005-0000-0000-00007A290000}"/>
    <cellStyle name="常规 3 6 5 2 2" xfId="2094" xr:uid="{00000000-0005-0000-0000-00007B290000}"/>
    <cellStyle name="常规 3 6 5 3" xfId="2095" xr:uid="{00000000-0005-0000-0000-00007C290000}"/>
    <cellStyle name="常规 3 6 5 3 2" xfId="2096" xr:uid="{00000000-0005-0000-0000-00007D290000}"/>
    <cellStyle name="常规 3 6 5 4" xfId="2097" xr:uid="{00000000-0005-0000-0000-00007E290000}"/>
    <cellStyle name="常规 3 6 5 4 2" xfId="2098" xr:uid="{00000000-0005-0000-0000-00007F290000}"/>
    <cellStyle name="常规 3 6 5 5" xfId="2099" xr:uid="{00000000-0005-0000-0000-000080290000}"/>
    <cellStyle name="常规 3 6 5 5 2" xfId="2100" xr:uid="{00000000-0005-0000-0000-000081290000}"/>
    <cellStyle name="常规 3 6 5 6" xfId="2101" xr:uid="{00000000-0005-0000-0000-000082290000}"/>
    <cellStyle name="常规 3 6 5 6 2" xfId="2102" xr:uid="{00000000-0005-0000-0000-000083290000}"/>
    <cellStyle name="常规 3 6 5 7" xfId="2103" xr:uid="{00000000-0005-0000-0000-000084290000}"/>
    <cellStyle name="常规 3 6 5 7 2" xfId="2104" xr:uid="{00000000-0005-0000-0000-000085290000}"/>
    <cellStyle name="常规 3 6 5 8" xfId="2105" xr:uid="{00000000-0005-0000-0000-000086290000}"/>
    <cellStyle name="常规 3 6 5_北京现代2009年4月报表" xfId="2106" xr:uid="{00000000-0005-0000-0000-000087290000}"/>
    <cellStyle name="常规 3 6 6" xfId="2107" xr:uid="{00000000-0005-0000-0000-000088290000}"/>
    <cellStyle name="常规 3 6 6 2" xfId="2108" xr:uid="{00000000-0005-0000-0000-000089290000}"/>
    <cellStyle name="常规 3 6 7" xfId="2109" xr:uid="{00000000-0005-0000-0000-00008A290000}"/>
    <cellStyle name="常规 3 6 7 2" xfId="2110" xr:uid="{00000000-0005-0000-0000-00008B290000}"/>
    <cellStyle name="常规 3 6 8" xfId="2111" xr:uid="{00000000-0005-0000-0000-00008C290000}"/>
    <cellStyle name="常规 3 6 8 2" xfId="2112" xr:uid="{00000000-0005-0000-0000-00008D290000}"/>
    <cellStyle name="常规 3 6 9" xfId="2113" xr:uid="{00000000-0005-0000-0000-00008E290000}"/>
    <cellStyle name="常规 3 6 9 2" xfId="2114" xr:uid="{00000000-0005-0000-0000-00008F290000}"/>
    <cellStyle name="常规 3 6_北京现代2009年4月报表" xfId="2115" xr:uid="{00000000-0005-0000-0000-000090290000}"/>
    <cellStyle name="常规 3 7" xfId="2116" xr:uid="{00000000-0005-0000-0000-000091290000}"/>
    <cellStyle name="常规 3 7 2" xfId="2117" xr:uid="{00000000-0005-0000-0000-000092290000}"/>
    <cellStyle name="常规 3 7 2 2" xfId="2118" xr:uid="{00000000-0005-0000-0000-000093290000}"/>
    <cellStyle name="常规 3 7 3" xfId="2119" xr:uid="{00000000-0005-0000-0000-000094290000}"/>
    <cellStyle name="常规 3 7 3 2" xfId="2120" xr:uid="{00000000-0005-0000-0000-000095290000}"/>
    <cellStyle name="常规 3 7 4" xfId="2121" xr:uid="{00000000-0005-0000-0000-000096290000}"/>
    <cellStyle name="常规 3 7 4 2" xfId="2122" xr:uid="{00000000-0005-0000-0000-000097290000}"/>
    <cellStyle name="常规 3 7 5" xfId="2123" xr:uid="{00000000-0005-0000-0000-000098290000}"/>
    <cellStyle name="常规 3 7 5 2" xfId="2124" xr:uid="{00000000-0005-0000-0000-000099290000}"/>
    <cellStyle name="常规 3 7 6" xfId="2125" xr:uid="{00000000-0005-0000-0000-00009A290000}"/>
    <cellStyle name="常规 3 7 6 2" xfId="2126" xr:uid="{00000000-0005-0000-0000-00009B290000}"/>
    <cellStyle name="常规 3 7 7" xfId="2127" xr:uid="{00000000-0005-0000-0000-00009C290000}"/>
    <cellStyle name="常规 3 7 7 2" xfId="2128" xr:uid="{00000000-0005-0000-0000-00009D290000}"/>
    <cellStyle name="常规 3 7 8" xfId="2129" xr:uid="{00000000-0005-0000-0000-00009E290000}"/>
    <cellStyle name="常规 3 7_北京现代2009年4月报表" xfId="2130" xr:uid="{00000000-0005-0000-0000-00009F290000}"/>
    <cellStyle name="常规 3 8" xfId="2131" xr:uid="{00000000-0005-0000-0000-0000A0290000}"/>
    <cellStyle name="常规 3 8 2" xfId="2132" xr:uid="{00000000-0005-0000-0000-0000A1290000}"/>
    <cellStyle name="常规 3 8 2 2" xfId="2133" xr:uid="{00000000-0005-0000-0000-0000A2290000}"/>
    <cellStyle name="常规 3 8 3" xfId="2134" xr:uid="{00000000-0005-0000-0000-0000A3290000}"/>
    <cellStyle name="常规 3 8 3 2" xfId="2135" xr:uid="{00000000-0005-0000-0000-0000A4290000}"/>
    <cellStyle name="常规 3 8 4" xfId="2136" xr:uid="{00000000-0005-0000-0000-0000A5290000}"/>
    <cellStyle name="常规 3 8 4 2" xfId="2137" xr:uid="{00000000-0005-0000-0000-0000A6290000}"/>
    <cellStyle name="常规 3 8 5" xfId="2138" xr:uid="{00000000-0005-0000-0000-0000A7290000}"/>
    <cellStyle name="常规 3 8 5 2" xfId="2139" xr:uid="{00000000-0005-0000-0000-0000A8290000}"/>
    <cellStyle name="常规 3 8 6" xfId="2140" xr:uid="{00000000-0005-0000-0000-0000A9290000}"/>
    <cellStyle name="常规 3 8 6 2" xfId="2141" xr:uid="{00000000-0005-0000-0000-0000AA290000}"/>
    <cellStyle name="常规 3 8 7" xfId="2142" xr:uid="{00000000-0005-0000-0000-0000AB290000}"/>
    <cellStyle name="常规 3 8 7 2" xfId="2143" xr:uid="{00000000-0005-0000-0000-0000AC290000}"/>
    <cellStyle name="常规 3 8 8" xfId="2144" xr:uid="{00000000-0005-0000-0000-0000AD290000}"/>
    <cellStyle name="常规 3 8_北京现代2009年4月报表" xfId="2145" xr:uid="{00000000-0005-0000-0000-0000AE290000}"/>
    <cellStyle name="常规 3 9" xfId="2146" xr:uid="{00000000-0005-0000-0000-0000AF290000}"/>
    <cellStyle name="常规 3 9 2" xfId="2147" xr:uid="{00000000-0005-0000-0000-0000B0290000}"/>
    <cellStyle name="常规 3 9 2 2" xfId="2148" xr:uid="{00000000-0005-0000-0000-0000B1290000}"/>
    <cellStyle name="常规 3 9 3" xfId="2149" xr:uid="{00000000-0005-0000-0000-0000B2290000}"/>
    <cellStyle name="常规 3 9 3 2" xfId="2150" xr:uid="{00000000-0005-0000-0000-0000B3290000}"/>
    <cellStyle name="常规 3 9 4" xfId="2151" xr:uid="{00000000-0005-0000-0000-0000B4290000}"/>
    <cellStyle name="常规 3 9 4 2" xfId="2152" xr:uid="{00000000-0005-0000-0000-0000B5290000}"/>
    <cellStyle name="常规 3 9 5" xfId="2153" xr:uid="{00000000-0005-0000-0000-0000B6290000}"/>
    <cellStyle name="常规 3 9 5 2" xfId="2154" xr:uid="{00000000-0005-0000-0000-0000B7290000}"/>
    <cellStyle name="常规 3 9 6" xfId="2155" xr:uid="{00000000-0005-0000-0000-0000B8290000}"/>
    <cellStyle name="常规 3 9 6 2" xfId="2156" xr:uid="{00000000-0005-0000-0000-0000B9290000}"/>
    <cellStyle name="常规 3 9 7" xfId="2157" xr:uid="{00000000-0005-0000-0000-0000BA290000}"/>
    <cellStyle name="常规 3 9 7 2" xfId="2158" xr:uid="{00000000-0005-0000-0000-0000BB290000}"/>
    <cellStyle name="常规 3 9 8" xfId="2159" xr:uid="{00000000-0005-0000-0000-0000BC290000}"/>
    <cellStyle name="常规 3 9_北京现代2009年4月报表" xfId="2160" xr:uid="{00000000-0005-0000-0000-0000BD290000}"/>
    <cellStyle name="常规 3_狭义乘用车" xfId="2161" xr:uid="{00000000-0005-0000-0000-0000BE290000}"/>
    <cellStyle name="常规 4" xfId="2162" xr:uid="{00000000-0005-0000-0000-0000BF290000}"/>
    <cellStyle name="常规 5" xfId="2163" xr:uid="{00000000-0005-0000-0000-0000C0290000}"/>
    <cellStyle name="常规 6" xfId="2164" xr:uid="{00000000-0005-0000-0000-0000C1290000}"/>
    <cellStyle name="常规 7" xfId="2165" xr:uid="{00000000-0005-0000-0000-0000C2290000}"/>
    <cellStyle name="常规 8" xfId="2166" xr:uid="{00000000-0005-0000-0000-0000C3290000}"/>
    <cellStyle name="常规 9" xfId="2167" xr:uid="{00000000-0005-0000-0000-0000C4290000}"/>
    <cellStyle name="常规（缩格）" xfId="6466" xr:uid="{00000000-0005-0000-0000-0000C5290000}"/>
    <cellStyle name="常规_2002 forecast" xfId="4166" xr:uid="{00000000-0005-0000-0000-0000C6290000}"/>
    <cellStyle name="强调文字颜色 1" xfId="2168" xr:uid="{00000000-0005-0000-0000-0000C7290000}"/>
    <cellStyle name="强调文字颜色 1 10" xfId="2169" xr:uid="{00000000-0005-0000-0000-0000C8290000}"/>
    <cellStyle name="强调文字颜色 1 11" xfId="2170" xr:uid="{00000000-0005-0000-0000-0000C9290000}"/>
    <cellStyle name="强调文字颜色 1 12" xfId="2171" xr:uid="{00000000-0005-0000-0000-0000CA290000}"/>
    <cellStyle name="强调文字颜色 1 13" xfId="2172" xr:uid="{00000000-0005-0000-0000-0000CB290000}"/>
    <cellStyle name="强调文字颜色 1 14" xfId="2173" xr:uid="{00000000-0005-0000-0000-0000CC290000}"/>
    <cellStyle name="强调文字颜色 1 15" xfId="2174" xr:uid="{00000000-0005-0000-0000-0000CD290000}"/>
    <cellStyle name="强调文字颜色 1 16" xfId="2175" xr:uid="{00000000-0005-0000-0000-0000CE290000}"/>
    <cellStyle name="强调文字颜色 1 17" xfId="2176" xr:uid="{00000000-0005-0000-0000-0000CF290000}"/>
    <cellStyle name="强调文字颜色 1 18" xfId="2177" xr:uid="{00000000-0005-0000-0000-0000D0290000}"/>
    <cellStyle name="强调文字颜色 1 19" xfId="2178" xr:uid="{00000000-0005-0000-0000-0000D1290000}"/>
    <cellStyle name="强调文字颜色 1 2" xfId="2179" xr:uid="{00000000-0005-0000-0000-0000D2290000}"/>
    <cellStyle name="强调文字颜色 1 20" xfId="2180" xr:uid="{00000000-0005-0000-0000-0000D3290000}"/>
    <cellStyle name="强调文字颜色 1 3" xfId="2181" xr:uid="{00000000-0005-0000-0000-0000D4290000}"/>
    <cellStyle name="强调文字颜色 1 4" xfId="2182" xr:uid="{00000000-0005-0000-0000-0000D5290000}"/>
    <cellStyle name="强调文字颜色 1 5" xfId="2183" xr:uid="{00000000-0005-0000-0000-0000D6290000}"/>
    <cellStyle name="强调文字颜色 1 6" xfId="2184" xr:uid="{00000000-0005-0000-0000-0000D7290000}"/>
    <cellStyle name="强调文字颜色 1 7" xfId="2185" xr:uid="{00000000-0005-0000-0000-0000D8290000}"/>
    <cellStyle name="强调文字颜色 1 8" xfId="2186" xr:uid="{00000000-0005-0000-0000-0000D9290000}"/>
    <cellStyle name="强调文字颜色 1 9" xfId="2187" xr:uid="{00000000-0005-0000-0000-0000DA290000}"/>
    <cellStyle name="强调文字颜色 2" xfId="2188" xr:uid="{00000000-0005-0000-0000-0000DB290000}"/>
    <cellStyle name="强调文字颜色 2 10" xfId="2189" xr:uid="{00000000-0005-0000-0000-0000DC290000}"/>
    <cellStyle name="强调文字颜色 2 11" xfId="2190" xr:uid="{00000000-0005-0000-0000-0000DD290000}"/>
    <cellStyle name="强调文字颜色 2 12" xfId="2191" xr:uid="{00000000-0005-0000-0000-0000DE290000}"/>
    <cellStyle name="强调文字颜色 2 13" xfId="2192" xr:uid="{00000000-0005-0000-0000-0000DF290000}"/>
    <cellStyle name="强调文字颜色 2 14" xfId="2193" xr:uid="{00000000-0005-0000-0000-0000E0290000}"/>
    <cellStyle name="强调文字颜色 2 15" xfId="2194" xr:uid="{00000000-0005-0000-0000-0000E1290000}"/>
    <cellStyle name="强调文字颜色 2 16" xfId="2195" xr:uid="{00000000-0005-0000-0000-0000E2290000}"/>
    <cellStyle name="强调文字颜色 2 17" xfId="2196" xr:uid="{00000000-0005-0000-0000-0000E3290000}"/>
    <cellStyle name="强调文字颜色 2 18" xfId="2197" xr:uid="{00000000-0005-0000-0000-0000E4290000}"/>
    <cellStyle name="强调文字颜色 2 19" xfId="2198" xr:uid="{00000000-0005-0000-0000-0000E5290000}"/>
    <cellStyle name="强调文字颜色 2 2" xfId="2199" xr:uid="{00000000-0005-0000-0000-0000E6290000}"/>
    <cellStyle name="强调文字颜色 2 20" xfId="2200" xr:uid="{00000000-0005-0000-0000-0000E7290000}"/>
    <cellStyle name="强调文字颜色 2 3" xfId="2201" xr:uid="{00000000-0005-0000-0000-0000E8290000}"/>
    <cellStyle name="强调文字颜色 2 4" xfId="2202" xr:uid="{00000000-0005-0000-0000-0000E9290000}"/>
    <cellStyle name="强调文字颜色 2 5" xfId="2203" xr:uid="{00000000-0005-0000-0000-0000EA290000}"/>
    <cellStyle name="强调文字颜色 2 6" xfId="2204" xr:uid="{00000000-0005-0000-0000-0000EB290000}"/>
    <cellStyle name="强调文字颜色 2 7" xfId="2205" xr:uid="{00000000-0005-0000-0000-0000EC290000}"/>
    <cellStyle name="强调文字颜色 2 8" xfId="2206" xr:uid="{00000000-0005-0000-0000-0000ED290000}"/>
    <cellStyle name="强调文字颜色 2 9" xfId="2207" xr:uid="{00000000-0005-0000-0000-0000EE290000}"/>
    <cellStyle name="强调文字颜色 3" xfId="2208" xr:uid="{00000000-0005-0000-0000-0000EF290000}"/>
    <cellStyle name="强调文字颜色 3 10" xfId="2209" xr:uid="{00000000-0005-0000-0000-0000F0290000}"/>
    <cellStyle name="强调文字颜色 3 11" xfId="2210" xr:uid="{00000000-0005-0000-0000-0000F1290000}"/>
    <cellStyle name="强调文字颜色 3 12" xfId="2211" xr:uid="{00000000-0005-0000-0000-0000F2290000}"/>
    <cellStyle name="强调文字颜色 3 13" xfId="2212" xr:uid="{00000000-0005-0000-0000-0000F3290000}"/>
    <cellStyle name="强调文字颜色 3 14" xfId="2213" xr:uid="{00000000-0005-0000-0000-0000F4290000}"/>
    <cellStyle name="强调文字颜色 3 15" xfId="2214" xr:uid="{00000000-0005-0000-0000-0000F5290000}"/>
    <cellStyle name="强调文字颜色 3 16" xfId="2215" xr:uid="{00000000-0005-0000-0000-0000F6290000}"/>
    <cellStyle name="强调文字颜色 3 17" xfId="2216" xr:uid="{00000000-0005-0000-0000-0000F7290000}"/>
    <cellStyle name="强调文字颜色 3 18" xfId="2217" xr:uid="{00000000-0005-0000-0000-0000F8290000}"/>
    <cellStyle name="强调文字颜色 3 19" xfId="2218" xr:uid="{00000000-0005-0000-0000-0000F9290000}"/>
    <cellStyle name="强调文字颜色 3 2" xfId="2219" xr:uid="{00000000-0005-0000-0000-0000FA290000}"/>
    <cellStyle name="强调文字颜色 3 20" xfId="2220" xr:uid="{00000000-0005-0000-0000-0000FB290000}"/>
    <cellStyle name="强调文字颜色 3 3" xfId="2221" xr:uid="{00000000-0005-0000-0000-0000FC290000}"/>
    <cellStyle name="强调文字颜色 3 4" xfId="2222" xr:uid="{00000000-0005-0000-0000-0000FD290000}"/>
    <cellStyle name="强调文字颜色 3 5" xfId="2223" xr:uid="{00000000-0005-0000-0000-0000FE290000}"/>
    <cellStyle name="强调文字颜色 3 6" xfId="2224" xr:uid="{00000000-0005-0000-0000-0000FF290000}"/>
    <cellStyle name="强调文字颜色 3 7" xfId="2225" xr:uid="{00000000-0005-0000-0000-0000002A0000}"/>
    <cellStyle name="强调文字颜色 3 8" xfId="2226" xr:uid="{00000000-0005-0000-0000-0000012A0000}"/>
    <cellStyle name="强调文字颜色 3 9" xfId="2227" xr:uid="{00000000-0005-0000-0000-0000022A0000}"/>
    <cellStyle name="强调文字颜色 4" xfId="2228" xr:uid="{00000000-0005-0000-0000-0000032A0000}"/>
    <cellStyle name="强调文字颜色 4 10" xfId="2229" xr:uid="{00000000-0005-0000-0000-0000042A0000}"/>
    <cellStyle name="强调文字颜色 4 11" xfId="2230" xr:uid="{00000000-0005-0000-0000-0000052A0000}"/>
    <cellStyle name="强调文字颜色 4 12" xfId="2231" xr:uid="{00000000-0005-0000-0000-0000062A0000}"/>
    <cellStyle name="强调文字颜色 4 13" xfId="2232" xr:uid="{00000000-0005-0000-0000-0000072A0000}"/>
    <cellStyle name="强调文字颜色 4 14" xfId="2233" xr:uid="{00000000-0005-0000-0000-0000082A0000}"/>
    <cellStyle name="强调文字颜色 4 15" xfId="2234" xr:uid="{00000000-0005-0000-0000-0000092A0000}"/>
    <cellStyle name="强调文字颜色 4 16" xfId="2235" xr:uid="{00000000-0005-0000-0000-00000A2A0000}"/>
    <cellStyle name="强调文字颜色 4 17" xfId="2236" xr:uid="{00000000-0005-0000-0000-00000B2A0000}"/>
    <cellStyle name="强调文字颜色 4 18" xfId="2237" xr:uid="{00000000-0005-0000-0000-00000C2A0000}"/>
    <cellStyle name="强调文字颜色 4 19" xfId="2238" xr:uid="{00000000-0005-0000-0000-00000D2A0000}"/>
    <cellStyle name="强调文字颜色 4 2" xfId="2239" xr:uid="{00000000-0005-0000-0000-00000E2A0000}"/>
    <cellStyle name="强调文字颜色 4 20" xfId="2240" xr:uid="{00000000-0005-0000-0000-00000F2A0000}"/>
    <cellStyle name="强调文字颜色 4 3" xfId="2241" xr:uid="{00000000-0005-0000-0000-0000102A0000}"/>
    <cellStyle name="强调文字颜色 4 4" xfId="2242" xr:uid="{00000000-0005-0000-0000-0000112A0000}"/>
    <cellStyle name="强调文字颜色 4 5" xfId="2243" xr:uid="{00000000-0005-0000-0000-0000122A0000}"/>
    <cellStyle name="强调文字颜色 4 6" xfId="2244" xr:uid="{00000000-0005-0000-0000-0000132A0000}"/>
    <cellStyle name="强调文字颜色 4 7" xfId="2245" xr:uid="{00000000-0005-0000-0000-0000142A0000}"/>
    <cellStyle name="强调文字颜色 4 8" xfId="2246" xr:uid="{00000000-0005-0000-0000-0000152A0000}"/>
    <cellStyle name="强调文字颜色 4 9" xfId="2247" xr:uid="{00000000-0005-0000-0000-0000162A0000}"/>
    <cellStyle name="强调文字颜色 5" xfId="2248" xr:uid="{00000000-0005-0000-0000-0000172A0000}"/>
    <cellStyle name="强调文字颜色 5 10" xfId="2249" xr:uid="{00000000-0005-0000-0000-0000182A0000}"/>
    <cellStyle name="强调文字颜色 5 11" xfId="2250" xr:uid="{00000000-0005-0000-0000-0000192A0000}"/>
    <cellStyle name="强调文字颜色 5 12" xfId="2251" xr:uid="{00000000-0005-0000-0000-00001A2A0000}"/>
    <cellStyle name="强调文字颜色 5 13" xfId="2252" xr:uid="{00000000-0005-0000-0000-00001B2A0000}"/>
    <cellStyle name="强调文字颜色 5 14" xfId="2253" xr:uid="{00000000-0005-0000-0000-00001C2A0000}"/>
    <cellStyle name="强调文字颜色 5 15" xfId="2254" xr:uid="{00000000-0005-0000-0000-00001D2A0000}"/>
    <cellStyle name="强调文字颜色 5 16" xfId="2255" xr:uid="{00000000-0005-0000-0000-00001E2A0000}"/>
    <cellStyle name="强调文字颜色 5 17" xfId="2256" xr:uid="{00000000-0005-0000-0000-00001F2A0000}"/>
    <cellStyle name="强调文字颜色 5 18" xfId="2257" xr:uid="{00000000-0005-0000-0000-0000202A0000}"/>
    <cellStyle name="强调文字颜色 5 19" xfId="2258" xr:uid="{00000000-0005-0000-0000-0000212A0000}"/>
    <cellStyle name="强调文字颜色 5 2" xfId="2259" xr:uid="{00000000-0005-0000-0000-0000222A0000}"/>
    <cellStyle name="强调文字颜色 5 20" xfId="2260" xr:uid="{00000000-0005-0000-0000-0000232A0000}"/>
    <cellStyle name="强调文字颜色 5 3" xfId="2261" xr:uid="{00000000-0005-0000-0000-0000242A0000}"/>
    <cellStyle name="强调文字颜色 5 4" xfId="2262" xr:uid="{00000000-0005-0000-0000-0000252A0000}"/>
    <cellStyle name="强调文字颜色 5 5" xfId="2263" xr:uid="{00000000-0005-0000-0000-0000262A0000}"/>
    <cellStyle name="强调文字颜色 5 6" xfId="2264" xr:uid="{00000000-0005-0000-0000-0000272A0000}"/>
    <cellStyle name="强调文字颜色 5 7" xfId="2265" xr:uid="{00000000-0005-0000-0000-0000282A0000}"/>
    <cellStyle name="强调文字颜色 5 8" xfId="2266" xr:uid="{00000000-0005-0000-0000-0000292A0000}"/>
    <cellStyle name="强调文字颜色 5 9" xfId="2267" xr:uid="{00000000-0005-0000-0000-00002A2A0000}"/>
    <cellStyle name="强调文字颜色 6" xfId="2268" xr:uid="{00000000-0005-0000-0000-00002B2A0000}"/>
    <cellStyle name="强调文字颜色 6 10" xfId="2269" xr:uid="{00000000-0005-0000-0000-00002C2A0000}"/>
    <cellStyle name="强调文字颜色 6 11" xfId="2270" xr:uid="{00000000-0005-0000-0000-00002D2A0000}"/>
    <cellStyle name="强调文字颜色 6 12" xfId="2271" xr:uid="{00000000-0005-0000-0000-00002E2A0000}"/>
    <cellStyle name="强调文字颜色 6 13" xfId="2272" xr:uid="{00000000-0005-0000-0000-00002F2A0000}"/>
    <cellStyle name="强调文字颜色 6 14" xfId="2273" xr:uid="{00000000-0005-0000-0000-0000302A0000}"/>
    <cellStyle name="强调文字颜色 6 15" xfId="2274" xr:uid="{00000000-0005-0000-0000-0000312A0000}"/>
    <cellStyle name="强调文字颜色 6 16" xfId="2275" xr:uid="{00000000-0005-0000-0000-0000322A0000}"/>
    <cellStyle name="强调文字颜色 6 17" xfId="2276" xr:uid="{00000000-0005-0000-0000-0000332A0000}"/>
    <cellStyle name="强调文字颜色 6 18" xfId="2277" xr:uid="{00000000-0005-0000-0000-0000342A0000}"/>
    <cellStyle name="强调文字颜色 6 19" xfId="2278" xr:uid="{00000000-0005-0000-0000-0000352A0000}"/>
    <cellStyle name="强调文字颜色 6 2" xfId="2279" xr:uid="{00000000-0005-0000-0000-0000362A0000}"/>
    <cellStyle name="强调文字颜色 6 20" xfId="2280" xr:uid="{00000000-0005-0000-0000-0000372A0000}"/>
    <cellStyle name="强调文字颜色 6 3" xfId="2281" xr:uid="{00000000-0005-0000-0000-0000382A0000}"/>
    <cellStyle name="强调文字颜色 6 4" xfId="2282" xr:uid="{00000000-0005-0000-0000-0000392A0000}"/>
    <cellStyle name="强调文字颜色 6 5" xfId="2283" xr:uid="{00000000-0005-0000-0000-00003A2A0000}"/>
    <cellStyle name="强调文字颜色 6 6" xfId="2284" xr:uid="{00000000-0005-0000-0000-00003B2A0000}"/>
    <cellStyle name="强调文字颜色 6 7" xfId="2285" xr:uid="{00000000-0005-0000-0000-00003C2A0000}"/>
    <cellStyle name="强调文字颜色 6 8" xfId="2286" xr:uid="{00000000-0005-0000-0000-00003D2A0000}"/>
    <cellStyle name="强调文字颜色 6 9" xfId="2287" xr:uid="{00000000-0005-0000-0000-00003E2A0000}"/>
    <cellStyle name="数目" xfId="6487" xr:uid="{00000000-0005-0000-0000-00003F2A0000}"/>
    <cellStyle name="整数" xfId="4167" xr:uid="{00000000-0005-0000-0000-0000402A0000}"/>
    <cellStyle name="整数-0.0" xfId="4168" xr:uid="{00000000-0005-0000-0000-0000412A0000}"/>
    <cellStyle name="整数-0.00" xfId="4169" xr:uid="{00000000-0005-0000-0000-0000422A0000}"/>
    <cellStyle name="整数百分比" xfId="4170" xr:uid="{00000000-0005-0000-0000-0000432A0000}"/>
    <cellStyle name="整数百分比-0.0" xfId="4171" xr:uid="{00000000-0005-0000-0000-0000442A0000}"/>
    <cellStyle name="整数百分比-0.00" xfId="4172" xr:uid="{00000000-0005-0000-0000-0000452A0000}"/>
    <cellStyle name="日期[英文]" xfId="6484" xr:uid="{00000000-0005-0000-0000-0000462A0000}"/>
    <cellStyle name="普通_ 白土" xfId="4173" xr:uid="{00000000-0005-0000-0000-0000472A0000}"/>
    <cellStyle name="标题" xfId="2288" xr:uid="{00000000-0005-0000-0000-0000482A0000}"/>
    <cellStyle name="标题 1" xfId="2289" xr:uid="{00000000-0005-0000-0000-0000492A0000}"/>
    <cellStyle name="标题 1 10" xfId="2290" xr:uid="{00000000-0005-0000-0000-00004A2A0000}"/>
    <cellStyle name="标题 1 11" xfId="2291" xr:uid="{00000000-0005-0000-0000-00004B2A0000}"/>
    <cellStyle name="标题 1 12" xfId="2292" xr:uid="{00000000-0005-0000-0000-00004C2A0000}"/>
    <cellStyle name="标题 1 13" xfId="2293" xr:uid="{00000000-0005-0000-0000-00004D2A0000}"/>
    <cellStyle name="标题 1 14" xfId="2294" xr:uid="{00000000-0005-0000-0000-00004E2A0000}"/>
    <cellStyle name="标题 1 15" xfId="2295" xr:uid="{00000000-0005-0000-0000-00004F2A0000}"/>
    <cellStyle name="标题 1 16" xfId="2296" xr:uid="{00000000-0005-0000-0000-0000502A0000}"/>
    <cellStyle name="标题 1 17" xfId="2297" xr:uid="{00000000-0005-0000-0000-0000512A0000}"/>
    <cellStyle name="标题 1 18" xfId="2298" xr:uid="{00000000-0005-0000-0000-0000522A0000}"/>
    <cellStyle name="标题 1 19" xfId="2299" xr:uid="{00000000-0005-0000-0000-0000532A0000}"/>
    <cellStyle name="标题 1 2" xfId="2300" xr:uid="{00000000-0005-0000-0000-0000542A0000}"/>
    <cellStyle name="标题 1 20" xfId="2301" xr:uid="{00000000-0005-0000-0000-0000552A0000}"/>
    <cellStyle name="标题 1 3" xfId="2302" xr:uid="{00000000-0005-0000-0000-0000562A0000}"/>
    <cellStyle name="标题 1 4" xfId="2303" xr:uid="{00000000-0005-0000-0000-0000572A0000}"/>
    <cellStyle name="标题 1 5" xfId="2304" xr:uid="{00000000-0005-0000-0000-0000582A0000}"/>
    <cellStyle name="标题 1 6" xfId="2305" xr:uid="{00000000-0005-0000-0000-0000592A0000}"/>
    <cellStyle name="标题 1 7" xfId="2306" xr:uid="{00000000-0005-0000-0000-00005A2A0000}"/>
    <cellStyle name="标题 1 8" xfId="2307" xr:uid="{00000000-0005-0000-0000-00005B2A0000}"/>
    <cellStyle name="标题 1 9" xfId="2308" xr:uid="{00000000-0005-0000-0000-00005C2A0000}"/>
    <cellStyle name="标题 2" xfId="2309" xr:uid="{00000000-0005-0000-0000-00005D2A0000}"/>
    <cellStyle name="标题 2 10" xfId="2310" xr:uid="{00000000-0005-0000-0000-00005E2A0000}"/>
    <cellStyle name="标题 2 11" xfId="2311" xr:uid="{00000000-0005-0000-0000-00005F2A0000}"/>
    <cellStyle name="标题 2 12" xfId="2312" xr:uid="{00000000-0005-0000-0000-0000602A0000}"/>
    <cellStyle name="标题 2 13" xfId="2313" xr:uid="{00000000-0005-0000-0000-0000612A0000}"/>
    <cellStyle name="标题 2 14" xfId="2314" xr:uid="{00000000-0005-0000-0000-0000622A0000}"/>
    <cellStyle name="标题 2 15" xfId="2315" xr:uid="{00000000-0005-0000-0000-0000632A0000}"/>
    <cellStyle name="标题 2 16" xfId="2316" xr:uid="{00000000-0005-0000-0000-0000642A0000}"/>
    <cellStyle name="标题 2 17" xfId="2317" xr:uid="{00000000-0005-0000-0000-0000652A0000}"/>
    <cellStyle name="标题 2 18" xfId="2318" xr:uid="{00000000-0005-0000-0000-0000662A0000}"/>
    <cellStyle name="标题 2 19" xfId="2319" xr:uid="{00000000-0005-0000-0000-0000672A0000}"/>
    <cellStyle name="标题 2 2" xfId="2320" xr:uid="{00000000-0005-0000-0000-0000682A0000}"/>
    <cellStyle name="标题 2 20" xfId="2321" xr:uid="{00000000-0005-0000-0000-0000692A0000}"/>
    <cellStyle name="标题 2 3" xfId="2322" xr:uid="{00000000-0005-0000-0000-00006A2A0000}"/>
    <cellStyle name="标题 2 4" xfId="2323" xr:uid="{00000000-0005-0000-0000-00006B2A0000}"/>
    <cellStyle name="标题 2 5" xfId="2324" xr:uid="{00000000-0005-0000-0000-00006C2A0000}"/>
    <cellStyle name="标题 2 6" xfId="2325" xr:uid="{00000000-0005-0000-0000-00006D2A0000}"/>
    <cellStyle name="标题 2 7" xfId="2326" xr:uid="{00000000-0005-0000-0000-00006E2A0000}"/>
    <cellStyle name="标题 2 8" xfId="2327" xr:uid="{00000000-0005-0000-0000-00006F2A0000}"/>
    <cellStyle name="标题 2 9" xfId="2328" xr:uid="{00000000-0005-0000-0000-0000702A0000}"/>
    <cellStyle name="标题 3" xfId="2329" xr:uid="{00000000-0005-0000-0000-0000712A0000}"/>
    <cellStyle name="标题 3 10" xfId="2330" xr:uid="{00000000-0005-0000-0000-0000722A0000}"/>
    <cellStyle name="标题 3 11" xfId="2331" xr:uid="{00000000-0005-0000-0000-0000732A0000}"/>
    <cellStyle name="标题 3 12" xfId="2332" xr:uid="{00000000-0005-0000-0000-0000742A0000}"/>
    <cellStyle name="标题 3 13" xfId="2333" xr:uid="{00000000-0005-0000-0000-0000752A0000}"/>
    <cellStyle name="标题 3 14" xfId="2334" xr:uid="{00000000-0005-0000-0000-0000762A0000}"/>
    <cellStyle name="标题 3 15" xfId="2335" xr:uid="{00000000-0005-0000-0000-0000772A0000}"/>
    <cellStyle name="标题 3 16" xfId="2336" xr:uid="{00000000-0005-0000-0000-0000782A0000}"/>
    <cellStyle name="标题 3 17" xfId="2337" xr:uid="{00000000-0005-0000-0000-0000792A0000}"/>
    <cellStyle name="标题 3 18" xfId="2338" xr:uid="{00000000-0005-0000-0000-00007A2A0000}"/>
    <cellStyle name="标题 3 19" xfId="2339" xr:uid="{00000000-0005-0000-0000-00007B2A0000}"/>
    <cellStyle name="标题 3 2" xfId="2340" xr:uid="{00000000-0005-0000-0000-00007C2A0000}"/>
    <cellStyle name="标题 3 20" xfId="2341" xr:uid="{00000000-0005-0000-0000-00007D2A0000}"/>
    <cellStyle name="标题 3 3" xfId="2342" xr:uid="{00000000-0005-0000-0000-00007E2A0000}"/>
    <cellStyle name="标题 3 4" xfId="2343" xr:uid="{00000000-0005-0000-0000-00007F2A0000}"/>
    <cellStyle name="标题 3 5" xfId="2344" xr:uid="{00000000-0005-0000-0000-0000802A0000}"/>
    <cellStyle name="标题 3 6" xfId="2345" xr:uid="{00000000-0005-0000-0000-0000812A0000}"/>
    <cellStyle name="标题 3 7" xfId="2346" xr:uid="{00000000-0005-0000-0000-0000822A0000}"/>
    <cellStyle name="标题 3 8" xfId="2347" xr:uid="{00000000-0005-0000-0000-0000832A0000}"/>
    <cellStyle name="标题 3 9" xfId="2348" xr:uid="{00000000-0005-0000-0000-0000842A0000}"/>
    <cellStyle name="标题 4" xfId="2349" xr:uid="{00000000-0005-0000-0000-0000852A0000}"/>
    <cellStyle name="标题 4 10" xfId="2350" xr:uid="{00000000-0005-0000-0000-0000862A0000}"/>
    <cellStyle name="标题 4 11" xfId="2351" xr:uid="{00000000-0005-0000-0000-0000872A0000}"/>
    <cellStyle name="标题 4 12" xfId="2352" xr:uid="{00000000-0005-0000-0000-0000882A0000}"/>
    <cellStyle name="标题 4 13" xfId="2353" xr:uid="{00000000-0005-0000-0000-0000892A0000}"/>
    <cellStyle name="标题 4 14" xfId="2354" xr:uid="{00000000-0005-0000-0000-00008A2A0000}"/>
    <cellStyle name="标题 4 15" xfId="2355" xr:uid="{00000000-0005-0000-0000-00008B2A0000}"/>
    <cellStyle name="标题 4 16" xfId="2356" xr:uid="{00000000-0005-0000-0000-00008C2A0000}"/>
    <cellStyle name="标题 4 18" xfId="2357" xr:uid="{00000000-0005-0000-0000-00008D2A0000}"/>
    <cellStyle name="标题 4 2" xfId="2358" xr:uid="{00000000-0005-0000-0000-00008E2A0000}"/>
    <cellStyle name="标题 4 20" xfId="2359" xr:uid="{00000000-0005-0000-0000-00008F2A0000}"/>
    <cellStyle name="标题 4 4" xfId="2360" xr:uid="{00000000-0005-0000-0000-0000902A0000}"/>
    <cellStyle name="标题 4 5" xfId="2361" xr:uid="{00000000-0005-0000-0000-0000912A0000}"/>
    <cellStyle name="标题 4 7" xfId="2362" xr:uid="{00000000-0005-0000-0000-0000922A0000}"/>
    <cellStyle name="样式 1" xfId="6488" xr:uid="{00000000-0005-0000-0000-0000932A0000}"/>
    <cellStyle name="样式 10" xfId="6489" xr:uid="{00000000-0005-0000-0000-0000942A0000}"/>
    <cellStyle name="样式 100" xfId="6490" xr:uid="{00000000-0005-0000-0000-0000952A0000}"/>
    <cellStyle name="样式 101" xfId="6491" xr:uid="{00000000-0005-0000-0000-0000962A0000}"/>
    <cellStyle name="样式 102" xfId="6492" xr:uid="{00000000-0005-0000-0000-0000972A0000}"/>
    <cellStyle name="样式 103" xfId="6493" xr:uid="{00000000-0005-0000-0000-0000982A0000}"/>
    <cellStyle name="样式 104" xfId="6494" xr:uid="{00000000-0005-0000-0000-0000992A0000}"/>
    <cellStyle name="样式 105" xfId="6495" xr:uid="{00000000-0005-0000-0000-00009A2A0000}"/>
    <cellStyle name="样式 106" xfId="6496" xr:uid="{00000000-0005-0000-0000-00009B2A0000}"/>
    <cellStyle name="样式 107" xfId="6497" xr:uid="{00000000-0005-0000-0000-00009C2A0000}"/>
    <cellStyle name="样式 108" xfId="6498" xr:uid="{00000000-0005-0000-0000-00009D2A0000}"/>
    <cellStyle name="样式 109" xfId="6499" xr:uid="{00000000-0005-0000-0000-00009E2A0000}"/>
    <cellStyle name="样式 11" xfId="6500" xr:uid="{00000000-0005-0000-0000-00009F2A0000}"/>
    <cellStyle name="样式 110" xfId="6501" xr:uid="{00000000-0005-0000-0000-0000A02A0000}"/>
    <cellStyle name="样式 111" xfId="6502" xr:uid="{00000000-0005-0000-0000-0000A12A0000}"/>
    <cellStyle name="样式 112" xfId="6503" xr:uid="{00000000-0005-0000-0000-0000A22A0000}"/>
    <cellStyle name="样式 113" xfId="6504" xr:uid="{00000000-0005-0000-0000-0000A32A0000}"/>
    <cellStyle name="样式 114" xfId="6505" xr:uid="{00000000-0005-0000-0000-0000A42A0000}"/>
    <cellStyle name="样式 115" xfId="6506" xr:uid="{00000000-0005-0000-0000-0000A52A0000}"/>
    <cellStyle name="样式 116" xfId="6507" xr:uid="{00000000-0005-0000-0000-0000A62A0000}"/>
    <cellStyle name="样式 117" xfId="6508" xr:uid="{00000000-0005-0000-0000-0000A72A0000}"/>
    <cellStyle name="样式 118" xfId="6509" xr:uid="{00000000-0005-0000-0000-0000A82A0000}"/>
    <cellStyle name="样式 119" xfId="6510" xr:uid="{00000000-0005-0000-0000-0000A92A0000}"/>
    <cellStyle name="样式 12" xfId="6511" xr:uid="{00000000-0005-0000-0000-0000AA2A0000}"/>
    <cellStyle name="样式 120" xfId="6512" xr:uid="{00000000-0005-0000-0000-0000AB2A0000}"/>
    <cellStyle name="样式 121" xfId="6513" xr:uid="{00000000-0005-0000-0000-0000AC2A0000}"/>
    <cellStyle name="样式 122" xfId="6514" xr:uid="{00000000-0005-0000-0000-0000AD2A0000}"/>
    <cellStyle name="样式 123" xfId="6515" xr:uid="{00000000-0005-0000-0000-0000AE2A0000}"/>
    <cellStyle name="样式 124" xfId="6516" xr:uid="{00000000-0005-0000-0000-0000AF2A0000}"/>
    <cellStyle name="样式 125" xfId="6517" xr:uid="{00000000-0005-0000-0000-0000B02A0000}"/>
    <cellStyle name="样式 126" xfId="6518" xr:uid="{00000000-0005-0000-0000-0000B12A0000}"/>
    <cellStyle name="样式 127" xfId="6519" xr:uid="{00000000-0005-0000-0000-0000B22A0000}"/>
    <cellStyle name="样式 128" xfId="6520" xr:uid="{00000000-0005-0000-0000-0000B32A0000}"/>
    <cellStyle name="样式 129" xfId="6521" xr:uid="{00000000-0005-0000-0000-0000B42A0000}"/>
    <cellStyle name="样式 13" xfId="6522" xr:uid="{00000000-0005-0000-0000-0000B52A0000}"/>
    <cellStyle name="样式 130" xfId="6523" xr:uid="{00000000-0005-0000-0000-0000B62A0000}"/>
    <cellStyle name="样式 131" xfId="6524" xr:uid="{00000000-0005-0000-0000-0000B72A0000}"/>
    <cellStyle name="样式 132" xfId="6525" xr:uid="{00000000-0005-0000-0000-0000B82A0000}"/>
    <cellStyle name="样式 133" xfId="6526" xr:uid="{00000000-0005-0000-0000-0000B92A0000}"/>
    <cellStyle name="样式 134" xfId="6527" xr:uid="{00000000-0005-0000-0000-0000BA2A0000}"/>
    <cellStyle name="样式 135" xfId="6528" xr:uid="{00000000-0005-0000-0000-0000BB2A0000}"/>
    <cellStyle name="样式 136" xfId="6529" xr:uid="{00000000-0005-0000-0000-0000BC2A0000}"/>
    <cellStyle name="样式 137" xfId="6530" xr:uid="{00000000-0005-0000-0000-0000BD2A0000}"/>
    <cellStyle name="样式 138" xfId="6531" xr:uid="{00000000-0005-0000-0000-0000BE2A0000}"/>
    <cellStyle name="样式 139" xfId="6532" xr:uid="{00000000-0005-0000-0000-0000BF2A0000}"/>
    <cellStyle name="样式 14" xfId="6533" xr:uid="{00000000-0005-0000-0000-0000C02A0000}"/>
    <cellStyle name="样式 140" xfId="6534" xr:uid="{00000000-0005-0000-0000-0000C12A0000}"/>
    <cellStyle name="样式 141" xfId="6535" xr:uid="{00000000-0005-0000-0000-0000C22A0000}"/>
    <cellStyle name="样式 142" xfId="6536" xr:uid="{00000000-0005-0000-0000-0000C32A0000}"/>
    <cellStyle name="样式 143" xfId="6537" xr:uid="{00000000-0005-0000-0000-0000C42A0000}"/>
    <cellStyle name="样式 144" xfId="6538" xr:uid="{00000000-0005-0000-0000-0000C52A0000}"/>
    <cellStyle name="样式 145" xfId="6539" xr:uid="{00000000-0005-0000-0000-0000C62A0000}"/>
    <cellStyle name="样式 146" xfId="6540" xr:uid="{00000000-0005-0000-0000-0000C72A0000}"/>
    <cellStyle name="样式 147" xfId="6541" xr:uid="{00000000-0005-0000-0000-0000C82A0000}"/>
    <cellStyle name="样式 148" xfId="6542" xr:uid="{00000000-0005-0000-0000-0000C92A0000}"/>
    <cellStyle name="样式 149" xfId="6543" xr:uid="{00000000-0005-0000-0000-0000CA2A0000}"/>
    <cellStyle name="样式 15" xfId="6544" xr:uid="{00000000-0005-0000-0000-0000CB2A0000}"/>
    <cellStyle name="样式 150" xfId="6545" xr:uid="{00000000-0005-0000-0000-0000CC2A0000}"/>
    <cellStyle name="样式 151" xfId="6546" xr:uid="{00000000-0005-0000-0000-0000CD2A0000}"/>
    <cellStyle name="样式 152" xfId="6547" xr:uid="{00000000-0005-0000-0000-0000CE2A0000}"/>
    <cellStyle name="样式 153" xfId="6548" xr:uid="{00000000-0005-0000-0000-0000CF2A0000}"/>
    <cellStyle name="样式 154" xfId="6549" xr:uid="{00000000-0005-0000-0000-0000D02A0000}"/>
    <cellStyle name="样式 155" xfId="6550" xr:uid="{00000000-0005-0000-0000-0000D12A0000}"/>
    <cellStyle name="样式 156" xfId="6551" xr:uid="{00000000-0005-0000-0000-0000D22A0000}"/>
    <cellStyle name="样式 157" xfId="6552" xr:uid="{00000000-0005-0000-0000-0000D32A0000}"/>
    <cellStyle name="样式 158" xfId="6553" xr:uid="{00000000-0005-0000-0000-0000D42A0000}"/>
    <cellStyle name="样式 159" xfId="6554" xr:uid="{00000000-0005-0000-0000-0000D52A0000}"/>
    <cellStyle name="样式 16" xfId="6555" xr:uid="{00000000-0005-0000-0000-0000D62A0000}"/>
    <cellStyle name="样式 160" xfId="6556" xr:uid="{00000000-0005-0000-0000-0000D72A0000}"/>
    <cellStyle name="样式 161" xfId="6557" xr:uid="{00000000-0005-0000-0000-0000D82A0000}"/>
    <cellStyle name="样式 162" xfId="6558" xr:uid="{00000000-0005-0000-0000-0000D92A0000}"/>
    <cellStyle name="样式 163" xfId="6559" xr:uid="{00000000-0005-0000-0000-0000DA2A0000}"/>
    <cellStyle name="样式 164" xfId="6560" xr:uid="{00000000-0005-0000-0000-0000DB2A0000}"/>
    <cellStyle name="样式 165" xfId="6561" xr:uid="{00000000-0005-0000-0000-0000DC2A0000}"/>
    <cellStyle name="样式 166" xfId="6562" xr:uid="{00000000-0005-0000-0000-0000DD2A0000}"/>
    <cellStyle name="样式 167" xfId="6563" xr:uid="{00000000-0005-0000-0000-0000DE2A0000}"/>
    <cellStyle name="样式 168" xfId="6564" xr:uid="{00000000-0005-0000-0000-0000DF2A0000}"/>
    <cellStyle name="样式 169" xfId="6565" xr:uid="{00000000-0005-0000-0000-0000E02A0000}"/>
    <cellStyle name="样式 17" xfId="6566" xr:uid="{00000000-0005-0000-0000-0000E12A0000}"/>
    <cellStyle name="样式 170" xfId="6567" xr:uid="{00000000-0005-0000-0000-0000E22A0000}"/>
    <cellStyle name="样式 171" xfId="6568" xr:uid="{00000000-0005-0000-0000-0000E32A0000}"/>
    <cellStyle name="样式 172" xfId="6569" xr:uid="{00000000-0005-0000-0000-0000E42A0000}"/>
    <cellStyle name="样式 173" xfId="6570" xr:uid="{00000000-0005-0000-0000-0000E52A0000}"/>
    <cellStyle name="样式 174" xfId="6571" xr:uid="{00000000-0005-0000-0000-0000E62A0000}"/>
    <cellStyle name="样式 175" xfId="6572" xr:uid="{00000000-0005-0000-0000-0000E72A0000}"/>
    <cellStyle name="样式 176" xfId="6573" xr:uid="{00000000-0005-0000-0000-0000E82A0000}"/>
    <cellStyle name="样式 177" xfId="6574" xr:uid="{00000000-0005-0000-0000-0000E92A0000}"/>
    <cellStyle name="样式 178" xfId="6575" xr:uid="{00000000-0005-0000-0000-0000EA2A0000}"/>
    <cellStyle name="样式 179" xfId="6576" xr:uid="{00000000-0005-0000-0000-0000EB2A0000}"/>
    <cellStyle name="样式 18" xfId="6577" xr:uid="{00000000-0005-0000-0000-0000EC2A0000}"/>
    <cellStyle name="样式 180" xfId="6578" xr:uid="{00000000-0005-0000-0000-0000ED2A0000}"/>
    <cellStyle name="样式 181" xfId="6579" xr:uid="{00000000-0005-0000-0000-0000EE2A0000}"/>
    <cellStyle name="样式 182" xfId="6580" xr:uid="{00000000-0005-0000-0000-0000EF2A0000}"/>
    <cellStyle name="样式 183" xfId="6581" xr:uid="{00000000-0005-0000-0000-0000F02A0000}"/>
    <cellStyle name="样式 184" xfId="6582" xr:uid="{00000000-0005-0000-0000-0000F12A0000}"/>
    <cellStyle name="样式 185" xfId="6583" xr:uid="{00000000-0005-0000-0000-0000F22A0000}"/>
    <cellStyle name="样式 186" xfId="6584" xr:uid="{00000000-0005-0000-0000-0000F32A0000}"/>
    <cellStyle name="样式 187" xfId="6585" xr:uid="{00000000-0005-0000-0000-0000F42A0000}"/>
    <cellStyle name="样式 188" xfId="6586" xr:uid="{00000000-0005-0000-0000-0000F52A0000}"/>
    <cellStyle name="样式 189" xfId="6587" xr:uid="{00000000-0005-0000-0000-0000F62A0000}"/>
    <cellStyle name="样式 19" xfId="6588" xr:uid="{00000000-0005-0000-0000-0000F72A0000}"/>
    <cellStyle name="样式 190" xfId="6589" xr:uid="{00000000-0005-0000-0000-0000F82A0000}"/>
    <cellStyle name="样式 191" xfId="6590" xr:uid="{00000000-0005-0000-0000-0000F92A0000}"/>
    <cellStyle name="样式 192" xfId="6591" xr:uid="{00000000-0005-0000-0000-0000FA2A0000}"/>
    <cellStyle name="样式 193" xfId="6592" xr:uid="{00000000-0005-0000-0000-0000FB2A0000}"/>
    <cellStyle name="样式 194" xfId="6593" xr:uid="{00000000-0005-0000-0000-0000FC2A0000}"/>
    <cellStyle name="样式 195" xfId="6594" xr:uid="{00000000-0005-0000-0000-0000FD2A0000}"/>
    <cellStyle name="样式 196" xfId="6595" xr:uid="{00000000-0005-0000-0000-0000FE2A0000}"/>
    <cellStyle name="样式 197" xfId="6596" xr:uid="{00000000-0005-0000-0000-0000FF2A0000}"/>
    <cellStyle name="样式 198" xfId="6597" xr:uid="{00000000-0005-0000-0000-0000002B0000}"/>
    <cellStyle name="样式 199" xfId="6598" xr:uid="{00000000-0005-0000-0000-0000012B0000}"/>
    <cellStyle name="样式 2" xfId="6599" xr:uid="{00000000-0005-0000-0000-0000022B0000}"/>
    <cellStyle name="样式 20" xfId="6600" xr:uid="{00000000-0005-0000-0000-0000032B0000}"/>
    <cellStyle name="样式 200" xfId="6601" xr:uid="{00000000-0005-0000-0000-0000042B0000}"/>
    <cellStyle name="样式 201" xfId="6602" xr:uid="{00000000-0005-0000-0000-0000052B0000}"/>
    <cellStyle name="样式 202" xfId="6603" xr:uid="{00000000-0005-0000-0000-0000062B0000}"/>
    <cellStyle name="样式 203" xfId="6604" xr:uid="{00000000-0005-0000-0000-0000072B0000}"/>
    <cellStyle name="样式 204" xfId="6605" xr:uid="{00000000-0005-0000-0000-0000082B0000}"/>
    <cellStyle name="样式 205" xfId="6606" xr:uid="{00000000-0005-0000-0000-0000092B0000}"/>
    <cellStyle name="样式 206" xfId="6607" xr:uid="{00000000-0005-0000-0000-00000A2B0000}"/>
    <cellStyle name="样式 207" xfId="6608" xr:uid="{00000000-0005-0000-0000-00000B2B0000}"/>
    <cellStyle name="样式 208" xfId="6609" xr:uid="{00000000-0005-0000-0000-00000C2B0000}"/>
    <cellStyle name="样式 209" xfId="6610" xr:uid="{00000000-0005-0000-0000-00000D2B0000}"/>
    <cellStyle name="样式 21" xfId="6611" xr:uid="{00000000-0005-0000-0000-00000E2B0000}"/>
    <cellStyle name="样式 210" xfId="6612" xr:uid="{00000000-0005-0000-0000-00000F2B0000}"/>
    <cellStyle name="样式 211" xfId="6613" xr:uid="{00000000-0005-0000-0000-0000102B0000}"/>
    <cellStyle name="样式 212" xfId="6614" xr:uid="{00000000-0005-0000-0000-0000112B0000}"/>
    <cellStyle name="样式 213" xfId="6615" xr:uid="{00000000-0005-0000-0000-0000122B0000}"/>
    <cellStyle name="样式 214" xfId="6616" xr:uid="{00000000-0005-0000-0000-0000132B0000}"/>
    <cellStyle name="样式 215" xfId="6617" xr:uid="{00000000-0005-0000-0000-0000142B0000}"/>
    <cellStyle name="样式 216" xfId="6618" xr:uid="{00000000-0005-0000-0000-0000152B0000}"/>
    <cellStyle name="样式 217" xfId="6619" xr:uid="{00000000-0005-0000-0000-0000162B0000}"/>
    <cellStyle name="样式 218" xfId="6620" xr:uid="{00000000-0005-0000-0000-0000172B0000}"/>
    <cellStyle name="样式 219" xfId="6621" xr:uid="{00000000-0005-0000-0000-0000182B0000}"/>
    <cellStyle name="样式 22" xfId="6622" xr:uid="{00000000-0005-0000-0000-0000192B0000}"/>
    <cellStyle name="样式 220" xfId="6623" xr:uid="{00000000-0005-0000-0000-00001A2B0000}"/>
    <cellStyle name="样式 221" xfId="6624" xr:uid="{00000000-0005-0000-0000-00001B2B0000}"/>
    <cellStyle name="样式 222" xfId="6625" xr:uid="{00000000-0005-0000-0000-00001C2B0000}"/>
    <cellStyle name="样式 223" xfId="6626" xr:uid="{00000000-0005-0000-0000-00001D2B0000}"/>
    <cellStyle name="样式 224" xfId="6627" xr:uid="{00000000-0005-0000-0000-00001E2B0000}"/>
    <cellStyle name="样式 225" xfId="6628" xr:uid="{00000000-0005-0000-0000-00001F2B0000}"/>
    <cellStyle name="样式 226" xfId="6629" xr:uid="{00000000-0005-0000-0000-0000202B0000}"/>
    <cellStyle name="样式 227" xfId="6630" xr:uid="{00000000-0005-0000-0000-0000212B0000}"/>
    <cellStyle name="样式 228" xfId="6631" xr:uid="{00000000-0005-0000-0000-0000222B0000}"/>
    <cellStyle name="样式 229" xfId="6632" xr:uid="{00000000-0005-0000-0000-0000232B0000}"/>
    <cellStyle name="样式 23" xfId="6633" xr:uid="{00000000-0005-0000-0000-0000242B0000}"/>
    <cellStyle name="样式 230" xfId="6634" xr:uid="{00000000-0005-0000-0000-0000252B0000}"/>
    <cellStyle name="样式 231" xfId="6635" xr:uid="{00000000-0005-0000-0000-0000262B0000}"/>
    <cellStyle name="样式 232" xfId="6636" xr:uid="{00000000-0005-0000-0000-0000272B0000}"/>
    <cellStyle name="样式 233" xfId="6637" xr:uid="{00000000-0005-0000-0000-0000282B0000}"/>
    <cellStyle name="样式 234" xfId="6638" xr:uid="{00000000-0005-0000-0000-0000292B0000}"/>
    <cellStyle name="样式 235" xfId="6639" xr:uid="{00000000-0005-0000-0000-00002A2B0000}"/>
    <cellStyle name="样式 236" xfId="6640" xr:uid="{00000000-0005-0000-0000-00002B2B0000}"/>
    <cellStyle name="样式 237" xfId="6641" xr:uid="{00000000-0005-0000-0000-00002C2B0000}"/>
    <cellStyle name="样式 238" xfId="6642" xr:uid="{00000000-0005-0000-0000-00002D2B0000}"/>
    <cellStyle name="样式 239" xfId="6643" xr:uid="{00000000-0005-0000-0000-00002E2B0000}"/>
    <cellStyle name="样式 24" xfId="6644" xr:uid="{00000000-0005-0000-0000-00002F2B0000}"/>
    <cellStyle name="样式 240" xfId="6645" xr:uid="{00000000-0005-0000-0000-0000302B0000}"/>
    <cellStyle name="样式 241" xfId="6646" xr:uid="{00000000-0005-0000-0000-0000312B0000}"/>
    <cellStyle name="样式 242" xfId="6647" xr:uid="{00000000-0005-0000-0000-0000322B0000}"/>
    <cellStyle name="样式 243" xfId="6648" xr:uid="{00000000-0005-0000-0000-0000332B0000}"/>
    <cellStyle name="样式 244" xfId="6649" xr:uid="{00000000-0005-0000-0000-0000342B0000}"/>
    <cellStyle name="样式 245" xfId="6650" xr:uid="{00000000-0005-0000-0000-0000352B0000}"/>
    <cellStyle name="样式 246" xfId="6651" xr:uid="{00000000-0005-0000-0000-0000362B0000}"/>
    <cellStyle name="样式 247" xfId="6652" xr:uid="{00000000-0005-0000-0000-0000372B0000}"/>
    <cellStyle name="样式 248" xfId="6653" xr:uid="{00000000-0005-0000-0000-0000382B0000}"/>
    <cellStyle name="样式 249" xfId="6654" xr:uid="{00000000-0005-0000-0000-0000392B0000}"/>
    <cellStyle name="样式 25" xfId="6655" xr:uid="{00000000-0005-0000-0000-00003A2B0000}"/>
    <cellStyle name="样式 250" xfId="6656" xr:uid="{00000000-0005-0000-0000-00003B2B0000}"/>
    <cellStyle name="样式 251" xfId="6657" xr:uid="{00000000-0005-0000-0000-00003C2B0000}"/>
    <cellStyle name="样式 252" xfId="6658" xr:uid="{00000000-0005-0000-0000-00003D2B0000}"/>
    <cellStyle name="样式 253" xfId="6659" xr:uid="{00000000-0005-0000-0000-00003E2B0000}"/>
    <cellStyle name="样式 254" xfId="6660" xr:uid="{00000000-0005-0000-0000-00003F2B0000}"/>
    <cellStyle name="样式 255" xfId="6661" xr:uid="{00000000-0005-0000-0000-0000402B0000}"/>
    <cellStyle name="样式 256" xfId="6662" xr:uid="{00000000-0005-0000-0000-0000412B0000}"/>
    <cellStyle name="样式 26" xfId="6663" xr:uid="{00000000-0005-0000-0000-0000422B0000}"/>
    <cellStyle name="样式 27" xfId="6664" xr:uid="{00000000-0005-0000-0000-0000432B0000}"/>
    <cellStyle name="样式 28" xfId="6665" xr:uid="{00000000-0005-0000-0000-0000442B0000}"/>
    <cellStyle name="样式 29" xfId="6666" xr:uid="{00000000-0005-0000-0000-0000452B0000}"/>
    <cellStyle name="样式 3" xfId="6667" xr:uid="{00000000-0005-0000-0000-0000462B0000}"/>
    <cellStyle name="样式 30" xfId="6668" xr:uid="{00000000-0005-0000-0000-0000472B0000}"/>
    <cellStyle name="样式 31" xfId="6669" xr:uid="{00000000-0005-0000-0000-0000482B0000}"/>
    <cellStyle name="样式 32" xfId="6670" xr:uid="{00000000-0005-0000-0000-0000492B0000}"/>
    <cellStyle name="样式 33" xfId="6671" xr:uid="{00000000-0005-0000-0000-00004A2B0000}"/>
    <cellStyle name="样式 34" xfId="6672" xr:uid="{00000000-0005-0000-0000-00004B2B0000}"/>
    <cellStyle name="样式 35" xfId="6673" xr:uid="{00000000-0005-0000-0000-00004C2B0000}"/>
    <cellStyle name="样式 36" xfId="6674" xr:uid="{00000000-0005-0000-0000-00004D2B0000}"/>
    <cellStyle name="样式 37" xfId="6675" xr:uid="{00000000-0005-0000-0000-00004E2B0000}"/>
    <cellStyle name="样式 38" xfId="6676" xr:uid="{00000000-0005-0000-0000-00004F2B0000}"/>
    <cellStyle name="样式 39" xfId="6677" xr:uid="{00000000-0005-0000-0000-0000502B0000}"/>
    <cellStyle name="样式 4" xfId="6678" xr:uid="{00000000-0005-0000-0000-0000512B0000}"/>
    <cellStyle name="样式 40" xfId="6679" xr:uid="{00000000-0005-0000-0000-0000522B0000}"/>
    <cellStyle name="样式 41" xfId="6680" xr:uid="{00000000-0005-0000-0000-0000532B0000}"/>
    <cellStyle name="样式 42" xfId="6681" xr:uid="{00000000-0005-0000-0000-0000542B0000}"/>
    <cellStyle name="样式 43" xfId="6682" xr:uid="{00000000-0005-0000-0000-0000552B0000}"/>
    <cellStyle name="样式 44" xfId="6683" xr:uid="{00000000-0005-0000-0000-0000562B0000}"/>
    <cellStyle name="样式 45" xfId="6684" xr:uid="{00000000-0005-0000-0000-0000572B0000}"/>
    <cellStyle name="样式 46" xfId="6685" xr:uid="{00000000-0005-0000-0000-0000582B0000}"/>
    <cellStyle name="样式 47" xfId="6686" xr:uid="{00000000-0005-0000-0000-0000592B0000}"/>
    <cellStyle name="样式 48" xfId="6687" xr:uid="{00000000-0005-0000-0000-00005A2B0000}"/>
    <cellStyle name="样式 49" xfId="6688" xr:uid="{00000000-0005-0000-0000-00005B2B0000}"/>
    <cellStyle name="样式 5" xfId="6689" xr:uid="{00000000-0005-0000-0000-00005C2B0000}"/>
    <cellStyle name="样式 50" xfId="6690" xr:uid="{00000000-0005-0000-0000-00005D2B0000}"/>
    <cellStyle name="样式 51" xfId="6691" xr:uid="{00000000-0005-0000-0000-00005E2B0000}"/>
    <cellStyle name="样式 52" xfId="6692" xr:uid="{00000000-0005-0000-0000-00005F2B0000}"/>
    <cellStyle name="样式 53" xfId="6693" xr:uid="{00000000-0005-0000-0000-0000602B0000}"/>
    <cellStyle name="样式 54" xfId="6694" xr:uid="{00000000-0005-0000-0000-0000612B0000}"/>
    <cellStyle name="样式 55" xfId="6695" xr:uid="{00000000-0005-0000-0000-0000622B0000}"/>
    <cellStyle name="样式 56" xfId="6696" xr:uid="{00000000-0005-0000-0000-0000632B0000}"/>
    <cellStyle name="样式 57" xfId="6697" xr:uid="{00000000-0005-0000-0000-0000642B0000}"/>
    <cellStyle name="样式 58" xfId="6698" xr:uid="{00000000-0005-0000-0000-0000652B0000}"/>
    <cellStyle name="样式 59" xfId="6699" xr:uid="{00000000-0005-0000-0000-0000662B0000}"/>
    <cellStyle name="样式 6" xfId="6700" xr:uid="{00000000-0005-0000-0000-0000672B0000}"/>
    <cellStyle name="样式 60" xfId="6701" xr:uid="{00000000-0005-0000-0000-0000682B0000}"/>
    <cellStyle name="样式 61" xfId="6702" xr:uid="{00000000-0005-0000-0000-0000692B0000}"/>
    <cellStyle name="样式 62" xfId="6703" xr:uid="{00000000-0005-0000-0000-00006A2B0000}"/>
    <cellStyle name="样式 63" xfId="6704" xr:uid="{00000000-0005-0000-0000-00006B2B0000}"/>
    <cellStyle name="样式 64" xfId="6705" xr:uid="{00000000-0005-0000-0000-00006C2B0000}"/>
    <cellStyle name="样式 65" xfId="6706" xr:uid="{00000000-0005-0000-0000-00006D2B0000}"/>
    <cellStyle name="样式 66" xfId="6707" xr:uid="{00000000-0005-0000-0000-00006E2B0000}"/>
    <cellStyle name="样式 67" xfId="6708" xr:uid="{00000000-0005-0000-0000-00006F2B0000}"/>
    <cellStyle name="样式 68" xfId="6709" xr:uid="{00000000-0005-0000-0000-0000702B0000}"/>
    <cellStyle name="样式 69" xfId="6710" xr:uid="{00000000-0005-0000-0000-0000712B0000}"/>
    <cellStyle name="样式 7" xfId="6711" xr:uid="{00000000-0005-0000-0000-0000722B0000}"/>
    <cellStyle name="样式 70" xfId="6712" xr:uid="{00000000-0005-0000-0000-0000732B0000}"/>
    <cellStyle name="样式 71" xfId="6713" xr:uid="{00000000-0005-0000-0000-0000742B0000}"/>
    <cellStyle name="样式 72" xfId="6714" xr:uid="{00000000-0005-0000-0000-0000752B0000}"/>
    <cellStyle name="样式 73" xfId="6715" xr:uid="{00000000-0005-0000-0000-0000762B0000}"/>
    <cellStyle name="样式 74" xfId="6716" xr:uid="{00000000-0005-0000-0000-0000772B0000}"/>
    <cellStyle name="样式 75" xfId="6717" xr:uid="{00000000-0005-0000-0000-0000782B0000}"/>
    <cellStyle name="样式 76" xfId="6718" xr:uid="{00000000-0005-0000-0000-0000792B0000}"/>
    <cellStyle name="样式 77" xfId="6719" xr:uid="{00000000-0005-0000-0000-00007A2B0000}"/>
    <cellStyle name="样式 78" xfId="6720" xr:uid="{00000000-0005-0000-0000-00007B2B0000}"/>
    <cellStyle name="样式 79" xfId="6721" xr:uid="{00000000-0005-0000-0000-00007C2B0000}"/>
    <cellStyle name="样式 8" xfId="6722" xr:uid="{00000000-0005-0000-0000-00007D2B0000}"/>
    <cellStyle name="样式 80" xfId="6723" xr:uid="{00000000-0005-0000-0000-00007E2B0000}"/>
    <cellStyle name="样式 81" xfId="6724" xr:uid="{00000000-0005-0000-0000-00007F2B0000}"/>
    <cellStyle name="样式 82" xfId="6725" xr:uid="{00000000-0005-0000-0000-0000802B0000}"/>
    <cellStyle name="样式 83" xfId="6726" xr:uid="{00000000-0005-0000-0000-0000812B0000}"/>
    <cellStyle name="样式 84" xfId="6727" xr:uid="{00000000-0005-0000-0000-0000822B0000}"/>
    <cellStyle name="样式 85" xfId="6728" xr:uid="{00000000-0005-0000-0000-0000832B0000}"/>
    <cellStyle name="样式 86" xfId="6729" xr:uid="{00000000-0005-0000-0000-0000842B0000}"/>
    <cellStyle name="样式 87" xfId="6730" xr:uid="{00000000-0005-0000-0000-0000852B0000}"/>
    <cellStyle name="样式 88" xfId="6731" xr:uid="{00000000-0005-0000-0000-0000862B0000}"/>
    <cellStyle name="样式 89" xfId="6732" xr:uid="{00000000-0005-0000-0000-0000872B0000}"/>
    <cellStyle name="样式 9" xfId="6733" xr:uid="{00000000-0005-0000-0000-0000882B0000}"/>
    <cellStyle name="样式 90" xfId="6734" xr:uid="{00000000-0005-0000-0000-0000892B0000}"/>
    <cellStyle name="样式 91" xfId="6735" xr:uid="{00000000-0005-0000-0000-00008A2B0000}"/>
    <cellStyle name="样式 92" xfId="6736" xr:uid="{00000000-0005-0000-0000-00008B2B0000}"/>
    <cellStyle name="样式 93" xfId="6737" xr:uid="{00000000-0005-0000-0000-00008C2B0000}"/>
    <cellStyle name="样式 94" xfId="6738" xr:uid="{00000000-0005-0000-0000-00008D2B0000}"/>
    <cellStyle name="样式 95" xfId="6739" xr:uid="{00000000-0005-0000-0000-00008E2B0000}"/>
    <cellStyle name="样式 96" xfId="6740" xr:uid="{00000000-0005-0000-0000-00008F2B0000}"/>
    <cellStyle name="样式 97" xfId="6741" xr:uid="{00000000-0005-0000-0000-0000902B0000}"/>
    <cellStyle name="样式 98" xfId="6742" xr:uid="{00000000-0005-0000-0000-0000912B0000}"/>
    <cellStyle name="样式 99" xfId="6743" xr:uid="{00000000-0005-0000-0000-0000922B0000}"/>
    <cellStyle name="检查单元格" xfId="2363" xr:uid="{00000000-0005-0000-0000-0000932B0000}"/>
    <cellStyle name="检查单元格 10" xfId="2364" xr:uid="{00000000-0005-0000-0000-0000942B0000}"/>
    <cellStyle name="检查单元格 11" xfId="2365" xr:uid="{00000000-0005-0000-0000-0000952B0000}"/>
    <cellStyle name="检查单元格 12" xfId="2366" xr:uid="{00000000-0005-0000-0000-0000962B0000}"/>
    <cellStyle name="检查单元格 13" xfId="2367" xr:uid="{00000000-0005-0000-0000-0000972B0000}"/>
    <cellStyle name="检查单元格 14" xfId="2368" xr:uid="{00000000-0005-0000-0000-0000982B0000}"/>
    <cellStyle name="检查单元格 15" xfId="2369" xr:uid="{00000000-0005-0000-0000-0000992B0000}"/>
    <cellStyle name="检查单元格 16" xfId="2370" xr:uid="{00000000-0005-0000-0000-00009A2B0000}"/>
    <cellStyle name="检查单元格 17" xfId="2371" xr:uid="{00000000-0005-0000-0000-00009B2B0000}"/>
    <cellStyle name="检查单元格 18" xfId="2372" xr:uid="{00000000-0005-0000-0000-00009C2B0000}"/>
    <cellStyle name="检查单元格 19" xfId="2373" xr:uid="{00000000-0005-0000-0000-00009D2B0000}"/>
    <cellStyle name="检查单元格 2" xfId="2374" xr:uid="{00000000-0005-0000-0000-00009E2B0000}"/>
    <cellStyle name="检查单元格 20" xfId="2375" xr:uid="{00000000-0005-0000-0000-00009F2B0000}"/>
    <cellStyle name="检查单元格 3" xfId="2376" xr:uid="{00000000-0005-0000-0000-0000A02B0000}"/>
    <cellStyle name="检查单元格 4" xfId="2377" xr:uid="{00000000-0005-0000-0000-0000A12B0000}"/>
    <cellStyle name="检查单元格 5" xfId="2378" xr:uid="{00000000-0005-0000-0000-0000A22B0000}"/>
    <cellStyle name="检查单元格 6" xfId="2379" xr:uid="{00000000-0005-0000-0000-0000A32B0000}"/>
    <cellStyle name="检查单元格 7" xfId="2380" xr:uid="{00000000-0005-0000-0000-0000A42B0000}"/>
    <cellStyle name="检查单元格 8" xfId="2381" xr:uid="{00000000-0005-0000-0000-0000A52B0000}"/>
    <cellStyle name="检查单元格 9" xfId="2382" xr:uid="{00000000-0005-0000-0000-0000A62B0000}"/>
    <cellStyle name="標準 2" xfId="11171" xr:uid="{00000000-0005-0000-0000-0000A72B0000}"/>
    <cellStyle name="標準_Billions NTT and DCM USGAAP 0210281" xfId="4174" xr:uid="{00000000-0005-0000-0000-0000A82B0000}"/>
    <cellStyle name="汇总" xfId="2383" xr:uid="{00000000-0005-0000-0000-0000A92B0000}"/>
    <cellStyle name="汇总 10" xfId="2384" xr:uid="{00000000-0005-0000-0000-0000AA2B0000}"/>
    <cellStyle name="汇总 11" xfId="2385" xr:uid="{00000000-0005-0000-0000-0000AB2B0000}"/>
    <cellStyle name="汇总 12" xfId="2386" xr:uid="{00000000-0005-0000-0000-0000AC2B0000}"/>
    <cellStyle name="汇总 13" xfId="2387" xr:uid="{00000000-0005-0000-0000-0000AD2B0000}"/>
    <cellStyle name="汇总 14" xfId="2388" xr:uid="{00000000-0005-0000-0000-0000AE2B0000}"/>
    <cellStyle name="汇总 15" xfId="2389" xr:uid="{00000000-0005-0000-0000-0000AF2B0000}"/>
    <cellStyle name="汇总 16" xfId="2390" xr:uid="{00000000-0005-0000-0000-0000B02B0000}"/>
    <cellStyle name="汇总 17" xfId="2391" xr:uid="{00000000-0005-0000-0000-0000B12B0000}"/>
    <cellStyle name="汇总 18" xfId="2392" xr:uid="{00000000-0005-0000-0000-0000B22B0000}"/>
    <cellStyle name="汇总 19" xfId="2393" xr:uid="{00000000-0005-0000-0000-0000B32B0000}"/>
    <cellStyle name="汇总 2" xfId="2394" xr:uid="{00000000-0005-0000-0000-0000B42B0000}"/>
    <cellStyle name="汇总 20" xfId="2395" xr:uid="{00000000-0005-0000-0000-0000B52B0000}"/>
    <cellStyle name="汇总 3" xfId="2396" xr:uid="{00000000-0005-0000-0000-0000B62B0000}"/>
    <cellStyle name="汇总 4" xfId="2397" xr:uid="{00000000-0005-0000-0000-0000B72B0000}"/>
    <cellStyle name="汇总 5" xfId="2398" xr:uid="{00000000-0005-0000-0000-0000B82B0000}"/>
    <cellStyle name="汇总 6" xfId="2399" xr:uid="{00000000-0005-0000-0000-0000B92B0000}"/>
    <cellStyle name="汇总 7" xfId="2400" xr:uid="{00000000-0005-0000-0000-0000BA2B0000}"/>
    <cellStyle name="汇总 8" xfId="2401" xr:uid="{00000000-0005-0000-0000-0000BB2B0000}"/>
    <cellStyle name="汇总 9" xfId="2402" xr:uid="{00000000-0005-0000-0000-0000BC2B0000}"/>
    <cellStyle name="注释" xfId="2403" xr:uid="{00000000-0005-0000-0000-0000BD2B0000}"/>
    <cellStyle name="注释 10" xfId="2404" xr:uid="{00000000-0005-0000-0000-0000BE2B0000}"/>
    <cellStyle name="注释 11" xfId="2405" xr:uid="{00000000-0005-0000-0000-0000BF2B0000}"/>
    <cellStyle name="注释 12" xfId="2406" xr:uid="{00000000-0005-0000-0000-0000C02B0000}"/>
    <cellStyle name="注释 13" xfId="2407" xr:uid="{00000000-0005-0000-0000-0000C12B0000}"/>
    <cellStyle name="注释 14" xfId="2408" xr:uid="{00000000-0005-0000-0000-0000C22B0000}"/>
    <cellStyle name="注释 15" xfId="2409" xr:uid="{00000000-0005-0000-0000-0000C32B0000}"/>
    <cellStyle name="注释 16" xfId="2410" xr:uid="{00000000-0005-0000-0000-0000C42B0000}"/>
    <cellStyle name="注释 17" xfId="2411" xr:uid="{00000000-0005-0000-0000-0000C52B0000}"/>
    <cellStyle name="注释 18" xfId="2412" xr:uid="{00000000-0005-0000-0000-0000C62B0000}"/>
    <cellStyle name="注释 19" xfId="2413" xr:uid="{00000000-0005-0000-0000-0000C72B0000}"/>
    <cellStyle name="注释 2" xfId="2414" xr:uid="{00000000-0005-0000-0000-0000C82B0000}"/>
    <cellStyle name="注释 20" xfId="2415" xr:uid="{00000000-0005-0000-0000-0000C92B0000}"/>
    <cellStyle name="注释 3" xfId="2416" xr:uid="{00000000-0005-0000-0000-0000CA2B0000}"/>
    <cellStyle name="注释 4" xfId="2417" xr:uid="{00000000-0005-0000-0000-0000CB2B0000}"/>
    <cellStyle name="注释 5" xfId="2418" xr:uid="{00000000-0005-0000-0000-0000CC2B0000}"/>
    <cellStyle name="注释 6" xfId="2419" xr:uid="{00000000-0005-0000-0000-0000CD2B0000}"/>
    <cellStyle name="注释 7" xfId="2420" xr:uid="{00000000-0005-0000-0000-0000CE2B0000}"/>
    <cellStyle name="注释 8" xfId="2421" xr:uid="{00000000-0005-0000-0000-0000CF2B0000}"/>
    <cellStyle name="注释 9" xfId="2422" xr:uid="{00000000-0005-0000-0000-0000D02B0000}"/>
    <cellStyle name="烹拳 [0]_97MBO" xfId="4175" xr:uid="{00000000-0005-0000-0000-0000D12B0000}"/>
    <cellStyle name="烹拳_97MBO" xfId="4176" xr:uid="{00000000-0005-0000-0000-0000D22B0000}"/>
    <cellStyle name="百分比 2" xfId="6462" xr:uid="{00000000-0005-0000-0000-0000D32B0000}"/>
    <cellStyle name="百分比 2 2" xfId="6859" xr:uid="{00000000-0005-0000-0000-0000D42B0000}"/>
    <cellStyle name="百分比 3" xfId="6463" xr:uid="{00000000-0005-0000-0000-0000D52B0000}"/>
    <cellStyle name="砯刽 [0]_0999Comm Group consol" xfId="6475" xr:uid="{00000000-0005-0000-0000-0000D62B0000}"/>
    <cellStyle name="砯刽_0999Comm Group consol" xfId="6476" xr:uid="{00000000-0005-0000-0000-0000D72B0000}"/>
    <cellStyle name="禬硈挡" xfId="6467" xr:uid="{00000000-0005-0000-0000-0000D82B0000}"/>
    <cellStyle name="繦禬硈挡" xfId="6483" xr:uid="{00000000-0005-0000-0000-0000D92B0000}"/>
    <cellStyle name="英文表头" xfId="4177" xr:uid="{00000000-0005-0000-0000-0000DA2B0000}"/>
    <cellStyle name="解释性文本" xfId="2423" xr:uid="{00000000-0005-0000-0000-0000DB2B0000}"/>
    <cellStyle name="警告文本" xfId="2424" xr:uid="{00000000-0005-0000-0000-0000DC2B0000}"/>
    <cellStyle name="警告文本 10" xfId="2425" xr:uid="{00000000-0005-0000-0000-0000DD2B0000}"/>
    <cellStyle name="警告文本 11" xfId="2426" xr:uid="{00000000-0005-0000-0000-0000DE2B0000}"/>
    <cellStyle name="警告文本 12" xfId="2427" xr:uid="{00000000-0005-0000-0000-0000DF2B0000}"/>
    <cellStyle name="警告文本 13" xfId="2428" xr:uid="{00000000-0005-0000-0000-0000E02B0000}"/>
    <cellStyle name="警告文本 14" xfId="2429" xr:uid="{00000000-0005-0000-0000-0000E12B0000}"/>
    <cellStyle name="警告文本 15" xfId="2430" xr:uid="{00000000-0005-0000-0000-0000E22B0000}"/>
    <cellStyle name="警告文本 16" xfId="2431" xr:uid="{00000000-0005-0000-0000-0000E32B0000}"/>
    <cellStyle name="警告文本 17" xfId="2432" xr:uid="{00000000-0005-0000-0000-0000E42B0000}"/>
    <cellStyle name="警告文本 18" xfId="2433" xr:uid="{00000000-0005-0000-0000-0000E52B0000}"/>
    <cellStyle name="警告文本 19" xfId="2434" xr:uid="{00000000-0005-0000-0000-0000E62B0000}"/>
    <cellStyle name="警告文本 2" xfId="2435" xr:uid="{00000000-0005-0000-0000-0000E72B0000}"/>
    <cellStyle name="警告文本 20" xfId="2436" xr:uid="{00000000-0005-0000-0000-0000E82B0000}"/>
    <cellStyle name="警告文本 3" xfId="2437" xr:uid="{00000000-0005-0000-0000-0000E92B0000}"/>
    <cellStyle name="警告文本 4" xfId="2438" xr:uid="{00000000-0005-0000-0000-0000EA2B0000}"/>
    <cellStyle name="警告文本 5" xfId="2439" xr:uid="{00000000-0005-0000-0000-0000EB2B0000}"/>
    <cellStyle name="警告文本 6" xfId="2440" xr:uid="{00000000-0005-0000-0000-0000EC2B0000}"/>
    <cellStyle name="警告文本 7" xfId="2441" xr:uid="{00000000-0005-0000-0000-0000ED2B0000}"/>
    <cellStyle name="警告文本 8" xfId="2442" xr:uid="{00000000-0005-0000-0000-0000EE2B0000}"/>
    <cellStyle name="警告文本 9" xfId="2443" xr:uid="{00000000-0005-0000-0000-0000EF2B0000}"/>
    <cellStyle name="计算" xfId="2444" xr:uid="{00000000-0005-0000-0000-0000F02B0000}"/>
    <cellStyle name="计算 10" xfId="2445" xr:uid="{00000000-0005-0000-0000-0000F12B0000}"/>
    <cellStyle name="计算 11" xfId="2446" xr:uid="{00000000-0005-0000-0000-0000F22B0000}"/>
    <cellStyle name="计算 12" xfId="2447" xr:uid="{00000000-0005-0000-0000-0000F32B0000}"/>
    <cellStyle name="计算 13" xfId="2448" xr:uid="{00000000-0005-0000-0000-0000F42B0000}"/>
    <cellStyle name="计算 14" xfId="2449" xr:uid="{00000000-0005-0000-0000-0000F52B0000}"/>
    <cellStyle name="计算 15" xfId="2450" xr:uid="{00000000-0005-0000-0000-0000F62B0000}"/>
    <cellStyle name="计算 16" xfId="2451" xr:uid="{00000000-0005-0000-0000-0000F72B0000}"/>
    <cellStyle name="计算 17" xfId="2452" xr:uid="{00000000-0005-0000-0000-0000F82B0000}"/>
    <cellStyle name="计算 18" xfId="2453" xr:uid="{00000000-0005-0000-0000-0000F92B0000}"/>
    <cellStyle name="计算 19" xfId="2454" xr:uid="{00000000-0005-0000-0000-0000FA2B0000}"/>
    <cellStyle name="计算 2" xfId="2455" xr:uid="{00000000-0005-0000-0000-0000FB2B0000}"/>
    <cellStyle name="计算 20" xfId="2456" xr:uid="{00000000-0005-0000-0000-0000FC2B0000}"/>
    <cellStyle name="计算 3" xfId="2457" xr:uid="{00000000-0005-0000-0000-0000FD2B0000}"/>
    <cellStyle name="计算 4" xfId="2458" xr:uid="{00000000-0005-0000-0000-0000FE2B0000}"/>
    <cellStyle name="计算 5" xfId="2459" xr:uid="{00000000-0005-0000-0000-0000FF2B0000}"/>
    <cellStyle name="计算 6" xfId="2460" xr:uid="{00000000-0005-0000-0000-0000002C0000}"/>
    <cellStyle name="计算 7" xfId="2461" xr:uid="{00000000-0005-0000-0000-0000012C0000}"/>
    <cellStyle name="计算 8" xfId="2462" xr:uid="{00000000-0005-0000-0000-0000022C0000}"/>
    <cellStyle name="计算 9" xfId="2463" xr:uid="{00000000-0005-0000-0000-0000032C0000}"/>
    <cellStyle name="貨幣 [0]_OEM" xfId="6468" xr:uid="{00000000-0005-0000-0000-0000042C0000}"/>
    <cellStyle name="貨幣[0]_laroux" xfId="6469" xr:uid="{00000000-0005-0000-0000-0000052C0000}"/>
    <cellStyle name="貨幣_OEM" xfId="6470" xr:uid="{00000000-0005-0000-0000-0000062C0000}"/>
    <cellStyle name="货币[0]_10" xfId="4178" xr:uid="{00000000-0005-0000-0000-0000072C0000}"/>
    <cellStyle name="货币_10" xfId="4179" xr:uid="{00000000-0005-0000-0000-0000082C0000}"/>
    <cellStyle name="超级链接_9 Provinces Model 031104" xfId="4180" xr:uid="{00000000-0005-0000-0000-0000092C0000}"/>
    <cellStyle name="输入" xfId="2464" xr:uid="{00000000-0005-0000-0000-00000A2C0000}"/>
    <cellStyle name="输入 10" xfId="2465" xr:uid="{00000000-0005-0000-0000-00000B2C0000}"/>
    <cellStyle name="输入 11" xfId="2466" xr:uid="{00000000-0005-0000-0000-00000C2C0000}"/>
    <cellStyle name="输入 12" xfId="2467" xr:uid="{00000000-0005-0000-0000-00000D2C0000}"/>
    <cellStyle name="输入 13" xfId="2468" xr:uid="{00000000-0005-0000-0000-00000E2C0000}"/>
    <cellStyle name="输入 14" xfId="2469" xr:uid="{00000000-0005-0000-0000-00000F2C0000}"/>
    <cellStyle name="输入 15" xfId="2470" xr:uid="{00000000-0005-0000-0000-0000102C0000}"/>
    <cellStyle name="输入 16" xfId="2471" xr:uid="{00000000-0005-0000-0000-0000112C0000}"/>
    <cellStyle name="输入 17" xfId="2472" xr:uid="{00000000-0005-0000-0000-0000122C0000}"/>
    <cellStyle name="输入 18" xfId="2473" xr:uid="{00000000-0005-0000-0000-0000132C0000}"/>
    <cellStyle name="输入 19" xfId="2474" xr:uid="{00000000-0005-0000-0000-0000142C0000}"/>
    <cellStyle name="输入 2" xfId="2475" xr:uid="{00000000-0005-0000-0000-0000152C0000}"/>
    <cellStyle name="输入 20" xfId="2476" xr:uid="{00000000-0005-0000-0000-0000162C0000}"/>
    <cellStyle name="输入 3" xfId="2477" xr:uid="{00000000-0005-0000-0000-0000172C0000}"/>
    <cellStyle name="输入 4" xfId="2478" xr:uid="{00000000-0005-0000-0000-0000182C0000}"/>
    <cellStyle name="输入 5" xfId="2479" xr:uid="{00000000-0005-0000-0000-0000192C0000}"/>
    <cellStyle name="输入 6" xfId="2480" xr:uid="{00000000-0005-0000-0000-00001A2C0000}"/>
    <cellStyle name="输入 7" xfId="2481" xr:uid="{00000000-0005-0000-0000-00001B2C0000}"/>
    <cellStyle name="输入 8" xfId="2482" xr:uid="{00000000-0005-0000-0000-00001C2C0000}"/>
    <cellStyle name="输入 9" xfId="2483" xr:uid="{00000000-0005-0000-0000-00001D2C0000}"/>
    <cellStyle name="输出" xfId="2484" xr:uid="{00000000-0005-0000-0000-00001E2C0000}"/>
    <cellStyle name="输出 10" xfId="2485" xr:uid="{00000000-0005-0000-0000-00001F2C0000}"/>
    <cellStyle name="输出 11" xfId="2486" xr:uid="{00000000-0005-0000-0000-0000202C0000}"/>
    <cellStyle name="输出 12" xfId="2487" xr:uid="{00000000-0005-0000-0000-0000212C0000}"/>
    <cellStyle name="输出 13" xfId="2488" xr:uid="{00000000-0005-0000-0000-0000222C0000}"/>
    <cellStyle name="输出 14" xfId="2489" xr:uid="{00000000-0005-0000-0000-0000232C0000}"/>
    <cellStyle name="输出 15" xfId="2490" xr:uid="{00000000-0005-0000-0000-0000242C0000}"/>
    <cellStyle name="输出 16" xfId="2491" xr:uid="{00000000-0005-0000-0000-0000252C0000}"/>
    <cellStyle name="输出 17" xfId="2492" xr:uid="{00000000-0005-0000-0000-0000262C0000}"/>
    <cellStyle name="输出 18" xfId="2493" xr:uid="{00000000-0005-0000-0000-0000272C0000}"/>
    <cellStyle name="输出 19" xfId="2494" xr:uid="{00000000-0005-0000-0000-0000282C0000}"/>
    <cellStyle name="输出 2" xfId="2495" xr:uid="{00000000-0005-0000-0000-0000292C0000}"/>
    <cellStyle name="输出 20" xfId="2496" xr:uid="{00000000-0005-0000-0000-00002A2C0000}"/>
    <cellStyle name="输出 3" xfId="2497" xr:uid="{00000000-0005-0000-0000-00002B2C0000}"/>
    <cellStyle name="输出 4" xfId="2498" xr:uid="{00000000-0005-0000-0000-00002C2C0000}"/>
    <cellStyle name="输出 5" xfId="2499" xr:uid="{00000000-0005-0000-0000-00002D2C0000}"/>
    <cellStyle name="输出 6" xfId="2500" xr:uid="{00000000-0005-0000-0000-00002E2C0000}"/>
    <cellStyle name="输出 7" xfId="2501" xr:uid="{00000000-0005-0000-0000-00002F2C0000}"/>
    <cellStyle name="输出 8" xfId="2502" xr:uid="{00000000-0005-0000-0000-0000302C0000}"/>
    <cellStyle name="输出 9" xfId="2503" xr:uid="{00000000-0005-0000-0000-0000312C0000}"/>
    <cellStyle name="适中" xfId="2504" xr:uid="{00000000-0005-0000-0000-0000322C0000}"/>
    <cellStyle name="适中 10" xfId="2505" xr:uid="{00000000-0005-0000-0000-0000332C0000}"/>
    <cellStyle name="适中 11" xfId="2506" xr:uid="{00000000-0005-0000-0000-0000342C0000}"/>
    <cellStyle name="适中 12" xfId="2507" xr:uid="{00000000-0005-0000-0000-0000352C0000}"/>
    <cellStyle name="适中 13" xfId="2508" xr:uid="{00000000-0005-0000-0000-0000362C0000}"/>
    <cellStyle name="适中 14" xfId="2509" xr:uid="{00000000-0005-0000-0000-0000372C0000}"/>
    <cellStyle name="适中 15" xfId="2510" xr:uid="{00000000-0005-0000-0000-0000382C0000}"/>
    <cellStyle name="适中 16" xfId="2511" xr:uid="{00000000-0005-0000-0000-0000392C0000}"/>
    <cellStyle name="适中 17" xfId="2512" xr:uid="{00000000-0005-0000-0000-00003A2C0000}"/>
    <cellStyle name="适中 18" xfId="2513" xr:uid="{00000000-0005-0000-0000-00003B2C0000}"/>
    <cellStyle name="适中 19" xfId="2514" xr:uid="{00000000-0005-0000-0000-00003C2C0000}"/>
    <cellStyle name="适中 2" xfId="2515" xr:uid="{00000000-0005-0000-0000-00003D2C0000}"/>
    <cellStyle name="适中 20" xfId="2516" xr:uid="{00000000-0005-0000-0000-00003E2C0000}"/>
    <cellStyle name="适中 3" xfId="2517" xr:uid="{00000000-0005-0000-0000-00003F2C0000}"/>
    <cellStyle name="适中 4" xfId="2518" xr:uid="{00000000-0005-0000-0000-0000402C0000}"/>
    <cellStyle name="适中 5" xfId="2519" xr:uid="{00000000-0005-0000-0000-0000412C0000}"/>
    <cellStyle name="适中 6" xfId="2520" xr:uid="{00000000-0005-0000-0000-0000422C0000}"/>
    <cellStyle name="适中 7" xfId="2521" xr:uid="{00000000-0005-0000-0000-0000432C0000}"/>
    <cellStyle name="适中 8" xfId="2522" xr:uid="{00000000-0005-0000-0000-0000442C0000}"/>
    <cellStyle name="适中 9" xfId="2523" xr:uid="{00000000-0005-0000-0000-0000452C0000}"/>
    <cellStyle name="适中rm" xfId="6485" xr:uid="{00000000-0005-0000-0000-0000462C0000}"/>
    <cellStyle name="适中rmal" xfId="6486" xr:uid="{00000000-0005-0000-0000-0000472C0000}"/>
    <cellStyle name="钎霖_laroux" xfId="4181" xr:uid="{00000000-0005-0000-0000-0000482C0000}"/>
    <cellStyle name="链接单元格" xfId="2524" xr:uid="{00000000-0005-0000-0000-0000492C0000}"/>
    <cellStyle name="链接单元格 10" xfId="2525" xr:uid="{00000000-0005-0000-0000-00004A2C0000}"/>
    <cellStyle name="链接单元格 11" xfId="2526" xr:uid="{00000000-0005-0000-0000-00004B2C0000}"/>
    <cellStyle name="链接单元格 12" xfId="2527" xr:uid="{00000000-0005-0000-0000-00004C2C0000}"/>
    <cellStyle name="链接单元格 13" xfId="2528" xr:uid="{00000000-0005-0000-0000-00004D2C0000}"/>
    <cellStyle name="链接单元格 14" xfId="2529" xr:uid="{00000000-0005-0000-0000-00004E2C0000}"/>
    <cellStyle name="链接单元格 15" xfId="2530" xr:uid="{00000000-0005-0000-0000-00004F2C0000}"/>
    <cellStyle name="链接单元格 16" xfId="2531" xr:uid="{00000000-0005-0000-0000-0000502C0000}"/>
    <cellStyle name="链接单元格 17" xfId="2532" xr:uid="{00000000-0005-0000-0000-0000512C0000}"/>
    <cellStyle name="链接单元格 18" xfId="2533" xr:uid="{00000000-0005-0000-0000-0000522C0000}"/>
    <cellStyle name="链接单元格 19" xfId="2534" xr:uid="{00000000-0005-0000-0000-0000532C0000}"/>
    <cellStyle name="链接单元格 2" xfId="2535" xr:uid="{00000000-0005-0000-0000-0000542C0000}"/>
    <cellStyle name="链接单元格 20" xfId="2536" xr:uid="{00000000-0005-0000-0000-0000552C0000}"/>
    <cellStyle name="链接单元格 3" xfId="2537" xr:uid="{00000000-0005-0000-0000-0000562C0000}"/>
    <cellStyle name="链接单元格 4" xfId="2538" xr:uid="{00000000-0005-0000-0000-0000572C0000}"/>
    <cellStyle name="链接单元格 5" xfId="2539" xr:uid="{00000000-0005-0000-0000-0000582C0000}"/>
    <cellStyle name="链接单元格 6" xfId="2540" xr:uid="{00000000-0005-0000-0000-0000592C0000}"/>
    <cellStyle name="链接单元格 7" xfId="2541" xr:uid="{00000000-0005-0000-0000-00005A2C0000}"/>
    <cellStyle name="链接单元格 8" xfId="2542" xr:uid="{00000000-0005-0000-0000-00005B2C0000}"/>
    <cellStyle name="链接单元格 9" xfId="2543" xr:uid="{00000000-0005-0000-0000-00005C2C0000}"/>
    <cellStyle name="霓付 [0]_97MBO" xfId="4182" xr:uid="{00000000-0005-0000-0000-00005D2C0000}"/>
    <cellStyle name="霓付_97MBO" xfId="4183" xr:uid="{00000000-0005-0000-0000-00005E2C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E76AA"/>
      <rgbColor rgb="00CFD6E6"/>
      <rgbColor rgb="009EADCC"/>
      <rgbColor rgb="00EFF1F6"/>
      <rgbColor rgb="00BFC8DD"/>
      <rgbColor rgb="008E9FC4"/>
      <rgbColor rgb="00DFE4EE"/>
      <rgbColor rgb="00AEBAD5"/>
      <rgbColor rgb="00000000"/>
      <rgbColor rgb="00AAAAAA"/>
      <rgbColor rgb="00444444"/>
      <rgbColor rgb="00CCCCCC"/>
      <rgbColor rgb="00888888"/>
      <rgbColor rgb="00666666"/>
      <rgbColor rgb="00EEEEEE"/>
      <rgbColor rgb="00222222"/>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8000"/>
      <color rgb="FFFFFF99"/>
      <color rgb="FFFF99FF"/>
      <color rgb="FFFF0000"/>
      <color rgb="FFACD4F1"/>
      <color rgb="FFFF9900"/>
      <color rgb="FFFF66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querytool.functions">
      <tp t="e">
        <v>#N/A</v>
        <stp/>
        <stp>Keyword</stp>
        <stp>7f8b9871-b56f-41bf-9372-27b9213f6f54</stp>
        <stp>5347.TWO</stp>
        <stp>EPS_PUB</stp>
        <stp>2025</stp>
        <stp>PRICING</stp>
        <stp/>
        <stp/>
        <stp>LIVE</stp>
        <stp>FALSE</stp>
        <stp>FALSE</stp>
        <stp>FALSE</stp>
        <stp>FALSE</stp>
        <stp/>
        <tr r="J140" s="157"/>
      </tp>
      <tp t="e">
        <v>#N/A</v>
        <stp/>
        <stp>Keyword</stp>
        <stp>7f8b9871-b56f-41bf-9372-27b9213f6f54</stp>
        <stp>5347.TWO</stp>
        <stp>EPS_PUB</stp>
        <stp>2024</stp>
        <stp>PRICING</stp>
        <stp/>
        <stp/>
        <stp>LIVE</stp>
        <stp>FALSE</stp>
        <stp>FALSE</stp>
        <stp>FALSE</stp>
        <stp>FALSE</stp>
        <stp/>
        <tr r="I140" s="157"/>
      </tp>
      <tp t="e">
        <v>#N/A</v>
        <stp/>
        <stp>Keyword</stp>
        <stp>7f8b9871-b56f-41bf-9372-27b9213f6f54</stp>
        <stp>5347.TWO</stp>
        <stp>EPS_PUB</stp>
        <stp>2027</stp>
        <stp>PRICING</stp>
        <stp/>
        <stp/>
        <stp>LIVE</stp>
        <stp>FALSE</stp>
        <stp>FALSE</stp>
        <stp>FALSE</stp>
        <stp>FALSE</stp>
        <stp/>
        <tr r="L140" s="157"/>
      </tp>
      <tp t="e">
        <v>#N/A</v>
        <stp/>
        <stp>Keyword</stp>
        <stp>7f8b9871-b56f-41bf-9372-27b9213f6f54</stp>
        <stp>5347.TWO</stp>
        <stp>EPS_PUB</stp>
        <stp>2026</stp>
        <stp>PRICING</stp>
        <stp/>
        <stp/>
        <stp>LIVE</stp>
        <stp>FALSE</stp>
        <stp>FALSE</stp>
        <stp>FALSE</stp>
        <stp>FALSE</stp>
        <stp/>
        <tr r="K140" s="157"/>
      </tp>
    </main>
    <main first="querytool.functions">
      <tp t="e">
        <v>#N/A</v>
        <stp/>
        <stp>Keyword</stp>
        <stp>7f8b9871-b56f-41bf-9372-27b9213f6f54</stp>
        <stp>005930.KS</stp>
        <stp>EPS_PUB</stp>
        <stp>2024</stp>
        <stp>PRICING</stp>
        <stp/>
        <stp/>
        <stp>LIVE</stp>
        <stp>FALSE</stp>
        <stp>FALSE</stp>
        <stp>FALSE</stp>
        <stp>FALSE</stp>
        <stp/>
        <tr r="I151" s="157"/>
      </tp>
      <tp t="e">
        <v>#N/A</v>
        <stp/>
        <stp>Keyword</stp>
        <stp>7f8b9871-b56f-41bf-9372-27b9213f6f54</stp>
        <stp>005930.KS</stp>
        <stp>EPS_PUB</stp>
        <stp>2025</stp>
        <stp>PRICING</stp>
        <stp/>
        <stp/>
        <stp>LIVE</stp>
        <stp>FALSE</stp>
        <stp>FALSE</stp>
        <stp>FALSE</stp>
        <stp>FALSE</stp>
        <stp/>
        <tr r="J151" s="157"/>
      </tp>
      <tp t="e">
        <v>#N/A</v>
        <stp/>
        <stp>Keyword</stp>
        <stp>7f8b9871-b56f-41bf-9372-27b9213f6f54</stp>
        <stp>005930.KS</stp>
        <stp>EPS_PUB</stp>
        <stp>2026</stp>
        <stp>PRICING</stp>
        <stp/>
        <stp/>
        <stp>LIVE</stp>
        <stp>FALSE</stp>
        <stp>FALSE</stp>
        <stp>FALSE</stp>
        <stp>FALSE</stp>
        <stp/>
        <tr r="K151" s="157"/>
      </tp>
      <tp t="e">
        <v>#N/A</v>
        <stp/>
        <stp>Keyword</stp>
        <stp>7f8b9871-b56f-41bf-9372-27b9213f6f54</stp>
        <stp>005930.KS</stp>
        <stp>EPS_PUB</stp>
        <stp>2027</stp>
        <stp>PRICING</stp>
        <stp/>
        <stp/>
        <stp>LIVE</stp>
        <stp>FALSE</stp>
        <stp>FALSE</stp>
        <stp>FALSE</stp>
        <stp>FALSE</stp>
        <stp/>
        <tr r="L151" s="157"/>
      </tp>
    </main>
    <main first="querytool.functions">
      <tp t="e">
        <v>#N/A</v>
        <stp/>
        <stp>Keyword</stp>
        <stp>7f8b9871-b56f-41bf-9372-27b9213f6f54</stp>
        <stp>603501.SS</stp>
        <stp>EPS_PUB</stp>
        <stp>2025</stp>
        <stp>PRICING</stp>
        <stp/>
        <stp/>
        <stp>LIVE</stp>
        <stp>FALSE</stp>
        <stp>FALSE</stp>
        <stp>FALSE</stp>
        <stp>FALSE</stp>
        <stp/>
        <tr r="J163" s="157"/>
      </tp>
      <tp t="e">
        <v>#N/A</v>
        <stp/>
        <stp>Keyword</stp>
        <stp>7f8b9871-b56f-41bf-9372-27b9213f6f54</stp>
        <stp>603501.SS</stp>
        <stp>EPS_PUB</stp>
        <stp>2024</stp>
        <stp>PRICING</stp>
        <stp/>
        <stp/>
        <stp>LIVE</stp>
        <stp>FALSE</stp>
        <stp>FALSE</stp>
        <stp>FALSE</stp>
        <stp>FALSE</stp>
        <stp/>
        <tr r="I163" s="157"/>
      </tp>
      <tp t="e">
        <v>#N/A</v>
        <stp/>
        <stp>Keyword</stp>
        <stp>7f8b9871-b56f-41bf-9372-27b9213f6f54</stp>
        <stp>603501.SS</stp>
        <stp>EPS_PUB</stp>
        <stp>2027</stp>
        <stp>PRICING</stp>
        <stp/>
        <stp/>
        <stp>LIVE</stp>
        <stp>FALSE</stp>
        <stp>FALSE</stp>
        <stp>FALSE</stp>
        <stp>FALSE</stp>
        <stp/>
        <tr r="L163" s="157"/>
      </tp>
      <tp t="e">
        <v>#N/A</v>
        <stp/>
        <stp>Keyword</stp>
        <stp>7f8b9871-b56f-41bf-9372-27b9213f6f54</stp>
        <stp>603501.SS</stp>
        <stp>EPS_PUB</stp>
        <stp>2026</stp>
        <stp>PRICING</stp>
        <stp/>
        <stp/>
        <stp>LIVE</stp>
        <stp>FALSE</stp>
        <stp>FALSE</stp>
        <stp>FALSE</stp>
        <stp>FALSE</stp>
        <stp/>
        <tr r="K163" s="157"/>
      </tp>
    </main>
    <main first="querytool.functions">
      <tp t="e">
        <v>#N/A</v>
        <stp/>
        <stp>Keyword</stp>
        <stp>7f8b9871-b56f-41bf-9372-27b9213f6f54</stp>
        <stp>600584.SS</stp>
        <stp>EPS_PUB</stp>
        <stp>2024</stp>
        <stp>PRICING</stp>
        <stp/>
        <stp/>
        <stp>LIVE</stp>
        <stp>FALSE</stp>
        <stp>FALSE</stp>
        <stp>FALSE</stp>
        <stp>FALSE</stp>
        <stp/>
        <tr r="I157" s="157"/>
      </tp>
      <tp t="e">
        <v>#N/A</v>
        <stp/>
        <stp>Keyword</stp>
        <stp>7f8b9871-b56f-41bf-9372-27b9213f6f54</stp>
        <stp>600584.SS</stp>
        <stp>EPS_PUB</stp>
        <stp>2025</stp>
        <stp>PRICING</stp>
        <stp/>
        <stp/>
        <stp>LIVE</stp>
        <stp>FALSE</stp>
        <stp>FALSE</stp>
        <stp>FALSE</stp>
        <stp>FALSE</stp>
        <stp/>
        <tr r="J157" s="157"/>
      </tp>
      <tp t="e">
        <v>#N/A</v>
        <stp/>
        <stp>Keyword</stp>
        <stp>7f8b9871-b56f-41bf-9372-27b9213f6f54</stp>
        <stp>600584.SS</stp>
        <stp>EPS_PUB</stp>
        <stp>2026</stp>
        <stp>PRICING</stp>
        <stp/>
        <stp/>
        <stp>LIVE</stp>
        <stp>FALSE</stp>
        <stp>FALSE</stp>
        <stp>FALSE</stp>
        <stp>FALSE</stp>
        <stp/>
        <tr r="K157" s="157"/>
      </tp>
      <tp t="e">
        <v>#N/A</v>
        <stp/>
        <stp>Keyword</stp>
        <stp>7f8b9871-b56f-41bf-9372-27b9213f6f54</stp>
        <stp>600584.SS</stp>
        <stp>EPS_PUB</stp>
        <stp>2027</stp>
        <stp>PRICING</stp>
        <stp/>
        <stp/>
        <stp>LIVE</stp>
        <stp>FALSE</stp>
        <stp>FALSE</stp>
        <stp>FALSE</stp>
        <stp>FALSE</stp>
        <stp/>
        <tr r="L157" s="157"/>
      </tp>
    </main>
    <main first="querytool.functions">
      <tp t="e">
        <v>#N/A</v>
        <stp/>
        <stp>Keyword</stp>
        <stp>7f8b9871-b56f-41bf-9372-27b9213f6f54</stp>
        <stp>688012.SS</stp>
        <stp>EPS_PUB</stp>
        <stp>2026</stp>
        <stp>PRICING</stp>
        <stp/>
        <stp/>
        <stp>LIVE</stp>
        <stp>FALSE</stp>
        <stp>FALSE</stp>
        <stp>FALSE</stp>
        <stp>FALSE</stp>
        <stp/>
        <tr r="K162" s="157"/>
      </tp>
      <tp t="e">
        <v>#N/A</v>
        <stp/>
        <stp>Keyword</stp>
        <stp>7f8b9871-b56f-41bf-9372-27b9213f6f54</stp>
        <stp>688012.SS</stp>
        <stp>EPS_PUB</stp>
        <stp>2027</stp>
        <stp>PRICING</stp>
        <stp/>
        <stp/>
        <stp>LIVE</stp>
        <stp>FALSE</stp>
        <stp>FALSE</stp>
        <stp>FALSE</stp>
        <stp>FALSE</stp>
        <stp/>
        <tr r="L162" s="157"/>
      </tp>
      <tp t="e">
        <v>#N/A</v>
        <stp/>
        <stp>Keyword</stp>
        <stp>7f8b9871-b56f-41bf-9372-27b9213f6f54</stp>
        <stp>688012.SS</stp>
        <stp>EPS_PUB</stp>
        <stp>2024</stp>
        <stp>PRICING</stp>
        <stp/>
        <stp/>
        <stp>LIVE</stp>
        <stp>FALSE</stp>
        <stp>FALSE</stp>
        <stp>FALSE</stp>
        <stp>FALSE</stp>
        <stp/>
        <tr r="I162" s="157"/>
      </tp>
      <tp t="e">
        <v>#N/A</v>
        <stp/>
        <stp>Keyword</stp>
        <stp>7f8b9871-b56f-41bf-9372-27b9213f6f54</stp>
        <stp>688012.SS</stp>
        <stp>EPS_PUB</stp>
        <stp>2025</stp>
        <stp>PRICING</stp>
        <stp/>
        <stp/>
        <stp>LIVE</stp>
        <stp>FALSE</stp>
        <stp>FALSE</stp>
        <stp>FALSE</stp>
        <stp>FALSE</stp>
        <stp/>
        <tr r="J162" s="157"/>
      </tp>
    </main>
    <main first="querytool.functions">
      <tp t="e">
        <v>#N/A</v>
        <stp/>
        <stp>Keyword</stp>
        <stp>7f8b9871-b56f-41bf-9372-27b9213f6f54</stp>
        <stp>688249.SS</stp>
        <stp>EPS_PUB</stp>
        <stp>2025</stp>
        <stp>PRICING</stp>
        <stp/>
        <stp/>
        <stp>LIVE</stp>
        <stp>FALSE</stp>
        <stp>FALSE</stp>
        <stp>FALSE</stp>
        <stp>FALSE</stp>
        <stp/>
        <tr r="J143" s="157"/>
      </tp>
      <tp t="e">
        <v>#N/A</v>
        <stp/>
        <stp>Keyword</stp>
        <stp>7f8b9871-b56f-41bf-9372-27b9213f6f54</stp>
        <stp>688249.SS</stp>
        <stp>EPS_PUB</stp>
        <stp>2024</stp>
        <stp>PRICING</stp>
        <stp/>
        <stp/>
        <stp>LIVE</stp>
        <stp>FALSE</stp>
        <stp>FALSE</stp>
        <stp>FALSE</stp>
        <stp>FALSE</stp>
        <stp/>
        <tr r="I143" s="157"/>
      </tp>
      <tp t="e">
        <v>#N/A</v>
        <stp/>
        <stp>Keyword</stp>
        <stp>7f8b9871-b56f-41bf-9372-27b9213f6f54</stp>
        <stp>688249.SS</stp>
        <stp>EPS_PUB</stp>
        <stp>2027</stp>
        <stp>PRICING</stp>
        <stp/>
        <stp/>
        <stp>LIVE</stp>
        <stp>FALSE</stp>
        <stp>FALSE</stp>
        <stp>FALSE</stp>
        <stp>FALSE</stp>
        <stp/>
        <tr r="L143" s="157"/>
      </tp>
      <tp t="e">
        <v>#N/A</v>
        <stp/>
        <stp>Keyword</stp>
        <stp>7f8b9871-b56f-41bf-9372-27b9213f6f54</stp>
        <stp>688249.SS</stp>
        <stp>EPS_PUB</stp>
        <stp>2026</stp>
        <stp>PRICING</stp>
        <stp/>
        <stp/>
        <stp>LIVE</stp>
        <stp>FALSE</stp>
        <stp>FALSE</stp>
        <stp>FALSE</stp>
        <stp>FALSE</stp>
        <stp/>
        <tr r="K143" s="157"/>
      </tp>
      <tp t="e">
        <v>#N/A</v>
        <stp/>
        <stp>Keyword</stp>
        <stp>7f8b9871-b56f-41bf-9372-27b9213f6f54</stp>
        <stp>688200.SS</stp>
        <stp>EPS_PUB</stp>
        <stp>2024</stp>
        <stp>PRICING</stp>
        <stp/>
        <stp/>
        <stp>LIVE</stp>
        <stp>FALSE</stp>
        <stp>FALSE</stp>
        <stp>FALSE</stp>
        <stp>FALSE</stp>
        <stp/>
        <tr r="I160" s="157"/>
      </tp>
      <tp t="e">
        <v>#N/A</v>
        <stp/>
        <stp>Keyword</stp>
        <stp>7f8b9871-b56f-41bf-9372-27b9213f6f54</stp>
        <stp>688200.SS</stp>
        <stp>EPS_PUB</stp>
        <stp>2025</stp>
        <stp>PRICING</stp>
        <stp/>
        <stp/>
        <stp>LIVE</stp>
        <stp>FALSE</stp>
        <stp>FALSE</stp>
        <stp>FALSE</stp>
        <stp>FALSE</stp>
        <stp/>
        <tr r="J160" s="157"/>
      </tp>
      <tp t="e">
        <v>#N/A</v>
        <stp/>
        <stp>Keyword</stp>
        <stp>7f8b9871-b56f-41bf-9372-27b9213f6f54</stp>
        <stp>688200.SS</stp>
        <stp>EPS_PUB</stp>
        <stp>2026</stp>
        <stp>PRICING</stp>
        <stp/>
        <stp/>
        <stp>LIVE</stp>
        <stp>FALSE</stp>
        <stp>FALSE</stp>
        <stp>FALSE</stp>
        <stp>FALSE</stp>
        <stp/>
        <tr r="K160" s="157"/>
      </tp>
      <tp t="e">
        <v>#N/A</v>
        <stp/>
        <stp>Keyword</stp>
        <stp>7f8b9871-b56f-41bf-9372-27b9213f6f54</stp>
        <stp>688200.SS</stp>
        <stp>EPS_PUB</stp>
        <stp>2027</stp>
        <stp>PRICING</stp>
        <stp/>
        <stp/>
        <stp>LIVE</stp>
        <stp>FALSE</stp>
        <stp>FALSE</stp>
        <stp>FALSE</stp>
        <stp>FALSE</stp>
        <stp/>
        <tr r="L160" s="157"/>
      </tp>
    </main>
    <main first="querytool.functions">
      <tp t="e">
        <v>#N/A</v>
        <stp/>
        <stp>Keyword</stp>
        <stp>7f8b9871-b56f-41bf-9372-27b9213f6f54</stp>
        <stp>301269.SZ</stp>
        <stp>EPS_PUB</stp>
        <stp>2025</stp>
        <stp>PRICING</stp>
        <stp/>
        <stp/>
        <stp>LIVE</stp>
        <stp>FALSE</stp>
        <stp>FALSE</stp>
        <stp>FALSE</stp>
        <stp>FALSE</stp>
        <stp/>
        <tr r="J154" s="157"/>
      </tp>
      <tp t="e">
        <v>#N/A</v>
        <stp/>
        <stp>Keyword</stp>
        <stp>7f8b9871-b56f-41bf-9372-27b9213f6f54</stp>
        <stp>301269.SZ</stp>
        <stp>EPS_PUB</stp>
        <stp>2024</stp>
        <stp>PRICING</stp>
        <stp/>
        <stp/>
        <stp>LIVE</stp>
        <stp>FALSE</stp>
        <stp>FALSE</stp>
        <stp>FALSE</stp>
        <stp>FALSE</stp>
        <stp/>
        <tr r="I154" s="157"/>
      </tp>
      <tp t="e">
        <v>#N/A</v>
        <stp/>
        <stp>Keyword</stp>
        <stp>7f8b9871-b56f-41bf-9372-27b9213f6f54</stp>
        <stp>301269.SZ</stp>
        <stp>EPS_PUB</stp>
        <stp>2027</stp>
        <stp>PRICING</stp>
        <stp/>
        <stp/>
        <stp>LIVE</stp>
        <stp>FALSE</stp>
        <stp>FALSE</stp>
        <stp>FALSE</stp>
        <stp>FALSE</stp>
        <stp/>
        <tr r="L154" s="157"/>
      </tp>
      <tp t="e">
        <v>#N/A</v>
        <stp/>
        <stp>Keyword</stp>
        <stp>7f8b9871-b56f-41bf-9372-27b9213f6f54</stp>
        <stp>301269.SZ</stp>
        <stp>EPS_PUB</stp>
        <stp>2026</stp>
        <stp>PRICING</stp>
        <stp/>
        <stp/>
        <stp>LIVE</stp>
        <stp>FALSE</stp>
        <stp>FALSE</stp>
        <stp>FALSE</stp>
        <stp>FALSE</stp>
        <stp/>
        <tr r="K154" s="157"/>
      </tp>
    </main>
    <main first="querytool.functions">
      <tp t="e">
        <v>#N/A</v>
        <stp/>
        <stp>Keyword</stp>
        <stp>7f8b9871-b56f-41bf-9372-27b9213f6f54</stp>
        <stp>688396.SS</stp>
        <stp>EPS_PUB</stp>
        <stp>2026</stp>
        <stp>PRICING</stp>
        <stp/>
        <stp/>
        <stp>LIVE</stp>
        <stp>FALSE</stp>
        <stp>FALSE</stp>
        <stp>FALSE</stp>
        <stp>FALSE</stp>
        <stp/>
        <tr r="K144" s="157"/>
      </tp>
      <tp t="e">
        <v>#N/A</v>
        <stp/>
        <stp>Keyword</stp>
        <stp>7f8b9871-b56f-41bf-9372-27b9213f6f54</stp>
        <stp>688396.SS</stp>
        <stp>EPS_PUB</stp>
        <stp>2027</stp>
        <stp>PRICING</stp>
        <stp/>
        <stp/>
        <stp>LIVE</stp>
        <stp>FALSE</stp>
        <stp>FALSE</stp>
        <stp>FALSE</stp>
        <stp>FALSE</stp>
        <stp/>
        <tr r="L144" s="157"/>
      </tp>
      <tp t="e">
        <v>#N/A</v>
        <stp/>
        <stp>Keyword</stp>
        <stp>7f8b9871-b56f-41bf-9372-27b9213f6f54</stp>
        <stp>688396.SS</stp>
        <stp>EPS_PUB</stp>
        <stp>2024</stp>
        <stp>PRICING</stp>
        <stp/>
        <stp/>
        <stp>LIVE</stp>
        <stp>FALSE</stp>
        <stp>FALSE</stp>
        <stp>FALSE</stp>
        <stp>FALSE</stp>
        <stp/>
        <tr r="I144" s="157"/>
      </tp>
      <tp t="e">
        <v>#N/A</v>
        <stp/>
        <stp>Keyword</stp>
        <stp>7f8b9871-b56f-41bf-9372-27b9213f6f54</stp>
        <stp>688396.SS</stp>
        <stp>EPS_PUB</stp>
        <stp>2025</stp>
        <stp>PRICING</stp>
        <stp/>
        <stp/>
        <stp>LIVE</stp>
        <stp>FALSE</stp>
        <stp>FALSE</stp>
        <stp>FALSE</stp>
        <stp>FALSE</stp>
        <stp/>
        <tr r="J144" s="157"/>
      </tp>
    </main>
    <main first="querytool.functions">
      <tp t="e">
        <v>#N/A</v>
        <stp/>
        <stp>Keyword</stp>
        <stp>7f8b9871-b56f-41bf-9372-27b9213f6f54</stp>
        <stp>002371.SZ</stp>
        <stp>EPS_PUB</stp>
        <stp>2025</stp>
        <stp>PRICING</stp>
        <stp/>
        <stp/>
        <stp>LIVE</stp>
        <stp>FALSE</stp>
        <stp>FALSE</stp>
        <stp>FALSE</stp>
        <stp>FALSE</stp>
        <stp/>
        <tr r="J161" s="157"/>
      </tp>
      <tp t="e">
        <v>#N/A</v>
        <stp/>
        <stp>Keyword</stp>
        <stp>7f8b9871-b56f-41bf-9372-27b9213f6f54</stp>
        <stp>002371.SZ</stp>
        <stp>EPS_PUB</stp>
        <stp>2024</stp>
        <stp>PRICING</stp>
        <stp/>
        <stp/>
        <stp>LIVE</stp>
        <stp>FALSE</stp>
        <stp>FALSE</stp>
        <stp>FALSE</stp>
        <stp>FALSE</stp>
        <stp/>
        <tr r="I161" s="157"/>
      </tp>
      <tp t="e">
        <v>#N/A</v>
        <stp/>
        <stp>Keyword</stp>
        <stp>7f8b9871-b56f-41bf-9372-27b9213f6f54</stp>
        <stp>002371.SZ</stp>
        <stp>EPS_PUB</stp>
        <stp>2027</stp>
        <stp>PRICING</stp>
        <stp/>
        <stp/>
        <stp>LIVE</stp>
        <stp>FALSE</stp>
        <stp>FALSE</stp>
        <stp>FALSE</stp>
        <stp>FALSE</stp>
        <stp/>
        <tr r="L161" s="157"/>
      </tp>
      <tp t="e">
        <v>#N/A</v>
        <stp/>
        <stp>Keyword</stp>
        <stp>7f8b9871-b56f-41bf-9372-27b9213f6f54</stp>
        <stp>002371.SZ</stp>
        <stp>EPS_PUB</stp>
        <stp>2026</stp>
        <stp>PRICING</stp>
        <stp/>
        <stp/>
        <stp>LIVE</stp>
        <stp>FALSE</stp>
        <stp>FALSE</stp>
        <stp>FALSE</stp>
        <stp>FALSE</stp>
        <stp/>
        <tr r="K161" s="157"/>
      </tp>
    </main>
    <main first="querytool.functions">
      <tp t="e">
        <v>#N/A</v>
        <stp/>
        <stp>Keyword</stp>
        <stp>7f8b9871-b56f-41bf-9372-27b9213f6f54</stp>
        <stp>688981.SS</stp>
        <stp>EPS_PUB</stp>
        <stp>2025</stp>
        <stp>PRICING</stp>
        <stp/>
        <stp/>
        <stp>LIVE</stp>
        <stp>FALSE</stp>
        <stp>FALSE</stp>
        <stp>FALSE</stp>
        <stp>FALSE</stp>
        <stp/>
        <tr r="J141" s="157"/>
      </tp>
      <tp t="e">
        <v>#N/A</v>
        <stp/>
        <stp>Keyword</stp>
        <stp>7f8b9871-b56f-41bf-9372-27b9213f6f54</stp>
        <stp>688981.SS</stp>
        <stp>EPS_PUB</stp>
        <stp>2024</stp>
        <stp>PRICING</stp>
        <stp/>
        <stp/>
        <stp>LIVE</stp>
        <stp>FALSE</stp>
        <stp>FALSE</stp>
        <stp>FALSE</stp>
        <stp>FALSE</stp>
        <stp/>
        <tr r="I141" s="157"/>
      </tp>
      <tp t="e">
        <v>#N/A</v>
        <stp/>
        <stp>Keyword</stp>
        <stp>7f8b9871-b56f-41bf-9372-27b9213f6f54</stp>
        <stp>688981.SS</stp>
        <stp>EPS_PUB</stp>
        <stp>2027</stp>
        <stp>PRICING</stp>
        <stp/>
        <stp/>
        <stp>LIVE</stp>
        <stp>FALSE</stp>
        <stp>FALSE</stp>
        <stp>FALSE</stp>
        <stp>FALSE</stp>
        <stp/>
        <tr r="L141" s="157"/>
      </tp>
      <tp t="e">
        <v>#N/A</v>
        <stp/>
        <stp>Keyword</stp>
        <stp>7f8b9871-b56f-41bf-9372-27b9213f6f54</stp>
        <stp>688981.SS</stp>
        <stp>EPS_PUB</stp>
        <stp>2026</stp>
        <stp>PRICING</stp>
        <stp/>
        <stp/>
        <stp>LIVE</stp>
        <stp>FALSE</stp>
        <stp>FALSE</stp>
        <stp>FALSE</stp>
        <stp>FALSE</stp>
        <stp/>
        <tr r="K141" s="157"/>
      </tp>
    </main>
    <main first="querytool.functions">
      <tp t="e">
        <v>#N/A</v>
        <stp/>
        <stp>Keyword</stp>
        <stp>7f8b9871-b56f-41bf-9372-27b9213f6f54</stp>
        <stp xml:space="preserve">
600703.SS</stp>
        <stp>EPS_PUB</stp>
        <stp>2027</stp>
        <stp>PRICING</stp>
        <stp/>
        <stp/>
        <stp>LIVE</stp>
        <stp>FALSE</stp>
        <stp>FALSE</stp>
        <stp>FALSE</stp>
        <stp>FALSE</stp>
        <stp/>
        <tr r="L145" s="157"/>
      </tp>
      <tp t="e">
        <v>#N/A</v>
        <stp/>
        <stp>Keyword</stp>
        <stp>7f8b9871-b56f-41bf-9372-27b9213f6f54</stp>
        <stp xml:space="preserve">
600703.SS</stp>
        <stp>EPS_PUB</stp>
        <stp>2026</stp>
        <stp>PRICING</stp>
        <stp/>
        <stp/>
        <stp>LIVE</stp>
        <stp>FALSE</stp>
        <stp>FALSE</stp>
        <stp>FALSE</stp>
        <stp>FALSE</stp>
        <stp/>
        <tr r="K145" s="157"/>
      </tp>
      <tp t="e">
        <v>#N/A</v>
        <stp/>
        <stp>Keyword</stp>
        <stp>7f8b9871-b56f-41bf-9372-27b9213f6f54</stp>
        <stp xml:space="preserve">
600703.SS</stp>
        <stp>EPS_PUB</stp>
        <stp>2025</stp>
        <stp>PRICING</stp>
        <stp/>
        <stp/>
        <stp>LIVE</stp>
        <stp>FALSE</stp>
        <stp>FALSE</stp>
        <stp>FALSE</stp>
        <stp>FALSE</stp>
        <stp/>
        <tr r="J145" s="157"/>
      </tp>
      <tp t="e">
        <v>#N/A</v>
        <stp/>
        <stp>Keyword</stp>
        <stp>7f8b9871-b56f-41bf-9372-27b9213f6f54</stp>
        <stp xml:space="preserve">
600703.SS</stp>
        <stp>EPS_PUB</stp>
        <stp>2024</stp>
        <stp>PRICING</stp>
        <stp/>
        <stp/>
        <stp>LIVE</stp>
        <stp>FALSE</stp>
        <stp>FALSE</stp>
        <stp>FALSE</stp>
        <stp>FALSE</stp>
        <stp/>
        <tr r="I145" s="157"/>
      </tp>
    </main>
    <main first="querytool.functions">
      <tp t="e">
        <v>#N/A</v>
        <stp/>
        <stp>Keyword</stp>
        <stp>7f8b9871-b56f-41bf-9372-27b9213f6f54</stp>
        <stp>TSM</stp>
        <stp>EPS_PUB</stp>
        <stp>2025</stp>
        <stp>PRICING</stp>
        <stp/>
        <stp/>
        <stp>LIVE</stp>
        <stp>FALSE</stp>
        <stp>FALSE</stp>
        <stp>FALSE</stp>
        <stp>FALSE</stp>
        <stp/>
        <tr r="J138" s="157"/>
      </tp>
      <tp t="e">
        <v>#N/A</v>
        <stp/>
        <stp>Keyword</stp>
        <stp>7f8b9871-b56f-41bf-9372-27b9213f6f54</stp>
        <stp>TSM</stp>
        <stp>EPS_PUB</stp>
        <stp>2024</stp>
        <stp>PRICING</stp>
        <stp/>
        <stp/>
        <stp>LIVE</stp>
        <stp>FALSE</stp>
        <stp>FALSE</stp>
        <stp>FALSE</stp>
        <stp>FALSE</stp>
        <stp/>
        <tr r="I138" s="157"/>
      </tp>
      <tp t="e">
        <v>#N/A</v>
        <stp/>
        <stp>Keyword</stp>
        <stp>7f8b9871-b56f-41bf-9372-27b9213f6f54</stp>
        <stp>TSM</stp>
        <stp>EPS_PUB</stp>
        <stp>2027</stp>
        <stp>PRICING</stp>
        <stp/>
        <stp/>
        <stp>LIVE</stp>
        <stp>FALSE</stp>
        <stp>FALSE</stp>
        <stp>FALSE</stp>
        <stp>FALSE</stp>
        <stp/>
        <tr r="L138" s="157"/>
      </tp>
      <tp t="e">
        <v>#N/A</v>
        <stp/>
        <stp>Keyword</stp>
        <stp>7f8b9871-b56f-41bf-9372-27b9213f6f54</stp>
        <stp>TSM</stp>
        <stp>EPS_PUB</stp>
        <stp>2026</stp>
        <stp>PRICING</stp>
        <stp/>
        <stp/>
        <stp>LIVE</stp>
        <stp>FALSE</stp>
        <stp>FALSE</stp>
        <stp>FALSE</stp>
        <stp>FALSE</stp>
        <stp/>
        <tr r="K138" s="157"/>
      </tp>
    </main>
    <main first="querytool.functions">
      <tp t="e">
        <v>#N/A</v>
        <stp/>
        <stp>Keyword</stp>
        <stp>7f8b9871-b56f-41bf-9372-27b9213f6f54</stp>
        <stp>2330.TW</stp>
        <stp>EPS_PUB</stp>
        <stp>2025</stp>
        <stp>PRICING</stp>
        <stp/>
        <stp/>
        <stp>LIVE</stp>
        <stp>FALSE</stp>
        <stp>FALSE</stp>
        <stp>FALSE</stp>
        <stp>FALSE</stp>
        <stp/>
        <tr r="J137" s="157"/>
      </tp>
      <tp t="e">
        <v>#N/A</v>
        <stp/>
        <stp>Keyword</stp>
        <stp>7f8b9871-b56f-41bf-9372-27b9213f6f54</stp>
        <stp>2330.TW</stp>
        <stp>EPS_PUB</stp>
        <stp>2024</stp>
        <stp>PRICING</stp>
        <stp/>
        <stp/>
        <stp>LIVE</stp>
        <stp>FALSE</stp>
        <stp>FALSE</stp>
        <stp>FALSE</stp>
        <stp>FALSE</stp>
        <stp/>
        <tr r="I137" s="157"/>
      </tp>
      <tp t="e">
        <v>#N/A</v>
        <stp/>
        <stp>Keyword</stp>
        <stp>7f8b9871-b56f-41bf-9372-27b9213f6f54</stp>
        <stp>2330.TW</stp>
        <stp>EPS_PUB</stp>
        <stp>2027</stp>
        <stp>PRICING</stp>
        <stp/>
        <stp/>
        <stp>LIVE</stp>
        <stp>FALSE</stp>
        <stp>FALSE</stp>
        <stp>FALSE</stp>
        <stp>FALSE</stp>
        <stp/>
        <tr r="L137" s="157"/>
      </tp>
      <tp t="e">
        <v>#N/A</v>
        <stp/>
        <stp>Keyword</stp>
        <stp>7f8b9871-b56f-41bf-9372-27b9213f6f54</stp>
        <stp>2330.TW</stp>
        <stp>EPS_PUB</stp>
        <stp>2026</stp>
        <stp>PRICING</stp>
        <stp/>
        <stp/>
        <stp>LIVE</stp>
        <stp>FALSE</stp>
        <stp>FALSE</stp>
        <stp>FALSE</stp>
        <stp>FALSE</stp>
        <stp/>
        <tr r="K137" s="157"/>
      </tp>
      <tp t="e">
        <v>#N/A</v>
        <stp/>
        <stp>Keyword</stp>
        <stp>7f8b9871-b56f-41bf-9372-27b9213f6f54</stp>
        <stp>2303.TW</stp>
        <stp>EPS_PUB</stp>
        <stp>2026</stp>
        <stp>PRICING</stp>
        <stp/>
        <stp/>
        <stp>LIVE</stp>
        <stp>FALSE</stp>
        <stp>FALSE</stp>
        <stp>FALSE</stp>
        <stp>FALSE</stp>
        <stp/>
        <tr r="K139" s="157"/>
      </tp>
      <tp t="e">
        <v>#N/A</v>
        <stp/>
        <stp>Keyword</stp>
        <stp>7f8b9871-b56f-41bf-9372-27b9213f6f54</stp>
        <stp>2303.TW</stp>
        <stp>EPS_PUB</stp>
        <stp>2027</stp>
        <stp>PRICING</stp>
        <stp/>
        <stp/>
        <stp>LIVE</stp>
        <stp>FALSE</stp>
        <stp>FALSE</stp>
        <stp>FALSE</stp>
        <stp>FALSE</stp>
        <stp/>
        <tr r="L139" s="157"/>
      </tp>
      <tp t="e">
        <v>#N/A</v>
        <stp/>
        <stp>Keyword</stp>
        <stp>7f8b9871-b56f-41bf-9372-27b9213f6f54</stp>
        <stp>2303.TW</stp>
        <stp>EPS_PUB</stp>
        <stp>2024</stp>
        <stp>PRICING</stp>
        <stp/>
        <stp/>
        <stp>LIVE</stp>
        <stp>FALSE</stp>
        <stp>FALSE</stp>
        <stp>FALSE</stp>
        <stp>FALSE</stp>
        <stp/>
        <tr r="I139" s="157"/>
      </tp>
      <tp t="e">
        <v>#N/A</v>
        <stp/>
        <stp>Keyword</stp>
        <stp>7f8b9871-b56f-41bf-9372-27b9213f6f54</stp>
        <stp>2303.TW</stp>
        <stp>EPS_PUB</stp>
        <stp>2025</stp>
        <stp>PRICING</stp>
        <stp/>
        <stp/>
        <stp>LIVE</stp>
        <stp>FALSE</stp>
        <stp>FALSE</stp>
        <stp>FALSE</stp>
        <stp>FALSE</stp>
        <stp/>
        <tr r="J139" s="157"/>
      </tp>
    </main>
    <main first="refinitivshim.rtdserver.rdp.data">
      <tp>
        <v>122.3</v>
        <stp/>
        <stp>10314</stp>
        <stp>51871765</stp>
        <tr r="N141" s="157"/>
      </tp>
      <tp>
        <v>71.95</v>
        <stp/>
        <stp>10315</stp>
        <stp>51871765</stp>
        <tr r="N142" s="157"/>
      </tp>
      <tp>
        <v>38.299999999999997</v>
        <stp/>
        <stp>10316</stp>
        <stp>51871765</stp>
        <tr r="N143" s="157"/>
      </tp>
      <tp>
        <v>62.6</v>
        <stp/>
        <stp>10317</stp>
        <stp>51871765</stp>
        <tr r="N144" s="157"/>
      </tp>
      <tp>
        <v>2295</v>
        <stp/>
        <stp>10310</stp>
        <stp>51871765</stp>
        <tr r="N137" s="157"/>
      </tp>
      <tp>
        <v>415.17</v>
        <stp/>
        <stp>10311</stp>
        <stp>51871765</stp>
        <tr r="N138" s="157"/>
      </tp>
      <tp>
        <v>121</v>
        <stp/>
        <stp>10312</stp>
        <stp>51871765</stp>
        <tr r="N139" s="157"/>
      </tp>
      <tp>
        <v>156.5</v>
        <stp/>
        <stp>10313</stp>
        <stp>51871765</stp>
        <tr r="N140" s="157"/>
      </tp>
      <tp>
        <v>16.440000000000001</v>
        <stp/>
        <stp>10318</stp>
        <stp>51871765</stp>
        <tr r="N145" s="157"/>
      </tp>
      <tp>
        <v>32.15</v>
        <stp/>
        <stp>10319</stp>
        <stp>51871765</stp>
        <tr r="N146" s="157"/>
      </tp>
    </main>
    <main first="querytool.functions">
      <tp t="e">
        <v>#N/A</v>
        <stp/>
        <stp>Keyword</stp>
        <stp>7f8b9871-b56f-41bf-9372-27b9213f6f54</stp>
        <stp>0981.HK</stp>
        <stp>EPS_PUB</stp>
        <stp>2024</stp>
        <stp>PRICING</stp>
        <stp/>
        <stp/>
        <stp>LIVE</stp>
        <stp>FALSE</stp>
        <stp>FALSE</stp>
        <stp>FALSE</stp>
        <stp>FALSE</stp>
        <stp/>
        <tr r="I142" s="157"/>
      </tp>
      <tp t="e">
        <v>#N/A</v>
        <stp/>
        <stp>Keyword</stp>
        <stp>7f8b9871-b56f-41bf-9372-27b9213f6f54</stp>
        <stp>0981.HK</stp>
        <stp>EPS_PUB</stp>
        <stp>2025</stp>
        <stp>PRICING</stp>
        <stp/>
        <stp/>
        <stp>LIVE</stp>
        <stp>FALSE</stp>
        <stp>FALSE</stp>
        <stp>FALSE</stp>
        <stp>FALSE</stp>
        <stp/>
        <tr r="J142" s="157"/>
      </tp>
      <tp t="e">
        <v>#N/A</v>
        <stp/>
        <stp>Keyword</stp>
        <stp>7f8b9871-b56f-41bf-9372-27b9213f6f54</stp>
        <stp>0981.HK</stp>
        <stp>EPS_PUB</stp>
        <stp>2026</stp>
        <stp>PRICING</stp>
        <stp/>
        <stp/>
        <stp>LIVE</stp>
        <stp>FALSE</stp>
        <stp>FALSE</stp>
        <stp>FALSE</stp>
        <stp>FALSE</stp>
        <stp/>
        <tr r="K142" s="157"/>
      </tp>
      <tp t="e">
        <v>#N/A</v>
        <stp/>
        <stp>Keyword</stp>
        <stp>7f8b9871-b56f-41bf-9372-27b9213f6f54</stp>
        <stp>0981.HK</stp>
        <stp>EPS_PUB</stp>
        <stp>2027</stp>
        <stp>PRICING</stp>
        <stp/>
        <stp/>
        <stp>LIVE</stp>
        <stp>FALSE</stp>
        <stp>FALSE</stp>
        <stp>FALSE</stp>
        <stp>FALSE</stp>
        <stp/>
        <tr r="L142" s="157"/>
      </tp>
    </main>
    <main first="refinitivshim.rtdserver.rdp.data">
      <tp>
        <v>135</v>
        <stp/>
        <stp>10308</stp>
        <stp>51871765</stp>
        <tr r="N135" s="157"/>
      </tp>
      <tp>
        <v>214.98</v>
        <stp/>
        <stp>10309</stp>
        <stp>51871765</stp>
        <tr r="N136" s="157"/>
      </tp>
    </main>
    <main first="refinitivshim.rtdserver.rdp.data">
      <tp>
        <v>586.58000000000004</v>
        <stp/>
        <stp>10330</stp>
        <stp>51871765</stp>
        <tr r="N161" s="157"/>
      </tp>
      <tp>
        <v>265.42</v>
        <stp/>
        <stp>10331</stp>
        <stp>51871765</stp>
        <tr r="N162" s="157"/>
      </tp>
      <tp>
        <v>92.04</v>
        <stp/>
        <stp>10332</stp>
        <stp>51871765</stp>
        <tr r="N163" s="157"/>
      </tp>
    </main>
    <main first="refinitivshim.rtdserver.rdp.data">
      <tp>
        <v>260.24</v>
        <stp/>
        <stp>10324</stp>
        <stp>51871765</stp>
        <tr r="N153" s="157"/>
      </tp>
      <tp>
        <v>95.64</v>
        <stp/>
        <stp>10325</stp>
        <stp>51871765</stp>
        <tr r="N154" s="157"/>
      </tp>
      <tp>
        <v>70.63</v>
        <stp/>
        <stp>10326</stp>
        <stp>51871765</stp>
        <tr r="N157" s="157"/>
      </tp>
      <tp>
        <v>62.46</v>
        <stp/>
        <stp>10327</stp>
        <stp>51871765</stp>
        <tr r="N158" s="157"/>
      </tp>
      <tp>
        <v>75.53</v>
        <stp/>
        <stp>10320</stp>
        <stp>51871765</stp>
        <tr r="N149" s="157"/>
      </tp>
    </main>
    <main first="refinitivshim.rtdserver.rdp.data">
      <tp>
        <v>235.48</v>
        <stp/>
        <stp>10321</stp>
        <stp>51871765</stp>
        <tr r="N150" s="157"/>
      </tp>
      <tp>
        <v>297000</v>
        <stp/>
        <stp>10322</stp>
        <stp>51871765</stp>
        <tr r="N151" s="157"/>
      </tp>
      <tp>
        <v>53.65</v>
        <stp/>
        <stp>10323</stp>
        <stp>51871765</stp>
        <tr r="N152" s="157"/>
      </tp>
      <tp>
        <v>94.3</v>
        <stp/>
        <stp>10328</stp>
        <stp>51871765</stp>
        <tr r="N159" s="157"/>
      </tp>
      <tp>
        <v>433.75</v>
        <stp/>
        <stp>10329</stp>
        <stp>51871765</stp>
        <tr r="N160" s="157"/>
      </tp>
    </main>
    <main first="querytool.functions">
      <tp t="e">
        <v>#N/A</v>
        <stp/>
        <stp>Keyword</stp>
        <stp>7f8b9871-b56f-41bf-9372-27b9213f6f54</stp>
        <stp>1347.HK</stp>
        <stp>EPS_PUB</stp>
        <stp>2026</stp>
        <stp>PRICING</stp>
        <stp/>
        <stp/>
        <stp>LIVE</stp>
        <stp>FALSE</stp>
        <stp>FALSE</stp>
        <stp>FALSE</stp>
        <stp>FALSE</stp>
        <stp/>
        <tr r="K135" s="157"/>
      </tp>
      <tp t="e">
        <v>#N/A</v>
        <stp/>
        <stp>Keyword</stp>
        <stp>7f8b9871-b56f-41bf-9372-27b9213f6f54</stp>
        <stp>1347.HK</stp>
        <stp>EPS_PUB</stp>
        <stp>2027</stp>
        <stp>PRICING</stp>
        <stp/>
        <stp/>
        <stp>LIVE</stp>
        <stp>FALSE</stp>
        <stp>FALSE</stp>
        <stp>FALSE</stp>
        <stp>FALSE</stp>
        <stp/>
        <tr r="L135" s="157"/>
      </tp>
      <tp t="e">
        <v>#N/A</v>
        <stp/>
        <stp>Keyword</stp>
        <stp>7f8b9871-b56f-41bf-9372-27b9213f6f54</stp>
        <stp>1347.HK</stp>
        <stp>EPS_PUB</stp>
        <stp>2024</stp>
        <stp>PRICING</stp>
        <stp/>
        <stp/>
        <stp>LIVE</stp>
        <stp>FALSE</stp>
        <stp>FALSE</stp>
        <stp>FALSE</stp>
        <stp>FALSE</stp>
        <stp/>
        <tr r="I135" s="157"/>
      </tp>
      <tp t="e">
        <v>#N/A</v>
        <stp/>
        <stp>Keyword</stp>
        <stp>7f8b9871-b56f-41bf-9372-27b9213f6f54</stp>
        <stp>1347.HK</stp>
        <stp>EPS_PUB</stp>
        <stp>2025</stp>
        <stp>PRICING</stp>
        <stp/>
        <stp/>
        <stp>LIVE</stp>
        <stp>FALSE</stp>
        <stp>FALSE</stp>
        <stp>FALSE</stp>
        <stp>FALSE</stp>
        <stp/>
        <tr r="J135" s="157"/>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volatileDependencies" Target="volatileDependenci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1688538932633"/>
          <c:y val="8.3333333333333329E-2"/>
          <c:w val="0.83945691163604552"/>
          <c:h val="0.81490740740740741"/>
        </c:manualLayout>
      </c:layout>
      <c:lineChart>
        <c:grouping val="standard"/>
        <c:varyColors val="0"/>
        <c:ser>
          <c:idx val="2"/>
          <c:order val="2"/>
          <c:tx>
            <c:strRef>
              <c:f>Model!$B$223</c:f>
              <c:strCache>
                <c:ptCount val="1"/>
                <c:pt idx="0">
                  <c:v>Net margin</c:v>
                </c:pt>
              </c:strCache>
            </c:strRef>
          </c:tx>
          <c:spPr>
            <a:ln>
              <a:solidFill>
                <a:sysClr val="window" lastClr="FFFFFF">
                  <a:lumMod val="65000"/>
                </a:sysClr>
              </a:solidFill>
              <a:prstDash val="sysDash"/>
            </a:ln>
          </c:spPr>
          <c:marker>
            <c:symbol val="none"/>
          </c:marker>
          <c:cat>
            <c:numRef>
              <c:f>Model!$G$5:$M$5</c:f>
              <c:numCache>
                <c:formatCode>General</c:formatCode>
                <c:ptCount val="1"/>
                <c:pt idx="0">
                  <c:v>2022</c:v>
                </c:pt>
              </c:numCache>
            </c:numRef>
          </c:cat>
          <c:val>
            <c:numRef>
              <c:f>Model!$G$223:$M$223</c:f>
              <c:numCache>
                <c:formatCode>0.0%</c:formatCode>
                <c:ptCount val="1"/>
                <c:pt idx="0">
                  <c:v>0.2499478914889065</c:v>
                </c:pt>
              </c:numCache>
            </c:numRef>
          </c:val>
          <c:smooth val="0"/>
          <c:extLst>
            <c:ext xmlns:c16="http://schemas.microsoft.com/office/drawing/2014/chart" uri="{C3380CC4-5D6E-409C-BE32-E72D297353CC}">
              <c16:uniqueId val="{00000000-CC70-44ED-8902-5BA15CE6BBDA}"/>
            </c:ext>
          </c:extLst>
        </c:ser>
        <c:ser>
          <c:idx val="3"/>
          <c:order val="3"/>
          <c:tx>
            <c:strRef>
              <c:f>Model!$B$224</c:f>
              <c:strCache>
                <c:ptCount val="1"/>
                <c:pt idx="0">
                  <c:v>ROE</c:v>
                </c:pt>
              </c:strCache>
            </c:strRef>
          </c:tx>
          <c:spPr>
            <a:ln>
              <a:solidFill>
                <a:srgbClr val="00B0F0"/>
              </a:solidFill>
            </a:ln>
          </c:spPr>
          <c:marker>
            <c:symbol val="none"/>
          </c:marker>
          <c:cat>
            <c:numRef>
              <c:f>Model!$G$5:$M$5</c:f>
              <c:numCache>
                <c:formatCode>General</c:formatCode>
                <c:ptCount val="1"/>
                <c:pt idx="0">
                  <c:v>2022</c:v>
                </c:pt>
              </c:numCache>
            </c:numRef>
          </c:cat>
          <c:val>
            <c:numRef>
              <c:f>Model!$G$224:$M$224</c:f>
              <c:numCache>
                <c:formatCode>0.0%</c:formatCode>
                <c:ptCount val="1"/>
                <c:pt idx="0">
                  <c:v>0.10016308701684093</c:v>
                </c:pt>
              </c:numCache>
            </c:numRef>
          </c:val>
          <c:smooth val="0"/>
          <c:extLst>
            <c:ext xmlns:c16="http://schemas.microsoft.com/office/drawing/2014/chart" uri="{C3380CC4-5D6E-409C-BE32-E72D297353CC}">
              <c16:uniqueId val="{00000001-CC70-44ED-8902-5BA15CE6BBDA}"/>
            </c:ext>
          </c:extLst>
        </c:ser>
        <c:dLbls>
          <c:showLegendKey val="0"/>
          <c:showVal val="0"/>
          <c:showCatName val="0"/>
          <c:showSerName val="0"/>
          <c:showPercent val="0"/>
          <c:showBubbleSize val="0"/>
        </c:dLbls>
        <c:marker val="1"/>
        <c:smooth val="0"/>
        <c:axId val="512916096"/>
        <c:axId val="512921984"/>
      </c:lineChart>
      <c:lineChart>
        <c:grouping val="standard"/>
        <c:varyColors val="0"/>
        <c:ser>
          <c:idx val="0"/>
          <c:order val="0"/>
          <c:tx>
            <c:strRef>
              <c:f>Model!$B$221</c:f>
              <c:strCache>
                <c:ptCount val="1"/>
                <c:pt idx="0">
                  <c:v>Asset turnover (RHS)</c:v>
                </c:pt>
              </c:strCache>
            </c:strRef>
          </c:tx>
          <c:spPr>
            <a:ln>
              <a:solidFill>
                <a:srgbClr val="5E76AA"/>
              </a:solidFill>
              <a:prstDash val="sysDash"/>
            </a:ln>
          </c:spPr>
          <c:marker>
            <c:symbol val="none"/>
          </c:marker>
          <c:cat>
            <c:numRef>
              <c:f>Model!$G$5:$M$5</c:f>
              <c:numCache>
                <c:formatCode>General</c:formatCode>
                <c:ptCount val="1"/>
                <c:pt idx="0">
                  <c:v>2022</c:v>
                </c:pt>
              </c:numCache>
            </c:numRef>
          </c:cat>
          <c:val>
            <c:numRef>
              <c:f>Model!$G$221:$M$221</c:f>
              <c:numCache>
                <c:formatCode>_(* #,##0.00_);* \(#,##0.00\);_(* "-"_)</c:formatCode>
                <c:ptCount val="1"/>
                <c:pt idx="0">
                  <c:v>0.18201701791413713</c:v>
                </c:pt>
              </c:numCache>
            </c:numRef>
          </c:val>
          <c:smooth val="0"/>
          <c:extLst>
            <c:ext xmlns:c16="http://schemas.microsoft.com/office/drawing/2014/chart" uri="{C3380CC4-5D6E-409C-BE32-E72D297353CC}">
              <c16:uniqueId val="{00000002-CC70-44ED-8902-5BA15CE6BBDA}"/>
            </c:ext>
          </c:extLst>
        </c:ser>
        <c:ser>
          <c:idx val="1"/>
          <c:order val="1"/>
          <c:tx>
            <c:strRef>
              <c:f>Model!$B$222</c:f>
              <c:strCache>
                <c:ptCount val="1"/>
                <c:pt idx="0">
                  <c:v>Leverage (RHS)</c:v>
                </c:pt>
              </c:strCache>
            </c:strRef>
          </c:tx>
          <c:spPr>
            <a:ln>
              <a:solidFill>
                <a:srgbClr val="BFC8DD">
                  <a:lumMod val="25000"/>
                </a:srgbClr>
              </a:solidFill>
              <a:prstDash val="sysDash"/>
            </a:ln>
          </c:spPr>
          <c:marker>
            <c:symbol val="none"/>
          </c:marker>
          <c:cat>
            <c:numRef>
              <c:f>Model!$G$5:$M$5</c:f>
              <c:numCache>
                <c:formatCode>General</c:formatCode>
                <c:ptCount val="1"/>
                <c:pt idx="0">
                  <c:v>2022</c:v>
                </c:pt>
              </c:numCache>
            </c:numRef>
          </c:cat>
          <c:val>
            <c:numRef>
              <c:f>Model!$G$222:$M$222</c:f>
              <c:numCache>
                <c:formatCode>_(* #,##0.00_);* \(#,##0.00\);_(* "-"_)</c:formatCode>
                <c:ptCount val="1"/>
                <c:pt idx="0">
                  <c:v>2.2016396030373855</c:v>
                </c:pt>
              </c:numCache>
            </c:numRef>
          </c:val>
          <c:smooth val="0"/>
          <c:extLst>
            <c:ext xmlns:c16="http://schemas.microsoft.com/office/drawing/2014/chart" uri="{C3380CC4-5D6E-409C-BE32-E72D297353CC}">
              <c16:uniqueId val="{00000003-CC70-44ED-8902-5BA15CE6BBDA}"/>
            </c:ext>
          </c:extLst>
        </c:ser>
        <c:dLbls>
          <c:showLegendKey val="0"/>
          <c:showVal val="0"/>
          <c:showCatName val="0"/>
          <c:showSerName val="0"/>
          <c:showPercent val="0"/>
          <c:showBubbleSize val="0"/>
        </c:dLbls>
        <c:marker val="1"/>
        <c:smooth val="0"/>
        <c:axId val="512925056"/>
        <c:axId val="512923520"/>
      </c:lineChart>
      <c:catAx>
        <c:axId val="512916096"/>
        <c:scaling>
          <c:orientation val="minMax"/>
        </c:scaling>
        <c:delete val="0"/>
        <c:axPos val="b"/>
        <c:numFmt formatCode="General" sourceLinked="1"/>
        <c:majorTickMark val="out"/>
        <c:minorTickMark val="none"/>
        <c:tickLblPos val="nextTo"/>
        <c:txPr>
          <a:bodyPr/>
          <a:lstStyle/>
          <a:p>
            <a:pPr>
              <a:defRPr sz="900"/>
            </a:pPr>
            <a:endParaRPr lang="en-US"/>
          </a:p>
        </c:txPr>
        <c:crossAx val="512921984"/>
        <c:crosses val="autoZero"/>
        <c:auto val="1"/>
        <c:lblAlgn val="ctr"/>
        <c:lblOffset val="100"/>
        <c:noMultiLvlLbl val="0"/>
      </c:catAx>
      <c:valAx>
        <c:axId val="512921984"/>
        <c:scaling>
          <c:orientation val="minMax"/>
        </c:scaling>
        <c:delete val="0"/>
        <c:axPos val="l"/>
        <c:numFmt formatCode="0.0%" sourceLinked="1"/>
        <c:majorTickMark val="out"/>
        <c:minorTickMark val="none"/>
        <c:tickLblPos val="nextTo"/>
        <c:txPr>
          <a:bodyPr/>
          <a:lstStyle/>
          <a:p>
            <a:pPr>
              <a:defRPr sz="900"/>
            </a:pPr>
            <a:endParaRPr lang="en-US"/>
          </a:p>
        </c:txPr>
        <c:crossAx val="512916096"/>
        <c:crosses val="autoZero"/>
        <c:crossBetween val="between"/>
      </c:valAx>
      <c:valAx>
        <c:axId val="512923520"/>
        <c:scaling>
          <c:orientation val="minMax"/>
        </c:scaling>
        <c:delete val="0"/>
        <c:axPos val="r"/>
        <c:numFmt formatCode="0.0&quot;x&quot;" sourceLinked="0"/>
        <c:majorTickMark val="out"/>
        <c:minorTickMark val="none"/>
        <c:tickLblPos val="nextTo"/>
        <c:txPr>
          <a:bodyPr/>
          <a:lstStyle/>
          <a:p>
            <a:pPr>
              <a:defRPr sz="900"/>
            </a:pPr>
            <a:endParaRPr lang="en-US"/>
          </a:p>
        </c:txPr>
        <c:crossAx val="512925056"/>
        <c:crosses val="max"/>
        <c:crossBetween val="between"/>
      </c:valAx>
      <c:catAx>
        <c:axId val="512925056"/>
        <c:scaling>
          <c:orientation val="minMax"/>
        </c:scaling>
        <c:delete val="1"/>
        <c:axPos val="b"/>
        <c:numFmt formatCode="General" sourceLinked="1"/>
        <c:majorTickMark val="out"/>
        <c:minorTickMark val="none"/>
        <c:tickLblPos val="nextTo"/>
        <c:crossAx val="512923520"/>
        <c:crosses val="autoZero"/>
        <c:auto val="1"/>
        <c:lblAlgn val="ctr"/>
        <c:lblOffset val="100"/>
        <c:noMultiLvlLbl val="0"/>
      </c:catAx>
    </c:plotArea>
    <c:legend>
      <c:legendPos val="r"/>
      <c:layout>
        <c:manualLayout>
          <c:xMode val="edge"/>
          <c:yMode val="edge"/>
          <c:x val="9.1540562282726667E-2"/>
          <c:y val="2.326480023330417E-2"/>
          <c:w val="0.86957059986360474"/>
          <c:h val="0.10161818314377369"/>
        </c:manualLayout>
      </c:layout>
      <c:overlay val="0"/>
      <c:txPr>
        <a:bodyPr/>
        <a:lstStyle/>
        <a:p>
          <a:pPr>
            <a:defRPr sz="900"/>
          </a:pPr>
          <a:endParaRPr lang="en-US"/>
        </a:p>
      </c:txPr>
    </c:legend>
    <c:plotVisOnly val="1"/>
    <c:dispBlanksAs val="gap"/>
    <c:showDLblsOverMax val="0"/>
  </c:chart>
  <c:spPr>
    <a:ln>
      <a:noFill/>
    </a:ln>
  </c:spPr>
  <c:txPr>
    <a:bodyPr/>
    <a:lstStyle/>
    <a:p>
      <a:pPr>
        <a:defRPr sz="900"/>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1688538932633"/>
          <c:y val="8.3333333333333329E-2"/>
          <c:w val="0.83945691163604552"/>
          <c:h val="0.81490740740740741"/>
        </c:manualLayout>
      </c:layout>
      <c:lineChart>
        <c:grouping val="standard"/>
        <c:varyColors val="0"/>
        <c:ser>
          <c:idx val="2"/>
          <c:order val="2"/>
          <c:tx>
            <c:strRef>
              <c:f>Model!$B$223</c:f>
              <c:strCache>
                <c:ptCount val="1"/>
                <c:pt idx="0">
                  <c:v>Net margin</c:v>
                </c:pt>
              </c:strCache>
            </c:strRef>
          </c:tx>
          <c:spPr>
            <a:ln>
              <a:solidFill>
                <a:sysClr val="window" lastClr="FFFFFF">
                  <a:lumMod val="65000"/>
                </a:sysClr>
              </a:solidFill>
              <a:prstDash val="sysDash"/>
            </a:ln>
          </c:spPr>
          <c:marker>
            <c:symbol val="none"/>
          </c:marker>
          <c:cat>
            <c:numRef>
              <c:f>Model!$G$5:$Q$5</c:f>
              <c:numCache>
                <c:formatCode>General</c:formatCode>
                <c:ptCount val="5"/>
                <c:pt idx="0">
                  <c:v>2022</c:v>
                </c:pt>
                <c:pt idx="1">
                  <c:v>2023</c:v>
                </c:pt>
                <c:pt idx="2">
                  <c:v>2024</c:v>
                </c:pt>
                <c:pt idx="3">
                  <c:v>2025</c:v>
                </c:pt>
                <c:pt idx="4" formatCode="0&quot;E&quot;">
                  <c:v>2026</c:v>
                </c:pt>
              </c:numCache>
            </c:numRef>
          </c:cat>
          <c:val>
            <c:numRef>
              <c:f>Model!$G$223:$Q$223</c:f>
              <c:numCache>
                <c:formatCode>0.0%</c:formatCode>
                <c:ptCount val="5"/>
                <c:pt idx="0">
                  <c:v>0.2499478914889065</c:v>
                </c:pt>
                <c:pt idx="1">
                  <c:v>0.14276950626111282</c:v>
                </c:pt>
                <c:pt idx="2">
                  <c:v>6.1363991003149466E-2</c:v>
                </c:pt>
                <c:pt idx="3">
                  <c:v>7.3458321552764064E-2</c:v>
                </c:pt>
                <c:pt idx="4">
                  <c:v>0.1022360146432639</c:v>
                </c:pt>
              </c:numCache>
            </c:numRef>
          </c:val>
          <c:smooth val="0"/>
          <c:extLst>
            <c:ext xmlns:c16="http://schemas.microsoft.com/office/drawing/2014/chart" uri="{C3380CC4-5D6E-409C-BE32-E72D297353CC}">
              <c16:uniqueId val="{00000000-A392-4699-A296-D4424F9828C3}"/>
            </c:ext>
          </c:extLst>
        </c:ser>
        <c:ser>
          <c:idx val="3"/>
          <c:order val="3"/>
          <c:tx>
            <c:strRef>
              <c:f>Model!$B$224</c:f>
              <c:strCache>
                <c:ptCount val="1"/>
                <c:pt idx="0">
                  <c:v>ROE</c:v>
                </c:pt>
              </c:strCache>
            </c:strRef>
          </c:tx>
          <c:spPr>
            <a:ln>
              <a:solidFill>
                <a:srgbClr val="00B0F0"/>
              </a:solidFill>
            </a:ln>
          </c:spPr>
          <c:marker>
            <c:symbol val="none"/>
          </c:marker>
          <c:cat>
            <c:numRef>
              <c:f>Model!$G$5:$Q$5</c:f>
              <c:numCache>
                <c:formatCode>General</c:formatCode>
                <c:ptCount val="5"/>
                <c:pt idx="0">
                  <c:v>2022</c:v>
                </c:pt>
                <c:pt idx="1">
                  <c:v>2023</c:v>
                </c:pt>
                <c:pt idx="2">
                  <c:v>2024</c:v>
                </c:pt>
                <c:pt idx="3">
                  <c:v>2025</c:v>
                </c:pt>
                <c:pt idx="4" formatCode="0&quot;E&quot;">
                  <c:v>2026</c:v>
                </c:pt>
              </c:numCache>
            </c:numRef>
          </c:cat>
          <c:val>
            <c:numRef>
              <c:f>Model!$G$224:$Q$224</c:f>
              <c:numCache>
                <c:formatCode>0.0%</c:formatCode>
                <c:ptCount val="5"/>
                <c:pt idx="0">
                  <c:v>0.10016308701684093</c:v>
                </c:pt>
                <c:pt idx="1">
                  <c:v>4.5969834979413517E-2</c:v>
                </c:pt>
                <c:pt idx="2">
                  <c:v>2.4195919439218116E-2</c:v>
                </c:pt>
                <c:pt idx="3">
                  <c:v>3.2583796455936419E-2</c:v>
                </c:pt>
                <c:pt idx="4">
                  <c:v>5.3729281991406912E-2</c:v>
                </c:pt>
              </c:numCache>
            </c:numRef>
          </c:val>
          <c:smooth val="0"/>
          <c:extLst>
            <c:ext xmlns:c16="http://schemas.microsoft.com/office/drawing/2014/chart" uri="{C3380CC4-5D6E-409C-BE32-E72D297353CC}">
              <c16:uniqueId val="{00000001-A392-4699-A296-D4424F9828C3}"/>
            </c:ext>
          </c:extLst>
        </c:ser>
        <c:dLbls>
          <c:showLegendKey val="0"/>
          <c:showVal val="0"/>
          <c:showCatName val="0"/>
          <c:showSerName val="0"/>
          <c:showPercent val="0"/>
          <c:showBubbleSize val="0"/>
        </c:dLbls>
        <c:marker val="1"/>
        <c:smooth val="0"/>
        <c:axId val="513126784"/>
        <c:axId val="513128320"/>
      </c:lineChart>
      <c:lineChart>
        <c:grouping val="standard"/>
        <c:varyColors val="0"/>
        <c:ser>
          <c:idx val="0"/>
          <c:order val="0"/>
          <c:tx>
            <c:strRef>
              <c:f>Model!$B$221</c:f>
              <c:strCache>
                <c:ptCount val="1"/>
                <c:pt idx="0">
                  <c:v>Asset turnover (RHS)</c:v>
                </c:pt>
              </c:strCache>
            </c:strRef>
          </c:tx>
          <c:spPr>
            <a:ln>
              <a:solidFill>
                <a:srgbClr val="5E76AA"/>
              </a:solidFill>
              <a:prstDash val="sysDash"/>
            </a:ln>
          </c:spPr>
          <c:marker>
            <c:symbol val="none"/>
          </c:marker>
          <c:cat>
            <c:numRef>
              <c:f>Model!$G$5:$Q$5</c:f>
              <c:numCache>
                <c:formatCode>General</c:formatCode>
                <c:ptCount val="5"/>
                <c:pt idx="0">
                  <c:v>2022</c:v>
                </c:pt>
                <c:pt idx="1">
                  <c:v>2023</c:v>
                </c:pt>
                <c:pt idx="2">
                  <c:v>2024</c:v>
                </c:pt>
                <c:pt idx="3">
                  <c:v>2025</c:v>
                </c:pt>
                <c:pt idx="4" formatCode="0&quot;E&quot;">
                  <c:v>2026</c:v>
                </c:pt>
              </c:numCache>
            </c:numRef>
          </c:cat>
          <c:val>
            <c:numRef>
              <c:f>Model!$G$221:$Q$221</c:f>
              <c:numCache>
                <c:formatCode>_(* #,##0.00_);* \(#,##0.00\);_(* "-"_)</c:formatCode>
                <c:ptCount val="5"/>
                <c:pt idx="0">
                  <c:v>0.18201701791413713</c:v>
                </c:pt>
                <c:pt idx="1">
                  <c:v>0.13803271738478229</c:v>
                </c:pt>
                <c:pt idx="2">
                  <c:v>0.16565322888756678</c:v>
                </c:pt>
                <c:pt idx="3">
                  <c:v>0.18390148819674818</c:v>
                </c:pt>
                <c:pt idx="4">
                  <c:v>0.21151414158163856</c:v>
                </c:pt>
              </c:numCache>
            </c:numRef>
          </c:val>
          <c:smooth val="0"/>
          <c:extLst>
            <c:ext xmlns:c16="http://schemas.microsoft.com/office/drawing/2014/chart" uri="{C3380CC4-5D6E-409C-BE32-E72D297353CC}">
              <c16:uniqueId val="{00000002-A392-4699-A296-D4424F9828C3}"/>
            </c:ext>
          </c:extLst>
        </c:ser>
        <c:ser>
          <c:idx val="1"/>
          <c:order val="1"/>
          <c:tx>
            <c:strRef>
              <c:f>Model!$B$222</c:f>
              <c:strCache>
                <c:ptCount val="1"/>
                <c:pt idx="0">
                  <c:v>Leverage (RHS)</c:v>
                </c:pt>
              </c:strCache>
            </c:strRef>
          </c:tx>
          <c:spPr>
            <a:ln>
              <a:solidFill>
                <a:srgbClr val="BFC8DD">
                  <a:lumMod val="25000"/>
                </a:srgbClr>
              </a:solidFill>
              <a:prstDash val="sysDash"/>
            </a:ln>
          </c:spPr>
          <c:marker>
            <c:symbol val="none"/>
          </c:marker>
          <c:cat>
            <c:numRef>
              <c:f>Model!$G$5:$Q$5</c:f>
              <c:numCache>
                <c:formatCode>General</c:formatCode>
                <c:ptCount val="5"/>
                <c:pt idx="0">
                  <c:v>2022</c:v>
                </c:pt>
                <c:pt idx="1">
                  <c:v>2023</c:v>
                </c:pt>
                <c:pt idx="2">
                  <c:v>2024</c:v>
                </c:pt>
                <c:pt idx="3">
                  <c:v>2025</c:v>
                </c:pt>
                <c:pt idx="4" formatCode="0&quot;E&quot;">
                  <c:v>2026</c:v>
                </c:pt>
              </c:numCache>
            </c:numRef>
          </c:cat>
          <c:val>
            <c:numRef>
              <c:f>Model!$G$222:$Q$222</c:f>
              <c:numCache>
                <c:formatCode>_(* #,##0.00_);* \(#,##0.00\);_(* "-"_)</c:formatCode>
                <c:ptCount val="5"/>
                <c:pt idx="0">
                  <c:v>2.2016396030373855</c:v>
                </c:pt>
                <c:pt idx="1">
                  <c:v>2.3326815227724946</c:v>
                </c:pt>
                <c:pt idx="2">
                  <c:v>2.3802831746736661</c:v>
                </c:pt>
                <c:pt idx="3">
                  <c:v>2.4119896477530434</c:v>
                </c:pt>
                <c:pt idx="4">
                  <c:v>2.4846642788742845</c:v>
                </c:pt>
              </c:numCache>
            </c:numRef>
          </c:val>
          <c:smooth val="0"/>
          <c:extLst>
            <c:ext xmlns:c16="http://schemas.microsoft.com/office/drawing/2014/chart" uri="{C3380CC4-5D6E-409C-BE32-E72D297353CC}">
              <c16:uniqueId val="{00000003-A392-4699-A296-D4424F9828C3}"/>
            </c:ext>
          </c:extLst>
        </c:ser>
        <c:dLbls>
          <c:showLegendKey val="0"/>
          <c:showVal val="0"/>
          <c:showCatName val="0"/>
          <c:showSerName val="0"/>
          <c:showPercent val="0"/>
          <c:showBubbleSize val="0"/>
        </c:dLbls>
        <c:marker val="1"/>
        <c:smooth val="0"/>
        <c:axId val="513135744"/>
        <c:axId val="513129856"/>
      </c:lineChart>
      <c:catAx>
        <c:axId val="513126784"/>
        <c:scaling>
          <c:orientation val="minMax"/>
        </c:scaling>
        <c:delete val="0"/>
        <c:axPos val="b"/>
        <c:numFmt formatCode="General" sourceLinked="1"/>
        <c:majorTickMark val="out"/>
        <c:minorTickMark val="none"/>
        <c:tickLblPos val="nextTo"/>
        <c:txPr>
          <a:bodyPr/>
          <a:lstStyle/>
          <a:p>
            <a:pPr>
              <a:defRPr sz="900"/>
            </a:pPr>
            <a:endParaRPr lang="en-US"/>
          </a:p>
        </c:txPr>
        <c:crossAx val="513128320"/>
        <c:crosses val="autoZero"/>
        <c:auto val="1"/>
        <c:lblAlgn val="ctr"/>
        <c:lblOffset val="100"/>
        <c:noMultiLvlLbl val="0"/>
      </c:catAx>
      <c:valAx>
        <c:axId val="513128320"/>
        <c:scaling>
          <c:orientation val="minMax"/>
        </c:scaling>
        <c:delete val="0"/>
        <c:axPos val="l"/>
        <c:numFmt formatCode="0.0%" sourceLinked="1"/>
        <c:majorTickMark val="out"/>
        <c:minorTickMark val="none"/>
        <c:tickLblPos val="nextTo"/>
        <c:txPr>
          <a:bodyPr/>
          <a:lstStyle/>
          <a:p>
            <a:pPr>
              <a:defRPr sz="900"/>
            </a:pPr>
            <a:endParaRPr lang="en-US"/>
          </a:p>
        </c:txPr>
        <c:crossAx val="513126784"/>
        <c:crosses val="autoZero"/>
        <c:crossBetween val="between"/>
      </c:valAx>
      <c:valAx>
        <c:axId val="513129856"/>
        <c:scaling>
          <c:orientation val="minMax"/>
        </c:scaling>
        <c:delete val="0"/>
        <c:axPos val="r"/>
        <c:numFmt formatCode="0.0&quot;x&quot;" sourceLinked="0"/>
        <c:majorTickMark val="out"/>
        <c:minorTickMark val="none"/>
        <c:tickLblPos val="nextTo"/>
        <c:txPr>
          <a:bodyPr/>
          <a:lstStyle/>
          <a:p>
            <a:pPr>
              <a:defRPr sz="900"/>
            </a:pPr>
            <a:endParaRPr lang="en-US"/>
          </a:p>
        </c:txPr>
        <c:crossAx val="513135744"/>
        <c:crosses val="max"/>
        <c:crossBetween val="between"/>
      </c:valAx>
      <c:catAx>
        <c:axId val="513135744"/>
        <c:scaling>
          <c:orientation val="minMax"/>
        </c:scaling>
        <c:delete val="1"/>
        <c:axPos val="b"/>
        <c:numFmt formatCode="General" sourceLinked="1"/>
        <c:majorTickMark val="out"/>
        <c:minorTickMark val="none"/>
        <c:tickLblPos val="nextTo"/>
        <c:crossAx val="513129856"/>
        <c:crosses val="autoZero"/>
        <c:auto val="1"/>
        <c:lblAlgn val="ctr"/>
        <c:lblOffset val="100"/>
        <c:noMultiLvlLbl val="0"/>
      </c:catAx>
    </c:plotArea>
    <c:legend>
      <c:legendPos val="r"/>
      <c:layout>
        <c:manualLayout>
          <c:xMode val="edge"/>
          <c:yMode val="edge"/>
          <c:x val="9.1540562282726667E-2"/>
          <c:y val="2.326480023330417E-2"/>
          <c:w val="0.824876524358652"/>
          <c:h val="0.10161818314377369"/>
        </c:manualLayout>
      </c:layout>
      <c:overlay val="0"/>
      <c:txPr>
        <a:bodyPr/>
        <a:lstStyle/>
        <a:p>
          <a:pPr>
            <a:defRPr sz="900"/>
          </a:pPr>
          <a:endParaRPr lang="en-US"/>
        </a:p>
      </c:txPr>
    </c:legend>
    <c:plotVisOnly val="1"/>
    <c:dispBlanksAs val="gap"/>
    <c:showDLblsOverMax val="0"/>
  </c:chart>
  <c:spPr>
    <a:ln>
      <a:noFill/>
    </a:ln>
  </c:spPr>
  <c:txPr>
    <a:bodyPr/>
    <a:lstStyle/>
    <a:p>
      <a:pPr>
        <a:defRPr sz="900"/>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1688538932633"/>
          <c:y val="8.3333333333333329E-2"/>
          <c:w val="0.83945691163604552"/>
          <c:h val="0.7483150050110271"/>
        </c:manualLayout>
      </c:layout>
      <c:lineChart>
        <c:grouping val="standard"/>
        <c:varyColors val="0"/>
        <c:ser>
          <c:idx val="0"/>
          <c:order val="0"/>
          <c:marker>
            <c:symbol val="none"/>
          </c:marker>
          <c:cat>
            <c:multiLvlStrRef>
              <c:f>Model!$W$229:$AO$229</c:f>
            </c:multiLvlStrRef>
          </c:cat>
          <c:val>
            <c:numRef>
              <c:f>Model!$W$230:$AO$230</c:f>
            </c:numRef>
          </c:val>
          <c:smooth val="0"/>
          <c:extLst>
            <c:ext xmlns:c16="http://schemas.microsoft.com/office/drawing/2014/chart" uri="{C3380CC4-5D6E-409C-BE32-E72D297353CC}">
              <c16:uniqueId val="{00000000-3B51-4B4E-B386-81ADB51F266D}"/>
            </c:ext>
          </c:extLst>
        </c:ser>
        <c:dLbls>
          <c:showLegendKey val="0"/>
          <c:showVal val="0"/>
          <c:showCatName val="0"/>
          <c:showSerName val="0"/>
          <c:showPercent val="0"/>
          <c:showBubbleSize val="0"/>
        </c:dLbls>
        <c:marker val="1"/>
        <c:smooth val="0"/>
        <c:axId val="513164416"/>
        <c:axId val="513165952"/>
      </c:lineChart>
      <c:catAx>
        <c:axId val="513164416"/>
        <c:scaling>
          <c:orientation val="minMax"/>
        </c:scaling>
        <c:delete val="0"/>
        <c:axPos val="b"/>
        <c:numFmt formatCode="0&quot;E&quot;" sourceLinked="1"/>
        <c:majorTickMark val="out"/>
        <c:minorTickMark val="none"/>
        <c:tickLblPos val="nextTo"/>
        <c:txPr>
          <a:bodyPr rot="-5400000" vert="horz"/>
          <a:lstStyle/>
          <a:p>
            <a:pPr>
              <a:defRPr sz="900"/>
            </a:pPr>
            <a:endParaRPr lang="en-US"/>
          </a:p>
        </c:txPr>
        <c:crossAx val="513165952"/>
        <c:crosses val="autoZero"/>
        <c:auto val="1"/>
        <c:lblAlgn val="ctr"/>
        <c:lblOffset val="100"/>
        <c:noMultiLvlLbl val="0"/>
      </c:catAx>
      <c:valAx>
        <c:axId val="513165952"/>
        <c:scaling>
          <c:orientation val="minMax"/>
        </c:scaling>
        <c:delete val="0"/>
        <c:axPos val="l"/>
        <c:numFmt formatCode="0%" sourceLinked="1"/>
        <c:majorTickMark val="out"/>
        <c:minorTickMark val="none"/>
        <c:tickLblPos val="nextTo"/>
        <c:txPr>
          <a:bodyPr/>
          <a:lstStyle/>
          <a:p>
            <a:pPr>
              <a:defRPr sz="900"/>
            </a:pPr>
            <a:endParaRPr lang="en-US"/>
          </a:p>
        </c:txPr>
        <c:crossAx val="513164416"/>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1688538932633"/>
          <c:y val="0.12948153606776711"/>
          <c:w val="0.83945691163604552"/>
          <c:h val="0.76875953392678964"/>
        </c:manualLayout>
      </c:layout>
      <c:barChart>
        <c:barDir val="col"/>
        <c:grouping val="clustered"/>
        <c:varyColors val="0"/>
        <c:ser>
          <c:idx val="0"/>
          <c:order val="1"/>
          <c:tx>
            <c:strRef>
              <c:f>Model!$B$179</c:f>
              <c:strCache>
                <c:ptCount val="1"/>
                <c:pt idx="0">
                  <c:v>Cash flow from operations</c:v>
                </c:pt>
              </c:strCache>
            </c:strRef>
          </c:tx>
          <c:invertIfNegative val="0"/>
          <c:val>
            <c:numRef>
              <c:f>Model!$G$179:$Q$179</c:f>
              <c:numCache>
                <c:formatCode>_(* #,##0_);* \(#,##0\);_(* "-"_)</c:formatCode>
                <c:ptCount val="5"/>
                <c:pt idx="0">
                  <c:v>5347.9160000000002</c:v>
                </c:pt>
                <c:pt idx="1">
                  <c:v>3358.2939999999999</c:v>
                </c:pt>
                <c:pt idx="2">
                  <c:v>3175.5549999999998</c:v>
                </c:pt>
                <c:pt idx="3">
                  <c:v>3194.3029999999999</c:v>
                </c:pt>
                <c:pt idx="4">
                  <c:v>6636.1230710553646</c:v>
                </c:pt>
              </c:numCache>
            </c:numRef>
          </c:val>
          <c:extLst>
            <c:ext xmlns:c16="http://schemas.microsoft.com/office/drawing/2014/chart" uri="{C3380CC4-5D6E-409C-BE32-E72D297353CC}">
              <c16:uniqueId val="{00000000-B609-47BB-BC75-400AF394251A}"/>
            </c:ext>
          </c:extLst>
        </c:ser>
        <c:ser>
          <c:idx val="1"/>
          <c:order val="2"/>
          <c:tx>
            <c:v>Capex</c:v>
          </c:tx>
          <c:invertIfNegative val="0"/>
          <c:val>
            <c:numRef>
              <c:f>Model!$AE$231:$AO$231</c:f>
            </c:numRef>
          </c:val>
          <c:extLst>
            <c:ext xmlns:c16="http://schemas.microsoft.com/office/drawing/2014/chart" uri="{C3380CC4-5D6E-409C-BE32-E72D297353CC}">
              <c16:uniqueId val="{00000001-B609-47BB-BC75-400AF394251A}"/>
            </c:ext>
          </c:extLst>
        </c:ser>
        <c:dLbls>
          <c:showLegendKey val="0"/>
          <c:showVal val="0"/>
          <c:showCatName val="0"/>
          <c:showSerName val="0"/>
          <c:showPercent val="0"/>
          <c:showBubbleSize val="0"/>
        </c:dLbls>
        <c:gapWidth val="150"/>
        <c:axId val="513197184"/>
        <c:axId val="513198720"/>
      </c:barChart>
      <c:lineChart>
        <c:grouping val="standard"/>
        <c:varyColors val="0"/>
        <c:ser>
          <c:idx val="3"/>
          <c:order val="0"/>
          <c:tx>
            <c:strRef>
              <c:f>Model!$B$228</c:f>
              <c:strCache>
                <c:ptCount val="1"/>
                <c:pt idx="0">
                  <c:v>FCF</c:v>
                </c:pt>
              </c:strCache>
            </c:strRef>
          </c:tx>
          <c:marker>
            <c:symbol val="none"/>
          </c:marker>
          <c:cat>
            <c:numRef>
              <c:f>Model!$G$5:$Q$5</c:f>
              <c:numCache>
                <c:formatCode>General</c:formatCode>
                <c:ptCount val="5"/>
                <c:pt idx="0">
                  <c:v>2022</c:v>
                </c:pt>
                <c:pt idx="1">
                  <c:v>2023</c:v>
                </c:pt>
                <c:pt idx="2">
                  <c:v>2024</c:v>
                </c:pt>
                <c:pt idx="3">
                  <c:v>2025</c:v>
                </c:pt>
                <c:pt idx="4" formatCode="0&quot;E&quot;">
                  <c:v>2026</c:v>
                </c:pt>
              </c:numCache>
            </c:numRef>
          </c:cat>
          <c:val>
            <c:numRef>
              <c:f>Model!$G$228:$Q$228</c:f>
              <c:numCache>
                <c:formatCode>_(* #,##0_);* \(#,##0\);_(* "-"_)</c:formatCode>
                <c:ptCount val="5"/>
                <c:pt idx="0">
                  <c:v>-1002.7840000000006</c:v>
                </c:pt>
                <c:pt idx="1">
                  <c:v>-4107.405999999999</c:v>
                </c:pt>
                <c:pt idx="2">
                  <c:v>-4150.244999999999</c:v>
                </c:pt>
                <c:pt idx="3">
                  <c:v>-4907.9969999999994</c:v>
                </c:pt>
                <c:pt idx="4">
                  <c:v>-2355.6227789446348</c:v>
                </c:pt>
              </c:numCache>
            </c:numRef>
          </c:val>
          <c:smooth val="0"/>
          <c:extLst>
            <c:ext xmlns:c16="http://schemas.microsoft.com/office/drawing/2014/chart" uri="{C3380CC4-5D6E-409C-BE32-E72D297353CC}">
              <c16:uniqueId val="{00000002-B609-47BB-BC75-400AF394251A}"/>
            </c:ext>
          </c:extLst>
        </c:ser>
        <c:dLbls>
          <c:showLegendKey val="0"/>
          <c:showVal val="0"/>
          <c:showCatName val="0"/>
          <c:showSerName val="0"/>
          <c:showPercent val="0"/>
          <c:showBubbleSize val="0"/>
        </c:dLbls>
        <c:marker val="1"/>
        <c:smooth val="0"/>
        <c:axId val="513197184"/>
        <c:axId val="513198720"/>
      </c:lineChart>
      <c:catAx>
        <c:axId val="513197184"/>
        <c:scaling>
          <c:orientation val="minMax"/>
        </c:scaling>
        <c:delete val="0"/>
        <c:axPos val="b"/>
        <c:numFmt formatCode="General" sourceLinked="1"/>
        <c:majorTickMark val="out"/>
        <c:minorTickMark val="none"/>
        <c:tickLblPos val="nextTo"/>
        <c:txPr>
          <a:bodyPr rot="-5400000" vert="horz"/>
          <a:lstStyle/>
          <a:p>
            <a:pPr>
              <a:defRPr sz="900"/>
            </a:pPr>
            <a:endParaRPr lang="en-US"/>
          </a:p>
        </c:txPr>
        <c:crossAx val="513198720"/>
        <c:crossesAt val="0"/>
        <c:auto val="1"/>
        <c:lblAlgn val="ctr"/>
        <c:lblOffset val="100"/>
        <c:noMultiLvlLbl val="0"/>
      </c:catAx>
      <c:valAx>
        <c:axId val="513198720"/>
        <c:scaling>
          <c:orientation val="minMax"/>
          <c:min val="-2000"/>
        </c:scaling>
        <c:delete val="0"/>
        <c:axPos val="l"/>
        <c:title>
          <c:tx>
            <c:rich>
              <a:bodyPr rot="0" vert="horz"/>
              <a:lstStyle/>
              <a:p>
                <a:pPr>
                  <a:defRPr sz="900" b="0"/>
                </a:pPr>
                <a:r>
                  <a:rPr lang="en-US" sz="900" b="0"/>
                  <a:t>(US$m)</a:t>
                </a:r>
              </a:p>
            </c:rich>
          </c:tx>
          <c:layout>
            <c:manualLayout>
              <c:xMode val="edge"/>
              <c:yMode val="edge"/>
              <c:x val="1.4852344887041289E-2"/>
              <c:y val="7.7441466504167668E-3"/>
            </c:manualLayout>
          </c:layout>
          <c:overlay val="0"/>
        </c:title>
        <c:numFmt formatCode="#,##0" sourceLinked="0"/>
        <c:majorTickMark val="out"/>
        <c:minorTickMark val="none"/>
        <c:tickLblPos val="nextTo"/>
        <c:txPr>
          <a:bodyPr/>
          <a:lstStyle/>
          <a:p>
            <a:pPr>
              <a:defRPr sz="900"/>
            </a:pPr>
            <a:endParaRPr lang="en-US"/>
          </a:p>
        </c:txPr>
        <c:crossAx val="513197184"/>
        <c:crossesAt val="1"/>
        <c:crossBetween val="between"/>
      </c:valAx>
    </c:plotArea>
    <c:legend>
      <c:legendPos val="r"/>
      <c:layout>
        <c:manualLayout>
          <c:xMode val="edge"/>
          <c:yMode val="edge"/>
          <c:x val="9.1540562282726667E-2"/>
          <c:y val="2.326480023330417E-2"/>
          <c:w val="0.84853482085462906"/>
          <c:h val="4.7458149464116542E-2"/>
        </c:manualLayout>
      </c:layout>
      <c:overlay val="0"/>
      <c:txPr>
        <a:bodyPr/>
        <a:lstStyle/>
        <a:p>
          <a:pPr>
            <a:defRPr sz="900"/>
          </a:pPr>
          <a:endParaRPr lang="en-US"/>
        </a:p>
      </c:txPr>
    </c:legend>
    <c:plotVisOnly val="1"/>
    <c:dispBlanksAs val="gap"/>
    <c:showDLblsOverMax val="0"/>
  </c:chart>
  <c:spPr>
    <a:ln>
      <a:noFill/>
    </a:ln>
  </c:spPr>
  <c:txPr>
    <a:bodyPr/>
    <a:lstStyle/>
    <a:p>
      <a:pPr>
        <a:defRPr sz="900">
          <a:latin typeface="+mn-lt"/>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SMIC capex and depreciation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Model!$B$202</c:f>
              <c:strCache>
                <c:ptCount val="1"/>
                <c:pt idx="0">
                  <c:v>Capex</c:v>
                </c:pt>
              </c:strCache>
            </c:strRef>
          </c:tx>
          <c:spPr>
            <a:solidFill>
              <a:schemeClr val="accent1"/>
            </a:solidFill>
            <a:ln>
              <a:noFill/>
            </a:ln>
            <a:effectLst/>
          </c:spPr>
          <c:invertIfNegative val="0"/>
          <c:cat>
            <c:numRef>
              <c:f>Model!$F$5:$S$5</c:f>
              <c:numCache>
                <c:formatCode>General</c:formatCode>
                <c:ptCount val="7"/>
                <c:pt idx="0">
                  <c:v>2022</c:v>
                </c:pt>
                <c:pt idx="1">
                  <c:v>2023</c:v>
                </c:pt>
                <c:pt idx="2">
                  <c:v>2024</c:v>
                </c:pt>
                <c:pt idx="3">
                  <c:v>2025</c:v>
                </c:pt>
                <c:pt idx="4" formatCode="0&quot;E&quot;">
                  <c:v>2026</c:v>
                </c:pt>
                <c:pt idx="5" formatCode="0&quot;E&quot;">
                  <c:v>2027</c:v>
                </c:pt>
                <c:pt idx="6" formatCode="0&quot;E&quot;">
                  <c:v>2028</c:v>
                </c:pt>
              </c:numCache>
            </c:numRef>
          </c:cat>
          <c:val>
            <c:numRef>
              <c:f>Model!$F$202:$S$202</c:f>
              <c:numCache>
                <c:formatCode>_(* #,##0_);* \(#,##0\);_(* "-"_)</c:formatCode>
                <c:ptCount val="7"/>
                <c:pt idx="0">
                  <c:v>6350.7000000000007</c:v>
                </c:pt>
                <c:pt idx="1">
                  <c:v>7465.6999999999989</c:v>
                </c:pt>
                <c:pt idx="2">
                  <c:v>7325.7999999999993</c:v>
                </c:pt>
                <c:pt idx="3">
                  <c:v>8102.2999999999993</c:v>
                </c:pt>
                <c:pt idx="4">
                  <c:v>8991.7458499999993</c:v>
                </c:pt>
                <c:pt idx="5">
                  <c:v>9597.9599089500007</c:v>
                </c:pt>
                <c:pt idx="6">
                  <c:v>9597.9599089500007</c:v>
                </c:pt>
              </c:numCache>
            </c:numRef>
          </c:val>
          <c:extLst>
            <c:ext xmlns:c16="http://schemas.microsoft.com/office/drawing/2014/chart" uri="{C3380CC4-5D6E-409C-BE32-E72D297353CC}">
              <c16:uniqueId val="{00000000-1EF4-4BDC-B75F-38467747B025}"/>
            </c:ext>
          </c:extLst>
        </c:ser>
        <c:ser>
          <c:idx val="1"/>
          <c:order val="1"/>
          <c:tx>
            <c:strRef>
              <c:f>Model!$B$205</c:f>
              <c:strCache>
                <c:ptCount val="1"/>
                <c:pt idx="0">
                  <c:v>Depreciation</c:v>
                </c:pt>
              </c:strCache>
            </c:strRef>
          </c:tx>
          <c:spPr>
            <a:solidFill>
              <a:schemeClr val="accent2"/>
            </a:solidFill>
            <a:ln>
              <a:noFill/>
            </a:ln>
            <a:effectLst/>
          </c:spPr>
          <c:invertIfNegative val="0"/>
          <c:cat>
            <c:numRef>
              <c:f>Model!$F$5:$S$5</c:f>
              <c:numCache>
                <c:formatCode>General</c:formatCode>
                <c:ptCount val="7"/>
                <c:pt idx="0">
                  <c:v>2022</c:v>
                </c:pt>
                <c:pt idx="1">
                  <c:v>2023</c:v>
                </c:pt>
                <c:pt idx="2">
                  <c:v>2024</c:v>
                </c:pt>
                <c:pt idx="3">
                  <c:v>2025</c:v>
                </c:pt>
                <c:pt idx="4" formatCode="0&quot;E&quot;">
                  <c:v>2026</c:v>
                </c:pt>
                <c:pt idx="5" formatCode="0&quot;E&quot;">
                  <c:v>2027</c:v>
                </c:pt>
                <c:pt idx="6" formatCode="0&quot;E&quot;">
                  <c:v>2028</c:v>
                </c:pt>
              </c:numCache>
            </c:numRef>
          </c:cat>
          <c:val>
            <c:numRef>
              <c:f>Model!$F$205:$S$205</c:f>
              <c:numCache>
                <c:formatCode>_(* #,##0_);* \(#,##0\);_(* "-"_)</c:formatCode>
                <c:ptCount val="7"/>
                <c:pt idx="0">
                  <c:v>2242.0039999999999</c:v>
                </c:pt>
                <c:pt idx="1">
                  <c:v>2637.9340000000002</c:v>
                </c:pt>
                <c:pt idx="2">
                  <c:v>3193.7060000000001</c:v>
                </c:pt>
                <c:pt idx="3">
                  <c:v>3780.6530000000002</c:v>
                </c:pt>
                <c:pt idx="4">
                  <c:v>4938.898330671429</c:v>
                </c:pt>
                <c:pt idx="5">
                  <c:v>5654.9998567292714</c:v>
                </c:pt>
                <c:pt idx="6">
                  <c:v>6224.2001252071586</c:v>
                </c:pt>
              </c:numCache>
            </c:numRef>
          </c:val>
          <c:extLst>
            <c:ext xmlns:c16="http://schemas.microsoft.com/office/drawing/2014/chart" uri="{C3380CC4-5D6E-409C-BE32-E72D297353CC}">
              <c16:uniqueId val="{00000001-1EF4-4BDC-B75F-38467747B025}"/>
            </c:ext>
          </c:extLst>
        </c:ser>
        <c:dLbls>
          <c:showLegendKey val="0"/>
          <c:showVal val="0"/>
          <c:showCatName val="0"/>
          <c:showSerName val="0"/>
          <c:showPercent val="0"/>
          <c:showBubbleSize val="0"/>
        </c:dLbls>
        <c:gapWidth val="219"/>
        <c:overlap val="-27"/>
        <c:axId val="277564447"/>
        <c:axId val="277562783"/>
      </c:barChart>
      <c:catAx>
        <c:axId val="27756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562783"/>
        <c:crosses val="autoZero"/>
        <c:auto val="1"/>
        <c:lblAlgn val="ctr"/>
        <c:lblOffset val="100"/>
        <c:noMultiLvlLbl val="0"/>
      </c:catAx>
      <c:valAx>
        <c:axId val="277562783"/>
        <c:scaling>
          <c:orientation val="minMax"/>
        </c:scaling>
        <c:delete val="0"/>
        <c:axPos val="l"/>
        <c:majorGridlines>
          <c:spPr>
            <a:ln w="9525" cap="flat" cmpd="sng" algn="ctr">
              <a:solidFill>
                <a:schemeClr val="tx1">
                  <a:lumMod val="15000"/>
                  <a:lumOff val="85000"/>
                </a:schemeClr>
              </a:solidFill>
              <a:round/>
            </a:ln>
            <a:effectLst/>
          </c:spPr>
        </c:majorGridlines>
        <c:numFmt formatCode="_(* #,##0_);* \(#,##0\);_(* &quot;-&quot;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564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b="0"/>
              <a:t>SMIC CapeX</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35457677165354"/>
          <c:y val="0.17349541444595035"/>
          <c:w val="0.80464771981627292"/>
          <c:h val="0.72099244194264545"/>
        </c:manualLayout>
      </c:layout>
      <c:barChart>
        <c:barDir val="col"/>
        <c:grouping val="clustered"/>
        <c:varyColors val="0"/>
        <c:ser>
          <c:idx val="0"/>
          <c:order val="0"/>
          <c:tx>
            <c:v>Capex</c:v>
          </c:tx>
          <c:spPr>
            <a:solidFill>
              <a:schemeClr val="accent1"/>
            </a:solidFill>
            <a:ln>
              <a:noFill/>
            </a:ln>
            <a:effectLst/>
          </c:spPr>
          <c:invertIfNegative val="0"/>
          <c:cat>
            <c:numRef>
              <c:f>Model!$I$5:$Q$5</c:f>
              <c:numCache>
                <c:formatCode>General</c:formatCode>
                <c:ptCount val="5"/>
                <c:pt idx="0">
                  <c:v>2022</c:v>
                </c:pt>
                <c:pt idx="1">
                  <c:v>2023</c:v>
                </c:pt>
                <c:pt idx="2">
                  <c:v>2024</c:v>
                </c:pt>
                <c:pt idx="3">
                  <c:v>2025</c:v>
                </c:pt>
                <c:pt idx="4" formatCode="0&quot;E&quot;">
                  <c:v>2026</c:v>
                </c:pt>
              </c:numCache>
            </c:numRef>
          </c:cat>
          <c:val>
            <c:numRef>
              <c:f>Model!$I$202:$Q$202</c:f>
              <c:numCache>
                <c:formatCode>_(* #,##0_);* \(#,##0\);_(* "-"_)</c:formatCode>
                <c:ptCount val="5"/>
                <c:pt idx="0">
                  <c:v>6350.7000000000007</c:v>
                </c:pt>
                <c:pt idx="1">
                  <c:v>7465.6999999999989</c:v>
                </c:pt>
                <c:pt idx="2">
                  <c:v>7325.7999999999993</c:v>
                </c:pt>
                <c:pt idx="3">
                  <c:v>8102.2999999999993</c:v>
                </c:pt>
                <c:pt idx="4">
                  <c:v>8991.7458499999993</c:v>
                </c:pt>
              </c:numCache>
            </c:numRef>
          </c:val>
          <c:extLst>
            <c:ext xmlns:c16="http://schemas.microsoft.com/office/drawing/2014/chart" uri="{C3380CC4-5D6E-409C-BE32-E72D297353CC}">
              <c16:uniqueId val="{00000000-6BA0-4101-AD57-82F99453F1BD}"/>
            </c:ext>
          </c:extLst>
        </c:ser>
        <c:dLbls>
          <c:showLegendKey val="0"/>
          <c:showVal val="0"/>
          <c:showCatName val="0"/>
          <c:showSerName val="0"/>
          <c:showPercent val="0"/>
          <c:showBubbleSize val="0"/>
        </c:dLbls>
        <c:gapWidth val="219"/>
        <c:axId val="1462216304"/>
        <c:axId val="1462207984"/>
      </c:barChart>
      <c:lineChart>
        <c:grouping val="standard"/>
        <c:varyColors val="0"/>
        <c:ser>
          <c:idx val="1"/>
          <c:order val="1"/>
          <c:tx>
            <c:v>Capex to Revenues (RHS)</c:v>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Model!$I$216:$Q$216</c:f>
              <c:numCache>
                <c:formatCode>_(#,##0.0%_);\(#,##0.0%\);_("-"?_)</c:formatCode>
                <c:ptCount val="5"/>
                <c:pt idx="0">
                  <c:v>0.87315441002991234</c:v>
                </c:pt>
                <c:pt idx="1">
                  <c:v>1.1809901353463383</c:v>
                </c:pt>
                <c:pt idx="2">
                  <c:v>0.9123128359544258</c:v>
                </c:pt>
                <c:pt idx="3">
                  <c:v>0.86871176273874884</c:v>
                </c:pt>
                <c:pt idx="4">
                  <c:v>0.77659046562776324</c:v>
                </c:pt>
              </c:numCache>
            </c:numRef>
          </c:val>
          <c:smooth val="0"/>
          <c:extLst>
            <c:ext xmlns:c16="http://schemas.microsoft.com/office/drawing/2014/chart" uri="{C3380CC4-5D6E-409C-BE32-E72D297353CC}">
              <c16:uniqueId val="{00000002-6BA0-4101-AD57-82F99453F1BD}"/>
            </c:ext>
          </c:extLst>
        </c:ser>
        <c:dLbls>
          <c:showLegendKey val="0"/>
          <c:showVal val="0"/>
          <c:showCatName val="0"/>
          <c:showSerName val="0"/>
          <c:showPercent val="0"/>
          <c:showBubbleSize val="0"/>
        </c:dLbls>
        <c:marker val="1"/>
        <c:smooth val="0"/>
        <c:axId val="1063937824"/>
        <c:axId val="1063939488"/>
      </c:lineChart>
      <c:catAx>
        <c:axId val="146221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207984"/>
        <c:crosses val="autoZero"/>
        <c:auto val="1"/>
        <c:lblAlgn val="ctr"/>
        <c:lblOffset val="100"/>
        <c:noMultiLvlLbl val="0"/>
      </c:catAx>
      <c:valAx>
        <c:axId val="1462207984"/>
        <c:scaling>
          <c:orientation val="minMax"/>
        </c:scaling>
        <c:delete val="0"/>
        <c:axPos val="l"/>
        <c:numFmt formatCode="_(* #,##0_);* \(#,##0\);_(* &quot;-&quot;_)"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2216304"/>
        <c:crosses val="autoZero"/>
        <c:crossBetween val="between"/>
      </c:valAx>
      <c:valAx>
        <c:axId val="1063939488"/>
        <c:scaling>
          <c:orientation val="minMax"/>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3937824"/>
        <c:crosses val="max"/>
        <c:crossBetween val="between"/>
      </c:valAx>
      <c:catAx>
        <c:axId val="1063937824"/>
        <c:scaling>
          <c:orientation val="minMax"/>
        </c:scaling>
        <c:delete val="1"/>
        <c:axPos val="b"/>
        <c:majorTickMark val="out"/>
        <c:minorTickMark val="none"/>
        <c:tickLblPos val="nextTo"/>
        <c:crossAx val="106393948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0"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1924050</xdr:colOff>
      <xdr:row>3</xdr:row>
      <xdr:rowOff>0</xdr:rowOff>
    </xdr:to>
    <xdr:pic>
      <xdr:nvPicPr>
        <xdr:cNvPr id="2" name="Picture 1" descr="Goldman Sachs Research">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7150"/>
          <a:ext cx="19050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616323</xdr:colOff>
      <xdr:row>256</xdr:row>
      <xdr:rowOff>13448</xdr:rowOff>
    </xdr:from>
    <xdr:to>
      <xdr:col>12</xdr:col>
      <xdr:colOff>670113</xdr:colOff>
      <xdr:row>273</xdr:row>
      <xdr:rowOff>47811</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44824</xdr:colOff>
      <xdr:row>254</xdr:row>
      <xdr:rowOff>11206</xdr:rowOff>
    </xdr:from>
    <xdr:to>
      <xdr:col>37</xdr:col>
      <xdr:colOff>44824</xdr:colOff>
      <xdr:row>271</xdr:row>
      <xdr:rowOff>45569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290946</xdr:colOff>
      <xdr:row>234</xdr:row>
      <xdr:rowOff>27708</xdr:rowOff>
    </xdr:from>
    <xdr:to>
      <xdr:col>33</xdr:col>
      <xdr:colOff>407488</xdr:colOff>
      <xdr:row>251</xdr:row>
      <xdr:rowOff>62072</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17930</xdr:colOff>
      <xdr:row>204</xdr:row>
      <xdr:rowOff>26894</xdr:rowOff>
    </xdr:from>
    <xdr:to>
      <xdr:col>28</xdr:col>
      <xdr:colOff>597050</xdr:colOff>
      <xdr:row>223</xdr:row>
      <xdr:rowOff>147544</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0</xdr:colOff>
      <xdr:row>205</xdr:row>
      <xdr:rowOff>0</xdr:rowOff>
    </xdr:from>
    <xdr:to>
      <xdr:col>44</xdr:col>
      <xdr:colOff>600398</xdr:colOff>
      <xdr:row>223</xdr:row>
      <xdr:rowOff>27266</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109816</xdr:colOff>
      <xdr:row>199</xdr:row>
      <xdr:rowOff>0</xdr:rowOff>
    </xdr:from>
    <xdr:to>
      <xdr:col>64</xdr:col>
      <xdr:colOff>386041</xdr:colOff>
      <xdr:row>215</xdr:row>
      <xdr:rowOff>129054</xdr:rowOff>
    </xdr:to>
    <xdr:graphicFrame macro="">
      <xdr:nvGraphicFramePr>
        <xdr:cNvPr id="2" name="Chart 1">
          <a:extLst>
            <a:ext uri="{FF2B5EF4-FFF2-40B4-BE49-F238E27FC236}">
              <a16:creationId xmlns:a16="http://schemas.microsoft.com/office/drawing/2014/main" id="{E045011A-72BD-4E91-94BC-52D96B9B9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0.182</cdr:x>
      <cdr:y>0.12355</cdr:y>
    </cdr:to>
    <cdr:sp macro="" textlink="">
      <cdr:nvSpPr>
        <cdr:cNvPr id="2" name="TextBox 1">
          <a:extLst xmlns:a="http://schemas.openxmlformats.org/drawingml/2006/main">
            <a:ext uri="{FF2B5EF4-FFF2-40B4-BE49-F238E27FC236}">
              <a16:creationId xmlns:a16="http://schemas.microsoft.com/office/drawing/2014/main" id="{F62D4E21-3060-4470-B590-A5ACC0965744}"/>
            </a:ext>
          </a:extLst>
        </cdr:cNvPr>
        <cdr:cNvSpPr txBox="1"/>
      </cdr:nvSpPr>
      <cdr:spPr>
        <a:xfrm xmlns:a="http://schemas.openxmlformats.org/drawingml/2006/main">
          <a:off x="0" y="0"/>
          <a:ext cx="88582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US$</a:t>
          </a:r>
          <a:r>
            <a:rPr lang="en-US" sz="1000" baseline="0"/>
            <a:t> mn</a:t>
          </a:r>
          <a:endParaRPr lang="en-US" sz="1000"/>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Research/hk/gc_tech_telco/Tech%201Q/Models/Largan/GS_UMC(2303.TW)%20v2.xlsx" TargetMode="External"/><Relationship Id="rId1" Type="http://schemas.openxmlformats.org/officeDocument/2006/relationships/externalLinkPath" Target="/Projects/Research/hk/gc_tech_telco/Tech%201Q/Models/Largan/GS_UMC(2303.TW)%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rmwide.corp.gs.com\irroot\Projects\Research\hk\gc_tech_telco\Tech%201Q\Models\Sunny%20Optical\GS_SunnyOptical%20(2382.HK)%20operating%20model_sy_v2%20-%20pepb%20chart%20will%20be%20pasted%20from%20her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Models/Montage/Montage%20model_wip.xlsx" TargetMode="External"/><Relationship Id="rId1" Type="http://schemas.openxmlformats.org/officeDocument/2006/relationships/externalLinkPath" Target="/Projects/hk/gc_tech_telco/GC%20Tech/Models/Montage/Montage%20model_wip.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Lynn/SMIC-pub.xlsx" TargetMode="External"/><Relationship Id="rId1" Type="http://schemas.openxmlformats.org/officeDocument/2006/relationships/externalLinkPath" Target="/Projects/hk/gc_tech_telco/GC%20Tech/Lynn/SMIC-pub.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firmwide.corp.gs.com\root\Projects\Research\hk\gc_tech_telco\GC%20Tech\Models\Hua%20Hong\Hua%20Hong%20(1347%20(version%201).xlsx" TargetMode="External"/><Relationship Id="rId1" Type="http://schemas.openxmlformats.org/officeDocument/2006/relationships/externalLinkPath" Target="file:///\\firmwide.corp.gs.com\root\Projects\Research\hk\gc_tech_telco\GC%20Tech\Models\Hua%20Hong\Hua%20Hong%20(1347%20(version%20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Models/SMIC/Archive/SMIC%20(0981.HK)%20wip%200630%20IRC.xlsx" TargetMode="External"/><Relationship Id="rId1" Type="http://schemas.openxmlformats.org/officeDocument/2006/relationships/externalLinkPath" Target="/projects/hk/gc_tech_telco/GC%20Tech/Models/SMIC/Archive/SMIC%20(0981.HK)%20wip%200630%20IR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rmwide.corp.gs.com\irroot\Projects\Research\hk\gc_tech_telco\Tech%201Q\Models\O-film\GS_O-film%20002456.SZ%20_v2%20Verena%20(QV).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Page"/>
      <sheetName val="Model"/>
      <sheetName val="Assumption"/>
      <sheetName val="Depreciation"/>
      <sheetName val="Monthly sales"/>
      <sheetName val="Note"/>
      <sheetName val="SUM"/>
      <sheetName val="Raw Data"/>
      <sheetName val="Basic Data TEJ"/>
      <sheetName val="AFOSHEET"/>
      <sheetName val="2303.TW_Live_Sheet"/>
      <sheetName val="2303.TW_Validation_Sheet"/>
      <sheetName val="2303.TW_Annotation_Sheet"/>
      <sheetName val="2303.TW_Exchange_Sheet"/>
    </sheetNames>
    <sheetDataSet>
      <sheetData sheetId="0"/>
      <sheetData sheetId="1"/>
      <sheetData sheetId="2"/>
      <sheetData sheetId="3"/>
      <sheetData sheetId="4"/>
      <sheetData sheetId="5"/>
      <sheetData sheetId="6"/>
      <sheetData sheetId="7"/>
      <sheetData sheetId="8"/>
      <sheetData sheetId="9"/>
      <sheetData sheetId="10">
        <row r="1">
          <cell r="A1" t="str">
            <v>Issuer: United Microelectronics Corp.</v>
          </cell>
          <cell r="C1">
            <v>369104187</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cell r="CA1" t="str">
            <v>2021 Q1</v>
          </cell>
          <cell r="CB1" t="str">
            <v>2021 Q2</v>
          </cell>
          <cell r="CC1" t="str">
            <v>2021 Q3</v>
          </cell>
          <cell r="CD1" t="str">
            <v>2021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Actual</v>
          </cell>
          <cell r="AB2" t="str">
            <v>Preliminary</v>
          </cell>
          <cell r="AC2" t="str">
            <v>Preliminary</v>
          </cell>
          <cell r="AD2" t="str">
            <v>Estimate</v>
          </cell>
          <cell r="AE2" t="str">
            <v>Estimate</v>
          </cell>
          <cell r="AF2" t="str">
            <v>Estimate</v>
          </cell>
          <cell r="AG2" t="str">
            <v>Estimate</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Preliminary</v>
          </cell>
          <cell r="BK2" t="str">
            <v>Preliminary</v>
          </cell>
          <cell r="BL2" t="str">
            <v>Preliminary</v>
          </cell>
          <cell r="BM2" t="str">
            <v>Preliminary</v>
          </cell>
          <cell r="BN2" t="str">
            <v>Preliminary</v>
          </cell>
          <cell r="BO2" t="str">
            <v>Preliminary</v>
          </cell>
          <cell r="BP2" t="str">
            <v>Preliminary</v>
          </cell>
          <cell r="BQ2" t="str">
            <v>Estimate</v>
          </cell>
          <cell r="BR2" t="str">
            <v>Estimate</v>
          </cell>
          <cell r="BS2" t="str">
            <v>Estimate</v>
          </cell>
          <cell r="BT2" t="str">
            <v>Estimate</v>
          </cell>
          <cell r="BU2" t="str">
            <v>Estimate</v>
          </cell>
          <cell r="BV2" t="str">
            <v>Estimate</v>
          </cell>
          <cell r="BW2" t="str">
            <v>Estimate</v>
          </cell>
          <cell r="BX2" t="str">
            <v>Estimate</v>
          </cell>
          <cell r="BY2" t="str">
            <v>Estimate</v>
          </cell>
          <cell r="BZ2" t="str">
            <v>Estimate</v>
          </cell>
          <cell r="CA2" t="str">
            <v>Estimate</v>
          </cell>
          <cell r="CB2" t="str">
            <v>Estimate</v>
          </cell>
          <cell r="CC2" t="str">
            <v>Estimate</v>
          </cell>
          <cell r="CD2" t="str">
            <v>Estimate</v>
          </cell>
        </row>
        <row r="3">
          <cell r="F3">
            <v>34699</v>
          </cell>
          <cell r="G3">
            <v>35064</v>
          </cell>
          <cell r="H3">
            <v>35430</v>
          </cell>
          <cell r="I3">
            <v>35795</v>
          </cell>
          <cell r="J3">
            <v>36160</v>
          </cell>
          <cell r="K3">
            <v>36525</v>
          </cell>
          <cell r="L3">
            <v>36891</v>
          </cell>
          <cell r="M3">
            <v>37256</v>
          </cell>
          <cell r="N3">
            <v>37621</v>
          </cell>
          <cell r="O3">
            <v>37986</v>
          </cell>
          <cell r="P3">
            <v>38352</v>
          </cell>
          <cell r="Q3">
            <v>38717</v>
          </cell>
          <cell r="R3">
            <v>39082</v>
          </cell>
          <cell r="S3">
            <v>39447</v>
          </cell>
          <cell r="T3">
            <v>39813</v>
          </cell>
          <cell r="U3">
            <v>40178</v>
          </cell>
          <cell r="V3">
            <v>40543</v>
          </cell>
          <cell r="W3">
            <v>40908</v>
          </cell>
          <cell r="X3">
            <v>41274</v>
          </cell>
          <cell r="Y3">
            <v>41639</v>
          </cell>
          <cell r="Z3">
            <v>42004</v>
          </cell>
          <cell r="AA3">
            <v>42369</v>
          </cell>
          <cell r="AB3">
            <v>42735</v>
          </cell>
          <cell r="AC3">
            <v>43100</v>
          </cell>
          <cell r="AD3">
            <v>43465</v>
          </cell>
          <cell r="AE3">
            <v>43830</v>
          </cell>
          <cell r="AF3">
            <v>44196</v>
          </cell>
          <cell r="AG3">
            <v>44561</v>
          </cell>
          <cell r="AI3">
            <v>40268</v>
          </cell>
          <cell r="AJ3">
            <v>40359</v>
          </cell>
          <cell r="AK3">
            <v>40451</v>
          </cell>
          <cell r="AL3">
            <v>40543</v>
          </cell>
          <cell r="AM3">
            <v>40633</v>
          </cell>
          <cell r="AN3">
            <v>40724</v>
          </cell>
          <cell r="AO3">
            <v>40816</v>
          </cell>
          <cell r="AP3">
            <v>40908</v>
          </cell>
          <cell r="AQ3">
            <v>40999</v>
          </cell>
          <cell r="AR3">
            <v>41090</v>
          </cell>
          <cell r="AS3">
            <v>41182</v>
          </cell>
          <cell r="AT3">
            <v>41274</v>
          </cell>
          <cell r="AU3">
            <v>41364</v>
          </cell>
          <cell r="AV3">
            <v>41455</v>
          </cell>
          <cell r="AW3">
            <v>41547</v>
          </cell>
          <cell r="AX3">
            <v>41639</v>
          </cell>
          <cell r="AY3">
            <v>41729</v>
          </cell>
          <cell r="AZ3">
            <v>41820</v>
          </cell>
          <cell r="BA3">
            <v>41912</v>
          </cell>
          <cell r="BB3">
            <v>42004</v>
          </cell>
          <cell r="BC3">
            <v>42094</v>
          </cell>
          <cell r="BD3">
            <v>42185</v>
          </cell>
          <cell r="BE3">
            <v>42277</v>
          </cell>
          <cell r="BF3">
            <v>42369</v>
          </cell>
          <cell r="BG3">
            <v>42460</v>
          </cell>
          <cell r="BH3">
            <v>42551</v>
          </cell>
          <cell r="BI3">
            <v>42643</v>
          </cell>
          <cell r="BJ3">
            <v>42735</v>
          </cell>
          <cell r="BK3">
            <v>42825</v>
          </cell>
          <cell r="BL3">
            <v>42916</v>
          </cell>
          <cell r="BM3">
            <v>43008</v>
          </cell>
          <cell r="BN3">
            <v>43100</v>
          </cell>
          <cell r="BO3">
            <v>43190</v>
          </cell>
          <cell r="BP3">
            <v>43281</v>
          </cell>
          <cell r="BQ3">
            <v>43373</v>
          </cell>
          <cell r="BR3">
            <v>43465</v>
          </cell>
          <cell r="BS3">
            <v>43555</v>
          </cell>
          <cell r="BT3">
            <v>43646</v>
          </cell>
          <cell r="BU3">
            <v>43738</v>
          </cell>
          <cell r="BV3">
            <v>43830</v>
          </cell>
          <cell r="BW3">
            <v>43921</v>
          </cell>
          <cell r="BX3">
            <v>44012</v>
          </cell>
          <cell r="BY3">
            <v>44104</v>
          </cell>
          <cell r="BZ3">
            <v>44196</v>
          </cell>
          <cell r="CA3">
            <v>44286</v>
          </cell>
          <cell r="CB3">
            <v>44377</v>
          </cell>
          <cell r="CC3">
            <v>44469</v>
          </cell>
          <cell r="CD3">
            <v>44561</v>
          </cell>
        </row>
        <row r="4">
          <cell r="A4" t="str">
            <v>Issuer: United Microelectronics Corp.</v>
          </cell>
          <cell r="B4" t="str">
            <v>44M01</v>
          </cell>
        </row>
        <row r="5">
          <cell r="A5" t="str">
            <v>Reference Data</v>
          </cell>
        </row>
        <row r="6">
          <cell r="B6" t="str">
            <v>Issuer Name</v>
          </cell>
          <cell r="C6" t="str">
            <v>Issuer Name</v>
          </cell>
          <cell r="E6" t="str">
            <v>United Microelectronics Corp.</v>
          </cell>
        </row>
        <row r="7">
          <cell r="B7" t="str">
            <v>Reporting Currency</v>
          </cell>
          <cell r="C7" t="str">
            <v>CURRENCY_ISO</v>
          </cell>
          <cell r="E7" t="str">
            <v>TWD</v>
          </cell>
        </row>
        <row r="8">
          <cell r="A8" t="str">
            <v>General Information</v>
          </cell>
        </row>
        <row r="9">
          <cell r="B9" t="str">
            <v>M&amp;A probability (1 = high, 3 = low)</v>
          </cell>
          <cell r="C9" t="str">
            <v>MA_PROB</v>
          </cell>
        </row>
        <row r="10">
          <cell r="A10" t="str">
            <v>Income Statement</v>
          </cell>
        </row>
        <row r="11">
          <cell r="B11" t="str">
            <v>Sales, net revenue</v>
          </cell>
          <cell r="C11" t="str">
            <v>SALES</v>
          </cell>
          <cell r="D11" t="str">
            <v>TWD</v>
          </cell>
          <cell r="F11">
            <v>15243.157999999999</v>
          </cell>
          <cell r="G11">
            <v>24246.913</v>
          </cell>
          <cell r="H11">
            <v>22605.651999999998</v>
          </cell>
          <cell r="I11">
            <v>25088.994999999999</v>
          </cell>
          <cell r="J11">
            <v>18431.601999999999</v>
          </cell>
          <cell r="K11">
            <v>29147.056</v>
          </cell>
          <cell r="L11">
            <v>105084.72</v>
          </cell>
          <cell r="M11">
            <v>64493.406999999999</v>
          </cell>
          <cell r="N11">
            <v>67425.744999999995</v>
          </cell>
          <cell r="O11">
            <v>84862.07</v>
          </cell>
          <cell r="P11">
            <v>117311.84</v>
          </cell>
          <cell r="Q11">
            <v>90775.438999999998</v>
          </cell>
          <cell r="R11">
            <v>104098.611</v>
          </cell>
          <cell r="S11">
            <v>106771.05100000001</v>
          </cell>
          <cell r="T11">
            <v>96813.546000000002</v>
          </cell>
          <cell r="U11">
            <v>91389.764999999999</v>
          </cell>
          <cell r="V11">
            <v>126441.54399999999</v>
          </cell>
          <cell r="W11">
            <v>116702.723</v>
          </cell>
          <cell r="X11">
            <v>115674.76300000001</v>
          </cell>
          <cell r="Y11">
            <v>123811.636</v>
          </cell>
          <cell r="Z11">
            <v>140012.076</v>
          </cell>
          <cell r="AA11">
            <v>144830.421</v>
          </cell>
          <cell r="AB11">
            <v>147871.079</v>
          </cell>
          <cell r="AC11">
            <v>149285</v>
          </cell>
          <cell r="AI11">
            <v>27337.792000000001</v>
          </cell>
          <cell r="AJ11">
            <v>30618.287</v>
          </cell>
          <cell r="AK11">
            <v>34049.714999999997</v>
          </cell>
          <cell r="AL11">
            <v>34435.75</v>
          </cell>
          <cell r="AM11">
            <v>31165.675999999999</v>
          </cell>
          <cell r="AN11">
            <v>31679.064999999999</v>
          </cell>
          <cell r="AO11">
            <v>27799.999</v>
          </cell>
          <cell r="AP11">
            <v>26057.983</v>
          </cell>
          <cell r="AQ11">
            <v>26269.434000000001</v>
          </cell>
          <cell r="AR11">
            <v>30377.33</v>
          </cell>
          <cell r="AS11">
            <v>30173.646000000001</v>
          </cell>
          <cell r="AT11">
            <v>28854.352999999999</v>
          </cell>
          <cell r="AU11">
            <v>27781.416000000001</v>
          </cell>
          <cell r="AV11">
            <v>31904.704000000002</v>
          </cell>
          <cell r="AW11">
            <v>33406.771999999997</v>
          </cell>
          <cell r="AX11">
            <v>30718.743999999999</v>
          </cell>
          <cell r="AY11">
            <v>31693.584999999999</v>
          </cell>
          <cell r="AZ11">
            <v>35869.351000000002</v>
          </cell>
          <cell r="BA11">
            <v>35213.85</v>
          </cell>
          <cell r="BB11">
            <v>37235.29</v>
          </cell>
          <cell r="BC11">
            <v>37649.644</v>
          </cell>
          <cell r="BD11">
            <v>38011.553999999996</v>
          </cell>
          <cell r="BE11">
            <v>35319.841</v>
          </cell>
          <cell r="BF11">
            <v>33849.381999999998</v>
          </cell>
          <cell r="BG11">
            <v>34404.078999999998</v>
          </cell>
          <cell r="BH11">
            <v>36997</v>
          </cell>
          <cell r="BI11">
            <v>38164</v>
          </cell>
          <cell r="BJ11">
            <v>38306</v>
          </cell>
          <cell r="BK11">
            <v>37418</v>
          </cell>
          <cell r="BL11">
            <v>37538</v>
          </cell>
          <cell r="BM11">
            <v>37698</v>
          </cell>
          <cell r="BN11">
            <v>36631</v>
          </cell>
          <cell r="BO11">
            <v>37497</v>
          </cell>
          <cell r="BP11">
            <v>38852</v>
          </cell>
        </row>
        <row r="12">
          <cell r="B12" t="str">
            <v>Compensation &amp; benfits expense</v>
          </cell>
          <cell r="C12" t="str">
            <v>PERSONNEL</v>
          </cell>
          <cell r="D12" t="str">
            <v>TWD</v>
          </cell>
        </row>
        <row r="13">
          <cell r="B13" t="str">
            <v>Cost of goods sold, COGS</v>
          </cell>
          <cell r="C13" t="str">
            <v>COST_GD_SD</v>
          </cell>
          <cell r="D13" t="str">
            <v>TWD</v>
          </cell>
          <cell r="F13">
            <v>-6513.98</v>
          </cell>
          <cell r="G13">
            <v>-8501.9150000000009</v>
          </cell>
          <cell r="H13">
            <v>-12971.16</v>
          </cell>
          <cell r="I13">
            <v>-17532.654999999999</v>
          </cell>
          <cell r="J13">
            <v>-14078.701999999999</v>
          </cell>
          <cell r="K13">
            <v>-19315.067999999999</v>
          </cell>
          <cell r="L13">
            <v>-51483.199000000001</v>
          </cell>
          <cell r="M13">
            <v>-55362.411999999997</v>
          </cell>
          <cell r="N13">
            <v>-56230.595000000001</v>
          </cell>
          <cell r="O13">
            <v>-65419.800999999999</v>
          </cell>
          <cell r="P13">
            <v>-81490.895999999993</v>
          </cell>
          <cell r="Q13">
            <v>-79579.888999999996</v>
          </cell>
          <cell r="R13">
            <v>-83405.138999999996</v>
          </cell>
          <cell r="S13">
            <v>-84265.184999999998</v>
          </cell>
          <cell r="T13">
            <v>-84101.684999999998</v>
          </cell>
          <cell r="U13">
            <v>-75974.607000000004</v>
          </cell>
          <cell r="V13">
            <v>-89517.205000000002</v>
          </cell>
          <cell r="W13">
            <v>-95416.528999999995</v>
          </cell>
          <cell r="X13">
            <v>-96262.902000000002</v>
          </cell>
          <cell r="Y13">
            <v>-100248.66099999999</v>
          </cell>
          <cell r="Z13">
            <v>-108159.398</v>
          </cell>
          <cell r="AA13">
            <v>-113061.894</v>
          </cell>
          <cell r="AB13">
            <v>-117492.086</v>
          </cell>
          <cell r="AC13">
            <v>-122228</v>
          </cell>
          <cell r="AQ13">
            <v>-22213.702000000001</v>
          </cell>
          <cell r="AR13">
            <v>-24015.097000000002</v>
          </cell>
          <cell r="AS13">
            <v>-24417.1</v>
          </cell>
          <cell r="AT13">
            <v>-25617.003000000001</v>
          </cell>
          <cell r="AU13">
            <v>-23289.909</v>
          </cell>
          <cell r="AV13">
            <v>-25727.394</v>
          </cell>
          <cell r="AW13">
            <v>-26069.871999999999</v>
          </cell>
          <cell r="AX13">
            <v>-25161.486000000001</v>
          </cell>
          <cell r="AY13">
            <v>-25792.206999999999</v>
          </cell>
          <cell r="AZ13">
            <v>-27662.252</v>
          </cell>
          <cell r="BA13">
            <v>-27655.333999999999</v>
          </cell>
          <cell r="BB13">
            <v>-27049.605</v>
          </cell>
          <cell r="BC13">
            <v>-28494.535</v>
          </cell>
          <cell r="BD13">
            <v>-29288.072</v>
          </cell>
          <cell r="BE13">
            <v>-28409.238000000001</v>
          </cell>
          <cell r="BF13">
            <v>-26870.048999999999</v>
          </cell>
          <cell r="BG13">
            <v>-29370.085999999999</v>
          </cell>
          <cell r="BH13">
            <v>-28712</v>
          </cell>
          <cell r="BI13">
            <v>-29863</v>
          </cell>
          <cell r="BJ13">
            <v>-29547</v>
          </cell>
          <cell r="BK13">
            <v>-29990</v>
          </cell>
          <cell r="BL13">
            <v>-30799</v>
          </cell>
          <cell r="BM13">
            <v>-31106</v>
          </cell>
          <cell r="BN13">
            <v>-30333</v>
          </cell>
          <cell r="BO13">
            <v>-32855</v>
          </cell>
          <cell r="BP13">
            <v>-32177</v>
          </cell>
        </row>
        <row r="14">
          <cell r="B14" t="str">
            <v>SG&amp;A, selling, general and admin. expense</v>
          </cell>
          <cell r="C14" t="str">
            <v>SEL_GL_AD</v>
          </cell>
          <cell r="D14" t="str">
            <v>TWD</v>
          </cell>
          <cell r="F14">
            <v>-1006.689</v>
          </cell>
          <cell r="G14">
            <v>-1824.998</v>
          </cell>
          <cell r="H14">
            <v>-1702.941</v>
          </cell>
          <cell r="I14">
            <v>-2210.326</v>
          </cell>
          <cell r="J14">
            <v>-2026.954</v>
          </cell>
          <cell r="K14">
            <v>-1636.451</v>
          </cell>
          <cell r="L14">
            <v>-4074.4319999999998</v>
          </cell>
          <cell r="M14">
            <v>-6140.3940000000002</v>
          </cell>
          <cell r="N14">
            <v>-4022.2080000000001</v>
          </cell>
          <cell r="O14">
            <v>-3809.1680000000001</v>
          </cell>
          <cell r="P14">
            <v>-4841.7759999999998</v>
          </cell>
          <cell r="Q14">
            <v>-5505.8389999999999</v>
          </cell>
          <cell r="R14">
            <v>-5331.7179999999998</v>
          </cell>
          <cell r="S14">
            <v>-6213.6009999999997</v>
          </cell>
          <cell r="T14">
            <v>-6538.3109999999997</v>
          </cell>
          <cell r="U14">
            <v>-5523.5140000000001</v>
          </cell>
          <cell r="V14">
            <v>-6164.1819999999998</v>
          </cell>
          <cell r="W14">
            <v>-6711.2610000000004</v>
          </cell>
          <cell r="X14">
            <v>-6120.3990000000003</v>
          </cell>
          <cell r="Y14">
            <v>-5716.2539999999999</v>
          </cell>
          <cell r="Z14">
            <v>-6655.3119999999999</v>
          </cell>
          <cell r="AA14">
            <v>-8179.8860000000004</v>
          </cell>
          <cell r="AB14">
            <v>-10678.813</v>
          </cell>
          <cell r="AC14">
            <v>-6843</v>
          </cell>
        </row>
        <row r="15">
          <cell r="B15" t="str">
            <v>Total operating expense</v>
          </cell>
          <cell r="C15" t="str">
            <v>OP_COST</v>
          </cell>
          <cell r="D15" t="str">
            <v>TWD</v>
          </cell>
          <cell r="F15">
            <v>-7520.6689999999999</v>
          </cell>
          <cell r="G15">
            <v>-10326.913</v>
          </cell>
          <cell r="H15">
            <v>-14674.101000000001</v>
          </cell>
          <cell r="I15">
            <v>-19742.981</v>
          </cell>
          <cell r="J15">
            <v>-16105.656000000001</v>
          </cell>
          <cell r="K15">
            <v>-20951.519</v>
          </cell>
          <cell r="L15">
            <v>-55557.631000000001</v>
          </cell>
          <cell r="M15">
            <v>-61502.805999999997</v>
          </cell>
          <cell r="N15">
            <v>-60252.803</v>
          </cell>
          <cell r="O15">
            <v>-69228.968999999997</v>
          </cell>
          <cell r="P15">
            <v>-86332.672000000006</v>
          </cell>
          <cell r="Q15">
            <v>-85085.728000000003</v>
          </cell>
          <cell r="R15">
            <v>-88736.857000000004</v>
          </cell>
          <cell r="S15">
            <v>-90478.785999999993</v>
          </cell>
          <cell r="T15">
            <v>-90639.995999999999</v>
          </cell>
          <cell r="U15">
            <v>-81498.120999999999</v>
          </cell>
          <cell r="V15">
            <v>-95681.387000000002</v>
          </cell>
          <cell r="W15">
            <v>-102127.79</v>
          </cell>
          <cell r="X15">
            <v>-102383.30100000001</v>
          </cell>
          <cell r="Y15">
            <v>-105964.91499999999</v>
          </cell>
          <cell r="Z15">
            <v>-114814.71</v>
          </cell>
          <cell r="AA15">
            <v>-121241.78</v>
          </cell>
          <cell r="AB15">
            <v>-128170.899</v>
          </cell>
          <cell r="AC15">
            <v>-129071</v>
          </cell>
        </row>
        <row r="16">
          <cell r="B16" t="str">
            <v>R&amp;D expense</v>
          </cell>
          <cell r="C16" t="str">
            <v>RD_EXP</v>
          </cell>
          <cell r="D16" t="str">
            <v>TWD</v>
          </cell>
          <cell r="F16">
            <v>-1071</v>
          </cell>
          <cell r="G16">
            <v>-1400</v>
          </cell>
          <cell r="H16">
            <v>-1812.33</v>
          </cell>
          <cell r="I16">
            <v>-1759.62</v>
          </cell>
          <cell r="J16">
            <v>-1933.7149999999999</v>
          </cell>
          <cell r="K16">
            <v>-2674.143</v>
          </cell>
          <cell r="L16">
            <v>-5953.9620000000004</v>
          </cell>
          <cell r="M16">
            <v>-8580.7749999999996</v>
          </cell>
          <cell r="N16">
            <v>-7031.9709999999995</v>
          </cell>
          <cell r="O16">
            <v>-5696.7669999999998</v>
          </cell>
          <cell r="P16">
            <v>-6524.1760000000004</v>
          </cell>
          <cell r="Q16">
            <v>-8358.43</v>
          </cell>
          <cell r="R16">
            <v>-9237.616</v>
          </cell>
          <cell r="S16">
            <v>-9487.5429999999997</v>
          </cell>
          <cell r="T16">
            <v>-8274.07</v>
          </cell>
          <cell r="U16">
            <v>-8044.1549999999997</v>
          </cell>
          <cell r="V16">
            <v>-8740.4789999999994</v>
          </cell>
          <cell r="W16">
            <v>-9395.0660000000007</v>
          </cell>
          <cell r="X16">
            <v>-9786.8310000000001</v>
          </cell>
          <cell r="Y16">
            <v>-12093.050999999999</v>
          </cell>
          <cell r="Z16">
            <v>-13463.874</v>
          </cell>
          <cell r="AA16">
            <v>-11571.224</v>
          </cell>
          <cell r="AB16">
            <v>-12132.227999999999</v>
          </cell>
          <cell r="AC16">
            <v>-13116.4</v>
          </cell>
        </row>
        <row r="17">
          <cell r="B17" t="str">
            <v>ESO expense (pre-tax)</v>
          </cell>
          <cell r="C17" t="str">
            <v>ESO_PRE_TAX</v>
          </cell>
          <cell r="D17" t="str">
            <v>TWD</v>
          </cell>
        </row>
        <row r="18">
          <cell r="B18" t="str">
            <v>Other operating income/(expense) (incl. leases)</v>
          </cell>
          <cell r="C18" t="str">
            <v>OTH_OP_INC_EXP</v>
          </cell>
          <cell r="D18" t="str">
            <v>TWD</v>
          </cell>
          <cell r="F18">
            <v>0</v>
          </cell>
          <cell r="G18">
            <v>0</v>
          </cell>
          <cell r="H18">
            <v>0</v>
          </cell>
          <cell r="I18">
            <v>0</v>
          </cell>
          <cell r="J18">
            <v>0</v>
          </cell>
          <cell r="K18">
            <v>0</v>
          </cell>
          <cell r="L18">
            <v>0</v>
          </cell>
          <cell r="M18">
            <v>0</v>
          </cell>
          <cell r="N18">
            <v>0</v>
          </cell>
          <cell r="O18">
            <v>0</v>
          </cell>
          <cell r="P18">
            <v>0</v>
          </cell>
          <cell r="Q18">
            <v>0</v>
          </cell>
          <cell r="R18">
            <v>0</v>
          </cell>
          <cell r="S18">
            <v>5478.7930000000097</v>
          </cell>
          <cell r="T18">
            <v>0</v>
          </cell>
          <cell r="U18">
            <v>0</v>
          </cell>
          <cell r="V18">
            <v>0</v>
          </cell>
          <cell r="W18">
            <v>0</v>
          </cell>
          <cell r="X18">
            <v>0</v>
          </cell>
          <cell r="Y18">
            <v>-1721.54999999999</v>
          </cell>
          <cell r="Z18">
            <v>-1657.1599999999701</v>
          </cell>
          <cell r="AA18">
            <v>-1181.76000000001</v>
          </cell>
          <cell r="AB18">
            <v>-1374.4000000000201</v>
          </cell>
          <cell r="AC18">
            <v>-528.60000000000605</v>
          </cell>
        </row>
        <row r="19">
          <cell r="B19" t="str">
            <v>Total operating expense (incl. D&amp;A)</v>
          </cell>
          <cell r="C19" t="str">
            <v>TOT_OPS_EXP_DDA</v>
          </cell>
          <cell r="D19" t="str">
            <v>TWD</v>
          </cell>
          <cell r="F19">
            <v>-8591.6689999999999</v>
          </cell>
          <cell r="G19">
            <v>-11726.913</v>
          </cell>
          <cell r="H19">
            <v>-16486.431</v>
          </cell>
          <cell r="I19">
            <v>-21502.600999999999</v>
          </cell>
          <cell r="J19">
            <v>-18039.370999999999</v>
          </cell>
          <cell r="K19">
            <v>-23625.662</v>
          </cell>
          <cell r="L19">
            <v>-61511.593000000001</v>
          </cell>
          <cell r="M19">
            <v>-70083.581000000006</v>
          </cell>
          <cell r="N19">
            <v>-67284.774000000005</v>
          </cell>
          <cell r="O19">
            <v>-74925.736000000004</v>
          </cell>
          <cell r="P19">
            <v>-92856.847999999998</v>
          </cell>
          <cell r="Q19">
            <v>-93444.157999999996</v>
          </cell>
          <cell r="R19">
            <v>-97974.472999999998</v>
          </cell>
          <cell r="S19">
            <v>-99966.328999999998</v>
          </cell>
          <cell r="T19">
            <v>-98914.066000000006</v>
          </cell>
          <cell r="U19">
            <v>-89542.275999999998</v>
          </cell>
          <cell r="V19">
            <v>-104421.86599999999</v>
          </cell>
          <cell r="W19">
            <v>-111522.856</v>
          </cell>
          <cell r="X19">
            <v>-112170.132</v>
          </cell>
          <cell r="Y19">
            <v>-119779.516</v>
          </cell>
          <cell r="Z19">
            <v>-129935.74400000001</v>
          </cell>
          <cell r="AA19">
            <v>-133994.764</v>
          </cell>
          <cell r="AB19">
            <v>-141677.527</v>
          </cell>
          <cell r="AC19">
            <v>-142716</v>
          </cell>
        </row>
        <row r="20">
          <cell r="B20" t="str">
            <v>Total operating expense (excl. D&amp;A)</v>
          </cell>
          <cell r="C20" t="str">
            <v>TOT_OPS_EXP</v>
          </cell>
          <cell r="D20" t="str">
            <v>TWD</v>
          </cell>
          <cell r="F20">
            <v>-7043.2340000000004</v>
          </cell>
          <cell r="G20">
            <v>-9533.8449999999993</v>
          </cell>
          <cell r="H20">
            <v>-13028.895</v>
          </cell>
          <cell r="I20">
            <v>-17456.535</v>
          </cell>
          <cell r="J20">
            <v>-13228.803</v>
          </cell>
          <cell r="K20">
            <v>-18119.303</v>
          </cell>
          <cell r="L20">
            <v>-36994.42</v>
          </cell>
          <cell r="M20">
            <v>-35792.678999999996</v>
          </cell>
          <cell r="N20">
            <v>-31559.761999999999</v>
          </cell>
          <cell r="O20">
            <v>-37514.188999999998</v>
          </cell>
          <cell r="P20">
            <v>-53079.514999999999</v>
          </cell>
          <cell r="Q20">
            <v>-44927.254000000001</v>
          </cell>
          <cell r="R20">
            <v>-53780.483</v>
          </cell>
          <cell r="S20">
            <v>-63231.264000000003</v>
          </cell>
          <cell r="T20">
            <v>-60401.962</v>
          </cell>
          <cell r="U20">
            <v>-55312.481</v>
          </cell>
          <cell r="V20">
            <v>-73926.232999999993</v>
          </cell>
          <cell r="W20">
            <v>-79152.057000000001</v>
          </cell>
          <cell r="X20">
            <v>-76432.557000000001</v>
          </cell>
          <cell r="Y20">
            <v>-81347.203999999998</v>
          </cell>
          <cell r="Z20">
            <v>-89278.39</v>
          </cell>
          <cell r="AA20">
            <v>-88522.654999999999</v>
          </cell>
          <cell r="AB20">
            <v>-89695.123999999996</v>
          </cell>
          <cell r="AC20">
            <v>-89617</v>
          </cell>
        </row>
        <row r="21">
          <cell r="B21" t="str">
            <v>EBITDA</v>
          </cell>
          <cell r="C21" t="str">
            <v>EBITDA_CALC</v>
          </cell>
          <cell r="D21" t="str">
            <v>TWD</v>
          </cell>
          <cell r="F21">
            <v>8199.9240000000009</v>
          </cell>
          <cell r="G21">
            <v>14713.067999999999</v>
          </cell>
          <cell r="H21">
            <v>9576.7569999999996</v>
          </cell>
          <cell r="I21">
            <v>7632.46</v>
          </cell>
          <cell r="J21">
            <v>5202.799</v>
          </cell>
          <cell r="K21">
            <v>11027.753000000001</v>
          </cell>
          <cell r="L21">
            <v>68090.3</v>
          </cell>
          <cell r="M21">
            <v>28700.727999999999</v>
          </cell>
          <cell r="N21">
            <v>35865.983</v>
          </cell>
          <cell r="O21">
            <v>47347.881000000001</v>
          </cell>
          <cell r="P21">
            <v>64232.324999999997</v>
          </cell>
          <cell r="Q21">
            <v>45848.184999999998</v>
          </cell>
          <cell r="R21">
            <v>50318.127999999997</v>
          </cell>
          <cell r="S21">
            <v>38060.993999999999</v>
          </cell>
          <cell r="T21">
            <v>36411.584000000003</v>
          </cell>
          <cell r="U21">
            <v>36077.284</v>
          </cell>
          <cell r="V21">
            <v>52515.311000000002</v>
          </cell>
          <cell r="W21">
            <v>37550.665999999997</v>
          </cell>
          <cell r="X21">
            <v>39242.205999999998</v>
          </cell>
          <cell r="Y21">
            <v>42464.432000000001</v>
          </cell>
          <cell r="Z21">
            <v>50733.686000000002</v>
          </cell>
          <cell r="AA21">
            <v>56307.766000000003</v>
          </cell>
          <cell r="AB21">
            <v>58175.955000000002</v>
          </cell>
          <cell r="AC21">
            <v>59668</v>
          </cell>
        </row>
        <row r="22">
          <cell r="B22" t="str">
            <v>Depreciation</v>
          </cell>
          <cell r="C22" t="str">
            <v>DEPREC</v>
          </cell>
          <cell r="D22" t="str">
            <v>TWD</v>
          </cell>
          <cell r="F22">
            <v>-1523.098</v>
          </cell>
          <cell r="G22">
            <v>-2157.5859999999998</v>
          </cell>
          <cell r="H22">
            <v>-3189.567</v>
          </cell>
          <cell r="I22">
            <v>-3862.9380000000001</v>
          </cell>
          <cell r="J22">
            <v>-4701.4170000000004</v>
          </cell>
          <cell r="K22">
            <v>-5228.3059999999996</v>
          </cell>
          <cell r="L22">
            <v>-22856.468000000001</v>
          </cell>
          <cell r="M22">
            <v>-31998.131000000001</v>
          </cell>
          <cell r="N22">
            <v>-33531.54</v>
          </cell>
          <cell r="O22">
            <v>-35855.264999999999</v>
          </cell>
          <cell r="P22">
            <v>-38595.953999999998</v>
          </cell>
          <cell r="Q22">
            <v>-46129.224999999999</v>
          </cell>
          <cell r="R22">
            <v>-42512.61</v>
          </cell>
          <cell r="S22">
            <v>-36392.896999999997</v>
          </cell>
          <cell r="T22">
            <v>-37197.218999999997</v>
          </cell>
          <cell r="U22">
            <v>-33530.254000000001</v>
          </cell>
          <cell r="V22">
            <v>-29951.312000000002</v>
          </cell>
          <cell r="W22">
            <v>-31915.067999999999</v>
          </cell>
          <cell r="X22">
            <v>-35011.411999999997</v>
          </cell>
          <cell r="Y22">
            <v>-37241.788</v>
          </cell>
          <cell r="Z22">
            <v>-38785.576000000001</v>
          </cell>
          <cell r="AA22">
            <v>-43473.008000000002</v>
          </cell>
          <cell r="AB22">
            <v>-51412.553999999996</v>
          </cell>
          <cell r="AC22">
            <v>-53099</v>
          </cell>
        </row>
        <row r="23">
          <cell r="B23" t="str">
            <v>Amortization</v>
          </cell>
          <cell r="C23" t="str">
            <v>GOODWILL_AMORT</v>
          </cell>
          <cell r="D23" t="str">
            <v>TWD</v>
          </cell>
          <cell r="F23">
            <v>-25.337</v>
          </cell>
          <cell r="G23">
            <v>-35.481999999999999</v>
          </cell>
          <cell r="H23">
            <v>-267.96899999999999</v>
          </cell>
          <cell r="I23">
            <v>-183.12799999999999</v>
          </cell>
          <cell r="J23">
            <v>-109.151</v>
          </cell>
          <cell r="K23">
            <v>-278.053</v>
          </cell>
          <cell r="L23">
            <v>-1660.7049999999999</v>
          </cell>
          <cell r="M23">
            <v>-2292.7710000000002</v>
          </cell>
          <cell r="N23">
            <v>-2193.4720000000002</v>
          </cell>
          <cell r="O23">
            <v>-1556.2819999999999</v>
          </cell>
          <cell r="P23">
            <v>-1181.3789999999999</v>
          </cell>
          <cell r="Q23">
            <v>-2387.6790000000001</v>
          </cell>
          <cell r="R23">
            <v>-1681.38</v>
          </cell>
          <cell r="S23">
            <v>-342.16800000000001</v>
          </cell>
          <cell r="T23">
            <v>-1314.885</v>
          </cell>
          <cell r="U23">
            <v>-699.54100000000005</v>
          </cell>
          <cell r="V23">
            <v>-544.32100000000003</v>
          </cell>
          <cell r="W23">
            <v>-455.73099999999999</v>
          </cell>
          <cell r="X23">
            <v>-726.16300000000001</v>
          </cell>
          <cell r="Y23">
            <v>-1190.5239999999999</v>
          </cell>
          <cell r="Z23">
            <v>-1871.778</v>
          </cell>
          <cell r="AA23">
            <v>-1999.1010000000001</v>
          </cell>
          <cell r="AB23">
            <v>-569.84900000000005</v>
          </cell>
          <cell r="AC23">
            <v>0</v>
          </cell>
        </row>
        <row r="24">
          <cell r="B24" t="str">
            <v>EBIT, operating profit</v>
          </cell>
          <cell r="C24" t="str">
            <v>EBIT</v>
          </cell>
          <cell r="D24" t="str">
            <v>TWD</v>
          </cell>
          <cell r="F24">
            <v>6651.4889999999996</v>
          </cell>
          <cell r="G24">
            <v>12520</v>
          </cell>
          <cell r="H24">
            <v>6119.2209999999995</v>
          </cell>
          <cell r="I24">
            <v>3586.3939999999998</v>
          </cell>
          <cell r="J24">
            <v>392.23099999999999</v>
          </cell>
          <cell r="K24">
            <v>5521.3940000000002</v>
          </cell>
          <cell r="L24">
            <v>43573.127</v>
          </cell>
          <cell r="M24">
            <v>-5590.174</v>
          </cell>
          <cell r="N24">
            <v>140.971</v>
          </cell>
          <cell r="O24">
            <v>9936.3340000000007</v>
          </cell>
          <cell r="P24">
            <v>24454.991999999998</v>
          </cell>
          <cell r="Q24">
            <v>-2668.7190000000001</v>
          </cell>
          <cell r="R24">
            <v>6124.1379999999999</v>
          </cell>
          <cell r="S24">
            <v>1325.9290000000001</v>
          </cell>
          <cell r="T24">
            <v>-2100.52</v>
          </cell>
          <cell r="U24">
            <v>1847.48899999999</v>
          </cell>
          <cell r="V24">
            <v>22019.678</v>
          </cell>
          <cell r="W24">
            <v>5179.8670000000002</v>
          </cell>
          <cell r="X24">
            <v>3504.6309999999999</v>
          </cell>
          <cell r="Y24">
            <v>4032.12</v>
          </cell>
          <cell r="Z24">
            <v>10076.332</v>
          </cell>
          <cell r="AA24">
            <v>10835.656999999999</v>
          </cell>
          <cell r="AB24">
            <v>6193.5519999999997</v>
          </cell>
          <cell r="AC24">
            <v>6569</v>
          </cell>
          <cell r="AI24">
            <v>3160.2660000000001</v>
          </cell>
          <cell r="AJ24">
            <v>5334.8590000000004</v>
          </cell>
          <cell r="AK24">
            <v>7154.5870000000004</v>
          </cell>
          <cell r="AL24">
            <v>6369.9660000000003</v>
          </cell>
          <cell r="AM24">
            <v>3860.145</v>
          </cell>
          <cell r="AN24">
            <v>2512.6529999999998</v>
          </cell>
          <cell r="AO24">
            <v>162.28299999999999</v>
          </cell>
          <cell r="AP24">
            <v>-1355.2139999999999</v>
          </cell>
          <cell r="AQ24">
            <v>264.56400000000002</v>
          </cell>
          <cell r="AR24">
            <v>2189.7930000000001</v>
          </cell>
          <cell r="AS24">
            <v>1982.9939999999999</v>
          </cell>
          <cell r="AT24">
            <v>-932.72</v>
          </cell>
          <cell r="AU24">
            <v>293.99299999999999</v>
          </cell>
          <cell r="AV24">
            <v>1149.4690000000001</v>
          </cell>
          <cell r="AW24">
            <v>2394.7779999999998</v>
          </cell>
          <cell r="AX24">
            <v>193.88</v>
          </cell>
          <cell r="AY24">
            <v>940.63900000000001</v>
          </cell>
          <cell r="AZ24">
            <v>2916.7570000000001</v>
          </cell>
          <cell r="BA24">
            <v>1686.4970000000001</v>
          </cell>
          <cell r="BB24">
            <v>4532.4390000000003</v>
          </cell>
          <cell r="BC24">
            <v>4098.6719999999996</v>
          </cell>
          <cell r="BD24">
            <v>3876.431</v>
          </cell>
          <cell r="BE24">
            <v>980.76199999999994</v>
          </cell>
          <cell r="BF24">
            <v>1879.7919999999999</v>
          </cell>
          <cell r="BG24">
            <v>-16.448</v>
          </cell>
          <cell r="BH24">
            <v>2449</v>
          </cell>
          <cell r="BI24">
            <v>1485</v>
          </cell>
          <cell r="BJ24">
            <v>2276</v>
          </cell>
          <cell r="BK24">
            <v>1371</v>
          </cell>
          <cell r="BL24">
            <v>1668</v>
          </cell>
          <cell r="BM24">
            <v>1629</v>
          </cell>
          <cell r="BN24">
            <v>1901</v>
          </cell>
          <cell r="BO24">
            <v>769</v>
          </cell>
          <cell r="BP24">
            <v>3181</v>
          </cell>
        </row>
        <row r="25">
          <cell r="B25" t="str">
            <v>Interest income</v>
          </cell>
          <cell r="C25" t="str">
            <v>INT_INC_IND</v>
          </cell>
          <cell r="D25" t="str">
            <v>TWD</v>
          </cell>
          <cell r="F25">
            <v>487.56900000000002</v>
          </cell>
          <cell r="G25">
            <v>695.67899999999997</v>
          </cell>
          <cell r="H25">
            <v>767.65499999999997</v>
          </cell>
          <cell r="I25">
            <v>948.149</v>
          </cell>
          <cell r="J25">
            <v>1863.116</v>
          </cell>
          <cell r="K25">
            <v>778.96600000000001</v>
          </cell>
          <cell r="L25">
            <v>1817.3820000000001</v>
          </cell>
          <cell r="M25">
            <v>2223.8249999999998</v>
          </cell>
          <cell r="N25">
            <v>1332.9069999999999</v>
          </cell>
          <cell r="O25">
            <v>966.97299999999996</v>
          </cell>
          <cell r="P25">
            <v>871.59799999999996</v>
          </cell>
          <cell r="Q25">
            <v>945.61</v>
          </cell>
          <cell r="R25">
            <v>1453.04</v>
          </cell>
          <cell r="S25">
            <v>1185.3699999999999</v>
          </cell>
          <cell r="T25">
            <v>686.26800000000003</v>
          </cell>
          <cell r="U25">
            <v>170.495</v>
          </cell>
          <cell r="V25">
            <v>143.47999999999999</v>
          </cell>
          <cell r="W25">
            <v>229.244</v>
          </cell>
          <cell r="X25">
            <v>211.37100000000001</v>
          </cell>
          <cell r="Y25">
            <v>301.726</v>
          </cell>
          <cell r="Z25">
            <v>495.73</v>
          </cell>
          <cell r="AA25">
            <v>356.084</v>
          </cell>
          <cell r="AB25">
            <v>397.88</v>
          </cell>
          <cell r="AC25">
            <v>397.88</v>
          </cell>
        </row>
        <row r="26">
          <cell r="B26" t="str">
            <v>Interest expense</v>
          </cell>
          <cell r="C26" t="str">
            <v>INT_EXP_IND</v>
          </cell>
          <cell r="D26" t="str">
            <v>TWD</v>
          </cell>
          <cell r="F26">
            <v>-367.48899999999998</v>
          </cell>
          <cell r="G26">
            <v>-297.57900000000001</v>
          </cell>
          <cell r="H26">
            <v>-901.39800000000002</v>
          </cell>
          <cell r="I26">
            <v>-951.19600000000003</v>
          </cell>
          <cell r="J26">
            <v>-1647.1780000000001</v>
          </cell>
          <cell r="K26">
            <v>-989.35699999999997</v>
          </cell>
          <cell r="L26">
            <v>-2343.0129999999999</v>
          </cell>
          <cell r="M26">
            <v>-2488.239</v>
          </cell>
          <cell r="N26">
            <v>-1418.1420000000001</v>
          </cell>
          <cell r="O26">
            <v>-1234.134</v>
          </cell>
          <cell r="P26">
            <v>-1179.145</v>
          </cell>
          <cell r="Q26">
            <v>-918.173</v>
          </cell>
          <cell r="R26">
            <v>-630.73800000000006</v>
          </cell>
          <cell r="S26">
            <v>-184.458</v>
          </cell>
          <cell r="T26">
            <v>-71.161000000000001</v>
          </cell>
          <cell r="U26">
            <v>-58.255000000000003</v>
          </cell>
          <cell r="V26">
            <v>-16.8</v>
          </cell>
          <cell r="W26">
            <v>-306.01499999999999</v>
          </cell>
          <cell r="X26">
            <v>-458.00700000000001</v>
          </cell>
          <cell r="Y26">
            <v>-678.40599999999995</v>
          </cell>
          <cell r="Z26">
            <v>-746.06500000000005</v>
          </cell>
          <cell r="AA26">
            <v>-523.86500000000001</v>
          </cell>
          <cell r="AB26">
            <v>-1378.319</v>
          </cell>
          <cell r="AC26">
            <v>-2451.88</v>
          </cell>
        </row>
        <row r="27">
          <cell r="B27" t="str">
            <v>Net interest income/(expense)</v>
          </cell>
          <cell r="C27" t="str">
            <v>NET_INT_EXP</v>
          </cell>
          <cell r="D27" t="str">
            <v>TWD</v>
          </cell>
          <cell r="F27">
            <v>120.08</v>
          </cell>
          <cell r="G27">
            <v>398.1</v>
          </cell>
          <cell r="H27">
            <v>-133.74299999999999</v>
          </cell>
          <cell r="I27">
            <v>-3.0470000000000002</v>
          </cell>
          <cell r="J27">
            <v>215.93799999999999</v>
          </cell>
          <cell r="K27">
            <v>-210.39099999999999</v>
          </cell>
          <cell r="L27">
            <v>-525.63099999999997</v>
          </cell>
          <cell r="M27">
            <v>-264.41399999999999</v>
          </cell>
          <cell r="N27">
            <v>-85.234999999999999</v>
          </cell>
          <cell r="O27">
            <v>-267.161</v>
          </cell>
          <cell r="P27">
            <v>-307.54700000000003</v>
          </cell>
          <cell r="Q27">
            <v>27.437000000000001</v>
          </cell>
          <cell r="R27">
            <v>822.30200000000002</v>
          </cell>
          <cell r="S27">
            <v>1000.912</v>
          </cell>
          <cell r="T27">
            <v>615.10699999999997</v>
          </cell>
          <cell r="U27">
            <v>112.24</v>
          </cell>
          <cell r="V27">
            <v>126.68</v>
          </cell>
          <cell r="W27">
            <v>-76.771000000000001</v>
          </cell>
          <cell r="X27">
            <v>-246.636</v>
          </cell>
          <cell r="Y27">
            <v>-376.68</v>
          </cell>
          <cell r="Z27">
            <v>-250.33500000000001</v>
          </cell>
          <cell r="AA27">
            <v>-167.78100000000001</v>
          </cell>
          <cell r="AB27">
            <v>-980.43899999999996</v>
          </cell>
          <cell r="AC27">
            <v>-2054</v>
          </cell>
        </row>
        <row r="28">
          <cell r="B28" t="str">
            <v>Income/(loss) from unconsolidated subs &amp; associates</v>
          </cell>
          <cell r="C28" t="str">
            <v>ASSOCIATE</v>
          </cell>
          <cell r="D28" t="str">
            <v>TWD</v>
          </cell>
          <cell r="F28">
            <v>68.703999999999994</v>
          </cell>
          <cell r="G28">
            <v>184.44300000000001</v>
          </cell>
          <cell r="H28">
            <v>501.34699999999998</v>
          </cell>
          <cell r="I28">
            <v>2292.3330000000001</v>
          </cell>
          <cell r="J28">
            <v>2458.029</v>
          </cell>
          <cell r="K28">
            <v>4748.076</v>
          </cell>
          <cell r="L28">
            <v>5024.1189999999997</v>
          </cell>
          <cell r="M28">
            <v>-1730.4469999999999</v>
          </cell>
          <cell r="N28">
            <v>490.34699999999998</v>
          </cell>
          <cell r="O28">
            <v>-629.404</v>
          </cell>
          <cell r="P28">
            <v>-1467.8720000000001</v>
          </cell>
          <cell r="Q28">
            <v>-1754.701</v>
          </cell>
          <cell r="R28">
            <v>1630.942</v>
          </cell>
          <cell r="S28">
            <v>4439.2820000000002</v>
          </cell>
          <cell r="T28">
            <v>-8371.3209999999999</v>
          </cell>
          <cell r="U28">
            <v>1121.433</v>
          </cell>
          <cell r="V28">
            <v>1458.625</v>
          </cell>
          <cell r="W28">
            <v>1402.85</v>
          </cell>
          <cell r="X28">
            <v>1740.2260000000001</v>
          </cell>
          <cell r="Y28">
            <v>1538.184</v>
          </cell>
          <cell r="Z28">
            <v>752.24</v>
          </cell>
          <cell r="AA28">
            <v>762.31500000000005</v>
          </cell>
          <cell r="AB28">
            <v>-908.42499999999995</v>
          </cell>
          <cell r="AC28">
            <v>520</v>
          </cell>
        </row>
        <row r="29">
          <cell r="B29" t="str">
            <v>Profit/(loss) on disposals of assets, pre-tax</v>
          </cell>
          <cell r="C29" t="str">
            <v>PROFIT_ON_DISP</v>
          </cell>
          <cell r="D29" t="str">
            <v>TWD</v>
          </cell>
          <cell r="F29">
            <v>-128.38399999999999</v>
          </cell>
          <cell r="G29">
            <v>461.51799999999997</v>
          </cell>
          <cell r="H29">
            <v>745.29100000000005</v>
          </cell>
          <cell r="I29">
            <v>2884.308</v>
          </cell>
          <cell r="J29">
            <v>881.08600000000001</v>
          </cell>
          <cell r="K29">
            <v>349.85</v>
          </cell>
          <cell r="L29">
            <v>173.58</v>
          </cell>
          <cell r="M29">
            <v>2193.66</v>
          </cell>
          <cell r="N29">
            <v>7915.0709999999999</v>
          </cell>
          <cell r="O29">
            <v>6628.6350000000002</v>
          </cell>
          <cell r="P29">
            <v>12427.151</v>
          </cell>
          <cell r="Q29">
            <v>10077.715</v>
          </cell>
          <cell r="R29">
            <v>27602.375</v>
          </cell>
          <cell r="S29">
            <v>9788.2999999999993</v>
          </cell>
          <cell r="T29">
            <v>3441.375</v>
          </cell>
          <cell r="U29">
            <v>1975.66</v>
          </cell>
          <cell r="V29">
            <v>2061.9209999999998</v>
          </cell>
          <cell r="W29">
            <v>1709.797</v>
          </cell>
          <cell r="X29">
            <v>0</v>
          </cell>
          <cell r="Y29">
            <v>0</v>
          </cell>
          <cell r="Z29">
            <v>0</v>
          </cell>
          <cell r="AA29">
            <v>0</v>
          </cell>
        </row>
        <row r="30">
          <cell r="B30" t="str">
            <v>Other non-ops income/(expense)</v>
          </cell>
          <cell r="C30" t="str">
            <v>OTH_COST_INC</v>
          </cell>
          <cell r="D30" t="str">
            <v>TWD</v>
          </cell>
          <cell r="F30">
            <v>-47.335999999999999</v>
          </cell>
          <cell r="G30">
            <v>-816.88</v>
          </cell>
          <cell r="H30">
            <v>-41.905000000000001</v>
          </cell>
          <cell r="I30">
            <v>1098.2860000000001</v>
          </cell>
          <cell r="J30">
            <v>7.9779999999999998</v>
          </cell>
          <cell r="K30">
            <v>116.735</v>
          </cell>
          <cell r="L30">
            <v>2312.875</v>
          </cell>
          <cell r="M30">
            <v>-961.37199999999996</v>
          </cell>
          <cell r="N30">
            <v>-1377.06</v>
          </cell>
          <cell r="O30">
            <v>-853.03499999999997</v>
          </cell>
          <cell r="P30">
            <v>-3229.4340000000002</v>
          </cell>
          <cell r="Q30">
            <v>1345.798</v>
          </cell>
          <cell r="R30">
            <v>836.28200000000004</v>
          </cell>
          <cell r="S30">
            <v>3011.9259999999999</v>
          </cell>
          <cell r="T30">
            <v>-15570.812</v>
          </cell>
          <cell r="U30">
            <v>-3383.8220000000001</v>
          </cell>
          <cell r="V30">
            <v>-283.283000000002</v>
          </cell>
          <cell r="W30">
            <v>1164.6079999999999</v>
          </cell>
          <cell r="X30">
            <v>3004.7379999999998</v>
          </cell>
          <cell r="Y30">
            <v>9168.17</v>
          </cell>
          <cell r="Z30">
            <v>2935.0590000000002</v>
          </cell>
          <cell r="AA30">
            <v>2281.9540000000002</v>
          </cell>
          <cell r="AB30">
            <v>541.40099999999995</v>
          </cell>
          <cell r="AC30">
            <v>2762</v>
          </cell>
        </row>
        <row r="31">
          <cell r="B31" t="str">
            <v>Pre-tax profit</v>
          </cell>
          <cell r="C31" t="str">
            <v>PT_PROF</v>
          </cell>
          <cell r="D31" t="str">
            <v>TWD</v>
          </cell>
          <cell r="F31">
            <v>6664.5529999999999</v>
          </cell>
          <cell r="G31">
            <v>12747.181</v>
          </cell>
          <cell r="H31">
            <v>7190.2110000000002</v>
          </cell>
          <cell r="I31">
            <v>9858.2739999999994</v>
          </cell>
          <cell r="J31">
            <v>3955.2620000000002</v>
          </cell>
          <cell r="K31">
            <v>10525.664000000001</v>
          </cell>
          <cell r="L31">
            <v>50558.07</v>
          </cell>
          <cell r="M31">
            <v>-6352.7470000000003</v>
          </cell>
          <cell r="N31">
            <v>7084.0940000000001</v>
          </cell>
          <cell r="O31">
            <v>14815.369000000001</v>
          </cell>
          <cell r="P31">
            <v>31877.29</v>
          </cell>
          <cell r="Q31">
            <v>7027.53</v>
          </cell>
          <cell r="R31">
            <v>37016.038999999997</v>
          </cell>
          <cell r="S31">
            <v>19566.348999999998</v>
          </cell>
          <cell r="T31">
            <v>-21986.170999999998</v>
          </cell>
          <cell r="U31">
            <v>1673</v>
          </cell>
          <cell r="V31">
            <v>25383.620999999999</v>
          </cell>
          <cell r="W31">
            <v>9380.3510000000006</v>
          </cell>
          <cell r="X31">
            <v>8002.9590000000098</v>
          </cell>
          <cell r="Y31">
            <v>14361.794</v>
          </cell>
          <cell r="Z31">
            <v>13513.296</v>
          </cell>
          <cell r="AA31">
            <v>13712.145</v>
          </cell>
          <cell r="AB31">
            <v>4846.0889999999999</v>
          </cell>
          <cell r="AC31">
            <v>7797</v>
          </cell>
        </row>
        <row r="32">
          <cell r="A32" t="str">
            <v>Additional Income Statement Items</v>
          </cell>
        </row>
        <row r="33">
          <cell r="B33" t="str">
            <v>Contribution margin ratio</v>
          </cell>
          <cell r="C33" t="str">
            <v>CONTRIB_MARGIN_RATIO</v>
          </cell>
          <cell r="D33" t="str">
            <v>TWD</v>
          </cell>
        </row>
        <row r="34">
          <cell r="B34" t="str">
            <v>Lease payments</v>
          </cell>
          <cell r="C34" t="str">
            <v>LEASE_PAY</v>
          </cell>
          <cell r="D34" t="str">
            <v>TWD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B35" t="str">
            <v>Lease payments (deemed interest portion)</v>
          </cell>
          <cell r="C35" t="str">
            <v>LEASE_DEEM_INT</v>
          </cell>
          <cell r="D35" t="str">
            <v>TWD</v>
          </cell>
        </row>
        <row r="36">
          <cell r="B36" t="str">
            <v>Lease payments (deemed depreciation portion)</v>
          </cell>
          <cell r="C36" t="str">
            <v>LEASE_DEEM_DEPR</v>
          </cell>
          <cell r="D36" t="str">
            <v>TWD</v>
          </cell>
        </row>
        <row r="37">
          <cell r="B37" t="str">
            <v>Gross interest charge</v>
          </cell>
          <cell r="C37" t="str">
            <v>NET_INT_CH</v>
          </cell>
          <cell r="D37" t="str">
            <v>TWD</v>
          </cell>
          <cell r="F37">
            <v>-367.48899999999998</v>
          </cell>
          <cell r="G37">
            <v>-297.57900000000001</v>
          </cell>
          <cell r="H37">
            <v>-901.39800000000002</v>
          </cell>
          <cell r="I37">
            <v>-951.19600000000003</v>
          </cell>
          <cell r="J37">
            <v>-1647.1780000000001</v>
          </cell>
          <cell r="K37">
            <v>-989.35699999999997</v>
          </cell>
          <cell r="L37">
            <v>-2343.0129999999999</v>
          </cell>
          <cell r="M37">
            <v>-2488.239</v>
          </cell>
          <cell r="N37">
            <v>-1418.1420000000001</v>
          </cell>
          <cell r="O37">
            <v>-1234.134</v>
          </cell>
          <cell r="P37">
            <v>-1179.145</v>
          </cell>
          <cell r="Q37">
            <v>-918.173</v>
          </cell>
          <cell r="R37">
            <v>-630.73800000000006</v>
          </cell>
          <cell r="S37">
            <v>-184.458</v>
          </cell>
          <cell r="T37">
            <v>-71.161000000000001</v>
          </cell>
          <cell r="U37">
            <v>-58.255000000000003</v>
          </cell>
          <cell r="V37">
            <v>-16.8</v>
          </cell>
          <cell r="W37">
            <v>-306.01499999999999</v>
          </cell>
          <cell r="X37">
            <v>-458.00700000000001</v>
          </cell>
          <cell r="Y37">
            <v>-678.40599999999995</v>
          </cell>
          <cell r="Z37">
            <v>-746.06500000000005</v>
          </cell>
          <cell r="AA37">
            <v>-523.86500000000001</v>
          </cell>
          <cell r="AB37">
            <v>-1378.319</v>
          </cell>
          <cell r="AC37">
            <v>-2451.88</v>
          </cell>
        </row>
        <row r="38">
          <cell r="B38" t="str">
            <v>Income from associates (operating)</v>
          </cell>
          <cell r="C38" t="str">
            <v>ASSOCIATE_OP</v>
          </cell>
          <cell r="D38" t="str">
            <v>TWD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t="str">
            <v>Balance Sheet</v>
          </cell>
        </row>
        <row r="40">
          <cell r="B40" t="str">
            <v>Cash &amp; cash equivalents</v>
          </cell>
          <cell r="C40" t="str">
            <v>CASH_EQ</v>
          </cell>
          <cell r="D40" t="str">
            <v>TWD</v>
          </cell>
          <cell r="F40">
            <v>12536.397000000001</v>
          </cell>
          <cell r="G40">
            <v>11836.216</v>
          </cell>
          <cell r="H40">
            <v>17835.399000000001</v>
          </cell>
          <cell r="I40">
            <v>22039.345000000001</v>
          </cell>
          <cell r="J40">
            <v>26131.554</v>
          </cell>
          <cell r="K40">
            <v>11422.976000000001</v>
          </cell>
          <cell r="L40">
            <v>54107.646999999997</v>
          </cell>
          <cell r="M40">
            <v>59603.62</v>
          </cell>
          <cell r="N40">
            <v>59694.207000000002</v>
          </cell>
          <cell r="O40">
            <v>94321.959000000003</v>
          </cell>
          <cell r="P40">
            <v>86405.907999999996</v>
          </cell>
          <cell r="Q40">
            <v>101479.74400000001</v>
          </cell>
          <cell r="R40">
            <v>92907.081000000006</v>
          </cell>
          <cell r="S40">
            <v>42253.014000000003</v>
          </cell>
          <cell r="T40">
            <v>50660.349000000002</v>
          </cell>
          <cell r="U40">
            <v>74499.744999999995</v>
          </cell>
          <cell r="V40">
            <v>59455.720999999998</v>
          </cell>
          <cell r="W40">
            <v>54904.362999999998</v>
          </cell>
          <cell r="X40">
            <v>47579.599000000002</v>
          </cell>
          <cell r="Y40">
            <v>53598.321000000004</v>
          </cell>
          <cell r="Z40">
            <v>46952.552000000003</v>
          </cell>
          <cell r="AA40">
            <v>53955.351000000002</v>
          </cell>
          <cell r="AB40">
            <v>58293</v>
          </cell>
          <cell r="AC40">
            <v>82392</v>
          </cell>
        </row>
        <row r="41">
          <cell r="B41" t="str">
            <v>Accounts receivable</v>
          </cell>
          <cell r="C41" t="str">
            <v>DEBTORS</v>
          </cell>
          <cell r="D41" t="str">
            <v>TWD</v>
          </cell>
          <cell r="F41">
            <v>2784.607</v>
          </cell>
          <cell r="G41">
            <v>3713.2460000000001</v>
          </cell>
          <cell r="H41">
            <v>3593.56</v>
          </cell>
          <cell r="I41">
            <v>4724.2110000000002</v>
          </cell>
          <cell r="J41">
            <v>3848.348</v>
          </cell>
          <cell r="K41">
            <v>6183.1540000000005</v>
          </cell>
          <cell r="L41">
            <v>17236.591</v>
          </cell>
          <cell r="M41">
            <v>7916.0370000000003</v>
          </cell>
          <cell r="N41">
            <v>10357.183999999999</v>
          </cell>
          <cell r="O41">
            <v>14646.705</v>
          </cell>
          <cell r="P41">
            <v>11201.919</v>
          </cell>
          <cell r="Q41">
            <v>12359.9</v>
          </cell>
          <cell r="R41">
            <v>12365.742</v>
          </cell>
          <cell r="S41">
            <v>13620.705</v>
          </cell>
          <cell r="T41">
            <v>8555.2749999999996</v>
          </cell>
          <cell r="U41">
            <v>17088.271000000001</v>
          </cell>
          <cell r="V41">
            <v>18985.998</v>
          </cell>
          <cell r="W41">
            <v>14595.665999999999</v>
          </cell>
          <cell r="X41">
            <v>16327.880999999999</v>
          </cell>
          <cell r="Y41">
            <v>16822.145</v>
          </cell>
          <cell r="Z41">
            <v>22369.434000000001</v>
          </cell>
          <cell r="AA41">
            <v>19331.822</v>
          </cell>
          <cell r="AB41">
            <v>23046</v>
          </cell>
          <cell r="AC41">
            <v>20974</v>
          </cell>
        </row>
        <row r="42">
          <cell r="B42" t="str">
            <v>Inventory</v>
          </cell>
          <cell r="C42" t="str">
            <v>STOCKS</v>
          </cell>
          <cell r="D42" t="str">
            <v>TWD</v>
          </cell>
          <cell r="F42">
            <v>1164.547</v>
          </cell>
          <cell r="G42">
            <v>3033.3670000000002</v>
          </cell>
          <cell r="H42">
            <v>4032.5439999999999</v>
          </cell>
          <cell r="I42">
            <v>2609.6860000000001</v>
          </cell>
          <cell r="J42">
            <v>3119.9769999999999</v>
          </cell>
          <cell r="K42">
            <v>2369.3760000000002</v>
          </cell>
          <cell r="L42">
            <v>10090.495000000001</v>
          </cell>
          <cell r="M42">
            <v>5190.134</v>
          </cell>
          <cell r="N42">
            <v>7692.2780000000002</v>
          </cell>
          <cell r="O42">
            <v>7367.759</v>
          </cell>
          <cell r="P42">
            <v>8543.4619999999995</v>
          </cell>
          <cell r="Q42">
            <v>9963.2530000000006</v>
          </cell>
          <cell r="R42">
            <v>10119.521000000001</v>
          </cell>
          <cell r="S42">
            <v>11334.058999999999</v>
          </cell>
          <cell r="T42">
            <v>8117.6030000000001</v>
          </cell>
          <cell r="U42">
            <v>9141.3850000000002</v>
          </cell>
          <cell r="V42">
            <v>13032.623</v>
          </cell>
          <cell r="W42">
            <v>12709.276</v>
          </cell>
          <cell r="X42">
            <v>13023.71</v>
          </cell>
          <cell r="Y42">
            <v>13993.259</v>
          </cell>
          <cell r="Z42">
            <v>15242.232</v>
          </cell>
          <cell r="AA42">
            <v>17641.384999999998</v>
          </cell>
          <cell r="AB42">
            <v>16998</v>
          </cell>
          <cell r="AC42">
            <v>18258</v>
          </cell>
        </row>
        <row r="43">
          <cell r="B43" t="str">
            <v>Other current assets</v>
          </cell>
          <cell r="C43" t="str">
            <v>OTH_CUR_ASS</v>
          </cell>
          <cell r="D43" t="str">
            <v>TWD</v>
          </cell>
          <cell r="F43">
            <v>171.65299999999999</v>
          </cell>
          <cell r="G43">
            <v>1089.6369999999999</v>
          </cell>
          <cell r="H43">
            <v>617.93400000000099</v>
          </cell>
          <cell r="I43">
            <v>447.693999999997</v>
          </cell>
          <cell r="J43">
            <v>864.47400000000198</v>
          </cell>
          <cell r="K43">
            <v>573.60100000000205</v>
          </cell>
          <cell r="L43">
            <v>1350.70300000001</v>
          </cell>
          <cell r="M43">
            <v>4541.9889999999796</v>
          </cell>
          <cell r="N43">
            <v>8914.6679999999797</v>
          </cell>
          <cell r="O43">
            <v>5970.4109999999901</v>
          </cell>
          <cell r="P43">
            <v>4222.3640000000096</v>
          </cell>
          <cell r="Q43">
            <v>4464.8490000000102</v>
          </cell>
          <cell r="R43">
            <v>3037.8720000000199</v>
          </cell>
          <cell r="S43">
            <v>1044.981</v>
          </cell>
          <cell r="T43">
            <v>1554.335</v>
          </cell>
          <cell r="U43">
            <v>1633.2149999999899</v>
          </cell>
          <cell r="V43">
            <v>2294.9549999999999</v>
          </cell>
          <cell r="W43">
            <v>1848.2090000000001</v>
          </cell>
          <cell r="X43">
            <v>3986.3319999999899</v>
          </cell>
          <cell r="Y43">
            <v>4382.4989999999898</v>
          </cell>
          <cell r="Z43">
            <v>12298.931</v>
          </cell>
          <cell r="AA43">
            <v>3887.9630000000002</v>
          </cell>
          <cell r="AB43">
            <v>12133</v>
          </cell>
          <cell r="AC43">
            <v>17536</v>
          </cell>
        </row>
        <row r="44">
          <cell r="B44" t="str">
            <v>Total current assets</v>
          </cell>
          <cell r="C44" t="str">
            <v>CUR_ASS</v>
          </cell>
          <cell r="D44" t="str">
            <v>TWD</v>
          </cell>
          <cell r="F44">
            <v>16657.204000000002</v>
          </cell>
          <cell r="G44">
            <v>19672.466</v>
          </cell>
          <cell r="H44">
            <v>26079.437000000002</v>
          </cell>
          <cell r="I44">
            <v>29820.936000000002</v>
          </cell>
          <cell r="J44">
            <v>33964.353000000003</v>
          </cell>
          <cell r="K44">
            <v>20549.107</v>
          </cell>
          <cell r="L44">
            <v>82785.436000000002</v>
          </cell>
          <cell r="M44">
            <v>77251.78</v>
          </cell>
          <cell r="N44">
            <v>86658.337</v>
          </cell>
          <cell r="O44">
            <v>122306.834</v>
          </cell>
          <cell r="P44">
            <v>110373.65300000001</v>
          </cell>
          <cell r="Q44">
            <v>128267.746</v>
          </cell>
          <cell r="R44">
            <v>118430.216</v>
          </cell>
          <cell r="S44">
            <v>68252.759000000005</v>
          </cell>
          <cell r="T44">
            <v>68887.562000000005</v>
          </cell>
          <cell r="U44">
            <v>102362.61599999999</v>
          </cell>
          <cell r="V44">
            <v>93769.297000000006</v>
          </cell>
          <cell r="W44">
            <v>84057.513999999996</v>
          </cell>
          <cell r="X44">
            <v>80917.521999999997</v>
          </cell>
          <cell r="Y44">
            <v>88796.224000000002</v>
          </cell>
          <cell r="Z44">
            <v>96863.149000000005</v>
          </cell>
          <cell r="AA44">
            <v>94816.520999999993</v>
          </cell>
          <cell r="AB44">
            <v>110470</v>
          </cell>
          <cell r="AC44">
            <v>139160</v>
          </cell>
        </row>
        <row r="45">
          <cell r="B45" t="str">
            <v>Gross fixed assets, PP&amp;E</v>
          </cell>
          <cell r="C45" t="str">
            <v>GR_FIX_ASS</v>
          </cell>
          <cell r="D45" t="str">
            <v>TWD</v>
          </cell>
          <cell r="F45">
            <v>13785.563</v>
          </cell>
          <cell r="G45">
            <v>23934.7</v>
          </cell>
          <cell r="H45">
            <v>31607.136999999999</v>
          </cell>
          <cell r="I45">
            <v>34929.046999999999</v>
          </cell>
          <cell r="J45">
            <v>41027.908000000003</v>
          </cell>
          <cell r="K45">
            <v>56030.307000000001</v>
          </cell>
          <cell r="L45">
            <v>208770.019</v>
          </cell>
          <cell r="M45">
            <v>243451.929</v>
          </cell>
          <cell r="N45">
            <v>267118.67499999999</v>
          </cell>
          <cell r="O45">
            <v>270549.65500000003</v>
          </cell>
          <cell r="P45">
            <v>339728</v>
          </cell>
          <cell r="Q45">
            <v>398311.84100000001</v>
          </cell>
          <cell r="R45">
            <v>433662.27</v>
          </cell>
          <cell r="S45">
            <v>457222.38400000002</v>
          </cell>
          <cell r="T45">
            <v>473014.94099999999</v>
          </cell>
          <cell r="U45">
            <v>487731.565</v>
          </cell>
          <cell r="V45">
            <v>560848.51699999999</v>
          </cell>
          <cell r="W45">
            <v>609325.88500000001</v>
          </cell>
          <cell r="X45">
            <v>653867.03200000001</v>
          </cell>
          <cell r="Y45">
            <v>694607.68500000006</v>
          </cell>
          <cell r="Z45">
            <v>737730.60400000005</v>
          </cell>
          <cell r="AA45">
            <v>800946.76399999997</v>
          </cell>
          <cell r="AB45">
            <v>890908.92299999995</v>
          </cell>
          <cell r="AC45">
            <v>924766.92299999995</v>
          </cell>
        </row>
        <row r="46">
          <cell r="B46" t="str">
            <v>Accumulated depreciation</v>
          </cell>
          <cell r="C46" t="str">
            <v>ACC_DDA</v>
          </cell>
          <cell r="D46" t="str">
            <v>TWD</v>
          </cell>
          <cell r="F46">
            <v>-5948.7529999999997</v>
          </cell>
          <cell r="G46">
            <v>-7153.6589999999997</v>
          </cell>
          <cell r="H46">
            <v>-9549.7170000000006</v>
          </cell>
          <cell r="I46">
            <v>-11425.099</v>
          </cell>
          <cell r="J46">
            <v>-15641.368</v>
          </cell>
          <cell r="K46">
            <v>-19302.254000000001</v>
          </cell>
          <cell r="L46">
            <v>-56588.857000000004</v>
          </cell>
          <cell r="M46">
            <v>-88240.091</v>
          </cell>
          <cell r="N46">
            <v>-121042.789</v>
          </cell>
          <cell r="O46">
            <v>-153364.90599999999</v>
          </cell>
          <cell r="P46">
            <v>-202373</v>
          </cell>
          <cell r="Q46">
            <v>-248502.22500000001</v>
          </cell>
          <cell r="R46">
            <v>-291014.83500000002</v>
          </cell>
          <cell r="S46">
            <v>-327407.73200000002</v>
          </cell>
          <cell r="T46">
            <v>-364604.951</v>
          </cell>
          <cell r="U46">
            <v>-398135.20500000002</v>
          </cell>
          <cell r="V46">
            <v>-428086.51699999999</v>
          </cell>
          <cell r="W46">
            <v>-460001.58500000002</v>
          </cell>
          <cell r="X46">
            <v>-495012.99699999997</v>
          </cell>
          <cell r="Y46">
            <v>-532254.78500000003</v>
          </cell>
          <cell r="Z46">
            <v>-571040.36100000003</v>
          </cell>
          <cell r="AA46">
            <v>-614513.36899999995</v>
          </cell>
          <cell r="AB46">
            <v>-665925.92299999995</v>
          </cell>
          <cell r="AC46">
            <v>-719024.92299999995</v>
          </cell>
        </row>
        <row r="47">
          <cell r="B47" t="str">
            <v>Net PP&amp;E</v>
          </cell>
          <cell r="C47" t="str">
            <v>NET_FIX_ASS</v>
          </cell>
          <cell r="D47" t="str">
            <v>TWD</v>
          </cell>
          <cell r="F47">
            <v>7836.81</v>
          </cell>
          <cell r="G47">
            <v>16781.041000000001</v>
          </cell>
          <cell r="H47">
            <v>22057.42</v>
          </cell>
          <cell r="I47">
            <v>23503.948</v>
          </cell>
          <cell r="J47">
            <v>25386.54</v>
          </cell>
          <cell r="K47">
            <v>36728.053</v>
          </cell>
          <cell r="L47">
            <v>152181.16200000001</v>
          </cell>
          <cell r="M47">
            <v>155211.83799999999</v>
          </cell>
          <cell r="N47">
            <v>146075.886</v>
          </cell>
          <cell r="O47">
            <v>117184.749</v>
          </cell>
          <cell r="P47">
            <v>137355</v>
          </cell>
          <cell r="Q47">
            <v>149809.61600000001</v>
          </cell>
          <cell r="R47">
            <v>142647.435</v>
          </cell>
          <cell r="S47">
            <v>129814.652</v>
          </cell>
          <cell r="T47">
            <v>108409.99</v>
          </cell>
          <cell r="U47">
            <v>89596.36</v>
          </cell>
          <cell r="V47">
            <v>132762</v>
          </cell>
          <cell r="W47">
            <v>149324.29999999999</v>
          </cell>
          <cell r="X47">
            <v>158854.035</v>
          </cell>
          <cell r="Y47">
            <v>162352.9</v>
          </cell>
          <cell r="Z47">
            <v>166690.24299999999</v>
          </cell>
          <cell r="AA47">
            <v>186433.39499999999</v>
          </cell>
          <cell r="AB47">
            <v>224983</v>
          </cell>
          <cell r="AC47">
            <v>205742</v>
          </cell>
        </row>
        <row r="48">
          <cell r="B48" t="str">
            <v>Gross intangibles</v>
          </cell>
          <cell r="C48" t="str">
            <v>GR_INTANG</v>
          </cell>
          <cell r="D48" t="str">
            <v>TWD</v>
          </cell>
          <cell r="F48">
            <v>0</v>
          </cell>
          <cell r="G48">
            <v>0</v>
          </cell>
          <cell r="H48">
            <v>0</v>
          </cell>
          <cell r="I48">
            <v>0</v>
          </cell>
          <cell r="J48">
            <v>0</v>
          </cell>
          <cell r="K48">
            <v>0</v>
          </cell>
          <cell r="L48">
            <v>0</v>
          </cell>
          <cell r="M48">
            <v>30.805</v>
          </cell>
          <cell r="N48">
            <v>18.88</v>
          </cell>
          <cell r="O48">
            <v>6.9560000000000004</v>
          </cell>
          <cell r="P48">
            <v>1215</v>
          </cell>
          <cell r="Q48">
            <v>4104.6779999999999</v>
          </cell>
          <cell r="R48">
            <v>3745.1219999999998</v>
          </cell>
          <cell r="S48">
            <v>3745.1219999999998</v>
          </cell>
          <cell r="T48">
            <v>7.9669999999999996</v>
          </cell>
          <cell r="U48">
            <v>7.6150000000000002</v>
          </cell>
          <cell r="V48">
            <v>304.72800000000001</v>
          </cell>
          <cell r="W48">
            <v>1423.86</v>
          </cell>
          <cell r="X48">
            <v>2814.4920000000002</v>
          </cell>
          <cell r="Y48">
            <v>6748.6469999999999</v>
          </cell>
          <cell r="Z48">
            <v>7632.9380000000001</v>
          </cell>
          <cell r="AA48">
            <v>9603.1890000000003</v>
          </cell>
          <cell r="AB48">
            <v>9910.6389999999992</v>
          </cell>
          <cell r="AC48">
            <v>9910.6389999999992</v>
          </cell>
        </row>
        <row r="49">
          <cell r="B49" t="str">
            <v>Accumulated amortization</v>
          </cell>
          <cell r="C49" t="str">
            <v>ACC_AMORT</v>
          </cell>
          <cell r="D49" t="str">
            <v>TWD</v>
          </cell>
          <cell r="W49">
            <v>-1073</v>
          </cell>
          <cell r="X49">
            <v>-1457</v>
          </cell>
          <cell r="Y49">
            <v>-2009</v>
          </cell>
          <cell r="Z49">
            <v>-3100</v>
          </cell>
          <cell r="AA49">
            <v>-5099.1009999999997</v>
          </cell>
          <cell r="AB49">
            <v>-5668.95</v>
          </cell>
          <cell r="AC49">
            <v>-5668.95</v>
          </cell>
        </row>
        <row r="50">
          <cell r="B50" t="str">
            <v>Net intangible assets</v>
          </cell>
          <cell r="C50" t="str">
            <v>NET_INTANG</v>
          </cell>
          <cell r="D50" t="str">
            <v>TWD</v>
          </cell>
          <cell r="F50">
            <v>14.19</v>
          </cell>
          <cell r="G50">
            <v>10.919</v>
          </cell>
          <cell r="H50">
            <v>7.6479999999999997</v>
          </cell>
          <cell r="I50">
            <v>20.957999999999998</v>
          </cell>
          <cell r="J50">
            <v>12.403</v>
          </cell>
          <cell r="K50">
            <v>0</v>
          </cell>
          <cell r="L50">
            <v>0</v>
          </cell>
          <cell r="M50">
            <v>30.805</v>
          </cell>
          <cell r="N50">
            <v>18.88</v>
          </cell>
          <cell r="O50">
            <v>6.9560000000000004</v>
          </cell>
          <cell r="P50">
            <v>1215</v>
          </cell>
          <cell r="Q50">
            <v>4104.6779999999999</v>
          </cell>
          <cell r="R50">
            <v>3745.1219999999998</v>
          </cell>
          <cell r="S50">
            <v>3745.1219999999998</v>
          </cell>
          <cell r="T50">
            <v>7.9669999999999996</v>
          </cell>
          <cell r="U50">
            <v>7.6150000000000002</v>
          </cell>
          <cell r="V50">
            <v>304.72800000000001</v>
          </cell>
          <cell r="W50">
            <v>350.86</v>
          </cell>
          <cell r="X50">
            <v>1357.492</v>
          </cell>
          <cell r="Y50">
            <v>4739.6469999999999</v>
          </cell>
          <cell r="Z50">
            <v>4532.9380000000001</v>
          </cell>
          <cell r="AA50">
            <v>4504.0879999999997</v>
          </cell>
          <cell r="AB50">
            <v>4241.6890000000003</v>
          </cell>
          <cell r="AC50">
            <v>4241.6890000000003</v>
          </cell>
        </row>
        <row r="51">
          <cell r="B51" t="str">
            <v>Equity method investments</v>
          </cell>
          <cell r="C51" t="str">
            <v>FIX_ASS_INV</v>
          </cell>
          <cell r="D51" t="str">
            <v>TWD</v>
          </cell>
          <cell r="F51">
            <v>755.35599999999999</v>
          </cell>
          <cell r="G51">
            <v>6864.2870000000003</v>
          </cell>
          <cell r="H51">
            <v>12123.736000000001</v>
          </cell>
          <cell r="I51">
            <v>24703.903999999999</v>
          </cell>
          <cell r="J51">
            <v>37272.612000000001</v>
          </cell>
          <cell r="K51">
            <v>80490.728000000003</v>
          </cell>
          <cell r="L51">
            <v>59766.207000000002</v>
          </cell>
          <cell r="M51">
            <v>59054.894</v>
          </cell>
          <cell r="N51">
            <v>39677.449000000001</v>
          </cell>
          <cell r="O51">
            <v>59883.830999999998</v>
          </cell>
          <cell r="P51">
            <v>64251</v>
          </cell>
          <cell r="Q51">
            <v>27773.473999999998</v>
          </cell>
          <cell r="R51">
            <v>75429.429999999993</v>
          </cell>
          <cell r="S51">
            <v>74112.005999999994</v>
          </cell>
          <cell r="T51">
            <v>25123.545999999998</v>
          </cell>
          <cell r="U51">
            <v>47909.697</v>
          </cell>
          <cell r="V51">
            <v>39862.088000000003</v>
          </cell>
          <cell r="W51">
            <v>31257.187999999998</v>
          </cell>
          <cell r="X51">
            <v>27662.498</v>
          </cell>
          <cell r="Y51">
            <v>24826.71</v>
          </cell>
          <cell r="Z51">
            <v>30161.055</v>
          </cell>
          <cell r="AA51">
            <v>32833.786999999997</v>
          </cell>
          <cell r="AB51">
            <v>27449</v>
          </cell>
          <cell r="AC51">
            <v>26723</v>
          </cell>
        </row>
        <row r="52">
          <cell r="B52" t="str">
            <v>Investments in securities</v>
          </cell>
          <cell r="C52" t="str">
            <v>INV_SECUR</v>
          </cell>
          <cell r="D52" t="str">
            <v>TWD</v>
          </cell>
          <cell r="F52">
            <v>2543.721</v>
          </cell>
          <cell r="G52">
            <v>3911.93</v>
          </cell>
          <cell r="H52">
            <v>4604.576</v>
          </cell>
          <cell r="I52">
            <v>6871.598</v>
          </cell>
          <cell r="J52">
            <v>5183.3980000000001</v>
          </cell>
          <cell r="K52">
            <v>6094.7569999999996</v>
          </cell>
          <cell r="L52">
            <v>7597.3329999999996</v>
          </cell>
          <cell r="M52">
            <v>17996.151000000002</v>
          </cell>
          <cell r="N52">
            <v>16569.294999999998</v>
          </cell>
          <cell r="O52">
            <v>12334.647999999999</v>
          </cell>
          <cell r="P52">
            <v>7317</v>
          </cell>
          <cell r="Q52">
            <v>7317</v>
          </cell>
          <cell r="R52">
            <v>7317</v>
          </cell>
          <cell r="S52">
            <v>7317</v>
          </cell>
          <cell r="T52">
            <v>7317</v>
          </cell>
          <cell r="U52">
            <v>7317</v>
          </cell>
          <cell r="V52">
            <v>7317</v>
          </cell>
          <cell r="W52">
            <v>7317</v>
          </cell>
          <cell r="X52">
            <v>7317</v>
          </cell>
          <cell r="Y52">
            <v>7317</v>
          </cell>
          <cell r="Z52">
            <v>7317</v>
          </cell>
          <cell r="AA52">
            <v>7317</v>
          </cell>
          <cell r="AB52">
            <v>7317</v>
          </cell>
          <cell r="AC52">
            <v>7317</v>
          </cell>
        </row>
        <row r="53">
          <cell r="B53" t="str">
            <v>Other long-term assets</v>
          </cell>
          <cell r="C53" t="str">
            <v>OTH_LT_ASS</v>
          </cell>
          <cell r="D53" t="str">
            <v>TWD</v>
          </cell>
          <cell r="F53">
            <v>344.53800000000001</v>
          </cell>
          <cell r="G53">
            <v>634.87799999999902</v>
          </cell>
          <cell r="H53">
            <v>1765.52699999999</v>
          </cell>
          <cell r="I53">
            <v>2463.8609999999999</v>
          </cell>
          <cell r="J53">
            <v>2218.1419999999998</v>
          </cell>
          <cell r="K53">
            <v>2276.3959999999902</v>
          </cell>
          <cell r="L53">
            <v>8798.125</v>
          </cell>
          <cell r="M53">
            <v>7839.4770000000099</v>
          </cell>
          <cell r="N53">
            <v>8332.7990000000009</v>
          </cell>
          <cell r="O53">
            <v>8396.8199999999797</v>
          </cell>
          <cell r="P53">
            <v>9052.0840000000298</v>
          </cell>
          <cell r="Q53">
            <v>8948.72300000004</v>
          </cell>
          <cell r="R53">
            <v>7659.59</v>
          </cell>
          <cell r="S53">
            <v>7521.0279999999702</v>
          </cell>
          <cell r="T53">
            <v>6652.4429999999902</v>
          </cell>
          <cell r="U53">
            <v>6445.1630000000196</v>
          </cell>
          <cell r="V53">
            <v>6871.8829999999798</v>
          </cell>
          <cell r="W53">
            <v>7524.88400000001</v>
          </cell>
          <cell r="X53">
            <v>4850.3710000000101</v>
          </cell>
          <cell r="Y53">
            <v>7870.34800000005</v>
          </cell>
          <cell r="Z53">
            <v>7681.2629999999999</v>
          </cell>
          <cell r="AA53">
            <v>11462.019</v>
          </cell>
          <cell r="AB53">
            <v>12194.311</v>
          </cell>
          <cell r="AC53">
            <v>10915.311</v>
          </cell>
        </row>
        <row r="54">
          <cell r="B54" t="str">
            <v>Total assets</v>
          </cell>
          <cell r="C54" t="str">
            <v>TOT_ASSET</v>
          </cell>
          <cell r="D54" t="str">
            <v>TWD</v>
          </cell>
          <cell r="F54">
            <v>28151.819</v>
          </cell>
          <cell r="G54">
            <v>47875.521000000001</v>
          </cell>
          <cell r="H54">
            <v>66638.343999999997</v>
          </cell>
          <cell r="I54">
            <v>87385.205000000002</v>
          </cell>
          <cell r="J54">
            <v>104037.448</v>
          </cell>
          <cell r="K54">
            <v>146139.041</v>
          </cell>
          <cell r="L54">
            <v>311128.26299999998</v>
          </cell>
          <cell r="M54">
            <v>317384.94500000001</v>
          </cell>
          <cell r="N54">
            <v>297332.64600000001</v>
          </cell>
          <cell r="O54">
            <v>320113.83799999999</v>
          </cell>
          <cell r="P54">
            <v>329563.73700000002</v>
          </cell>
          <cell r="Q54">
            <v>326221.23700000002</v>
          </cell>
          <cell r="R54">
            <v>355228.79300000001</v>
          </cell>
          <cell r="S54">
            <v>290762.56699999998</v>
          </cell>
          <cell r="T54">
            <v>216398.508</v>
          </cell>
          <cell r="U54">
            <v>253638.451</v>
          </cell>
          <cell r="V54">
            <v>280886.99599999998</v>
          </cell>
          <cell r="W54">
            <v>279831.74599999998</v>
          </cell>
          <cell r="X54">
            <v>280958.91800000001</v>
          </cell>
          <cell r="Y54">
            <v>295902.82900000003</v>
          </cell>
          <cell r="Z54">
            <v>313245.64799999999</v>
          </cell>
          <cell r="AA54">
            <v>337366.81</v>
          </cell>
          <cell r="AB54">
            <v>386655</v>
          </cell>
          <cell r="AC54">
            <v>394099</v>
          </cell>
        </row>
        <row r="55">
          <cell r="B55" t="str">
            <v>Accounts payable</v>
          </cell>
          <cell r="C55" t="str">
            <v>ACC_PAY_GQ</v>
          </cell>
          <cell r="D55" t="str">
            <v>TWD</v>
          </cell>
          <cell r="F55">
            <v>1000.396</v>
          </cell>
          <cell r="G55">
            <v>1754.317</v>
          </cell>
          <cell r="H55">
            <v>3205.88</v>
          </cell>
          <cell r="I55">
            <v>2125.828</v>
          </cell>
          <cell r="J55">
            <v>2708.0479999999998</v>
          </cell>
          <cell r="K55">
            <v>2485.5650000000001</v>
          </cell>
          <cell r="L55">
            <v>5750.8609999999999</v>
          </cell>
          <cell r="M55">
            <v>2351.5439999999999</v>
          </cell>
          <cell r="N55">
            <v>2661.5410000000002</v>
          </cell>
          <cell r="O55">
            <v>4115.6769999999997</v>
          </cell>
          <cell r="P55">
            <v>4443</v>
          </cell>
          <cell r="Q55">
            <v>4100.7079999999996</v>
          </cell>
          <cell r="R55">
            <v>4018.3679999999999</v>
          </cell>
          <cell r="S55">
            <v>4796.8</v>
          </cell>
          <cell r="T55">
            <v>2591.578</v>
          </cell>
          <cell r="U55">
            <v>5505.8950000000004</v>
          </cell>
          <cell r="V55">
            <v>7024.3590000000004</v>
          </cell>
          <cell r="W55">
            <v>5010.2219999999998</v>
          </cell>
          <cell r="X55">
            <v>6265.92</v>
          </cell>
          <cell r="Y55">
            <v>7414.1880000000001</v>
          </cell>
          <cell r="Z55">
            <v>6167.3389999999999</v>
          </cell>
          <cell r="AA55">
            <v>5954.2489999999998</v>
          </cell>
          <cell r="AB55">
            <v>6318.6629999999996</v>
          </cell>
          <cell r="AC55">
            <v>6318.6629999999996</v>
          </cell>
        </row>
        <row r="56">
          <cell r="B56" t="str">
            <v>Short-term debt</v>
          </cell>
          <cell r="C56" t="str">
            <v>SHORT_T_DEBT</v>
          </cell>
          <cell r="D56" t="str">
            <v>TWD</v>
          </cell>
          <cell r="F56">
            <v>1059.067</v>
          </cell>
          <cell r="G56">
            <v>1527.8920000000001</v>
          </cell>
          <cell r="H56">
            <v>2262.8020000000001</v>
          </cell>
          <cell r="I56">
            <v>4311.3950000000004</v>
          </cell>
          <cell r="J56">
            <v>3512.3510000000001</v>
          </cell>
          <cell r="K56">
            <v>8995.32</v>
          </cell>
          <cell r="L56">
            <v>12280.066000000001</v>
          </cell>
          <cell r="M56">
            <v>7002.7250000000004</v>
          </cell>
          <cell r="N56">
            <v>5669.098</v>
          </cell>
          <cell r="O56">
            <v>18524.077000000001</v>
          </cell>
          <cell r="P56">
            <v>4724</v>
          </cell>
          <cell r="Q56">
            <v>10250</v>
          </cell>
          <cell r="R56">
            <v>5355.8829999999998</v>
          </cell>
          <cell r="S56">
            <v>22889.475999999999</v>
          </cell>
          <cell r="T56">
            <v>199.27699999999999</v>
          </cell>
          <cell r="U56">
            <v>12929.269</v>
          </cell>
          <cell r="V56">
            <v>9830.3040000000001</v>
          </cell>
          <cell r="W56">
            <v>17413.928</v>
          </cell>
          <cell r="X56">
            <v>14659.620999999999</v>
          </cell>
          <cell r="Y56">
            <v>21190.726999999999</v>
          </cell>
          <cell r="Z56">
            <v>10025.74</v>
          </cell>
          <cell r="AA56">
            <v>12106.77</v>
          </cell>
          <cell r="AB56">
            <v>31113</v>
          </cell>
          <cell r="AC56">
            <v>52810</v>
          </cell>
        </row>
        <row r="57">
          <cell r="B57" t="str">
            <v>Other current liabilities</v>
          </cell>
          <cell r="C57" t="str">
            <v>OTH_CUR_LIABS</v>
          </cell>
          <cell r="D57" t="str">
            <v>TWD</v>
          </cell>
          <cell r="F57">
            <v>838.89800000000002</v>
          </cell>
          <cell r="G57">
            <v>2643.9490000000001</v>
          </cell>
          <cell r="H57">
            <v>1527.627</v>
          </cell>
          <cell r="I57">
            <v>2381.6819999999998</v>
          </cell>
          <cell r="J57">
            <v>2163.636</v>
          </cell>
          <cell r="K57">
            <v>5709.6360000000004</v>
          </cell>
          <cell r="L57">
            <v>17822.419999999998</v>
          </cell>
          <cell r="M57">
            <v>17582.136999999999</v>
          </cell>
          <cell r="N57">
            <v>12618.779</v>
          </cell>
          <cell r="O57">
            <v>10111.609</v>
          </cell>
          <cell r="P57">
            <v>14110</v>
          </cell>
          <cell r="Q57">
            <v>13953.254000000001</v>
          </cell>
          <cell r="R57">
            <v>20686.294999999998</v>
          </cell>
          <cell r="S57">
            <v>15466.531000000001</v>
          </cell>
          <cell r="T57">
            <v>10242.397999999999</v>
          </cell>
          <cell r="U57">
            <v>16810.712</v>
          </cell>
          <cell r="V57">
            <v>28589.962</v>
          </cell>
          <cell r="W57">
            <v>20481.804</v>
          </cell>
          <cell r="X57">
            <v>19108.28</v>
          </cell>
          <cell r="Y57">
            <v>19599.055</v>
          </cell>
          <cell r="Z57">
            <v>31912.996999999999</v>
          </cell>
          <cell r="AA57">
            <v>30184.499</v>
          </cell>
          <cell r="AB57">
            <v>34546.337</v>
          </cell>
          <cell r="AC57">
            <v>28932.337</v>
          </cell>
        </row>
        <row r="58">
          <cell r="B58" t="str">
            <v>Total current liabilities</v>
          </cell>
          <cell r="C58" t="str">
            <v>SHORT_TERM_LIABS</v>
          </cell>
          <cell r="D58" t="str">
            <v>TWD</v>
          </cell>
          <cell r="F58">
            <v>2898.3609999999999</v>
          </cell>
          <cell r="G58">
            <v>5926.1580000000004</v>
          </cell>
          <cell r="H58">
            <v>6996.3090000000002</v>
          </cell>
          <cell r="I58">
            <v>8818.9050000000007</v>
          </cell>
          <cell r="J58">
            <v>8384.0349999999999</v>
          </cell>
          <cell r="K58">
            <v>17190.521000000001</v>
          </cell>
          <cell r="L58">
            <v>35853.347000000002</v>
          </cell>
          <cell r="M58">
            <v>26936.405999999999</v>
          </cell>
          <cell r="N58">
            <v>20949.418000000001</v>
          </cell>
          <cell r="O58">
            <v>32751.363000000001</v>
          </cell>
          <cell r="P58">
            <v>23277</v>
          </cell>
          <cell r="Q58">
            <v>28303.962</v>
          </cell>
          <cell r="R58">
            <v>30060.545999999998</v>
          </cell>
          <cell r="S58">
            <v>43152.807000000001</v>
          </cell>
          <cell r="T58">
            <v>13033.253000000001</v>
          </cell>
          <cell r="U58">
            <v>35245.875999999997</v>
          </cell>
          <cell r="V58">
            <v>45444.625</v>
          </cell>
          <cell r="W58">
            <v>42905.953999999998</v>
          </cell>
          <cell r="X58">
            <v>40033.821000000004</v>
          </cell>
          <cell r="Y58">
            <v>48203.97</v>
          </cell>
          <cell r="Z58">
            <v>48106.076000000001</v>
          </cell>
          <cell r="AA58">
            <v>48245.517999999996</v>
          </cell>
          <cell r="AB58">
            <v>71978</v>
          </cell>
          <cell r="AC58">
            <v>88061</v>
          </cell>
        </row>
        <row r="59">
          <cell r="B59" t="str">
            <v>Long-term  debt</v>
          </cell>
          <cell r="C59" t="str">
            <v>LT_DEBT</v>
          </cell>
          <cell r="D59" t="str">
            <v>TWD</v>
          </cell>
          <cell r="F59">
            <v>6103.933</v>
          </cell>
          <cell r="G59">
            <v>10082.662</v>
          </cell>
          <cell r="H59">
            <v>13010.993</v>
          </cell>
          <cell r="I59">
            <v>11461.861000000001</v>
          </cell>
          <cell r="J59">
            <v>18765.061000000002</v>
          </cell>
          <cell r="K59">
            <v>9147.6849999999995</v>
          </cell>
          <cell r="L59">
            <v>34357.021000000001</v>
          </cell>
          <cell r="M59">
            <v>52462.436999999998</v>
          </cell>
          <cell r="N59">
            <v>55066.423999999999</v>
          </cell>
          <cell r="O59">
            <v>48552.355000000003</v>
          </cell>
          <cell r="P59">
            <v>33607.705999999998</v>
          </cell>
          <cell r="Q59">
            <v>36009.055</v>
          </cell>
          <cell r="R59">
            <v>30383.076000000001</v>
          </cell>
          <cell r="S59">
            <v>7495.3040000000001</v>
          </cell>
          <cell r="T59">
            <v>8130.4430000000002</v>
          </cell>
          <cell r="U59">
            <v>766.55</v>
          </cell>
          <cell r="V59">
            <v>6799.39</v>
          </cell>
          <cell r="W59">
            <v>21095.385999999999</v>
          </cell>
          <cell r="X59">
            <v>32154.812999999998</v>
          </cell>
          <cell r="Y59">
            <v>28415.205000000002</v>
          </cell>
          <cell r="Z59">
            <v>33401.29</v>
          </cell>
          <cell r="AA59">
            <v>47524.406999999999</v>
          </cell>
          <cell r="AB59">
            <v>60729</v>
          </cell>
          <cell r="AC59">
            <v>53319</v>
          </cell>
        </row>
        <row r="60">
          <cell r="B60" t="str">
            <v>Other long-term liabilities</v>
          </cell>
          <cell r="C60" t="str">
            <v>OTH_LT_CRED_GQ</v>
          </cell>
          <cell r="D60" t="str">
            <v>TWD</v>
          </cell>
          <cell r="F60">
            <v>10.117000000000001</v>
          </cell>
          <cell r="G60">
            <v>0.53900000000000003</v>
          </cell>
          <cell r="H60">
            <v>123.342</v>
          </cell>
          <cell r="I60">
            <v>341.57</v>
          </cell>
          <cell r="J60">
            <v>351.60300000000001</v>
          </cell>
          <cell r="K60">
            <v>489.18700000000001</v>
          </cell>
          <cell r="L60">
            <v>2916.2420000000002</v>
          </cell>
          <cell r="M60">
            <v>4520.4030000000002</v>
          </cell>
          <cell r="N60">
            <v>3883.4409999999998</v>
          </cell>
          <cell r="O60">
            <v>6568.1959999999999</v>
          </cell>
          <cell r="P60">
            <v>6296.0309999999999</v>
          </cell>
          <cell r="Q60">
            <v>3624.6669999999999</v>
          </cell>
          <cell r="R60">
            <v>3620.3</v>
          </cell>
          <cell r="S60">
            <v>3647.567</v>
          </cell>
          <cell r="T60">
            <v>3576.518</v>
          </cell>
          <cell r="U60">
            <v>3529.7689999999998</v>
          </cell>
          <cell r="V60">
            <v>3506.9520000000002</v>
          </cell>
          <cell r="W60">
            <v>3705.4429999999902</v>
          </cell>
          <cell r="X60">
            <v>3749.3389999999899</v>
          </cell>
          <cell r="Y60">
            <v>6842.4780000000001</v>
          </cell>
          <cell r="Z60">
            <v>6729.4309999999896</v>
          </cell>
          <cell r="AA60">
            <v>12779.482</v>
          </cell>
          <cell r="AB60">
            <v>35206</v>
          </cell>
          <cell r="AC60">
            <v>38681</v>
          </cell>
        </row>
        <row r="61">
          <cell r="B61" t="str">
            <v>Total long-term liabilities</v>
          </cell>
          <cell r="C61" t="str">
            <v>TOT_LT_LIAB</v>
          </cell>
          <cell r="D61" t="str">
            <v>TWD</v>
          </cell>
          <cell r="F61">
            <v>6614.05</v>
          </cell>
          <cell r="G61">
            <v>10583.200999999999</v>
          </cell>
          <cell r="H61">
            <v>13634.334999999999</v>
          </cell>
          <cell r="I61">
            <v>11803.431</v>
          </cell>
          <cell r="J61">
            <v>19116.664000000001</v>
          </cell>
          <cell r="K61">
            <v>9636.8719999999994</v>
          </cell>
          <cell r="L61">
            <v>37273.262999999999</v>
          </cell>
          <cell r="M61">
            <v>56982.84</v>
          </cell>
          <cell r="N61">
            <v>58949.864999999998</v>
          </cell>
          <cell r="O61">
            <v>55120.550999999999</v>
          </cell>
          <cell r="P61">
            <v>39903.737000000001</v>
          </cell>
          <cell r="Q61">
            <v>39633.722000000002</v>
          </cell>
          <cell r="R61">
            <v>34003.375999999997</v>
          </cell>
          <cell r="S61">
            <v>11142.870999999999</v>
          </cell>
          <cell r="T61">
            <v>11706.960999999999</v>
          </cell>
          <cell r="U61">
            <v>4296.3190000000004</v>
          </cell>
          <cell r="V61">
            <v>10306.342000000001</v>
          </cell>
          <cell r="W61">
            <v>24800.829000000002</v>
          </cell>
          <cell r="X61">
            <v>35904.152000000002</v>
          </cell>
          <cell r="Y61">
            <v>35257.682999999997</v>
          </cell>
          <cell r="Z61">
            <v>40130.720999999998</v>
          </cell>
          <cell r="AA61">
            <v>60303.889000000003</v>
          </cell>
          <cell r="AB61">
            <v>95935</v>
          </cell>
          <cell r="AC61">
            <v>92000</v>
          </cell>
        </row>
        <row r="62">
          <cell r="B62" t="str">
            <v>Total liabilities</v>
          </cell>
          <cell r="C62" t="str">
            <v>TOT_LIAB</v>
          </cell>
          <cell r="D62" t="str">
            <v>TWD</v>
          </cell>
          <cell r="F62">
            <v>9512.4110000000001</v>
          </cell>
          <cell r="G62">
            <v>16509.359</v>
          </cell>
          <cell r="H62">
            <v>20630.644</v>
          </cell>
          <cell r="I62">
            <v>20622.335999999999</v>
          </cell>
          <cell r="J62">
            <v>27500.699000000001</v>
          </cell>
          <cell r="K62">
            <v>26827.393</v>
          </cell>
          <cell r="L62">
            <v>73126.61</v>
          </cell>
          <cell r="M62">
            <v>83919.245999999999</v>
          </cell>
          <cell r="N62">
            <v>79899.282999999996</v>
          </cell>
          <cell r="O62">
            <v>87871.914000000004</v>
          </cell>
          <cell r="P62">
            <v>63180.737000000001</v>
          </cell>
          <cell r="Q62">
            <v>67937.683999999994</v>
          </cell>
          <cell r="R62">
            <v>64063.921999999999</v>
          </cell>
          <cell r="S62">
            <v>54295.678</v>
          </cell>
          <cell r="T62">
            <v>24740.214</v>
          </cell>
          <cell r="U62">
            <v>39542.195</v>
          </cell>
          <cell r="V62">
            <v>55750.966999999997</v>
          </cell>
          <cell r="W62">
            <v>67706.782999999996</v>
          </cell>
          <cell r="X62">
            <v>75937.972999999998</v>
          </cell>
          <cell r="Y62">
            <v>83461.653000000006</v>
          </cell>
          <cell r="Z62">
            <v>88236.797000000006</v>
          </cell>
          <cell r="AA62">
            <v>108549.40700000001</v>
          </cell>
          <cell r="AB62">
            <v>167913</v>
          </cell>
          <cell r="AC62">
            <v>180061</v>
          </cell>
        </row>
        <row r="63">
          <cell r="B63" t="str">
            <v>Preferred shares</v>
          </cell>
          <cell r="C63" t="str">
            <v>PREF_SH</v>
          </cell>
          <cell r="D63" t="str">
            <v>TWD</v>
          </cell>
          <cell r="F63">
            <v>500</v>
          </cell>
          <cell r="G63">
            <v>500</v>
          </cell>
          <cell r="H63">
            <v>500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B64" t="str">
            <v>Total common equity</v>
          </cell>
          <cell r="C64" t="str">
            <v>ORD_SH_FUND</v>
          </cell>
          <cell r="D64" t="str">
            <v>TWD</v>
          </cell>
          <cell r="F64">
            <v>18639.407999999999</v>
          </cell>
          <cell r="G64">
            <v>31366.162</v>
          </cell>
          <cell r="H64">
            <v>46007.7</v>
          </cell>
          <cell r="I64">
            <v>66762.869000000006</v>
          </cell>
          <cell r="J64">
            <v>76536.748999999996</v>
          </cell>
          <cell r="K64">
            <v>119311.648</v>
          </cell>
          <cell r="L64">
            <v>238001.65299999999</v>
          </cell>
          <cell r="M64">
            <v>233465.69899999999</v>
          </cell>
          <cell r="N64">
            <v>217433.36300000001</v>
          </cell>
          <cell r="O64">
            <v>232241.924</v>
          </cell>
          <cell r="P64">
            <v>266383</v>
          </cell>
          <cell r="Q64">
            <v>258283.55300000001</v>
          </cell>
          <cell r="R64">
            <v>291164.87099999998</v>
          </cell>
          <cell r="S64">
            <v>236466.889</v>
          </cell>
          <cell r="T64">
            <v>191658.29399999999</v>
          </cell>
          <cell r="U64">
            <v>214096.25599999999</v>
          </cell>
          <cell r="V64">
            <v>225136.02900000001</v>
          </cell>
          <cell r="W64">
            <v>212124.96299999999</v>
          </cell>
          <cell r="X64">
            <v>205020.94500000001</v>
          </cell>
          <cell r="Y64">
            <v>212441.17600000001</v>
          </cell>
          <cell r="Z64">
            <v>225008.851</v>
          </cell>
          <cell r="AA64">
            <v>228817.40299999999</v>
          </cell>
          <cell r="AB64">
            <v>218742</v>
          </cell>
          <cell r="AC64">
            <v>214038</v>
          </cell>
        </row>
        <row r="65">
          <cell r="B65" t="str">
            <v>Minority interest</v>
          </cell>
          <cell r="C65" t="str">
            <v>MINORITIES</v>
          </cell>
          <cell r="D65" t="str">
            <v>TWD</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Total shareholders' equity</v>
          </cell>
          <cell r="C66" t="str">
            <v>EQ</v>
          </cell>
          <cell r="D66" t="str">
            <v>TWD</v>
          </cell>
          <cell r="F66">
            <v>18639.407999999999</v>
          </cell>
          <cell r="G66">
            <v>31366.162</v>
          </cell>
          <cell r="H66">
            <v>46007.7</v>
          </cell>
          <cell r="I66">
            <v>66762.869000000006</v>
          </cell>
          <cell r="J66">
            <v>76536.748999999996</v>
          </cell>
          <cell r="K66">
            <v>119311.648</v>
          </cell>
          <cell r="L66">
            <v>238001.65299999999</v>
          </cell>
          <cell r="M66">
            <v>233465.69899999999</v>
          </cell>
          <cell r="N66">
            <v>217433.36300000001</v>
          </cell>
          <cell r="O66">
            <v>232241.924</v>
          </cell>
          <cell r="P66">
            <v>266383</v>
          </cell>
          <cell r="Q66">
            <v>258283.55300000001</v>
          </cell>
          <cell r="R66">
            <v>291164.87099999998</v>
          </cell>
          <cell r="S66">
            <v>236466.889</v>
          </cell>
          <cell r="T66">
            <v>191658.29399999999</v>
          </cell>
          <cell r="U66">
            <v>214096.25599999999</v>
          </cell>
          <cell r="V66">
            <v>225136.02900000001</v>
          </cell>
          <cell r="W66">
            <v>212124.96299999999</v>
          </cell>
          <cell r="X66">
            <v>205020.94500000001</v>
          </cell>
          <cell r="Y66">
            <v>212441.17600000001</v>
          </cell>
          <cell r="Z66">
            <v>225008.851</v>
          </cell>
          <cell r="AA66">
            <v>228817.40299999999</v>
          </cell>
          <cell r="AB66">
            <v>218742</v>
          </cell>
          <cell r="AC66">
            <v>214038</v>
          </cell>
        </row>
        <row r="67">
          <cell r="B67" t="str">
            <v>Total liabilities and equity</v>
          </cell>
          <cell r="C67" t="str">
            <v>TOT_LIAB_EQ</v>
          </cell>
          <cell r="D67" t="str">
            <v>TWD</v>
          </cell>
          <cell r="F67">
            <v>28151.819</v>
          </cell>
          <cell r="G67">
            <v>47875.521000000001</v>
          </cell>
          <cell r="H67">
            <v>66638.343999999997</v>
          </cell>
          <cell r="I67">
            <v>87385.205000000002</v>
          </cell>
          <cell r="J67">
            <v>104037.448</v>
          </cell>
          <cell r="K67">
            <v>146139.041</v>
          </cell>
          <cell r="L67">
            <v>311128.26299999998</v>
          </cell>
          <cell r="M67">
            <v>317384.94500000001</v>
          </cell>
          <cell r="N67">
            <v>297332.64600000001</v>
          </cell>
          <cell r="O67">
            <v>320113.83799999999</v>
          </cell>
          <cell r="P67">
            <v>329563.73700000002</v>
          </cell>
          <cell r="Q67">
            <v>326221.23700000002</v>
          </cell>
          <cell r="R67">
            <v>355228.79300000001</v>
          </cell>
          <cell r="S67">
            <v>290762.56699999998</v>
          </cell>
          <cell r="T67">
            <v>216398.508</v>
          </cell>
          <cell r="U67">
            <v>253638.451</v>
          </cell>
          <cell r="V67">
            <v>280886.99599999998</v>
          </cell>
          <cell r="W67">
            <v>279831.74599999998</v>
          </cell>
          <cell r="X67">
            <v>280958.91800000001</v>
          </cell>
          <cell r="Y67">
            <v>295902.82900000003</v>
          </cell>
          <cell r="Z67">
            <v>313245.64799999999</v>
          </cell>
          <cell r="AA67">
            <v>337366.81</v>
          </cell>
          <cell r="AB67">
            <v>386655</v>
          </cell>
          <cell r="AC67">
            <v>394099</v>
          </cell>
        </row>
        <row r="68">
          <cell r="A68" t="str">
            <v>Additional Balance Sheet Items</v>
          </cell>
        </row>
        <row r="69">
          <cell r="B69" t="str">
            <v>Total US$ debt (in US$)</v>
          </cell>
          <cell r="C69" t="str">
            <v>TOT_USD_DEBT</v>
          </cell>
        </row>
        <row r="70">
          <cell r="B70" t="str">
            <v>% US$ debt hedged (principal)</v>
          </cell>
          <cell r="C70" t="str">
            <v>TOT_PCT_USD_DEBT_HEDGED</v>
          </cell>
        </row>
        <row r="71">
          <cell r="B71" t="str">
            <v>% Floating debt (local currency debt)</v>
          </cell>
          <cell r="C71" t="str">
            <v>FLOATING_PCT_LOCAL_DEBT</v>
          </cell>
        </row>
        <row r="72">
          <cell r="B72" t="str">
            <v>% floating debt hedged (rates)</v>
          </cell>
          <cell r="C72" t="str">
            <v>FLOATING_PCT_LOCAL_DEBT_HEDGED</v>
          </cell>
        </row>
        <row r="73">
          <cell r="B73" t="str">
            <v>Net debt</v>
          </cell>
          <cell r="C73" t="str">
            <v>NET_DEBT</v>
          </cell>
          <cell r="D73" t="str">
            <v>TWD</v>
          </cell>
          <cell r="F73">
            <v>-5373.3969999999999</v>
          </cell>
          <cell r="G73">
            <v>-225.66200000000001</v>
          </cell>
          <cell r="H73">
            <v>-2561.6039999999998</v>
          </cell>
          <cell r="I73">
            <v>-6266.0889999999999</v>
          </cell>
          <cell r="J73">
            <v>-3854.1419999999998</v>
          </cell>
          <cell r="K73">
            <v>6720.0290000000005</v>
          </cell>
          <cell r="L73">
            <v>-7470.56</v>
          </cell>
          <cell r="M73">
            <v>-138.458</v>
          </cell>
          <cell r="N73">
            <v>1041.3150000000001</v>
          </cell>
          <cell r="O73">
            <v>-27245.526999999998</v>
          </cell>
          <cell r="P73">
            <v>-48074.201999999997</v>
          </cell>
          <cell r="Q73">
            <v>-55220.688999999998</v>
          </cell>
          <cell r="R73">
            <v>-57168.122000000003</v>
          </cell>
          <cell r="S73">
            <v>-11868.234</v>
          </cell>
          <cell r="T73">
            <v>-42330.629000000001</v>
          </cell>
          <cell r="U73">
            <v>-60803.925999999999</v>
          </cell>
          <cell r="V73">
            <v>-42826.027000000002</v>
          </cell>
          <cell r="W73">
            <v>-16395.048999999999</v>
          </cell>
          <cell r="X73">
            <v>-765.16500000000804</v>
          </cell>
          <cell r="Y73">
            <v>-3992.3890000000001</v>
          </cell>
          <cell r="Z73">
            <v>-3525.5219999999999</v>
          </cell>
          <cell r="AA73">
            <v>5675.826</v>
          </cell>
          <cell r="AB73">
            <v>33549</v>
          </cell>
          <cell r="AC73">
            <v>23737</v>
          </cell>
        </row>
        <row r="74">
          <cell r="B74" t="str">
            <v>Capitalized leases</v>
          </cell>
          <cell r="C74" t="str">
            <v>CAP_LEASES</v>
          </cell>
          <cell r="D74" t="str">
            <v>TWD</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B75" t="str">
            <v>Deferred income taxes</v>
          </cell>
          <cell r="C75" t="str">
            <v>DEF_INC_TAX</v>
          </cell>
          <cell r="D75" t="str">
            <v>TWD</v>
          </cell>
          <cell r="F75">
            <v>0</v>
          </cell>
          <cell r="G75">
            <v>1081.8879999999999</v>
          </cell>
          <cell r="H75">
            <v>1678.6559999999999</v>
          </cell>
          <cell r="I75">
            <v>1724.3720000000001</v>
          </cell>
          <cell r="J75">
            <v>2135.1370000000002</v>
          </cell>
          <cell r="K75">
            <v>2190.0300000000002</v>
          </cell>
          <cell r="L75">
            <v>4601.8059999999996</v>
          </cell>
          <cell r="M75">
            <v>8015.1469999999999</v>
          </cell>
          <cell r="N75">
            <v>8015.1469999999999</v>
          </cell>
          <cell r="O75">
            <v>7210.9040000000005</v>
          </cell>
          <cell r="P75">
            <v>7335.9040000000005</v>
          </cell>
          <cell r="Q75">
            <v>7335.9040000000005</v>
          </cell>
          <cell r="R75">
            <v>6641.5879999999997</v>
          </cell>
          <cell r="S75">
            <v>6641.5879999999997</v>
          </cell>
          <cell r="T75">
            <v>2304.3470000000002</v>
          </cell>
          <cell r="U75">
            <v>2304.3470000000002</v>
          </cell>
          <cell r="V75">
            <v>2304.3470000000002</v>
          </cell>
          <cell r="W75">
            <v>2304.3470000000002</v>
          </cell>
          <cell r="X75">
            <v>2304.3470000000002</v>
          </cell>
          <cell r="Y75">
            <v>2304.3470000000002</v>
          </cell>
          <cell r="Z75">
            <v>2304.3470000000002</v>
          </cell>
          <cell r="AA75">
            <v>2304.3470000000002</v>
          </cell>
          <cell r="AB75">
            <v>2304.3470000000002</v>
          </cell>
          <cell r="AC75">
            <v>2304.3470000000002</v>
          </cell>
        </row>
        <row r="76">
          <cell r="B76" t="str">
            <v>Associates (mkt value) used in EV calculation</v>
          </cell>
          <cell r="C76" t="str">
            <v>MV_ASSOCIATES</v>
          </cell>
          <cell r="D76" t="str">
            <v>TWD</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B77" t="str">
            <v>Net debt adjustment</v>
          </cell>
          <cell r="C77" t="str">
            <v>NET_DEBT_ADJ</v>
          </cell>
          <cell r="D77" t="str">
            <v>TWD</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Company borrowing margin</v>
          </cell>
          <cell r="C78" t="str">
            <v>CO_BOR_MARGIN</v>
          </cell>
          <cell r="F78">
            <v>5.1304000000000002E-2</v>
          </cell>
          <cell r="G78">
            <v>2.563E-2</v>
          </cell>
          <cell r="H78">
            <v>5.9015999999999999E-2</v>
          </cell>
          <cell r="I78">
            <v>6.0304000000000003E-2</v>
          </cell>
          <cell r="J78">
            <v>7.3939000000000005E-2</v>
          </cell>
          <cell r="K78">
            <v>5.4531000000000003E-2</v>
          </cell>
          <cell r="L78">
            <v>5.0238999999999999E-2</v>
          </cell>
          <cell r="M78">
            <v>4.1843999999999999E-2</v>
          </cell>
          <cell r="N78">
            <v>2.3349000000000002E-2</v>
          </cell>
          <cell r="O78">
            <v>1.8398999999999999E-2</v>
          </cell>
          <cell r="P78">
            <v>3.0762000000000001E-2</v>
          </cell>
          <cell r="Q78">
            <v>1.9848999999999999E-2</v>
          </cell>
          <cell r="R78">
            <v>1.7648E-2</v>
          </cell>
          <cell r="S78">
            <v>6.0707367310000003E-3</v>
          </cell>
          <cell r="T78">
            <v>8.543024255E-3</v>
          </cell>
          <cell r="U78">
            <v>4.2534878709999998E-3</v>
          </cell>
          <cell r="V78">
            <v>1.010241078E-3</v>
          </cell>
          <cell r="W78">
            <v>7.9465191200000004E-3</v>
          </cell>
          <cell r="X78">
            <v>9.7834569569999995E-3</v>
          </cell>
          <cell r="Y78">
            <v>1.3675904728E-2</v>
          </cell>
          <cell r="Z78">
            <v>1.7179738056999998E-2</v>
          </cell>
          <cell r="AA78">
            <v>8.7850856939999996E-3</v>
          </cell>
          <cell r="AB78">
            <v>1.5007502014E-2</v>
          </cell>
          <cell r="AC78">
            <v>2.3102827691E-2</v>
          </cell>
        </row>
        <row r="79">
          <cell r="B79" t="str">
            <v>Unfunded pensions &amp; other provisions</v>
          </cell>
          <cell r="C79" t="str">
            <v>UNF_PENS</v>
          </cell>
          <cell r="D79" t="str">
            <v>TWD</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B80" t="str">
            <v>Unfunded pension liabilities (off balance sheet)</v>
          </cell>
          <cell r="C80" t="str">
            <v>UNF_PENS_OFF</v>
          </cell>
          <cell r="D80" t="str">
            <v>TWD</v>
          </cell>
          <cell r="F80">
            <v>0</v>
          </cell>
          <cell r="G80">
            <v>422.50900000000001</v>
          </cell>
          <cell r="H80">
            <v>303.245</v>
          </cell>
          <cell r="I80">
            <v>99.942999999999998</v>
          </cell>
          <cell r="J80">
            <v>112.81100000000001</v>
          </cell>
          <cell r="K80">
            <v>428.988</v>
          </cell>
          <cell r="L80">
            <v>695.20100000000002</v>
          </cell>
          <cell r="M80">
            <v>137.595</v>
          </cell>
          <cell r="N80">
            <v>157.666</v>
          </cell>
          <cell r="O80">
            <v>-107.96899999999999</v>
          </cell>
          <cell r="P80">
            <v>-140.46299999999999</v>
          </cell>
          <cell r="Q80">
            <v>0</v>
          </cell>
          <cell r="R80">
            <v>0</v>
          </cell>
          <cell r="S80">
            <v>0</v>
          </cell>
          <cell r="T80">
            <v>0</v>
          </cell>
          <cell r="U80">
            <v>0</v>
          </cell>
          <cell r="V80">
            <v>0</v>
          </cell>
          <cell r="W80">
            <v>0</v>
          </cell>
          <cell r="X80">
            <v>0</v>
          </cell>
          <cell r="Y80">
            <v>0</v>
          </cell>
          <cell r="Z80">
            <v>0</v>
          </cell>
          <cell r="AA80">
            <v>0</v>
          </cell>
          <cell r="AB80">
            <v>0</v>
          </cell>
          <cell r="AC80">
            <v>0</v>
          </cell>
        </row>
        <row r="81">
          <cell r="B81" t="str">
            <v>Unfunded pension liabilities &amp; other, used in EV</v>
          </cell>
          <cell r="C81" t="str">
            <v>UNF_PENS_LIAB_OTH</v>
          </cell>
          <cell r="D81" t="str">
            <v>TWD</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B82" t="str">
            <v>Adjustment for unfunded pensions &amp; goodwill</v>
          </cell>
          <cell r="C82" t="str">
            <v>ADJ_UNF_PENS_GOOD</v>
          </cell>
          <cell r="D82" t="str">
            <v>TWD</v>
          </cell>
          <cell r="F82">
            <v>-14.19</v>
          </cell>
          <cell r="G82">
            <v>411.59</v>
          </cell>
          <cell r="H82">
            <v>295.59699999999998</v>
          </cell>
          <cell r="I82">
            <v>78.984999999999999</v>
          </cell>
          <cell r="J82">
            <v>100.408</v>
          </cell>
          <cell r="K82">
            <v>428.988</v>
          </cell>
          <cell r="L82">
            <v>695.20100000000002</v>
          </cell>
          <cell r="M82">
            <v>106.79</v>
          </cell>
          <cell r="N82">
            <v>138.786</v>
          </cell>
          <cell r="O82">
            <v>-114.925</v>
          </cell>
          <cell r="P82">
            <v>-1355.463</v>
          </cell>
          <cell r="Q82">
            <v>-4104.6779999999999</v>
          </cell>
          <cell r="R82">
            <v>-3745.1219999999998</v>
          </cell>
          <cell r="S82">
            <v>-3745.1219999999998</v>
          </cell>
          <cell r="T82">
            <v>-7.9669999999999996</v>
          </cell>
          <cell r="U82">
            <v>-7.6150000000000002</v>
          </cell>
          <cell r="V82">
            <v>-304.72800000000001</v>
          </cell>
          <cell r="W82">
            <v>-350.86</v>
          </cell>
          <cell r="X82">
            <v>-1357.492</v>
          </cell>
          <cell r="Y82">
            <v>-4739.6469999999999</v>
          </cell>
          <cell r="Z82">
            <v>-4532.9380000000001</v>
          </cell>
          <cell r="AA82">
            <v>-4504.0879999999997</v>
          </cell>
          <cell r="AB82">
            <v>-4241.6890000000003</v>
          </cell>
          <cell r="AC82">
            <v>-4241.6890000000003</v>
          </cell>
        </row>
        <row r="83">
          <cell r="B83" t="str">
            <v>Other GCI adjustments</v>
          </cell>
          <cell r="C83" t="str">
            <v>OTH_GCI_ADJ</v>
          </cell>
          <cell r="D83" t="str">
            <v>TWD</v>
          </cell>
        </row>
        <row r="84">
          <cell r="B84" t="str">
            <v>GCI inflator</v>
          </cell>
          <cell r="C84" t="str">
            <v>GCI_INFL</v>
          </cell>
          <cell r="F84">
            <v>1</v>
          </cell>
          <cell r="G84">
            <v>1</v>
          </cell>
          <cell r="H84">
            <v>1</v>
          </cell>
          <cell r="I84">
            <v>1</v>
          </cell>
          <cell r="J84">
            <v>1</v>
          </cell>
          <cell r="K84">
            <v>1</v>
          </cell>
          <cell r="L84">
            <v>1</v>
          </cell>
          <cell r="M84">
            <v>1</v>
          </cell>
          <cell r="N84">
            <v>1</v>
          </cell>
          <cell r="O84">
            <v>1</v>
          </cell>
          <cell r="P84">
            <v>1</v>
          </cell>
          <cell r="Q84">
            <v>1</v>
          </cell>
          <cell r="R84">
            <v>1</v>
          </cell>
          <cell r="S84">
            <v>1</v>
          </cell>
          <cell r="T84">
            <v>1</v>
          </cell>
          <cell r="U84">
            <v>1</v>
          </cell>
          <cell r="V84">
            <v>1</v>
          </cell>
          <cell r="W84">
            <v>1</v>
          </cell>
          <cell r="X84">
            <v>1</v>
          </cell>
          <cell r="Y84">
            <v>1</v>
          </cell>
          <cell r="Z84">
            <v>1</v>
          </cell>
          <cell r="AA84">
            <v>1</v>
          </cell>
        </row>
        <row r="85">
          <cell r="B85" t="str">
            <v>Minority interest</v>
          </cell>
          <cell r="C85" t="str">
            <v>BAL_MINO_INT</v>
          </cell>
          <cell r="D85" t="str">
            <v>TWD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Cash Flow Statement</v>
          </cell>
        </row>
        <row r="87">
          <cell r="B87" t="str">
            <v>Minority interest add-back</v>
          </cell>
          <cell r="C87" t="str">
            <v>CF_INC_MINORITY</v>
          </cell>
          <cell r="D87" t="str">
            <v>TWD</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Depreciation &amp; amortization add-back</v>
          </cell>
          <cell r="C88" t="str">
            <v>DEPR_AMORT</v>
          </cell>
          <cell r="D88" t="str">
            <v>TWD</v>
          </cell>
          <cell r="F88">
            <v>1548.4349999999999</v>
          </cell>
          <cell r="G88">
            <v>2193.0680000000002</v>
          </cell>
          <cell r="H88">
            <v>3457.5360000000001</v>
          </cell>
          <cell r="I88">
            <v>4046.0659999999998</v>
          </cell>
          <cell r="J88">
            <v>4810.5680000000002</v>
          </cell>
          <cell r="K88">
            <v>5506.3590000000004</v>
          </cell>
          <cell r="L88">
            <v>24517.172999999999</v>
          </cell>
          <cell r="M88">
            <v>34290.902000000002</v>
          </cell>
          <cell r="N88">
            <v>35725.012000000002</v>
          </cell>
          <cell r="O88">
            <v>37411.546999999999</v>
          </cell>
          <cell r="P88">
            <v>39777.332999999999</v>
          </cell>
          <cell r="Q88">
            <v>48516.904000000002</v>
          </cell>
          <cell r="R88">
            <v>44193.99</v>
          </cell>
          <cell r="S88">
            <v>36735.065000000002</v>
          </cell>
          <cell r="T88">
            <v>38512.103999999999</v>
          </cell>
          <cell r="U88">
            <v>34229.794999999998</v>
          </cell>
          <cell r="V88">
            <v>30495.633000000002</v>
          </cell>
          <cell r="W88">
            <v>32370.798999999999</v>
          </cell>
          <cell r="X88">
            <v>35737.574999999997</v>
          </cell>
          <cell r="Y88">
            <v>38432.311999999998</v>
          </cell>
          <cell r="Z88">
            <v>40657.353999999999</v>
          </cell>
          <cell r="AA88">
            <v>45472.108999999997</v>
          </cell>
          <cell r="AB88">
            <v>51982.402999999998</v>
          </cell>
          <cell r="AC88">
            <v>53099</v>
          </cell>
        </row>
        <row r="89">
          <cell r="B89" t="str">
            <v>(Increase)/decrease in working capital</v>
          </cell>
          <cell r="C89" t="str">
            <v>WORK_CAP</v>
          </cell>
          <cell r="D89" t="str">
            <v>TWD</v>
          </cell>
          <cell r="F89">
            <v>268.791</v>
          </cell>
          <cell r="G89">
            <v>-2023.21</v>
          </cell>
          <cell r="H89">
            <v>691.62099999999998</v>
          </cell>
          <cell r="I89">
            <v>-704.66399999999999</v>
          </cell>
          <cell r="J89">
            <v>1092.9269999999999</v>
          </cell>
          <cell r="K89">
            <v>-1285.6489999999999</v>
          </cell>
          <cell r="L89">
            <v>-15395.262000000001</v>
          </cell>
          <cell r="M89">
            <v>10423.029</v>
          </cell>
          <cell r="N89">
            <v>-4536.1450000000004</v>
          </cell>
          <cell r="O89">
            <v>-2977.623</v>
          </cell>
          <cell r="P89">
            <v>2579.248</v>
          </cell>
          <cell r="Q89">
            <v>-3426.4850000000001</v>
          </cell>
          <cell r="R89">
            <v>-244.45</v>
          </cell>
          <cell r="S89">
            <v>-1691.069</v>
          </cell>
          <cell r="T89">
            <v>7490.1989999999996</v>
          </cell>
          <cell r="U89">
            <v>-6642.4610000000002</v>
          </cell>
          <cell r="V89">
            <v>-4270.5010000000002</v>
          </cell>
          <cell r="W89">
            <v>2699.5419999999999</v>
          </cell>
          <cell r="X89">
            <v>-790.95100000000105</v>
          </cell>
          <cell r="Y89">
            <v>-315.54499999999803</v>
          </cell>
          <cell r="Z89">
            <v>-8043.1109999999999</v>
          </cell>
          <cell r="AA89">
            <v>425.36900000000202</v>
          </cell>
          <cell r="AB89">
            <v>-2706.3789999999999</v>
          </cell>
          <cell r="AC89">
            <v>812</v>
          </cell>
        </row>
        <row r="90">
          <cell r="B90" t="str">
            <v>Other operating cash flow items</v>
          </cell>
          <cell r="C90" t="str">
            <v>OTH_OP_CF</v>
          </cell>
          <cell r="D90" t="str">
            <v>TWD</v>
          </cell>
          <cell r="F90">
            <v>247.639000000001</v>
          </cell>
          <cell r="G90">
            <v>-989.21</v>
          </cell>
          <cell r="H90">
            <v>-1833.2360000000001</v>
          </cell>
          <cell r="I90">
            <v>-471.063999999999</v>
          </cell>
          <cell r="J90">
            <v>557.44099999999798</v>
          </cell>
          <cell r="K90">
            <v>1535.3050000000001</v>
          </cell>
          <cell r="L90">
            <v>-3189.364</v>
          </cell>
          <cell r="M90">
            <v>-2992.7890000000002</v>
          </cell>
          <cell r="N90">
            <v>-11040.825000000001</v>
          </cell>
          <cell r="O90">
            <v>-2856.7289999999998</v>
          </cell>
          <cell r="P90">
            <v>-5184.99</v>
          </cell>
          <cell r="Q90">
            <v>-6160.3109999999997</v>
          </cell>
          <cell r="R90">
            <v>-30604.812000000002</v>
          </cell>
          <cell r="S90">
            <v>-5369.884</v>
          </cell>
          <cell r="T90">
            <v>23008.927</v>
          </cell>
          <cell r="U90">
            <v>415.37599999999901</v>
          </cell>
          <cell r="V90">
            <v>2946.9349999999899</v>
          </cell>
          <cell r="W90">
            <v>-2683.942</v>
          </cell>
          <cell r="X90">
            <v>-3682.8110000000001</v>
          </cell>
          <cell r="Y90">
            <v>-7068.5640000000003</v>
          </cell>
          <cell r="Z90">
            <v>1489.84</v>
          </cell>
          <cell r="AA90">
            <v>1418.4649999999999</v>
          </cell>
          <cell r="AB90">
            <v>-11961.807000000001</v>
          </cell>
          <cell r="AC90">
            <v>-13190</v>
          </cell>
        </row>
        <row r="91">
          <cell r="B91" t="str">
            <v>Cash flow from operating activities</v>
          </cell>
          <cell r="C91" t="str">
            <v>CF_OPS</v>
          </cell>
          <cell r="D91" t="str">
            <v>TWD</v>
          </cell>
          <cell r="F91">
            <v>8557.5730000000003</v>
          </cell>
          <cell r="G91">
            <v>12621.33</v>
          </cell>
          <cell r="H91">
            <v>9962.8169999999991</v>
          </cell>
          <cell r="I91">
            <v>10171.973</v>
          </cell>
          <cell r="J91">
            <v>7648.1289999999999</v>
          </cell>
          <cell r="K91">
            <v>10297.554</v>
          </cell>
          <cell r="L91">
            <v>66921.982999999993</v>
          </cell>
          <cell r="M91">
            <v>39278.313999999998</v>
          </cell>
          <cell r="N91">
            <v>28049.524000000001</v>
          </cell>
          <cell r="O91">
            <v>45597.451999999997</v>
          </cell>
          <cell r="P91">
            <v>69014.971999999994</v>
          </cell>
          <cell r="Q91">
            <v>45956.800000000003</v>
          </cell>
          <cell r="R91">
            <v>45964.040999999997</v>
          </cell>
          <cell r="S91">
            <v>46635.874000000003</v>
          </cell>
          <cell r="T91">
            <v>46691.154999999999</v>
          </cell>
          <cell r="U91">
            <v>31876.738000000001</v>
          </cell>
          <cell r="V91">
            <v>52949.574000000001</v>
          </cell>
          <cell r="W91">
            <v>40853.315000000002</v>
          </cell>
          <cell r="X91">
            <v>37137.733999999997</v>
          </cell>
          <cell r="Y91">
            <v>43153.163</v>
          </cell>
          <cell r="Z91">
            <v>45583.671999999999</v>
          </cell>
          <cell r="AA91">
            <v>60151.593999999997</v>
          </cell>
          <cell r="AB91">
            <v>41177.396999999997</v>
          </cell>
          <cell r="AC91">
            <v>47353</v>
          </cell>
        </row>
        <row r="92">
          <cell r="B92" t="str">
            <v>Capital expenditures, Capex</v>
          </cell>
          <cell r="C92" t="str">
            <v>CAPEX</v>
          </cell>
          <cell r="D92" t="str">
            <v>TWD</v>
          </cell>
          <cell r="F92">
            <v>-4096.3149999999996</v>
          </cell>
          <cell r="G92">
            <v>-9851.0460000000003</v>
          </cell>
          <cell r="H92">
            <v>-9269.4830000000002</v>
          </cell>
          <cell r="I92">
            <v>-5500.1360000000004</v>
          </cell>
          <cell r="J92">
            <v>-6620.7510000000002</v>
          </cell>
          <cell r="K92">
            <v>-13725.696</v>
          </cell>
          <cell r="L92">
            <v>-75296.634999999995</v>
          </cell>
          <cell r="M92">
            <v>-37216.339</v>
          </cell>
          <cell r="N92">
            <v>-27295.862000000001</v>
          </cell>
          <cell r="O92">
            <v>-11255.95</v>
          </cell>
          <cell r="P92">
            <v>-48219.584999999999</v>
          </cell>
          <cell r="Q92">
            <v>-18457.118999999999</v>
          </cell>
          <cell r="R92">
            <v>-30955.456999999999</v>
          </cell>
          <cell r="S92">
            <v>-27866.901000000002</v>
          </cell>
          <cell r="T92">
            <v>-11252.965</v>
          </cell>
          <cell r="U92">
            <v>-17117.02</v>
          </cell>
          <cell r="V92">
            <v>-60841.677000000003</v>
          </cell>
          <cell r="W92">
            <v>-52686.415000000001</v>
          </cell>
          <cell r="X92">
            <v>-51025.190999999999</v>
          </cell>
          <cell r="Y92">
            <v>-32334.718000000001</v>
          </cell>
          <cell r="Z92">
            <v>-42914.428</v>
          </cell>
          <cell r="AA92">
            <v>-59713.966999999997</v>
          </cell>
          <cell r="AB92">
            <v>-91540.644</v>
          </cell>
          <cell r="AC92">
            <v>-44236</v>
          </cell>
        </row>
        <row r="93">
          <cell r="B93" t="str">
            <v>Acquisitions</v>
          </cell>
          <cell r="C93" t="str">
            <v>ACQ</v>
          </cell>
          <cell r="D93" t="str">
            <v>TWD</v>
          </cell>
          <cell r="F93">
            <v>-2441.0529999999999</v>
          </cell>
          <cell r="G93">
            <v>-6701.4889999999996</v>
          </cell>
          <cell r="H93">
            <v>-7372.3909999999996</v>
          </cell>
          <cell r="I93">
            <v>-8489.0740000000005</v>
          </cell>
          <cell r="J93">
            <v>-6135.6509999999998</v>
          </cell>
          <cell r="K93">
            <v>-15569.111000000001</v>
          </cell>
          <cell r="L93">
            <v>-5206.6450000000004</v>
          </cell>
          <cell r="M93">
            <v>-5410.4440000000004</v>
          </cell>
          <cell r="N93">
            <v>0</v>
          </cell>
          <cell r="O93">
            <v>-8121.77</v>
          </cell>
          <cell r="P93">
            <v>-6817.5129999999999</v>
          </cell>
          <cell r="Q93">
            <v>0</v>
          </cell>
          <cell r="R93">
            <v>0</v>
          </cell>
          <cell r="S93">
            <v>0</v>
          </cell>
          <cell r="U93">
            <v>-925.63699999999994</v>
          </cell>
          <cell r="W93">
            <v>-1220.971</v>
          </cell>
          <cell r="Y93">
            <v>2650.2689999999998</v>
          </cell>
          <cell r="AA93">
            <v>-4508.5889999999999</v>
          </cell>
        </row>
        <row r="94">
          <cell r="B94" t="str">
            <v>Divestitures</v>
          </cell>
          <cell r="C94" t="str">
            <v>DIVEST</v>
          </cell>
          <cell r="D94" t="str">
            <v>TWD</v>
          </cell>
          <cell r="F94">
            <v>0</v>
          </cell>
          <cell r="G94">
            <v>0</v>
          </cell>
          <cell r="H94">
            <v>0</v>
          </cell>
          <cell r="I94">
            <v>0</v>
          </cell>
          <cell r="J94">
            <v>0</v>
          </cell>
          <cell r="K94">
            <v>0</v>
          </cell>
          <cell r="L94">
            <v>0</v>
          </cell>
          <cell r="M94">
            <v>0</v>
          </cell>
          <cell r="N94">
            <v>6486.8159999999998</v>
          </cell>
          <cell r="O94">
            <v>0</v>
          </cell>
          <cell r="P94">
            <v>0</v>
          </cell>
          <cell r="Q94">
            <v>15678.884</v>
          </cell>
          <cell r="R94">
            <v>16174.512000000001</v>
          </cell>
          <cell r="S94">
            <v>5354.3620000000001</v>
          </cell>
          <cell r="T94">
            <v>598.923</v>
          </cell>
          <cell r="V94">
            <v>3884.1909999999998</v>
          </cell>
          <cell r="X94">
            <v>3312.9639999999999</v>
          </cell>
          <cell r="Y94">
            <v>1467.605</v>
          </cell>
          <cell r="Z94">
            <v>1422.59</v>
          </cell>
          <cell r="AA94">
            <v>0</v>
          </cell>
          <cell r="AB94">
            <v>4041.0590000000002</v>
          </cell>
          <cell r="AC94">
            <v>2160</v>
          </cell>
        </row>
        <row r="95">
          <cell r="B95" t="str">
            <v>Other investing cash flow items</v>
          </cell>
          <cell r="C95" t="str">
            <v>OTH_INV_CF</v>
          </cell>
          <cell r="D95" t="str">
            <v>TWD</v>
          </cell>
          <cell r="F95">
            <v>844.78599999999994</v>
          </cell>
          <cell r="G95">
            <v>-304.11900000000003</v>
          </cell>
          <cell r="H95">
            <v>2895.8069999999998</v>
          </cell>
          <cell r="I95">
            <v>-1093.18</v>
          </cell>
          <cell r="J95">
            <v>-2276.9749999999999</v>
          </cell>
          <cell r="K95">
            <v>-808.99900000000002</v>
          </cell>
          <cell r="L95">
            <v>20980.010999999999</v>
          </cell>
          <cell r="M95">
            <v>1053.1030000000001</v>
          </cell>
          <cell r="N95">
            <v>-4085.0349999999999</v>
          </cell>
          <cell r="O95">
            <v>306.70999999999998</v>
          </cell>
          <cell r="P95">
            <v>3263.277</v>
          </cell>
          <cell r="Q95">
            <v>-3181.5340000000001</v>
          </cell>
          <cell r="R95">
            <v>3529.1190000000001</v>
          </cell>
          <cell r="S95">
            <v>-5898.4269999999997</v>
          </cell>
          <cell r="T95">
            <v>-3475.6460000000002</v>
          </cell>
          <cell r="U95">
            <v>5061.527</v>
          </cell>
          <cell r="V95">
            <v>-983.63599999999894</v>
          </cell>
          <cell r="W95">
            <v>-3563.0550000000098</v>
          </cell>
          <cell r="X95">
            <v>-2283.54700000001</v>
          </cell>
          <cell r="Y95">
            <v>-5518.5510000000104</v>
          </cell>
          <cell r="Z95">
            <v>-3141.4899999999898</v>
          </cell>
          <cell r="AA95">
            <v>-4588.4489999999896</v>
          </cell>
          <cell r="AB95">
            <v>7411.4829999999902</v>
          </cell>
          <cell r="AC95">
            <v>6663</v>
          </cell>
        </row>
        <row r="96">
          <cell r="B96" t="str">
            <v>Cash flow from investing</v>
          </cell>
          <cell r="C96" t="str">
            <v>CF_INV</v>
          </cell>
          <cell r="D96" t="str">
            <v>TWD</v>
          </cell>
          <cell r="F96">
            <v>-5692.5820000000003</v>
          </cell>
          <cell r="G96">
            <v>-16856.653999999999</v>
          </cell>
          <cell r="H96">
            <v>-13746.066999999999</v>
          </cell>
          <cell r="I96">
            <v>-15082.39</v>
          </cell>
          <cell r="J96">
            <v>-15033.377</v>
          </cell>
          <cell r="K96">
            <v>-30103.806</v>
          </cell>
          <cell r="L96">
            <v>-59523.269</v>
          </cell>
          <cell r="M96">
            <v>-41573.68</v>
          </cell>
          <cell r="N96">
            <v>-24894.080999999998</v>
          </cell>
          <cell r="O96">
            <v>-19071.009999999998</v>
          </cell>
          <cell r="P96">
            <v>-51773.821000000004</v>
          </cell>
          <cell r="Q96">
            <v>-5959.7690000000002</v>
          </cell>
          <cell r="R96">
            <v>-11251.825999999999</v>
          </cell>
          <cell r="S96">
            <v>-28410.966</v>
          </cell>
          <cell r="T96">
            <v>-14129.688</v>
          </cell>
          <cell r="U96">
            <v>-12981.13</v>
          </cell>
          <cell r="V96">
            <v>-57941.122000000003</v>
          </cell>
          <cell r="W96">
            <v>-57470.440999999999</v>
          </cell>
          <cell r="X96">
            <v>-49995.773999999998</v>
          </cell>
          <cell r="Y96">
            <v>-33735.394999999997</v>
          </cell>
          <cell r="Z96">
            <v>-44633.328000000001</v>
          </cell>
          <cell r="AA96">
            <v>-68811.005000000005</v>
          </cell>
          <cell r="AB96">
            <v>-80088.101999999999</v>
          </cell>
          <cell r="AC96">
            <v>-35413</v>
          </cell>
        </row>
        <row r="97">
          <cell r="B97" t="str">
            <v>Dividends paid</v>
          </cell>
          <cell r="C97" t="str">
            <v>DIV_PAID</v>
          </cell>
          <cell r="D97" t="str">
            <v>TWD</v>
          </cell>
          <cell r="F97">
            <v>-394.28399999999999</v>
          </cell>
          <cell r="G97">
            <v>-439.96</v>
          </cell>
          <cell r="H97">
            <v>-35</v>
          </cell>
          <cell r="I97">
            <v>-35</v>
          </cell>
          <cell r="J97">
            <v>0</v>
          </cell>
          <cell r="K97">
            <v>0</v>
          </cell>
          <cell r="L97">
            <v>0</v>
          </cell>
          <cell r="M97">
            <v>0</v>
          </cell>
          <cell r="N97">
            <v>0</v>
          </cell>
          <cell r="O97">
            <v>0</v>
          </cell>
          <cell r="P97">
            <v>0</v>
          </cell>
          <cell r="Q97">
            <v>-1758.7360000000001</v>
          </cell>
          <cell r="R97">
            <v>-7155.8649999999998</v>
          </cell>
          <cell r="S97">
            <v>-12461.529</v>
          </cell>
          <cell r="T97">
            <v>-9371.107</v>
          </cell>
          <cell r="U97">
            <v>0</v>
          </cell>
          <cell r="V97">
            <v>-6224.9629999999997</v>
          </cell>
          <cell r="W97">
            <v>-14015.700999999999</v>
          </cell>
          <cell r="X97">
            <v>-6316.42</v>
          </cell>
          <cell r="Y97">
            <v>-5061.3029999999999</v>
          </cell>
          <cell r="Z97">
            <v>-6253.15</v>
          </cell>
          <cell r="AA97">
            <v>-6939.0159999999996</v>
          </cell>
          <cell r="AB97">
            <v>0</v>
          </cell>
          <cell r="AC97">
            <v>0</v>
          </cell>
        </row>
        <row r="98">
          <cell r="B98" t="str">
            <v>Common stock issuance/(repurchase)</v>
          </cell>
          <cell r="C98" t="str">
            <v>SH_REPUR</v>
          </cell>
          <cell r="D98" t="str">
            <v>TWD</v>
          </cell>
          <cell r="F98">
            <v>1000</v>
          </cell>
          <cell r="G98">
            <v>0</v>
          </cell>
          <cell r="H98">
            <v>0</v>
          </cell>
          <cell r="I98">
            <v>0</v>
          </cell>
          <cell r="J98">
            <v>0</v>
          </cell>
          <cell r="K98">
            <v>0</v>
          </cell>
          <cell r="L98">
            <v>37035.709000000003</v>
          </cell>
          <cell r="M98">
            <v>-4599.643</v>
          </cell>
          <cell r="N98">
            <v>-2739.9180000000001</v>
          </cell>
          <cell r="O98">
            <v>1151.527</v>
          </cell>
          <cell r="P98">
            <v>-5198.0200000000004</v>
          </cell>
          <cell r="Q98">
            <v>-16378.691999999999</v>
          </cell>
          <cell r="R98">
            <v>-27286.339</v>
          </cell>
          <cell r="S98">
            <v>-52044.968999999997</v>
          </cell>
          <cell r="T98">
            <v>-2278.4560000000001</v>
          </cell>
          <cell r="U98">
            <v>-1770.171</v>
          </cell>
          <cell r="V98">
            <v>-4305.8599999999997</v>
          </cell>
          <cell r="W98">
            <v>15.071</v>
          </cell>
          <cell r="X98">
            <v>4.2069999999999999</v>
          </cell>
          <cell r="Y98">
            <v>-2244.4780000000001</v>
          </cell>
          <cell r="Z98">
            <v>61.652999999999999</v>
          </cell>
          <cell r="AA98">
            <v>-2203.442</v>
          </cell>
        </row>
        <row r="99">
          <cell r="B99" t="str">
            <v>Increase/(decrease) in total debt</v>
          </cell>
          <cell r="C99" t="str">
            <v>CHG_LT_DEBT</v>
          </cell>
          <cell r="D99" t="str">
            <v>TWD</v>
          </cell>
          <cell r="F99">
            <v>7163</v>
          </cell>
          <cell r="G99">
            <v>4447.5540000000001</v>
          </cell>
          <cell r="H99">
            <v>3663.241</v>
          </cell>
          <cell r="I99">
            <v>499.46100000000001</v>
          </cell>
          <cell r="J99">
            <v>6504.1559999999999</v>
          </cell>
          <cell r="K99">
            <v>-4134.4070000000002</v>
          </cell>
          <cell r="L99">
            <v>28494.081999999999</v>
          </cell>
          <cell r="M99">
            <v>12828.075000000001</v>
          </cell>
          <cell r="N99">
            <v>1270.3599999999999</v>
          </cell>
          <cell r="O99">
            <v>6950.2860000000001</v>
          </cell>
          <cell r="P99">
            <v>-20746.151999999998</v>
          </cell>
          <cell r="Q99">
            <v>-7398.6940000000004</v>
          </cell>
          <cell r="R99">
            <v>-9276.4650000000001</v>
          </cell>
          <cell r="S99">
            <v>-2259.9920000000002</v>
          </cell>
          <cell r="T99">
            <v>-22243.084999999999</v>
          </cell>
          <cell r="U99">
            <v>5426.549</v>
          </cell>
          <cell r="V99">
            <v>3205.2559999999999</v>
          </cell>
          <cell r="W99">
            <v>22100.534</v>
          </cell>
          <cell r="X99">
            <v>9333.3169999999991</v>
          </cell>
          <cell r="Y99">
            <v>3242.058</v>
          </cell>
          <cell r="Z99">
            <v>-6690.7749999999996</v>
          </cell>
          <cell r="AA99">
            <v>17886.217000000001</v>
          </cell>
          <cell r="AB99">
            <v>745.40700000000004</v>
          </cell>
          <cell r="AC99">
            <v>5400</v>
          </cell>
        </row>
        <row r="100">
          <cell r="B100" t="str">
            <v>Other financing cash flow items</v>
          </cell>
          <cell r="C100" t="str">
            <v>OTH_FIN_CF</v>
          </cell>
          <cell r="D100" t="str">
            <v>TWD</v>
          </cell>
          <cell r="F100">
            <v>-1779.9459999999999</v>
          </cell>
          <cell r="G100">
            <v>-472.45100000000099</v>
          </cell>
          <cell r="H100">
            <v>6154.192</v>
          </cell>
          <cell r="I100">
            <v>8649.902</v>
          </cell>
          <cell r="J100">
            <v>4973.3010000000004</v>
          </cell>
          <cell r="K100">
            <v>9232.0810000000092</v>
          </cell>
          <cell r="L100">
            <v>-30243.833999999999</v>
          </cell>
          <cell r="M100">
            <v>-437.09299999999598</v>
          </cell>
          <cell r="N100">
            <v>67.845999999998995</v>
          </cell>
          <cell r="O100">
            <v>-0.50300000000099998</v>
          </cell>
          <cell r="P100">
            <v>786.96999999999696</v>
          </cell>
          <cell r="Q100">
            <v>612.92699999999604</v>
          </cell>
          <cell r="R100">
            <v>433.791</v>
          </cell>
          <cell r="S100">
            <v>-2112.4850000000101</v>
          </cell>
          <cell r="T100">
            <v>-487.00200000000001</v>
          </cell>
          <cell r="U100">
            <v>1287.4100000000001</v>
          </cell>
          <cell r="V100">
            <v>-2848.3069999999998</v>
          </cell>
          <cell r="W100">
            <v>1823.08499999999</v>
          </cell>
          <cell r="X100">
            <v>566.64499999999703</v>
          </cell>
          <cell r="Y100">
            <v>139.434</v>
          </cell>
          <cell r="Z100">
            <v>4624.4070000000002</v>
          </cell>
          <cell r="AA100">
            <v>6305.4780000000001</v>
          </cell>
          <cell r="AB100">
            <v>38050.883999999998</v>
          </cell>
          <cell r="AC100">
            <v>3762</v>
          </cell>
        </row>
        <row r="101">
          <cell r="B101" t="str">
            <v>Cash flow from financing</v>
          </cell>
          <cell r="C101" t="str">
            <v>CF_FIN</v>
          </cell>
          <cell r="D101" t="str">
            <v>TWD</v>
          </cell>
          <cell r="F101">
            <v>5988.77</v>
          </cell>
          <cell r="G101">
            <v>3535.143</v>
          </cell>
          <cell r="H101">
            <v>9782.4330000000009</v>
          </cell>
          <cell r="I101">
            <v>9114.3629999999994</v>
          </cell>
          <cell r="J101">
            <v>11477.457</v>
          </cell>
          <cell r="K101">
            <v>5097.674</v>
          </cell>
          <cell r="L101">
            <v>35285.957000000002</v>
          </cell>
          <cell r="M101">
            <v>7791.3389999999999</v>
          </cell>
          <cell r="N101">
            <v>-1401.712</v>
          </cell>
          <cell r="O101">
            <v>8101.31</v>
          </cell>
          <cell r="P101">
            <v>-25157.202000000001</v>
          </cell>
          <cell r="Q101">
            <v>-24923.195</v>
          </cell>
          <cell r="R101">
            <v>-43284.877999999997</v>
          </cell>
          <cell r="S101">
            <v>-68878.975000000006</v>
          </cell>
          <cell r="T101">
            <v>-34379.65</v>
          </cell>
          <cell r="U101">
            <v>4943.7879999999996</v>
          </cell>
          <cell r="V101">
            <v>-10173.874</v>
          </cell>
          <cell r="W101">
            <v>9922.9889999999996</v>
          </cell>
          <cell r="X101">
            <v>3587.7489999999998</v>
          </cell>
          <cell r="Y101">
            <v>-3924.2890000000002</v>
          </cell>
          <cell r="Z101">
            <v>-8257.8649999999998</v>
          </cell>
          <cell r="AA101">
            <v>15049.236999999999</v>
          </cell>
          <cell r="AB101">
            <v>38796.290999999997</v>
          </cell>
          <cell r="AC101">
            <v>9162</v>
          </cell>
        </row>
        <row r="102">
          <cell r="B102" t="str">
            <v>Total cash flow</v>
          </cell>
          <cell r="C102" t="str">
            <v>TOT_CF</v>
          </cell>
          <cell r="D102" t="str">
            <v>TWD</v>
          </cell>
          <cell r="F102">
            <v>8853.7610000000004</v>
          </cell>
          <cell r="G102">
            <v>-700.18100000000004</v>
          </cell>
          <cell r="H102">
            <v>5999.183</v>
          </cell>
          <cell r="I102">
            <v>4203.9459999999999</v>
          </cell>
          <cell r="J102">
            <v>4092.2089999999998</v>
          </cell>
          <cell r="K102">
            <v>-14708.578</v>
          </cell>
          <cell r="L102">
            <v>42684.671000000002</v>
          </cell>
          <cell r="M102">
            <v>5495.973</v>
          </cell>
          <cell r="N102">
            <v>1753.731</v>
          </cell>
          <cell r="O102">
            <v>34627.752</v>
          </cell>
          <cell r="P102">
            <v>-7916.0510000000004</v>
          </cell>
          <cell r="Q102">
            <v>15073.835999999999</v>
          </cell>
          <cell r="R102">
            <v>-8572.6630000000005</v>
          </cell>
          <cell r="S102">
            <v>-50654.067000000003</v>
          </cell>
          <cell r="T102">
            <v>-1818.183</v>
          </cell>
          <cell r="U102">
            <v>23839.396000000001</v>
          </cell>
          <cell r="V102">
            <v>-15044.023999999999</v>
          </cell>
          <cell r="W102">
            <v>-4551.3580000000002</v>
          </cell>
          <cell r="X102">
            <v>-7324.7640000000001</v>
          </cell>
          <cell r="Y102">
            <v>6018.7219999999897</v>
          </cell>
          <cell r="Z102">
            <v>-6645.7689999999902</v>
          </cell>
          <cell r="AA102">
            <v>7002.79900000001</v>
          </cell>
          <cell r="AB102">
            <v>4338.0379999999896</v>
          </cell>
          <cell r="AC102">
            <v>24099</v>
          </cell>
        </row>
        <row r="103">
          <cell r="A103" t="str">
            <v>Additional Cash Flow Items</v>
          </cell>
        </row>
        <row r="104">
          <cell r="B104" t="str">
            <v>Associate and JV add-back</v>
          </cell>
          <cell r="C104" t="str">
            <v>ASSOC_JV_ADDBK</v>
          </cell>
          <cell r="D104" t="str">
            <v>TWD</v>
          </cell>
        </row>
        <row r="105">
          <cell r="B105" t="str">
            <v>Profit/(loss) on sale of assets</v>
          </cell>
          <cell r="C105" t="str">
            <v>PL_SALE_ASSETS</v>
          </cell>
          <cell r="D105" t="str">
            <v>TWD</v>
          </cell>
        </row>
        <row r="106">
          <cell r="B106" t="str">
            <v>Other non-cash adjustments</v>
          </cell>
          <cell r="C106" t="str">
            <v>OTH_NONCASH_ADJ</v>
          </cell>
          <cell r="D106" t="str">
            <v>TWD</v>
          </cell>
        </row>
        <row r="107">
          <cell r="B107" t="str">
            <v>Other DACF adjustments</v>
          </cell>
          <cell r="C107" t="str">
            <v>OTH_DACF_ADJ</v>
          </cell>
          <cell r="D107" t="str">
            <v>TWD</v>
          </cell>
        </row>
        <row r="108">
          <cell r="B108" t="str">
            <v>Cash interest expense</v>
          </cell>
          <cell r="C108" t="str">
            <v>CASH_INT_EXP</v>
          </cell>
          <cell r="D108" t="str">
            <v>TWD</v>
          </cell>
        </row>
        <row r="109">
          <cell r="B109" t="str">
            <v>Cash tax expense</v>
          </cell>
          <cell r="C109" t="str">
            <v>CASH_TAX_EXP</v>
          </cell>
          <cell r="D109" t="str">
            <v>TWD</v>
          </cell>
        </row>
        <row r="110">
          <cell r="B110" t="str">
            <v>Dividends received from associates/JVs</v>
          </cell>
          <cell r="C110" t="str">
            <v>DIVDS_ASSOC_JV</v>
          </cell>
          <cell r="D110" t="str">
            <v>TWD</v>
          </cell>
        </row>
        <row r="111">
          <cell r="B111" t="str">
            <v>Capex maintenance</v>
          </cell>
          <cell r="C111" t="str">
            <v>CAPEX_MAINTENANCE</v>
          </cell>
          <cell r="D111" t="str">
            <v>TWD</v>
          </cell>
        </row>
        <row r="112">
          <cell r="B112" t="str">
            <v>Capex expansion</v>
          </cell>
          <cell r="C112" t="str">
            <v>CAPEX_EXPANSION</v>
          </cell>
          <cell r="D112" t="str">
            <v>TWD</v>
          </cell>
        </row>
        <row r="113">
          <cell r="B113" t="str">
            <v>Non-PP&amp;E capex</v>
          </cell>
          <cell r="C113" t="str">
            <v>NONPPE_CAPEX</v>
          </cell>
          <cell r="D113" t="str">
            <v>TWD</v>
          </cell>
        </row>
        <row r="114">
          <cell r="B114" t="str">
            <v>Dividends paid to minorities</v>
          </cell>
          <cell r="C114" t="str">
            <v>DIVDS_PD_MINORITIES</v>
          </cell>
          <cell r="D114" t="str">
            <v>TWD</v>
          </cell>
        </row>
        <row r="115">
          <cell r="A115" t="str">
            <v>Other Items</v>
          </cell>
        </row>
        <row r="116">
          <cell r="B116" t="str">
            <v>Number of employees</v>
          </cell>
          <cell r="C116" t="str">
            <v>EMPLOYEES</v>
          </cell>
          <cell r="N116">
            <v>9.1340000000000003</v>
          </cell>
          <cell r="O116">
            <v>8.66</v>
          </cell>
          <cell r="P116">
            <v>11</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A117" t="str">
            <v>Geographical Breakdown</v>
          </cell>
        </row>
        <row r="118">
          <cell r="B118" t="str">
            <v>Sales - % Canada</v>
          </cell>
          <cell r="C118" t="str">
            <v>SALES_CANADA</v>
          </cell>
        </row>
        <row r="119">
          <cell r="B119" t="str">
            <v>Sales - % United States</v>
          </cell>
          <cell r="C119" t="str">
            <v>SALES_US</v>
          </cell>
          <cell r="R119">
            <v>0.52738442792499995</v>
          </cell>
          <cell r="S119">
            <v>0.48615974727099998</v>
          </cell>
          <cell r="T119">
            <v>0.56116497509600005</v>
          </cell>
          <cell r="U119">
            <v>0.49305561328399999</v>
          </cell>
          <cell r="V119">
            <v>0.48122625471899999</v>
          </cell>
          <cell r="W119">
            <v>0.48849321313600003</v>
          </cell>
          <cell r="X119">
            <v>0.46304244988999999</v>
          </cell>
          <cell r="Y119">
            <v>0.46304244988999999</v>
          </cell>
          <cell r="Z119">
            <v>0.46304244988999999</v>
          </cell>
          <cell r="AA119">
            <v>0.46304244988999999</v>
          </cell>
          <cell r="AB119">
            <v>0.46304244988999999</v>
          </cell>
          <cell r="AC119">
            <v>0.46304244988999999</v>
          </cell>
        </row>
        <row r="120">
          <cell r="B120" t="str">
            <v>Sales - % Other North Americas</v>
          </cell>
          <cell r="C120" t="str">
            <v>SALES_OTH_NO_AMER</v>
          </cell>
        </row>
        <row r="121">
          <cell r="B121" t="str">
            <v>Sales - % Argentina</v>
          </cell>
          <cell r="C121" t="str">
            <v>SALES_ARGENTINA</v>
          </cell>
        </row>
        <row r="122">
          <cell r="B122" t="str">
            <v>Sales - % Brazil</v>
          </cell>
          <cell r="C122" t="str">
            <v>SALES_BRAZIL</v>
          </cell>
        </row>
        <row r="123">
          <cell r="B123" t="str">
            <v>Sales - % Chile</v>
          </cell>
          <cell r="C123" t="str">
            <v>SALES_CHILE</v>
          </cell>
        </row>
        <row r="124">
          <cell r="B124" t="str">
            <v>Sales - % Colombia</v>
          </cell>
          <cell r="C124" t="str">
            <v>SALES_COLOMBIA</v>
          </cell>
        </row>
        <row r="125">
          <cell r="B125" t="str">
            <v>Sales - % Mexico</v>
          </cell>
          <cell r="C125" t="str">
            <v>SALES_MEXICO</v>
          </cell>
        </row>
        <row r="126">
          <cell r="B126" t="str">
            <v>Sales - % Venezuela</v>
          </cell>
          <cell r="C126" t="str">
            <v>SALES_VENEZUELA</v>
          </cell>
        </row>
        <row r="127">
          <cell r="B127" t="str">
            <v>Sales - % Other Latin Americas</v>
          </cell>
          <cell r="C127" t="str">
            <v>SALES_OTH_LATAM</v>
          </cell>
        </row>
        <row r="128">
          <cell r="B128" t="str">
            <v>Sales - % Austria</v>
          </cell>
          <cell r="C128" t="str">
            <v>SALES_AUSTRIA</v>
          </cell>
        </row>
        <row r="129">
          <cell r="B129" t="str">
            <v>Sales - % Belgium</v>
          </cell>
          <cell r="C129" t="str">
            <v>SALES_BEL</v>
          </cell>
        </row>
        <row r="130">
          <cell r="B130" t="str">
            <v>Sales - % France</v>
          </cell>
          <cell r="C130" t="str">
            <v>SALES_FRA</v>
          </cell>
        </row>
        <row r="131">
          <cell r="B131" t="str">
            <v>Sales - % Germany</v>
          </cell>
          <cell r="C131" t="str">
            <v>SALES_GER</v>
          </cell>
        </row>
        <row r="132">
          <cell r="B132" t="str">
            <v>Sales - % Greece</v>
          </cell>
          <cell r="C132" t="str">
            <v>SALES_GRE</v>
          </cell>
        </row>
        <row r="133">
          <cell r="B133" t="str">
            <v>Sales - % Ireland</v>
          </cell>
          <cell r="C133" t="str">
            <v>SALES_IRE</v>
          </cell>
        </row>
        <row r="134">
          <cell r="B134" t="str">
            <v>Sales - % Italy</v>
          </cell>
          <cell r="C134" t="str">
            <v>SALES_ITA</v>
          </cell>
        </row>
        <row r="135">
          <cell r="B135" t="str">
            <v>Sales - % Netherlands</v>
          </cell>
          <cell r="C135" t="str">
            <v>SALES_NETH</v>
          </cell>
        </row>
        <row r="136">
          <cell r="B136" t="str">
            <v>Sales - % Norway</v>
          </cell>
          <cell r="C136" t="str">
            <v>SALES_NOR</v>
          </cell>
        </row>
        <row r="137">
          <cell r="B137" t="str">
            <v>Sales - % Portugal</v>
          </cell>
          <cell r="C137" t="str">
            <v>SALES_POR</v>
          </cell>
        </row>
        <row r="138">
          <cell r="B138" t="str">
            <v>Sales - % Spain</v>
          </cell>
          <cell r="C138" t="str">
            <v>SALES_SPA</v>
          </cell>
        </row>
        <row r="139">
          <cell r="B139" t="str">
            <v>Sales - % Sweden</v>
          </cell>
          <cell r="C139" t="str">
            <v>SALES_SWE</v>
          </cell>
        </row>
        <row r="140">
          <cell r="B140" t="str">
            <v>Sales - % Switzerland</v>
          </cell>
          <cell r="C140" t="str">
            <v>SALES_SWIT</v>
          </cell>
        </row>
        <row r="141">
          <cell r="B141" t="str">
            <v>Sales - % UK</v>
          </cell>
          <cell r="C141" t="str">
            <v>SALES_UK</v>
          </cell>
        </row>
        <row r="142">
          <cell r="B142" t="str">
            <v>Sales - % Other Western Europe</v>
          </cell>
          <cell r="C142" t="str">
            <v>SALES_OTH_WEST_EURO</v>
          </cell>
          <cell r="W142">
            <v>0</v>
          </cell>
          <cell r="X142">
            <v>0</v>
          </cell>
          <cell r="Y142">
            <v>0</v>
          </cell>
          <cell r="Z142">
            <v>0</v>
          </cell>
          <cell r="AA142">
            <v>0</v>
          </cell>
          <cell r="AB142">
            <v>0</v>
          </cell>
          <cell r="AC142">
            <v>0</v>
          </cell>
        </row>
        <row r="143">
          <cell r="B143" t="str">
            <v>Sales - % Poland</v>
          </cell>
          <cell r="C143" t="str">
            <v>SALES_POLAND</v>
          </cell>
        </row>
        <row r="144">
          <cell r="B144" t="str">
            <v>Sales - % Russia</v>
          </cell>
          <cell r="C144" t="str">
            <v>SALES_RUSSIA</v>
          </cell>
        </row>
        <row r="145">
          <cell r="B145" t="str">
            <v>Sales - % Turkey</v>
          </cell>
          <cell r="C145" t="str">
            <v>SALES_TURKEY</v>
          </cell>
        </row>
        <row r="146">
          <cell r="B146" t="str">
            <v>Sales - % Other CEE</v>
          </cell>
          <cell r="C146" t="str">
            <v>SALES_OTH_CEE</v>
          </cell>
        </row>
        <row r="147">
          <cell r="B147" t="str">
            <v>Sales - % Saudi Arabia</v>
          </cell>
          <cell r="C147" t="str">
            <v>SALES_SAUDI_ARABIA</v>
          </cell>
        </row>
        <row r="148">
          <cell r="B148" t="str">
            <v>Sales - % United Arab Emirates</v>
          </cell>
          <cell r="C148" t="str">
            <v>SALES_UAE</v>
          </cell>
        </row>
        <row r="149">
          <cell r="B149" t="str">
            <v>Sales - % Other Middle East</v>
          </cell>
          <cell r="C149" t="str">
            <v>SALES_OTH_ME</v>
          </cell>
        </row>
        <row r="150">
          <cell r="B150" t="str">
            <v>Sales - % Nigeria</v>
          </cell>
          <cell r="C150" t="str">
            <v>SALES_NIGERIA</v>
          </cell>
        </row>
        <row r="151">
          <cell r="B151" t="str">
            <v>Sales - % South Africa</v>
          </cell>
          <cell r="C151" t="str">
            <v>SALES_SO_AFRICA</v>
          </cell>
        </row>
        <row r="152">
          <cell r="B152" t="str">
            <v>Sales - % Other Africa</v>
          </cell>
          <cell r="C152" t="str">
            <v>SALES_OTH_AFRICA</v>
          </cell>
        </row>
        <row r="153">
          <cell r="B153" t="str">
            <v>Sales - % Hong Kong</v>
          </cell>
          <cell r="C153" t="str">
            <v>SALES_HONG_KONG</v>
          </cell>
        </row>
        <row r="154">
          <cell r="B154" t="str">
            <v>Sales - % Japan</v>
          </cell>
          <cell r="C154" t="str">
            <v>SALES_JAPAN</v>
          </cell>
          <cell r="R154">
            <v>2.7657589686999998E-2</v>
          </cell>
          <cell r="S154">
            <v>2.2156505044000002E-2</v>
          </cell>
          <cell r="T154">
            <v>0.02</v>
          </cell>
          <cell r="U154">
            <v>0.01</v>
          </cell>
          <cell r="V154">
            <v>0.01</v>
          </cell>
          <cell r="W154">
            <v>0.01</v>
          </cell>
          <cell r="X154">
            <v>0.01</v>
          </cell>
          <cell r="Y154">
            <v>0.01</v>
          </cell>
          <cell r="Z154">
            <v>0.01</v>
          </cell>
          <cell r="AA154">
            <v>0.01</v>
          </cell>
          <cell r="AB154">
            <v>0.01</v>
          </cell>
          <cell r="AC154">
            <v>0.01</v>
          </cell>
        </row>
        <row r="155">
          <cell r="B155" t="str">
            <v>Sales - % Singapore</v>
          </cell>
          <cell r="C155" t="str">
            <v>SALES_SINGAPORE</v>
          </cell>
        </row>
        <row r="156">
          <cell r="B156" t="str">
            <v>Sales - % South Korea</v>
          </cell>
          <cell r="C156" t="str">
            <v>SALES_SK</v>
          </cell>
        </row>
        <row r="157">
          <cell r="B157" t="str">
            <v>Sales - % Taiwan</v>
          </cell>
          <cell r="C157" t="str">
            <v>SALES_TAIWAN</v>
          </cell>
        </row>
        <row r="158">
          <cell r="B158" t="str">
            <v>Sales - % Other Developed Asia</v>
          </cell>
          <cell r="C158" t="str">
            <v>SALES_OTH_DEV_ASIA</v>
          </cell>
        </row>
        <row r="159">
          <cell r="B159" t="str">
            <v>Sales - % China</v>
          </cell>
          <cell r="C159" t="str">
            <v>SALES_CHINA</v>
          </cell>
          <cell r="R159">
            <v>0.4</v>
          </cell>
          <cell r="S159">
            <v>0.4</v>
          </cell>
          <cell r="T159">
            <v>0.4</v>
          </cell>
          <cell r="U159">
            <v>0.4</v>
          </cell>
          <cell r="V159">
            <v>0.4</v>
          </cell>
          <cell r="W159">
            <v>0.4</v>
          </cell>
          <cell r="X159">
            <v>0.4</v>
          </cell>
          <cell r="Y159">
            <v>0.4</v>
          </cell>
          <cell r="Z159">
            <v>0.4</v>
          </cell>
          <cell r="AA159">
            <v>0.4</v>
          </cell>
          <cell r="AB159">
            <v>0.4</v>
          </cell>
          <cell r="AC159">
            <v>0.4</v>
          </cell>
          <cell r="AI159">
            <v>0.4</v>
          </cell>
          <cell r="AJ159">
            <v>0.4</v>
          </cell>
          <cell r="AK159">
            <v>0.4</v>
          </cell>
          <cell r="AL159">
            <v>0.4</v>
          </cell>
          <cell r="AM159">
            <v>0.4</v>
          </cell>
          <cell r="AN159">
            <v>0.4</v>
          </cell>
          <cell r="AO159">
            <v>0.4</v>
          </cell>
          <cell r="AP159">
            <v>0.4</v>
          </cell>
          <cell r="AQ159">
            <v>0.4</v>
          </cell>
          <cell r="AR159">
            <v>0.4</v>
          </cell>
          <cell r="AS159">
            <v>0.4</v>
          </cell>
          <cell r="AT159">
            <v>0.4</v>
          </cell>
          <cell r="AU159">
            <v>0.4</v>
          </cell>
          <cell r="AV159">
            <v>0.4</v>
          </cell>
          <cell r="AW159">
            <v>0.4</v>
          </cell>
          <cell r="AX159">
            <v>0.4</v>
          </cell>
          <cell r="AY159">
            <v>0.4</v>
          </cell>
          <cell r="AZ159">
            <v>0.4</v>
          </cell>
          <cell r="BA159">
            <v>0.4</v>
          </cell>
          <cell r="BB159">
            <v>0.4</v>
          </cell>
          <cell r="BC159">
            <v>0.4</v>
          </cell>
          <cell r="BD159">
            <v>0.4</v>
          </cell>
          <cell r="BE159">
            <v>0.4</v>
          </cell>
          <cell r="BF159">
            <v>0.4</v>
          </cell>
          <cell r="BG159">
            <v>0.4</v>
          </cell>
          <cell r="BH159">
            <v>0.4</v>
          </cell>
          <cell r="BI159">
            <v>0.4</v>
          </cell>
          <cell r="BJ159">
            <v>0.4</v>
          </cell>
          <cell r="BK159">
            <v>0.4</v>
          </cell>
          <cell r="BL159">
            <v>0.4</v>
          </cell>
          <cell r="BM159">
            <v>0.4</v>
          </cell>
          <cell r="BN159">
            <v>0.4</v>
          </cell>
          <cell r="BO159">
            <v>0.4</v>
          </cell>
          <cell r="BP159">
            <v>0.4</v>
          </cell>
        </row>
        <row r="160">
          <cell r="B160" t="str">
            <v>Sales - % India</v>
          </cell>
          <cell r="C160" t="str">
            <v>SALES_INDIA</v>
          </cell>
        </row>
        <row r="161">
          <cell r="B161" t="str">
            <v>Sales - % Indonesia</v>
          </cell>
          <cell r="C161" t="str">
            <v>SALES_INDONESIA</v>
          </cell>
        </row>
        <row r="162">
          <cell r="B162" t="str">
            <v>Sales - % Thailand</v>
          </cell>
          <cell r="C162" t="str">
            <v>SALES_THAILAND</v>
          </cell>
        </row>
        <row r="163">
          <cell r="B163" t="str">
            <v>Sales - % Other Emerging Asia</v>
          </cell>
          <cell r="C163" t="str">
            <v>SALES_OTH_EMERG_ASIA</v>
          </cell>
          <cell r="W163">
            <v>0</v>
          </cell>
          <cell r="X163">
            <v>0</v>
          </cell>
          <cell r="Y163">
            <v>0</v>
          </cell>
          <cell r="Z163">
            <v>0</v>
          </cell>
          <cell r="AA163">
            <v>0</v>
          </cell>
          <cell r="AB163">
            <v>0</v>
          </cell>
          <cell r="AC163">
            <v>0</v>
          </cell>
        </row>
        <row r="164">
          <cell r="B164" t="str">
            <v>Sales - % Australia</v>
          </cell>
          <cell r="C164" t="str">
            <v>SALES_AUSTRA</v>
          </cell>
        </row>
        <row r="165">
          <cell r="B165" t="str">
            <v>Sales - % New Zealand</v>
          </cell>
          <cell r="C165" t="str">
            <v>SALES_NZ</v>
          </cell>
        </row>
        <row r="166">
          <cell r="B166" t="str">
            <v>Sales - % Others</v>
          </cell>
          <cell r="C166" t="str">
            <v>SALES_OTHER</v>
          </cell>
          <cell r="R166">
            <v>4.4957982388000001E-2</v>
          </cell>
          <cell r="S166">
            <v>9.1683747686000003E-2</v>
          </cell>
          <cell r="T166">
            <v>1.8835024903999999E-2</v>
          </cell>
          <cell r="U166">
            <v>9.6944386716000003E-2</v>
          </cell>
          <cell r="V166">
            <v>0.10877374528100001</v>
          </cell>
          <cell r="W166">
            <v>0.101506786864</v>
          </cell>
          <cell r="X166">
            <v>0.12695755011000001</v>
          </cell>
          <cell r="Y166">
            <v>0.12695755011000001</v>
          </cell>
          <cell r="Z166">
            <v>0.12695755011000001</v>
          </cell>
          <cell r="AA166">
            <v>0.12695755011000001</v>
          </cell>
          <cell r="AB166">
            <v>0.12695755011000001</v>
          </cell>
          <cell r="AC166">
            <v>0.12695755011000001</v>
          </cell>
          <cell r="AI166">
            <v>0.6</v>
          </cell>
          <cell r="AJ166">
            <v>0.6</v>
          </cell>
          <cell r="AK166">
            <v>0.6</v>
          </cell>
          <cell r="AL166">
            <v>0.6</v>
          </cell>
          <cell r="AM166">
            <v>0.6</v>
          </cell>
          <cell r="AN166">
            <v>0.6</v>
          </cell>
          <cell r="AO166">
            <v>0.6</v>
          </cell>
          <cell r="AP166">
            <v>0.6</v>
          </cell>
          <cell r="AQ166">
            <v>0.6</v>
          </cell>
          <cell r="AR166">
            <v>0.6</v>
          </cell>
          <cell r="AS166">
            <v>0.6</v>
          </cell>
          <cell r="AT166">
            <v>0.6</v>
          </cell>
          <cell r="AU166">
            <v>0.6</v>
          </cell>
          <cell r="AV166">
            <v>0.6</v>
          </cell>
          <cell r="AW166">
            <v>0.6</v>
          </cell>
          <cell r="AX166">
            <v>0.6</v>
          </cell>
          <cell r="AY166">
            <v>0.6</v>
          </cell>
          <cell r="AZ166">
            <v>0.6</v>
          </cell>
          <cell r="BA166">
            <v>0.6</v>
          </cell>
          <cell r="BB166">
            <v>0.6</v>
          </cell>
          <cell r="BC166">
            <v>0.6</v>
          </cell>
          <cell r="BD166">
            <v>0.6</v>
          </cell>
          <cell r="BE166">
            <v>0.6</v>
          </cell>
          <cell r="BF166">
            <v>0.6</v>
          </cell>
          <cell r="BG166">
            <v>0.6</v>
          </cell>
          <cell r="BH166">
            <v>0.6</v>
          </cell>
          <cell r="BI166">
            <v>0.6</v>
          </cell>
          <cell r="BJ166">
            <v>0.6</v>
          </cell>
          <cell r="BK166">
            <v>0.6</v>
          </cell>
          <cell r="BL166">
            <v>0.6</v>
          </cell>
          <cell r="BM166">
            <v>0.6</v>
          </cell>
          <cell r="BN166">
            <v>0.6</v>
          </cell>
          <cell r="BO166">
            <v>0.6</v>
          </cell>
          <cell r="BP166">
            <v>0.6</v>
          </cell>
        </row>
        <row r="167">
          <cell r="B167" t="str">
            <v>% of CoGS from U.S. (GS estimate)</v>
          </cell>
          <cell r="C167" t="str">
            <v>COGS_PCT_US</v>
          </cell>
        </row>
        <row r="168">
          <cell r="B168" t="str">
            <v>% of CoGS from non-U.S. (GS estimate)</v>
          </cell>
          <cell r="C168" t="str">
            <v>COGS_PCT_ROW</v>
          </cell>
        </row>
        <row r="169">
          <cell r="B169" t="str">
            <v>% of SG&amp;A from U.S. (GS estimate)</v>
          </cell>
          <cell r="C169" t="str">
            <v>SGA_PCT_US</v>
          </cell>
        </row>
        <row r="170">
          <cell r="B170" t="str">
            <v>% of SG&amp;A from non-U.S. (GS estimate)</v>
          </cell>
          <cell r="C170" t="str">
            <v>SGA_PCT_ROW</v>
          </cell>
        </row>
        <row r="171">
          <cell r="B171" t="str">
            <v>Sales -% Consumer (C)</v>
          </cell>
          <cell r="C171" t="str">
            <v>SALES_CONS</v>
          </cell>
        </row>
        <row r="172">
          <cell r="B172" t="str">
            <v>Sales -% Industry (I)</v>
          </cell>
          <cell r="C172" t="str">
            <v>SALES_IND</v>
          </cell>
          <cell r="R172">
            <v>1</v>
          </cell>
          <cell r="S172">
            <v>1</v>
          </cell>
          <cell r="T172">
            <v>1</v>
          </cell>
          <cell r="U172">
            <v>1</v>
          </cell>
          <cell r="V172">
            <v>1</v>
          </cell>
          <cell r="W172">
            <v>1</v>
          </cell>
          <cell r="X172">
            <v>1</v>
          </cell>
          <cell r="Y172">
            <v>1</v>
          </cell>
          <cell r="Z172">
            <v>1</v>
          </cell>
          <cell r="AA172">
            <v>1</v>
          </cell>
          <cell r="AB172">
            <v>1</v>
          </cell>
          <cell r="AC172">
            <v>1</v>
          </cell>
        </row>
        <row r="173">
          <cell r="B173" t="str">
            <v>Sales -% Government (G)</v>
          </cell>
          <cell r="C173" t="str">
            <v>SALES_GOV</v>
          </cell>
        </row>
        <row r="174">
          <cell r="B174" t="str">
            <v>Sales - % Industry Sub-Segment: Financial Services</v>
          </cell>
          <cell r="C174" t="str">
            <v>SALES_FINAN</v>
          </cell>
        </row>
        <row r="175">
          <cell r="B175" t="str">
            <v>Sales - % Industry Sub-Segment: Oil &amp; Gas</v>
          </cell>
          <cell r="C175" t="str">
            <v>SALES_OIL_GAS</v>
          </cell>
        </row>
        <row r="176">
          <cell r="A176" t="str">
            <v>Commodities Exposure - Expense</v>
          </cell>
        </row>
        <row r="177">
          <cell r="B177" t="str">
            <v>Expense - % Oil/Petrol/Fuel</v>
          </cell>
          <cell r="C177" t="str">
            <v>EXP_OIL_PETRO_FUEL</v>
          </cell>
          <cell r="R177">
            <v>0</v>
          </cell>
          <cell r="S177">
            <v>0</v>
          </cell>
          <cell r="T177">
            <v>0</v>
          </cell>
          <cell r="U177">
            <v>0</v>
          </cell>
          <cell r="V177">
            <v>0</v>
          </cell>
          <cell r="W177">
            <v>0</v>
          </cell>
          <cell r="X177">
            <v>0</v>
          </cell>
          <cell r="Y177">
            <v>0</v>
          </cell>
          <cell r="Z177">
            <v>0</v>
          </cell>
          <cell r="AA177">
            <v>0</v>
          </cell>
          <cell r="AB177">
            <v>0</v>
          </cell>
          <cell r="AC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row>
        <row r="178">
          <cell r="B178" t="str">
            <v>Expense - % Oil derivatives/NGLs/plastics</v>
          </cell>
          <cell r="C178" t="str">
            <v>EXP_OIL_DERIV_NGLS_PLASTICS</v>
          </cell>
          <cell r="R178">
            <v>0</v>
          </cell>
          <cell r="S178">
            <v>0</v>
          </cell>
          <cell r="T178">
            <v>0</v>
          </cell>
          <cell r="U178">
            <v>0</v>
          </cell>
          <cell r="V178">
            <v>0</v>
          </cell>
          <cell r="W178">
            <v>0</v>
          </cell>
          <cell r="X178">
            <v>0</v>
          </cell>
          <cell r="Y178">
            <v>0</v>
          </cell>
          <cell r="Z178">
            <v>0</v>
          </cell>
          <cell r="AA178">
            <v>0</v>
          </cell>
          <cell r="AB178">
            <v>0</v>
          </cell>
          <cell r="AC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row>
        <row r="179">
          <cell r="B179" t="str">
            <v>Expense - % Gold</v>
          </cell>
          <cell r="C179" t="str">
            <v>EXP_GOLD</v>
          </cell>
          <cell r="R179">
            <v>0</v>
          </cell>
          <cell r="S179">
            <v>0</v>
          </cell>
          <cell r="T179">
            <v>0</v>
          </cell>
          <cell r="U179">
            <v>0</v>
          </cell>
          <cell r="V179">
            <v>0</v>
          </cell>
          <cell r="W179">
            <v>0</v>
          </cell>
          <cell r="X179">
            <v>0</v>
          </cell>
          <cell r="Y179">
            <v>0</v>
          </cell>
          <cell r="Z179">
            <v>0</v>
          </cell>
          <cell r="AA179">
            <v>0</v>
          </cell>
          <cell r="AB179">
            <v>0</v>
          </cell>
          <cell r="AC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row>
        <row r="180">
          <cell r="B180" t="str">
            <v>Expense - % Copper</v>
          </cell>
          <cell r="C180" t="str">
            <v>EXP_COPPER</v>
          </cell>
          <cell r="R180">
            <v>0</v>
          </cell>
          <cell r="S180">
            <v>0</v>
          </cell>
          <cell r="T180">
            <v>0</v>
          </cell>
          <cell r="U180">
            <v>0</v>
          </cell>
          <cell r="V180">
            <v>0</v>
          </cell>
          <cell r="W180">
            <v>0</v>
          </cell>
          <cell r="X180">
            <v>0</v>
          </cell>
          <cell r="Y180">
            <v>0</v>
          </cell>
          <cell r="Z180">
            <v>0</v>
          </cell>
          <cell r="AA180">
            <v>0</v>
          </cell>
          <cell r="AB180">
            <v>0</v>
          </cell>
          <cell r="AC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row>
        <row r="181">
          <cell r="B181" t="str">
            <v>Expense - % Silver</v>
          </cell>
          <cell r="C181" t="str">
            <v>EXP_SILVER</v>
          </cell>
          <cell r="R181">
            <v>0</v>
          </cell>
          <cell r="S181">
            <v>0</v>
          </cell>
          <cell r="T181">
            <v>0</v>
          </cell>
          <cell r="U181">
            <v>0</v>
          </cell>
          <cell r="V181">
            <v>0</v>
          </cell>
          <cell r="W181">
            <v>0</v>
          </cell>
          <cell r="X181">
            <v>0</v>
          </cell>
          <cell r="Y181">
            <v>0</v>
          </cell>
          <cell r="Z181">
            <v>0</v>
          </cell>
          <cell r="AA181">
            <v>0</v>
          </cell>
          <cell r="AB181">
            <v>0</v>
          </cell>
          <cell r="AC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row>
        <row r="182">
          <cell r="B182" t="str">
            <v>Expense - % Platinum</v>
          </cell>
          <cell r="C182" t="str">
            <v>EXP_PLATINUM</v>
          </cell>
          <cell r="R182">
            <v>0</v>
          </cell>
          <cell r="S182">
            <v>0</v>
          </cell>
          <cell r="T182">
            <v>0</v>
          </cell>
          <cell r="U182">
            <v>0</v>
          </cell>
          <cell r="V182">
            <v>0</v>
          </cell>
          <cell r="W182">
            <v>0</v>
          </cell>
          <cell r="X182">
            <v>0</v>
          </cell>
          <cell r="Y182">
            <v>0</v>
          </cell>
          <cell r="Z182">
            <v>0</v>
          </cell>
          <cell r="AA182">
            <v>0</v>
          </cell>
          <cell r="AB182">
            <v>0</v>
          </cell>
          <cell r="AC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row>
        <row r="183">
          <cell r="B183" t="str">
            <v>Expense - % Palladium</v>
          </cell>
          <cell r="C183" t="str">
            <v>EXP_PALLADIUM</v>
          </cell>
          <cell r="R183">
            <v>0</v>
          </cell>
          <cell r="S183">
            <v>0</v>
          </cell>
          <cell r="T183">
            <v>0</v>
          </cell>
          <cell r="U183">
            <v>0</v>
          </cell>
          <cell r="V183">
            <v>0</v>
          </cell>
          <cell r="W183">
            <v>0</v>
          </cell>
          <cell r="X183">
            <v>0</v>
          </cell>
          <cell r="Y183">
            <v>0</v>
          </cell>
          <cell r="Z183">
            <v>0</v>
          </cell>
          <cell r="AA183">
            <v>0</v>
          </cell>
          <cell r="AB183">
            <v>0</v>
          </cell>
          <cell r="AC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row>
        <row r="184">
          <cell r="B184" t="str">
            <v>Expense - % Aluminium</v>
          </cell>
          <cell r="C184" t="str">
            <v>EXP_ALUMINIUM</v>
          </cell>
          <cell r="R184">
            <v>0</v>
          </cell>
          <cell r="S184">
            <v>0</v>
          </cell>
          <cell r="T184">
            <v>0</v>
          </cell>
          <cell r="U184">
            <v>0</v>
          </cell>
          <cell r="V184">
            <v>0</v>
          </cell>
          <cell r="W184">
            <v>0</v>
          </cell>
          <cell r="X184">
            <v>0</v>
          </cell>
          <cell r="Y184">
            <v>0</v>
          </cell>
          <cell r="Z184">
            <v>0</v>
          </cell>
          <cell r="AA184">
            <v>0</v>
          </cell>
          <cell r="AB184">
            <v>0</v>
          </cell>
          <cell r="AC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row>
        <row r="185">
          <cell r="B185" t="str">
            <v>Expense - % Nickel</v>
          </cell>
          <cell r="C185" t="str">
            <v>EXP_NICKEL</v>
          </cell>
          <cell r="R185">
            <v>0</v>
          </cell>
          <cell r="S185">
            <v>0</v>
          </cell>
          <cell r="T185">
            <v>0</v>
          </cell>
          <cell r="U185">
            <v>0</v>
          </cell>
          <cell r="V185">
            <v>0</v>
          </cell>
          <cell r="W185">
            <v>0</v>
          </cell>
          <cell r="X185">
            <v>0</v>
          </cell>
          <cell r="Y185">
            <v>0</v>
          </cell>
          <cell r="Z185">
            <v>0</v>
          </cell>
          <cell r="AA185">
            <v>0</v>
          </cell>
          <cell r="AB185">
            <v>0</v>
          </cell>
          <cell r="AC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row>
        <row r="186">
          <cell r="B186" t="str">
            <v>Expense - % Zinc</v>
          </cell>
          <cell r="C186" t="str">
            <v>EXP_ZINC</v>
          </cell>
          <cell r="R186">
            <v>0</v>
          </cell>
          <cell r="S186">
            <v>0</v>
          </cell>
          <cell r="T186">
            <v>0</v>
          </cell>
          <cell r="U186">
            <v>0</v>
          </cell>
          <cell r="V186">
            <v>0</v>
          </cell>
          <cell r="W186">
            <v>0</v>
          </cell>
          <cell r="X186">
            <v>0</v>
          </cell>
          <cell r="Y186">
            <v>0</v>
          </cell>
          <cell r="Z186">
            <v>0</v>
          </cell>
          <cell r="AA186">
            <v>0</v>
          </cell>
          <cell r="AB186">
            <v>0</v>
          </cell>
          <cell r="AC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row>
        <row r="187">
          <cell r="B187" t="str">
            <v>Expense - % Paper/pulp</v>
          </cell>
          <cell r="C187" t="str">
            <v>EXP_PAPER_PULP</v>
          </cell>
          <cell r="R187">
            <v>0</v>
          </cell>
          <cell r="S187">
            <v>0</v>
          </cell>
          <cell r="T187">
            <v>0</v>
          </cell>
          <cell r="U187">
            <v>0</v>
          </cell>
          <cell r="V187">
            <v>0</v>
          </cell>
          <cell r="W187">
            <v>0</v>
          </cell>
          <cell r="X187">
            <v>0</v>
          </cell>
          <cell r="Y187">
            <v>0</v>
          </cell>
          <cell r="Z187">
            <v>0</v>
          </cell>
          <cell r="AA187">
            <v>0</v>
          </cell>
          <cell r="AB187">
            <v>0</v>
          </cell>
          <cell r="AC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row>
        <row r="188">
          <cell r="B188" t="str">
            <v>Expense - % Glass</v>
          </cell>
          <cell r="C188" t="str">
            <v>EXP_GLASS</v>
          </cell>
          <cell r="R188">
            <v>0</v>
          </cell>
          <cell r="S188">
            <v>0</v>
          </cell>
          <cell r="T188">
            <v>0</v>
          </cell>
          <cell r="U188">
            <v>0</v>
          </cell>
          <cell r="V188">
            <v>0</v>
          </cell>
          <cell r="W188">
            <v>0</v>
          </cell>
          <cell r="X188">
            <v>0</v>
          </cell>
          <cell r="Y188">
            <v>0</v>
          </cell>
          <cell r="Z188">
            <v>0</v>
          </cell>
          <cell r="AA188">
            <v>0</v>
          </cell>
          <cell r="AB188">
            <v>0</v>
          </cell>
          <cell r="AC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row>
        <row r="189">
          <cell r="B189" t="str">
            <v>Expense - % Water</v>
          </cell>
          <cell r="C189" t="str">
            <v>EXP_WATER</v>
          </cell>
          <cell r="R189">
            <v>1</v>
          </cell>
          <cell r="S189">
            <v>1</v>
          </cell>
          <cell r="T189">
            <v>1</v>
          </cell>
          <cell r="U189">
            <v>1</v>
          </cell>
          <cell r="V189">
            <v>1</v>
          </cell>
          <cell r="W189">
            <v>1</v>
          </cell>
          <cell r="X189">
            <v>1</v>
          </cell>
          <cell r="Y189">
            <v>1</v>
          </cell>
          <cell r="Z189">
            <v>1</v>
          </cell>
          <cell r="AA189">
            <v>1</v>
          </cell>
          <cell r="AB189">
            <v>1</v>
          </cell>
          <cell r="AC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row>
        <row r="190">
          <cell r="B190" t="str">
            <v>Expense - % Other commodity</v>
          </cell>
          <cell r="C190" t="str">
            <v>EXP_OTH_COMMODITY</v>
          </cell>
          <cell r="R190">
            <v>0</v>
          </cell>
          <cell r="S190">
            <v>0</v>
          </cell>
          <cell r="T190">
            <v>0</v>
          </cell>
          <cell r="U190">
            <v>0</v>
          </cell>
          <cell r="V190">
            <v>0</v>
          </cell>
          <cell r="W190">
            <v>0</v>
          </cell>
          <cell r="X190">
            <v>0</v>
          </cell>
          <cell r="Y190">
            <v>0</v>
          </cell>
          <cell r="Z190">
            <v>0</v>
          </cell>
          <cell r="AA190">
            <v>0</v>
          </cell>
          <cell r="AB190">
            <v>0</v>
          </cell>
          <cell r="AC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row>
        <row r="191">
          <cell r="B191" t="str">
            <v>Expense - % Other (Non-Commodity) cost</v>
          </cell>
          <cell r="C191" t="str">
            <v>EXP_OTH_COST</v>
          </cell>
          <cell r="R191">
            <v>0</v>
          </cell>
          <cell r="S191">
            <v>0</v>
          </cell>
          <cell r="T191">
            <v>0</v>
          </cell>
          <cell r="U191">
            <v>0</v>
          </cell>
          <cell r="V191">
            <v>0</v>
          </cell>
          <cell r="W191">
            <v>0</v>
          </cell>
          <cell r="X191">
            <v>0</v>
          </cell>
          <cell r="Y191">
            <v>0</v>
          </cell>
          <cell r="Z191">
            <v>0</v>
          </cell>
          <cell r="AA191">
            <v>0</v>
          </cell>
          <cell r="AB191">
            <v>0</v>
          </cell>
          <cell r="AC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row>
        <row r="192">
          <cell r="A192" t="str">
            <v>FX Exposure - Sales</v>
          </cell>
        </row>
        <row r="193">
          <cell r="B193" t="str">
            <v>Sales - % FX: British Pounds/Pence</v>
          </cell>
          <cell r="C193" t="str">
            <v>SALES_FX_GPB</v>
          </cell>
        </row>
        <row r="194">
          <cell r="B194" t="str">
            <v>Sales - % FX: Euro</v>
          </cell>
          <cell r="C194" t="str">
            <v>SALES_FX_EUR</v>
          </cell>
        </row>
        <row r="195">
          <cell r="B195" t="str">
            <v>Sales - % FX: New Russian Ruble</v>
          </cell>
          <cell r="C195" t="str">
            <v>SALES_FX_RUB</v>
          </cell>
        </row>
        <row r="196">
          <cell r="B196" t="str">
            <v>Sales - % FX: U.S. Dollar</v>
          </cell>
          <cell r="C196" t="str">
            <v>SALES_FX_USD</v>
          </cell>
        </row>
        <row r="197">
          <cell r="B197" t="str">
            <v>Sales - % FX: Brazilian Real</v>
          </cell>
          <cell r="C197" t="str">
            <v>SALES_FX_BRL</v>
          </cell>
        </row>
        <row r="198">
          <cell r="B198" t="str">
            <v>Sales - % FX: Japanese Yen</v>
          </cell>
          <cell r="C198" t="str">
            <v>SALES_FX_YEN</v>
          </cell>
        </row>
        <row r="199">
          <cell r="B199" t="str">
            <v>Sales - % FX: Chinese Renminbi</v>
          </cell>
          <cell r="C199" t="str">
            <v>SALES_FX_CNY</v>
          </cell>
        </row>
        <row r="200">
          <cell r="B200" t="str">
            <v>Sales - % FX: Indian Rupee</v>
          </cell>
          <cell r="C200" t="str">
            <v>SALES_FX_INR</v>
          </cell>
        </row>
        <row r="201">
          <cell r="B201" t="str">
            <v>Sales - % FX: South Korean Won</v>
          </cell>
          <cell r="C201" t="str">
            <v>SALES_FX_KRW</v>
          </cell>
        </row>
        <row r="202">
          <cell r="B202" t="str">
            <v>Sales - % FX: Taiwan Dollar</v>
          </cell>
          <cell r="C202" t="str">
            <v>SALES_FX_TWD</v>
          </cell>
        </row>
        <row r="203">
          <cell r="B203" t="str">
            <v>Sales - % FX: Other Currency</v>
          </cell>
          <cell r="C203" t="str">
            <v>SALES_FX_OTH</v>
          </cell>
        </row>
        <row r="204">
          <cell r="A204" t="str">
            <v>Items to be removed</v>
          </cell>
        </row>
        <row r="205">
          <cell r="B205" t="str">
            <v>Sales - Total % Americas</v>
          </cell>
          <cell r="C205" t="str">
            <v>SALES_TOT_AM</v>
          </cell>
          <cell r="R205">
            <v>0.52738442792499995</v>
          </cell>
          <cell r="S205">
            <v>0.48615974727099998</v>
          </cell>
          <cell r="T205">
            <v>0.56116497509600005</v>
          </cell>
          <cell r="U205">
            <v>0.49305561328399999</v>
          </cell>
          <cell r="V205">
            <v>0.48122625471899999</v>
          </cell>
          <cell r="W205">
            <v>0.48849321313600003</v>
          </cell>
          <cell r="X205">
            <v>0.46304244988999999</v>
          </cell>
          <cell r="Y205">
            <v>0.46304244988999999</v>
          </cell>
          <cell r="Z205">
            <v>0.46304244988999999</v>
          </cell>
          <cell r="AA205">
            <v>0.46304244988999999</v>
          </cell>
          <cell r="AB205">
            <v>0.46304244988999999</v>
          </cell>
          <cell r="AC205">
            <v>0.46304244988999999</v>
          </cell>
        </row>
        <row r="206">
          <cell r="B206" t="str">
            <v>Sales - % Other Americas</v>
          </cell>
          <cell r="C206" t="str">
            <v>SALES_OTH_AM</v>
          </cell>
        </row>
        <row r="207">
          <cell r="B207" t="str">
            <v>Sales - Total % EMEA</v>
          </cell>
          <cell r="C207" t="str">
            <v>SALES_TOT_EMEA</v>
          </cell>
          <cell r="R207">
            <v>9.2606172141999996E-2</v>
          </cell>
          <cell r="S207">
            <v>8.5923368592000005E-2</v>
          </cell>
          <cell r="T207">
            <v>0.100459428064</v>
          </cell>
          <cell r="U207">
            <v>9.2504624889000006E-2</v>
          </cell>
          <cell r="V207">
            <v>0.126841014532</v>
          </cell>
          <cell r="W207">
            <v>0.110875333989</v>
          </cell>
          <cell r="X207">
            <v>8.5102928026000002E-2</v>
          </cell>
          <cell r="Y207">
            <v>8.5102928026000002E-2</v>
          </cell>
          <cell r="Z207">
            <v>8.5102928026000002E-2</v>
          </cell>
          <cell r="AA207">
            <v>8.5102928026000002E-2</v>
          </cell>
          <cell r="AB207">
            <v>8.5102928026000002E-2</v>
          </cell>
          <cell r="AC207">
            <v>8.5102928026000002E-2</v>
          </cell>
        </row>
        <row r="208">
          <cell r="B208" t="str">
            <v>Sales - % Western Europe-Ex UK</v>
          </cell>
          <cell r="C208" t="str">
            <v>SALES_EU_EX_UK</v>
          </cell>
        </row>
        <row r="209">
          <cell r="B209" t="str">
            <v>Sales - % Central &amp; Eastern Europe</v>
          </cell>
          <cell r="C209" t="str">
            <v>SALES_CEE</v>
          </cell>
        </row>
        <row r="210">
          <cell r="B210" t="str">
            <v>Sales - % Middle East</v>
          </cell>
          <cell r="C210" t="str">
            <v>SALES_ME</v>
          </cell>
        </row>
        <row r="211">
          <cell r="B211" t="str">
            <v>Sales - % Total Africa</v>
          </cell>
          <cell r="C211" t="str">
            <v>SALES_TOT_AFRICA</v>
          </cell>
        </row>
        <row r="212">
          <cell r="B212" t="str">
            <v>Sales - % Other EMEA</v>
          </cell>
          <cell r="C212" t="str">
            <v>SALES_OTH_EMEA</v>
          </cell>
          <cell r="R212">
            <v>9.2606172141999996E-2</v>
          </cell>
          <cell r="S212">
            <v>8.5923368592000005E-2</v>
          </cell>
          <cell r="T212">
            <v>0.100459428064</v>
          </cell>
          <cell r="U212">
            <v>9.2504624889000006E-2</v>
          </cell>
          <cell r="V212">
            <v>0.126841014532</v>
          </cell>
          <cell r="W212">
            <v>0.110875333989</v>
          </cell>
          <cell r="X212">
            <v>8.5102928026000002E-2</v>
          </cell>
          <cell r="Y212">
            <v>8.5102928026000002E-2</v>
          </cell>
          <cell r="Z212">
            <v>8.5102928026000002E-2</v>
          </cell>
          <cell r="AA212">
            <v>8.5102928026000002E-2</v>
          </cell>
          <cell r="AB212">
            <v>8.5102928026000002E-2</v>
          </cell>
          <cell r="AC212">
            <v>8.5102928026000002E-2</v>
          </cell>
        </row>
        <row r="213">
          <cell r="B213" t="str">
            <v>Sales - Total % Asia (incl Australia &amp; New Zealand)</v>
          </cell>
          <cell r="C213" t="str">
            <v>SALES_TOT_ASIA</v>
          </cell>
          <cell r="R213">
            <v>0.38000939993299998</v>
          </cell>
          <cell r="S213">
            <v>0.42791688413700002</v>
          </cell>
          <cell r="T213">
            <v>0.33837559684099999</v>
          </cell>
          <cell r="U213">
            <v>0.41443976182699999</v>
          </cell>
          <cell r="V213">
            <v>0.39193273074899998</v>
          </cell>
          <cell r="W213">
            <v>0.40063145287500002</v>
          </cell>
          <cell r="X213">
            <v>0.45185462208400001</v>
          </cell>
          <cell r="Y213">
            <v>0.45185462208400001</v>
          </cell>
          <cell r="Z213">
            <v>0.45185462208400001</v>
          </cell>
          <cell r="AA213">
            <v>0.45185462208400001</v>
          </cell>
          <cell r="AB213">
            <v>0.45185462208400001</v>
          </cell>
          <cell r="AC213">
            <v>0.45185462208400001</v>
          </cell>
        </row>
        <row r="214">
          <cell r="B214" t="str">
            <v>Sales - % Other Asia</v>
          </cell>
          <cell r="C214" t="str">
            <v>SALES_OTH_AEJ</v>
          </cell>
          <cell r="R214">
            <v>0.35235181024700002</v>
          </cell>
          <cell r="S214">
            <v>0.40576037909399998</v>
          </cell>
          <cell r="T214">
            <v>0.31837559684099997</v>
          </cell>
          <cell r="U214">
            <v>0.40443976182699998</v>
          </cell>
          <cell r="V214">
            <v>0.38193273074900003</v>
          </cell>
          <cell r="W214">
            <v>0.39063145287500001</v>
          </cell>
          <cell r="X214">
            <v>0.441854622084</v>
          </cell>
          <cell r="Y214">
            <v>0.441854622084</v>
          </cell>
          <cell r="Z214">
            <v>0.441854622084</v>
          </cell>
          <cell r="AA214">
            <v>0.441854622084</v>
          </cell>
          <cell r="AB214">
            <v>0.441854622084</v>
          </cell>
          <cell r="AC214">
            <v>0.441854622084</v>
          </cell>
        </row>
        <row r="215">
          <cell r="A215" t="str">
            <v>Security: United Microelectronics Corp.</v>
          </cell>
          <cell r="B215" t="str">
            <v>44M01</v>
          </cell>
        </row>
        <row r="216">
          <cell r="A216" t="str">
            <v>Reference Data</v>
          </cell>
        </row>
        <row r="217">
          <cell r="B217" t="str">
            <v>Ticker</v>
          </cell>
          <cell r="C217" t="str">
            <v>Ticker</v>
          </cell>
          <cell r="E217" t="str">
            <v>2303.TW</v>
          </cell>
        </row>
        <row r="218">
          <cell r="B218" t="str">
            <v>Security Name</v>
          </cell>
          <cell r="C218" t="str">
            <v>Security Name</v>
          </cell>
          <cell r="E218" t="str">
            <v>United Microelectronics Corp.</v>
          </cell>
        </row>
        <row r="219">
          <cell r="B219" t="str">
            <v>Interim Type</v>
          </cell>
          <cell r="C219" t="str">
            <v>Interim Type</v>
          </cell>
          <cell r="E219" t="str">
            <v>Q</v>
          </cell>
        </row>
        <row r="220">
          <cell r="B220" t="str">
            <v>Publishing Currency</v>
          </cell>
          <cell r="C220" t="str">
            <v>PUB_CURRENCY_ISO</v>
          </cell>
          <cell r="E220" t="str">
            <v>TWD</v>
          </cell>
        </row>
        <row r="221">
          <cell r="B221" t="str">
            <v>Pricing Currency</v>
          </cell>
          <cell r="C221" t="str">
            <v>PRICE_CURRENCY_ISO</v>
          </cell>
          <cell r="E221" t="str">
            <v>TWD</v>
          </cell>
        </row>
        <row r="222">
          <cell r="B222" t="str">
            <v>Reporting Currency</v>
          </cell>
          <cell r="C222" t="str">
            <v>CURRENCY_ISO</v>
          </cell>
          <cell r="E222" t="str">
            <v>TWD</v>
          </cell>
        </row>
        <row r="223">
          <cell r="A223" t="str">
            <v>General Information</v>
          </cell>
        </row>
        <row r="224">
          <cell r="B224" t="str">
            <v>Asia ex. Japan Investment List</v>
          </cell>
          <cell r="C224" t="str">
            <v>AEJ_LIST</v>
          </cell>
        </row>
        <row r="225">
          <cell r="B225" t="str">
            <v>Asia ex. Japan Conviction List</v>
          </cell>
          <cell r="C225" t="str">
            <v>AEJ_CONVICTION</v>
          </cell>
        </row>
        <row r="226">
          <cell r="B226" t="str">
            <v>Legal rating</v>
          </cell>
          <cell r="C226" t="str">
            <v>LEGAL_RATING</v>
          </cell>
          <cell r="E226" t="str">
            <v>Coverage Suspended</v>
          </cell>
        </row>
        <row r="227">
          <cell r="B227" t="str">
            <v>Target price</v>
          </cell>
          <cell r="C227" t="str">
            <v>TARGET_PRICE</v>
          </cell>
          <cell r="D227" t="str">
            <v>TWD</v>
          </cell>
        </row>
        <row r="228">
          <cell r="B228" t="str">
            <v>Target price period</v>
          </cell>
          <cell r="C228" t="str">
            <v>TP_PERIOD</v>
          </cell>
        </row>
        <row r="229">
          <cell r="B229" t="str">
            <v>Fundamental value</v>
          </cell>
          <cell r="C229" t="str">
            <v>TARGET_PRICE_FUNDAMENTAL</v>
          </cell>
          <cell r="D229" t="str">
            <v>TWD</v>
          </cell>
        </row>
        <row r="230">
          <cell r="B230" t="str">
            <v>M&amp;A value</v>
          </cell>
          <cell r="C230" t="str">
            <v>TARGET_PRICE_MA</v>
          </cell>
          <cell r="D230" t="str">
            <v>TWD</v>
          </cell>
        </row>
        <row r="231">
          <cell r="B231" t="str">
            <v>Current shares outstanding (mn)</v>
          </cell>
          <cell r="C231" t="str">
            <v>NUM_SH</v>
          </cell>
          <cell r="E231">
            <v>12972</v>
          </cell>
        </row>
        <row r="232">
          <cell r="B232" t="str">
            <v>Free float</v>
          </cell>
          <cell r="C232" t="str">
            <v>FREE_FLOAT</v>
          </cell>
          <cell r="E232">
            <v>0.93630000000000002</v>
          </cell>
        </row>
        <row r="233">
          <cell r="B233" t="str">
            <v>Foreign ownership</v>
          </cell>
          <cell r="C233" t="str">
            <v>FOREIGN_HOLDNG</v>
          </cell>
          <cell r="E233">
            <v>0.44429999999999997</v>
          </cell>
        </row>
        <row r="234">
          <cell r="B234" t="str">
            <v xml:space="preserve">Silicon Integrated Systems </v>
          </cell>
          <cell r="C234" t="str">
            <v>ACT1</v>
          </cell>
          <cell r="E234">
            <v>3.0300000000000001E-2</v>
          </cell>
        </row>
        <row r="235">
          <cell r="B235" t="str">
            <v>Xunjie Venture Capital</v>
          </cell>
          <cell r="C235" t="str">
            <v>ACT2</v>
          </cell>
          <cell r="E235">
            <v>2.1600000000000001E-2</v>
          </cell>
        </row>
        <row r="236">
          <cell r="B236" t="str">
            <v>Other directors &amp; supervisors</v>
          </cell>
          <cell r="C236" t="str">
            <v>ACT3</v>
          </cell>
          <cell r="E236">
            <v>1.18E-2</v>
          </cell>
        </row>
        <row r="237">
          <cell r="B237" t="str">
            <v>Catalyst 1 date</v>
          </cell>
          <cell r="C237" t="str">
            <v>CATALYST1_DATE</v>
          </cell>
        </row>
        <row r="238">
          <cell r="B238" t="str">
            <v>Catalyst 1 description</v>
          </cell>
          <cell r="C238" t="str">
            <v>CATALYST1_EVENT</v>
          </cell>
        </row>
        <row r="239">
          <cell r="B239" t="str">
            <v>Catalyst 2 date</v>
          </cell>
          <cell r="C239" t="str">
            <v>CATALYST2_DATE</v>
          </cell>
        </row>
        <row r="240">
          <cell r="B240" t="str">
            <v>Catalyst 2 description</v>
          </cell>
          <cell r="C240" t="str">
            <v>CATALYST2_EVENT</v>
          </cell>
        </row>
        <row r="241">
          <cell r="B241" t="str">
            <v>Catalyst 3 date</v>
          </cell>
          <cell r="C241" t="str">
            <v>CATALYST3_DATE</v>
          </cell>
        </row>
        <row r="242">
          <cell r="B242" t="str">
            <v>Catalyst 3 description</v>
          </cell>
          <cell r="C242" t="str">
            <v>CATALYST3_EVENT</v>
          </cell>
        </row>
        <row r="243">
          <cell r="B243" t="str">
            <v>Catalyst 4 date</v>
          </cell>
          <cell r="C243" t="str">
            <v>CATALYST4_DATE</v>
          </cell>
        </row>
        <row r="244">
          <cell r="B244" t="str">
            <v>Catalyst 4 description</v>
          </cell>
          <cell r="C244" t="str">
            <v>CATALYST4_EVENT</v>
          </cell>
        </row>
        <row r="245">
          <cell r="B245" t="str">
            <v>Catalyst 5 date</v>
          </cell>
          <cell r="C245" t="str">
            <v>CATALYST5_DATE</v>
          </cell>
        </row>
        <row r="246">
          <cell r="B246" t="str">
            <v>Catalyst 5 description</v>
          </cell>
          <cell r="C246" t="str">
            <v>CATALYST5_EVENT</v>
          </cell>
        </row>
        <row r="247">
          <cell r="B247" t="str">
            <v>Target price multiple</v>
          </cell>
          <cell r="C247" t="str">
            <v>PRI_TARG_MULT</v>
          </cell>
          <cell r="E247">
            <v>0</v>
          </cell>
        </row>
        <row r="248">
          <cell r="B248" t="str">
            <v>Target price methodology</v>
          </cell>
          <cell r="C248" t="str">
            <v>PRI_TARG_METH</v>
          </cell>
          <cell r="E248" t="str">
            <v>NTM PB</v>
          </cell>
        </row>
        <row r="249">
          <cell r="A249" t="str">
            <v>Publishing Items</v>
          </cell>
        </row>
        <row r="250">
          <cell r="B250" t="str">
            <v>Book value per share, BVPS (Pub)</v>
          </cell>
          <cell r="C250" t="str">
            <v>BVPS_PUB</v>
          </cell>
          <cell r="D250" t="str">
            <v>TWD</v>
          </cell>
          <cell r="F250">
            <v>2.4980028744029998</v>
          </cell>
          <cell r="G250">
            <v>3.9334651274680001</v>
          </cell>
          <cell r="H250">
            <v>5.3037639201779996</v>
          </cell>
          <cell r="I250">
            <v>6.8469332920139996</v>
          </cell>
          <cell r="J250">
            <v>7.1708064201959996</v>
          </cell>
          <cell r="K250">
            <v>11.219193649108</v>
          </cell>
          <cell r="L250">
            <v>15.785947553212001</v>
          </cell>
          <cell r="M250">
            <v>14.817087062002001</v>
          </cell>
          <cell r="N250">
            <v>13.706197515966</v>
          </cell>
          <cell r="O250">
            <v>14.493498603552</v>
          </cell>
          <cell r="P250">
            <v>16.461320626986002</v>
          </cell>
          <cell r="Q250">
            <v>16.323522565865002</v>
          </cell>
          <cell r="R250">
            <v>18.945075880539001</v>
          </cell>
          <cell r="S250">
            <v>18.110248343504001</v>
          </cell>
          <cell r="T250">
            <v>14.715269100987999</v>
          </cell>
          <cell r="U250">
            <v>16.858700787791999</v>
          </cell>
          <cell r="V250">
            <v>18.014845586029001</v>
          </cell>
          <cell r="W250">
            <v>16.887921740342001</v>
          </cell>
          <cell r="X250">
            <v>16.238961208688998</v>
          </cell>
          <cell r="Y250">
            <v>16.984424048609</v>
          </cell>
          <cell r="Z250">
            <v>18.007911244498001</v>
          </cell>
          <cell r="AA250">
            <v>18.294049929044</v>
          </cell>
          <cell r="AB250">
            <v>17.798734717955998</v>
          </cell>
          <cell r="AC250">
            <v>17.532601572739001</v>
          </cell>
        </row>
        <row r="251">
          <cell r="B251" t="str">
            <v>DPS, dividend per share (Pub)</v>
          </cell>
          <cell r="C251" t="str">
            <v>DPS_PUB</v>
          </cell>
          <cell r="D251" t="str">
            <v>TWD</v>
          </cell>
          <cell r="F251">
            <v>0</v>
          </cell>
          <cell r="G251">
            <v>0</v>
          </cell>
          <cell r="H251">
            <v>0</v>
          </cell>
          <cell r="I251">
            <v>0.10044458027399999</v>
          </cell>
          <cell r="J251">
            <v>0.11082261562700001</v>
          </cell>
          <cell r="K251">
            <v>8.2741233075000004E-2</v>
          </cell>
          <cell r="L251">
            <v>6.9643402560000001E-3</v>
          </cell>
          <cell r="M251">
            <v>6.6639088659999996E-3</v>
          </cell>
          <cell r="N251">
            <v>0</v>
          </cell>
          <cell r="O251">
            <v>0</v>
          </cell>
          <cell r="P251">
            <v>0</v>
          </cell>
          <cell r="Q251">
            <v>0</v>
          </cell>
          <cell r="R251">
            <v>0.46595850228399999</v>
          </cell>
          <cell r="S251">
            <v>0.954388967561</v>
          </cell>
          <cell r="T251">
            <v>0.72038716328200003</v>
          </cell>
          <cell r="U251">
            <v>0</v>
          </cell>
          <cell r="V251">
            <v>0.49874972493899999</v>
          </cell>
          <cell r="W251">
            <v>1.1172899707420001</v>
          </cell>
          <cell r="X251">
            <v>0.50026732143899999</v>
          </cell>
          <cell r="Y251">
            <v>0.40462104253300002</v>
          </cell>
          <cell r="Z251">
            <v>0.50045275270099998</v>
          </cell>
          <cell r="AA251">
            <v>0.550802502448</v>
          </cell>
          <cell r="AB251">
            <v>0.620930857941</v>
          </cell>
          <cell r="AC251">
            <v>0.51705029488900001</v>
          </cell>
        </row>
        <row r="252">
          <cell r="B252" t="str">
            <v>Special dividend per share</v>
          </cell>
          <cell r="C252" t="str">
            <v>DPS_SPECIAL_PUB</v>
          </cell>
          <cell r="D252" t="str">
            <v>TWD</v>
          </cell>
        </row>
        <row r="253">
          <cell r="B253" t="str">
            <v>EBITDA (Pub)</v>
          </cell>
          <cell r="C253" t="str">
            <v>EBITDA_PUB</v>
          </cell>
          <cell r="D253" t="str">
            <v>TWD</v>
          </cell>
          <cell r="F253">
            <v>8199.9240000000009</v>
          </cell>
          <cell r="G253">
            <v>14713.067999999999</v>
          </cell>
          <cell r="H253">
            <v>9576.7569999999996</v>
          </cell>
          <cell r="I253">
            <v>7632.46</v>
          </cell>
          <cell r="J253">
            <v>5202.799</v>
          </cell>
          <cell r="K253">
            <v>11027.753000000001</v>
          </cell>
          <cell r="L253">
            <v>68090.3</v>
          </cell>
          <cell r="M253">
            <v>28700.727999999999</v>
          </cell>
          <cell r="N253">
            <v>35865.983</v>
          </cell>
          <cell r="O253">
            <v>47347.881000000001</v>
          </cell>
          <cell r="P253">
            <v>64232.324999999997</v>
          </cell>
          <cell r="Q253">
            <v>45848.184999999998</v>
          </cell>
          <cell r="R253">
            <v>50318.127999999997</v>
          </cell>
          <cell r="S253">
            <v>38060.993999999999</v>
          </cell>
          <cell r="T253">
            <v>36411.584000000003</v>
          </cell>
          <cell r="U253">
            <v>36077.284</v>
          </cell>
          <cell r="V253">
            <v>52515.311000000002</v>
          </cell>
          <cell r="W253">
            <v>37550.665999999997</v>
          </cell>
          <cell r="X253">
            <v>39242.205999999998</v>
          </cell>
          <cell r="Y253">
            <v>42464.432000000001</v>
          </cell>
          <cell r="Z253">
            <v>50733.686000000002</v>
          </cell>
          <cell r="AA253">
            <v>56307.766000000003</v>
          </cell>
          <cell r="AB253">
            <v>58175.955000000002</v>
          </cell>
          <cell r="AC253">
            <v>59668</v>
          </cell>
        </row>
        <row r="254">
          <cell r="B254" t="str">
            <v>EPS (Pub)</v>
          </cell>
          <cell r="C254" t="str">
            <v>EPS_PUB</v>
          </cell>
          <cell r="D254" t="str">
            <v>TWD</v>
          </cell>
          <cell r="F254">
            <v>0.86544450049300004</v>
          </cell>
          <cell r="G254">
            <v>1.681135953354</v>
          </cell>
          <cell r="H254">
            <v>0.877498752795</v>
          </cell>
          <cell r="I254">
            <v>0.99884956768599997</v>
          </cell>
          <cell r="J254">
            <v>0.412898341354</v>
          </cell>
          <cell r="K254">
            <v>0.98714485516600003</v>
          </cell>
          <cell r="L254">
            <v>3.3681130455439998</v>
          </cell>
          <cell r="M254">
            <v>-0.20038067537000001</v>
          </cell>
          <cell r="N254">
            <v>0.44579478579699999</v>
          </cell>
          <cell r="O254">
            <v>0.87496078120200005</v>
          </cell>
          <cell r="P254">
            <v>1.9677836216589999</v>
          </cell>
          <cell r="Q254">
            <v>0.444086989253</v>
          </cell>
          <cell r="R254">
            <v>2.1224241709989999</v>
          </cell>
          <cell r="S254">
            <v>1.2990475049700001</v>
          </cell>
          <cell r="T254">
            <v>-1.7137056953000001</v>
          </cell>
          <cell r="U254">
            <v>0.30505474554200002</v>
          </cell>
          <cell r="V254">
            <v>1.9123331132850001</v>
          </cell>
          <cell r="W254">
            <v>0.84467050136300004</v>
          </cell>
          <cell r="X254">
            <v>0.61934995346599997</v>
          </cell>
          <cell r="Y254">
            <v>1.0097699872079999</v>
          </cell>
          <cell r="Z254">
            <v>0.97169595838300005</v>
          </cell>
          <cell r="AA254">
            <v>1.075223281565</v>
          </cell>
          <cell r="AB254">
            <v>0.67663150186099996</v>
          </cell>
          <cell r="AC254">
            <v>0.78874508518999997</v>
          </cell>
          <cell r="AI254">
            <v>0.27553133407199998</v>
          </cell>
          <cell r="AJ254">
            <v>0.42348819277100003</v>
          </cell>
          <cell r="AK254">
            <v>0.70043751003999999</v>
          </cell>
          <cell r="AL254">
            <v>0.515931652076</v>
          </cell>
          <cell r="AM254">
            <v>0.35827816845100002</v>
          </cell>
          <cell r="AN254">
            <v>0.25505601726100002</v>
          </cell>
          <cell r="AO254">
            <v>0.15502411550100001</v>
          </cell>
          <cell r="AP254">
            <v>7.7737885637000001E-2</v>
          </cell>
          <cell r="AQ254">
            <v>0.105878855149</v>
          </cell>
          <cell r="AR254">
            <v>0.23686713674500001</v>
          </cell>
          <cell r="AS254">
            <v>0.19135434317800001</v>
          </cell>
          <cell r="AT254">
            <v>8.5277122735000002E-2</v>
          </cell>
          <cell r="AU254">
            <v>0.52194640170999995</v>
          </cell>
          <cell r="AV254">
            <v>0.14536702767699999</v>
          </cell>
          <cell r="AW254">
            <v>0.278980337079</v>
          </cell>
          <cell r="AX254">
            <v>6.0067569734000001E-2</v>
          </cell>
          <cell r="AY254">
            <v>9.4527083333E-2</v>
          </cell>
          <cell r="AZ254">
            <v>0.27883905837099998</v>
          </cell>
          <cell r="BA254">
            <v>0.233256859451</v>
          </cell>
          <cell r="BB254">
            <v>0.36477042366099999</v>
          </cell>
          <cell r="BC254">
            <v>0.317731917611</v>
          </cell>
          <cell r="BD254">
            <v>0.365922287623</v>
          </cell>
          <cell r="BE254">
            <v>0.13640550898199999</v>
          </cell>
          <cell r="BF254">
            <v>0.25466312056700002</v>
          </cell>
          <cell r="BG254">
            <v>1.6894906511999999E-2</v>
          </cell>
          <cell r="BH254">
            <v>0.20940413457599999</v>
          </cell>
          <cell r="BI254">
            <v>0.24369266055</v>
          </cell>
          <cell r="BJ254">
            <v>0.20871559633</v>
          </cell>
          <cell r="BK254">
            <v>0.187254259502</v>
          </cell>
          <cell r="BL254">
            <v>0.17193643512500001</v>
          </cell>
          <cell r="BM254">
            <v>0.28448558322400003</v>
          </cell>
          <cell r="BN254">
            <v>0.14506880733899999</v>
          </cell>
          <cell r="BO254">
            <v>0.27850589777200002</v>
          </cell>
          <cell r="BP254">
            <v>0.30367665366399998</v>
          </cell>
        </row>
        <row r="255">
          <cell r="B255" t="str">
            <v>EPS (excl. ESO) (Pub)</v>
          </cell>
          <cell r="C255" t="str">
            <v>EPS_PUB_EX_ESO</v>
          </cell>
          <cell r="D255" t="str">
            <v>TWD</v>
          </cell>
        </row>
        <row r="256">
          <cell r="B256" t="str">
            <v>EV adjustment (Pub)</v>
          </cell>
          <cell r="C256" t="str">
            <v>EV_ADJ_PUB</v>
          </cell>
          <cell r="D256" t="str">
            <v>TWD</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B257" t="str">
            <v>Net debt (Pub)</v>
          </cell>
          <cell r="C257" t="str">
            <v>NET_DEBT_PUB</v>
          </cell>
          <cell r="D257" t="str">
            <v>TWD</v>
          </cell>
          <cell r="F257">
            <v>-5373.3969999999999</v>
          </cell>
          <cell r="G257">
            <v>-225.66200000000001</v>
          </cell>
          <cell r="H257">
            <v>-2561.6039999999998</v>
          </cell>
          <cell r="I257">
            <v>-6266.0889999999999</v>
          </cell>
          <cell r="J257">
            <v>-3854.1419999999998</v>
          </cell>
          <cell r="K257">
            <v>6720.0290000000005</v>
          </cell>
          <cell r="L257">
            <v>-7470.56</v>
          </cell>
          <cell r="M257">
            <v>-138.458</v>
          </cell>
          <cell r="N257">
            <v>1041.3150000000001</v>
          </cell>
          <cell r="O257">
            <v>-27245.526999999998</v>
          </cell>
          <cell r="P257">
            <v>-48074.201999999997</v>
          </cell>
          <cell r="Q257">
            <v>-55220.688999999998</v>
          </cell>
          <cell r="R257">
            <v>-57168.122000000003</v>
          </cell>
          <cell r="S257">
            <v>-11868.234</v>
          </cell>
          <cell r="T257">
            <v>-42330.629000000001</v>
          </cell>
          <cell r="U257">
            <v>-60803.925999999999</v>
          </cell>
          <cell r="V257">
            <v>-42826.027000000002</v>
          </cell>
          <cell r="W257">
            <v>-16395.048999999999</v>
          </cell>
          <cell r="X257">
            <v>-765.16500000000804</v>
          </cell>
          <cell r="Y257">
            <v>-3992.3890000000001</v>
          </cell>
          <cell r="Z257">
            <v>-3525.5219999999999</v>
          </cell>
          <cell r="AA257">
            <v>5675.826</v>
          </cell>
          <cell r="AB257">
            <v>33549</v>
          </cell>
          <cell r="AC257">
            <v>23737</v>
          </cell>
        </row>
        <row r="258">
          <cell r="B258" t="str">
            <v>Net income (Pub)</v>
          </cell>
          <cell r="C258" t="str">
            <v>NI_PUB</v>
          </cell>
          <cell r="D258" t="str">
            <v>TWD</v>
          </cell>
          <cell r="F258">
            <v>6457.7079999999996</v>
          </cell>
          <cell r="G258">
            <v>13405.682000000001</v>
          </cell>
          <cell r="H258">
            <v>7611.8959999999997</v>
          </cell>
          <cell r="I258">
            <v>9739.5519999999997</v>
          </cell>
          <cell r="J258">
            <v>4407.0209999999997</v>
          </cell>
          <cell r="K258">
            <v>10497.892</v>
          </cell>
          <cell r="L258">
            <v>50780.377999999997</v>
          </cell>
          <cell r="M258">
            <v>-3157.3020000000001</v>
          </cell>
          <cell r="N258">
            <v>7072.0320000000002</v>
          </cell>
          <cell r="O258">
            <v>14020.257</v>
          </cell>
          <cell r="P258">
            <v>31843.381000000001</v>
          </cell>
          <cell r="Q258">
            <v>7026.692</v>
          </cell>
          <cell r="R258">
            <v>32619.312999999998</v>
          </cell>
          <cell r="S258">
            <v>16961.761999999999</v>
          </cell>
          <cell r="T258">
            <v>-22320.075000000001</v>
          </cell>
          <cell r="U258">
            <v>3874.0279999999898</v>
          </cell>
          <cell r="V258">
            <v>23898.904999999999</v>
          </cell>
          <cell r="W258">
            <v>10609.695</v>
          </cell>
          <cell r="X258">
            <v>7819.4480000000003</v>
          </cell>
          <cell r="Y258">
            <v>12630.203</v>
          </cell>
          <cell r="Z258">
            <v>12141.341</v>
          </cell>
          <cell r="AA258">
            <v>13448.624</v>
          </cell>
          <cell r="AB258">
            <v>8315.6319999999996</v>
          </cell>
          <cell r="AC258">
            <v>9629</v>
          </cell>
          <cell r="AI258">
            <v>3482.165</v>
          </cell>
          <cell r="AJ258">
            <v>5272.4279999999999</v>
          </cell>
          <cell r="AK258">
            <v>8720.4470000000001</v>
          </cell>
          <cell r="AL258">
            <v>6423.8649999999998</v>
          </cell>
          <cell r="AM258">
            <v>4483.4930000000004</v>
          </cell>
          <cell r="AN258">
            <v>3191.7710000000002</v>
          </cell>
          <cell r="AO258">
            <v>1954.2339999999999</v>
          </cell>
          <cell r="AP258">
            <v>980.197</v>
          </cell>
          <cell r="AQ258">
            <v>1335.45</v>
          </cell>
          <cell r="AR258">
            <v>2989.7370000000001</v>
          </cell>
          <cell r="AS258">
            <v>2416.614</v>
          </cell>
          <cell r="AT258">
            <v>1077.6469999999999</v>
          </cell>
          <cell r="AU258">
            <v>6592.7049999999999</v>
          </cell>
          <cell r="AV258">
            <v>1812</v>
          </cell>
          <cell r="AW258">
            <v>3476.0949999999998</v>
          </cell>
          <cell r="AX258">
            <v>749.40300000000002</v>
          </cell>
          <cell r="AY258">
            <v>1179.6980000000001</v>
          </cell>
          <cell r="AZ258">
            <v>3482.4209999999998</v>
          </cell>
          <cell r="BA258">
            <v>2915.944</v>
          </cell>
          <cell r="BB258">
            <v>4563.2780000000002</v>
          </cell>
          <cell r="BC258">
            <v>3979.91</v>
          </cell>
          <cell r="BD258">
            <v>4600.375</v>
          </cell>
          <cell r="BE258">
            <v>1708.479</v>
          </cell>
          <cell r="BF258">
            <v>3159.86</v>
          </cell>
          <cell r="BG258">
            <v>209.63200000000001</v>
          </cell>
          <cell r="BH258">
            <v>2583</v>
          </cell>
          <cell r="BI258">
            <v>2975</v>
          </cell>
          <cell r="BJ258">
            <v>2548</v>
          </cell>
          <cell r="BK258">
            <v>2286</v>
          </cell>
          <cell r="BL258">
            <v>2099</v>
          </cell>
          <cell r="BM258">
            <v>3473</v>
          </cell>
          <cell r="BN258">
            <v>1771</v>
          </cell>
          <cell r="BO258">
            <v>3400</v>
          </cell>
          <cell r="BP258">
            <v>3659</v>
          </cell>
        </row>
        <row r="259">
          <cell r="B259" t="str">
            <v>EBIT, operating profit (Pub)</v>
          </cell>
          <cell r="C259" t="str">
            <v>EBIT_PUB</v>
          </cell>
          <cell r="D259" t="str">
            <v>TWD</v>
          </cell>
          <cell r="F259">
            <v>6651.4889999999996</v>
          </cell>
          <cell r="G259">
            <v>12520</v>
          </cell>
          <cell r="H259">
            <v>6119.2209999999995</v>
          </cell>
          <cell r="I259">
            <v>3586.3939999999998</v>
          </cell>
          <cell r="J259">
            <v>392.23099999999999</v>
          </cell>
          <cell r="K259">
            <v>5521.3940000000002</v>
          </cell>
          <cell r="L259">
            <v>43573.127</v>
          </cell>
          <cell r="M259">
            <v>-5590.174</v>
          </cell>
          <cell r="N259">
            <v>140.971</v>
          </cell>
          <cell r="O259">
            <v>9936.3340000000007</v>
          </cell>
          <cell r="P259">
            <v>24454.991999999998</v>
          </cell>
          <cell r="Q259">
            <v>-2668.7190000000001</v>
          </cell>
          <cell r="R259">
            <v>6124.1379999999999</v>
          </cell>
          <cell r="S259">
            <v>1325.9290000000001</v>
          </cell>
          <cell r="T259">
            <v>-2100.52</v>
          </cell>
          <cell r="U259">
            <v>1847.48899999999</v>
          </cell>
          <cell r="V259">
            <v>22019.678</v>
          </cell>
          <cell r="W259">
            <v>5179.8670000000002</v>
          </cell>
          <cell r="X259">
            <v>3504.6309999999999</v>
          </cell>
          <cell r="Y259">
            <v>4032.12</v>
          </cell>
          <cell r="Z259">
            <v>10076.332</v>
          </cell>
          <cell r="AA259">
            <v>10835.656999999999</v>
          </cell>
          <cell r="AB259">
            <v>6193.5519999999997</v>
          </cell>
          <cell r="AC259">
            <v>6569</v>
          </cell>
          <cell r="AI259">
            <v>3160.2660000000001</v>
          </cell>
          <cell r="AJ259">
            <v>5334.8590000000004</v>
          </cell>
          <cell r="AK259">
            <v>7154.5870000000004</v>
          </cell>
          <cell r="AL259">
            <v>6369.9660000000003</v>
          </cell>
          <cell r="AM259">
            <v>3860.145</v>
          </cell>
          <cell r="AN259">
            <v>2512.6529999999998</v>
          </cell>
          <cell r="AO259">
            <v>162.28299999999999</v>
          </cell>
          <cell r="AP259">
            <v>-1355.2139999999999</v>
          </cell>
          <cell r="AQ259">
            <v>264.56400000000002</v>
          </cell>
          <cell r="AR259">
            <v>2189.7930000000001</v>
          </cell>
          <cell r="AS259">
            <v>1982.9939999999999</v>
          </cell>
          <cell r="AT259">
            <v>-932.72</v>
          </cell>
          <cell r="AU259">
            <v>293.99299999999999</v>
          </cell>
          <cell r="AV259">
            <v>1149.4690000000001</v>
          </cell>
          <cell r="AW259">
            <v>2394.7779999999998</v>
          </cell>
          <cell r="AX259">
            <v>193.88</v>
          </cell>
          <cell r="AY259">
            <v>940.63900000000001</v>
          </cell>
          <cell r="AZ259">
            <v>2916.7570000000001</v>
          </cell>
          <cell r="BA259">
            <v>1686.4970000000001</v>
          </cell>
          <cell r="BB259">
            <v>4532.4390000000003</v>
          </cell>
          <cell r="BC259">
            <v>4098.6719999999996</v>
          </cell>
          <cell r="BD259">
            <v>3876.431</v>
          </cell>
          <cell r="BE259">
            <v>980.76199999999994</v>
          </cell>
          <cell r="BF259">
            <v>1879.7919999999999</v>
          </cell>
          <cell r="BG259">
            <v>-16.448</v>
          </cell>
          <cell r="BH259">
            <v>2449</v>
          </cell>
          <cell r="BI259">
            <v>1485</v>
          </cell>
          <cell r="BJ259">
            <v>2276</v>
          </cell>
          <cell r="BK259">
            <v>1371</v>
          </cell>
          <cell r="BL259">
            <v>1668</v>
          </cell>
          <cell r="BM259">
            <v>1629</v>
          </cell>
          <cell r="BN259">
            <v>1901</v>
          </cell>
          <cell r="BO259">
            <v>769</v>
          </cell>
          <cell r="BP259">
            <v>3181</v>
          </cell>
        </row>
        <row r="260">
          <cell r="B260" t="str">
            <v>Pre-tax profit (Pub)</v>
          </cell>
          <cell r="C260" t="str">
            <v>PTP_PUB</v>
          </cell>
          <cell r="D260" t="str">
            <v>TWD</v>
          </cell>
          <cell r="F260">
            <v>6664.5529999999999</v>
          </cell>
          <cell r="G260">
            <v>12747.181</v>
          </cell>
          <cell r="H260">
            <v>7190.2110000000002</v>
          </cell>
          <cell r="I260">
            <v>9858.2739999999994</v>
          </cell>
          <cell r="J260">
            <v>3955.2620000000002</v>
          </cell>
          <cell r="K260">
            <v>10525.664000000001</v>
          </cell>
          <cell r="L260">
            <v>50558.07</v>
          </cell>
          <cell r="M260">
            <v>-6352.7470000000003</v>
          </cell>
          <cell r="N260">
            <v>7084.0940000000001</v>
          </cell>
          <cell r="O260">
            <v>14815.369000000001</v>
          </cell>
          <cell r="P260">
            <v>31877.29</v>
          </cell>
          <cell r="Q260">
            <v>7027.53</v>
          </cell>
          <cell r="R260">
            <v>37016.038999999997</v>
          </cell>
          <cell r="S260">
            <v>19566.348999999998</v>
          </cell>
          <cell r="T260">
            <v>-21986.170999999998</v>
          </cell>
          <cell r="U260">
            <v>1673</v>
          </cell>
          <cell r="V260">
            <v>25383.620999999999</v>
          </cell>
          <cell r="W260">
            <v>9380.3510000000006</v>
          </cell>
          <cell r="X260">
            <v>8002.9590000000098</v>
          </cell>
          <cell r="Y260">
            <v>14361.794</v>
          </cell>
          <cell r="Z260">
            <v>13513.296</v>
          </cell>
          <cell r="AA260">
            <v>13712.145</v>
          </cell>
          <cell r="AB260">
            <v>4846.0889999999999</v>
          </cell>
          <cell r="AC260">
            <v>7797</v>
          </cell>
        </row>
        <row r="261">
          <cell r="B261" t="str">
            <v>Sales, revenue (Pub)</v>
          </cell>
          <cell r="C261" t="str">
            <v>REVS_PUB</v>
          </cell>
          <cell r="D261" t="str">
            <v>TWD</v>
          </cell>
          <cell r="F261">
            <v>15243.157999999999</v>
          </cell>
          <cell r="G261">
            <v>24246.913</v>
          </cell>
          <cell r="H261">
            <v>22605.651999999998</v>
          </cell>
          <cell r="I261">
            <v>25088.994999999999</v>
          </cell>
          <cell r="J261">
            <v>18431.601999999999</v>
          </cell>
          <cell r="K261">
            <v>29147.056</v>
          </cell>
          <cell r="L261">
            <v>105084.72</v>
          </cell>
          <cell r="M261">
            <v>64493.406999999999</v>
          </cell>
          <cell r="N261">
            <v>67425.744999999995</v>
          </cell>
          <cell r="O261">
            <v>84862.07</v>
          </cell>
          <cell r="P261">
            <v>117311.84</v>
          </cell>
          <cell r="Q261">
            <v>90775.438999999998</v>
          </cell>
          <cell r="R261">
            <v>104098.611</v>
          </cell>
          <cell r="S261">
            <v>106771.05100000001</v>
          </cell>
          <cell r="T261">
            <v>96813.546000000002</v>
          </cell>
          <cell r="U261">
            <v>91389.764999999999</v>
          </cell>
          <cell r="V261">
            <v>126441.54399999999</v>
          </cell>
          <cell r="W261">
            <v>116702.723</v>
          </cell>
          <cell r="X261">
            <v>115674.76300000001</v>
          </cell>
          <cell r="Y261">
            <v>123811.636</v>
          </cell>
          <cell r="Z261">
            <v>140012.076</v>
          </cell>
          <cell r="AA261">
            <v>144830.421</v>
          </cell>
          <cell r="AB261">
            <v>147871.079</v>
          </cell>
          <cell r="AC261">
            <v>149285</v>
          </cell>
          <cell r="AI261">
            <v>27337.792000000001</v>
          </cell>
          <cell r="AJ261">
            <v>30618.287</v>
          </cell>
          <cell r="AK261">
            <v>34049.714999999997</v>
          </cell>
          <cell r="AL261">
            <v>34435.75</v>
          </cell>
          <cell r="AM261">
            <v>31165.675999999999</v>
          </cell>
          <cell r="AN261">
            <v>31679.064999999999</v>
          </cell>
          <cell r="AO261">
            <v>27799.999</v>
          </cell>
          <cell r="AP261">
            <v>26057.983</v>
          </cell>
          <cell r="AQ261">
            <v>26269.434000000001</v>
          </cell>
          <cell r="AR261">
            <v>30377.33</v>
          </cell>
          <cell r="AS261">
            <v>30173.646000000001</v>
          </cell>
          <cell r="AT261">
            <v>28854.352999999999</v>
          </cell>
          <cell r="AU261">
            <v>27781.416000000001</v>
          </cell>
          <cell r="AV261">
            <v>31904.704000000002</v>
          </cell>
          <cell r="AW261">
            <v>33406.771999999997</v>
          </cell>
          <cell r="AX261">
            <v>30718.743999999999</v>
          </cell>
          <cell r="AY261">
            <v>31693.584999999999</v>
          </cell>
          <cell r="AZ261">
            <v>35869.351000000002</v>
          </cell>
          <cell r="BA261">
            <v>35213.85</v>
          </cell>
          <cell r="BB261">
            <v>37235.29</v>
          </cell>
          <cell r="BC261">
            <v>37649.644</v>
          </cell>
          <cell r="BD261">
            <v>38011.553999999996</v>
          </cell>
          <cell r="BE261">
            <v>35319.841</v>
          </cell>
          <cell r="BF261">
            <v>33849.381999999998</v>
          </cell>
          <cell r="BG261">
            <v>34404.078999999998</v>
          </cell>
          <cell r="BH261">
            <v>36997</v>
          </cell>
          <cell r="BI261">
            <v>38164</v>
          </cell>
          <cell r="BJ261">
            <v>38306</v>
          </cell>
          <cell r="BK261">
            <v>37418</v>
          </cell>
          <cell r="BL261">
            <v>37538</v>
          </cell>
          <cell r="BM261">
            <v>37698</v>
          </cell>
          <cell r="BN261">
            <v>36631</v>
          </cell>
          <cell r="BO261">
            <v>37497</v>
          </cell>
          <cell r="BP261">
            <v>38852</v>
          </cell>
        </row>
        <row r="262">
          <cell r="B262" t="str">
            <v>Total shareholders' equity (Pub)</v>
          </cell>
          <cell r="C262" t="str">
            <v>EQ_PUB</v>
          </cell>
          <cell r="D262" t="str">
            <v>TWD</v>
          </cell>
          <cell r="F262">
            <v>18639.407999999999</v>
          </cell>
          <cell r="G262">
            <v>31366.162</v>
          </cell>
          <cell r="H262">
            <v>46007.7</v>
          </cell>
          <cell r="I262">
            <v>66762.869000000006</v>
          </cell>
          <cell r="J262">
            <v>76536.748999999996</v>
          </cell>
          <cell r="K262">
            <v>119311.648</v>
          </cell>
          <cell r="L262">
            <v>238001.65299999999</v>
          </cell>
          <cell r="M262">
            <v>233465.69899999999</v>
          </cell>
          <cell r="N262">
            <v>217433.36300000001</v>
          </cell>
          <cell r="O262">
            <v>232241.924</v>
          </cell>
          <cell r="P262">
            <v>266383</v>
          </cell>
          <cell r="Q262">
            <v>258283.55300000001</v>
          </cell>
          <cell r="R262">
            <v>291164.87099999998</v>
          </cell>
          <cell r="S262">
            <v>236466.889</v>
          </cell>
          <cell r="T262">
            <v>191658.29399999999</v>
          </cell>
          <cell r="U262">
            <v>214096.25599999999</v>
          </cell>
          <cell r="V262">
            <v>225136.02900000001</v>
          </cell>
          <cell r="W262">
            <v>212124.96299999999</v>
          </cell>
          <cell r="X262">
            <v>205020.94500000001</v>
          </cell>
          <cell r="Y262">
            <v>212441.17600000001</v>
          </cell>
          <cell r="Z262">
            <v>225008.851</v>
          </cell>
          <cell r="AA262">
            <v>228817.40299999999</v>
          </cell>
          <cell r="AB262">
            <v>218742</v>
          </cell>
          <cell r="AC262">
            <v>214038</v>
          </cell>
        </row>
        <row r="263">
          <cell r="B263" t="str">
            <v>EPS (consensus)</v>
          </cell>
          <cell r="C263" t="str">
            <v>EPS_CONS_PUB</v>
          </cell>
          <cell r="D263" t="str">
            <v>TWD</v>
          </cell>
        </row>
        <row r="264">
          <cell r="A264" t="str">
            <v>Income Statement</v>
          </cell>
        </row>
        <row r="265">
          <cell r="B265" t="str">
            <v>Provision for income tax</v>
          </cell>
          <cell r="C265" t="str">
            <v>PROV_INC_TAX</v>
          </cell>
          <cell r="D265" t="str">
            <v>TWD</v>
          </cell>
          <cell r="F265">
            <v>-171.845</v>
          </cell>
          <cell r="G265">
            <v>693.50099999999998</v>
          </cell>
          <cell r="H265">
            <v>456.685</v>
          </cell>
          <cell r="I265">
            <v>-118.72199999999999</v>
          </cell>
          <cell r="J265">
            <v>451.75900000000001</v>
          </cell>
          <cell r="K265">
            <v>-27.771999999999998</v>
          </cell>
          <cell r="L265">
            <v>222.30799999999999</v>
          </cell>
          <cell r="M265">
            <v>3195.4450000000002</v>
          </cell>
          <cell r="N265">
            <v>-12.061999999999999</v>
          </cell>
          <cell r="O265">
            <v>-795.11199999999997</v>
          </cell>
          <cell r="P265">
            <v>-33.908999999999999</v>
          </cell>
          <cell r="Q265">
            <v>-1.994</v>
          </cell>
          <cell r="R265">
            <v>-3208.2109999999998</v>
          </cell>
          <cell r="S265">
            <v>-1063.742</v>
          </cell>
          <cell r="T265">
            <v>-996.92100000000005</v>
          </cell>
          <cell r="U265">
            <v>-651.06799999999998</v>
          </cell>
          <cell r="V265">
            <v>-1606.114</v>
          </cell>
          <cell r="W265">
            <v>-913.43499999999995</v>
          </cell>
          <cell r="X265">
            <v>-2129.038</v>
          </cell>
          <cell r="Y265">
            <v>-2256.8339999999998</v>
          </cell>
          <cell r="Z265">
            <v>-2033.7070000000001</v>
          </cell>
          <cell r="AA265">
            <v>-876.49400000000003</v>
          </cell>
          <cell r="AB265">
            <v>-982.90899999999999</v>
          </cell>
          <cell r="AC265">
            <v>-1165</v>
          </cell>
        </row>
        <row r="266">
          <cell r="B266" t="str">
            <v>Minority interest</v>
          </cell>
          <cell r="C266" t="str">
            <v>INC_MINORITY</v>
          </cell>
          <cell r="D266" t="str">
            <v>TWD</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663.01700000000005</v>
          </cell>
          <cell r="U266">
            <v>2203.1379999999999</v>
          </cell>
          <cell r="V266">
            <v>52.948999999999998</v>
          </cell>
          <cell r="W266">
            <v>2142.779</v>
          </cell>
          <cell r="X266">
            <v>1945.527</v>
          </cell>
          <cell r="Y266">
            <v>525.24300000000005</v>
          </cell>
          <cell r="Z266">
            <v>661.75199999999995</v>
          </cell>
          <cell r="AA266">
            <v>612.97299999999996</v>
          </cell>
          <cell r="AB266">
            <v>4452.4520000000002</v>
          </cell>
          <cell r="AC266">
            <v>2997</v>
          </cell>
        </row>
        <row r="267">
          <cell r="B267" t="str">
            <v>Net income (pre-preferred dividends)</v>
          </cell>
          <cell r="C267" t="str">
            <v>NI_PRE_PREF</v>
          </cell>
          <cell r="D267" t="str">
            <v>TWD</v>
          </cell>
          <cell r="F267">
            <v>6492.7079999999996</v>
          </cell>
          <cell r="G267">
            <v>13440.682000000001</v>
          </cell>
          <cell r="H267">
            <v>7646.8959999999997</v>
          </cell>
          <cell r="I267">
            <v>9739.5519999999997</v>
          </cell>
          <cell r="J267">
            <v>4407.0209999999997</v>
          </cell>
          <cell r="K267">
            <v>10497.892</v>
          </cell>
          <cell r="L267">
            <v>50780.377999999997</v>
          </cell>
          <cell r="M267">
            <v>-3157.3020000000001</v>
          </cell>
          <cell r="N267">
            <v>7072.0320000000002</v>
          </cell>
          <cell r="O267">
            <v>14020.257</v>
          </cell>
          <cell r="P267">
            <v>31843.381000000001</v>
          </cell>
          <cell r="Q267">
            <v>7025.5360000000001</v>
          </cell>
          <cell r="R267">
            <v>33807.828000000001</v>
          </cell>
          <cell r="S267">
            <v>18502.607</v>
          </cell>
          <cell r="T267">
            <v>-22320.075000000001</v>
          </cell>
          <cell r="U267">
            <v>3225.0699999999902</v>
          </cell>
          <cell r="V267">
            <v>23830.455999999998</v>
          </cell>
          <cell r="W267">
            <v>10609.695</v>
          </cell>
          <cell r="X267">
            <v>7819.4480000000003</v>
          </cell>
          <cell r="Y267">
            <v>12630.203</v>
          </cell>
          <cell r="Z267">
            <v>12141.341</v>
          </cell>
          <cell r="AA267">
            <v>13448.624</v>
          </cell>
          <cell r="AB267">
            <v>8315.6319999999996</v>
          </cell>
          <cell r="AC267">
            <v>9629</v>
          </cell>
        </row>
        <row r="268">
          <cell r="B268" t="str">
            <v>Preferred dividends</v>
          </cell>
          <cell r="C268" t="str">
            <v>PREF_DIV</v>
          </cell>
          <cell r="D268" t="str">
            <v>TWD</v>
          </cell>
          <cell r="F268">
            <v>-35</v>
          </cell>
          <cell r="G268">
            <v>-35</v>
          </cell>
          <cell r="H268">
            <v>-35</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B269" t="str">
            <v>Net income (pre-exceptionals)</v>
          </cell>
          <cell r="C269" t="str">
            <v>NET_EARNING</v>
          </cell>
          <cell r="D269" t="str">
            <v>TWD</v>
          </cell>
          <cell r="F269">
            <v>6457.7079999999996</v>
          </cell>
          <cell r="G269">
            <v>13405.682000000001</v>
          </cell>
          <cell r="H269">
            <v>7611.8959999999997</v>
          </cell>
          <cell r="I269">
            <v>9739.5519999999997</v>
          </cell>
          <cell r="J269">
            <v>4407.0209999999997</v>
          </cell>
          <cell r="K269">
            <v>10497.892</v>
          </cell>
          <cell r="L269">
            <v>50780.377999999997</v>
          </cell>
          <cell r="M269">
            <v>-3157.3020000000001</v>
          </cell>
          <cell r="N269">
            <v>7072.0320000000002</v>
          </cell>
          <cell r="O269">
            <v>14020.257</v>
          </cell>
          <cell r="P269">
            <v>31843.381000000001</v>
          </cell>
          <cell r="Q269">
            <v>7025.5360000000001</v>
          </cell>
          <cell r="R269">
            <v>33807.828000000001</v>
          </cell>
          <cell r="S269">
            <v>18502.607</v>
          </cell>
          <cell r="T269">
            <v>-22320.075000000001</v>
          </cell>
          <cell r="U269">
            <v>3225.0699999999902</v>
          </cell>
          <cell r="V269">
            <v>23830.455999999998</v>
          </cell>
          <cell r="W269">
            <v>10609.695</v>
          </cell>
          <cell r="X269">
            <v>7819.4480000000003</v>
          </cell>
          <cell r="Y269">
            <v>12630.203</v>
          </cell>
          <cell r="Z269">
            <v>12141.341</v>
          </cell>
          <cell r="AA269">
            <v>13448.624</v>
          </cell>
          <cell r="AB269">
            <v>8315.6319999999996</v>
          </cell>
          <cell r="AC269">
            <v>9629</v>
          </cell>
        </row>
        <row r="270">
          <cell r="B270" t="str">
            <v>Post-tax exceptionals</v>
          </cell>
          <cell r="C270" t="str">
            <v>TAX_EXC</v>
          </cell>
          <cell r="D270" t="str">
            <v>TWD</v>
          </cell>
          <cell r="F270">
            <v>0</v>
          </cell>
          <cell r="G270">
            <v>0</v>
          </cell>
          <cell r="H270">
            <v>0</v>
          </cell>
          <cell r="I270">
            <v>0</v>
          </cell>
          <cell r="J270">
            <v>0</v>
          </cell>
          <cell r="K270">
            <v>0</v>
          </cell>
          <cell r="L270">
            <v>0</v>
          </cell>
          <cell r="M270">
            <v>0</v>
          </cell>
          <cell r="N270">
            <v>0</v>
          </cell>
          <cell r="O270">
            <v>0</v>
          </cell>
          <cell r="P270">
            <v>0</v>
          </cell>
          <cell r="Q270">
            <v>0</v>
          </cell>
          <cell r="R270">
            <v>-1188.5150000000001</v>
          </cell>
          <cell r="S270">
            <v>0</v>
          </cell>
          <cell r="T270">
            <v>0</v>
          </cell>
          <cell r="U270">
            <v>648.95799999999997</v>
          </cell>
          <cell r="V270">
            <v>68.448999999999998</v>
          </cell>
          <cell r="W270">
            <v>0</v>
          </cell>
          <cell r="X270">
            <v>0</v>
          </cell>
          <cell r="Y270">
            <v>0</v>
          </cell>
          <cell r="Z270">
            <v>0</v>
          </cell>
          <cell r="AA270">
            <v>0</v>
          </cell>
        </row>
        <row r="271">
          <cell r="B271" t="str">
            <v>Net income (post-exceptionals)</v>
          </cell>
          <cell r="C271" t="str">
            <v>NET_INC</v>
          </cell>
          <cell r="D271" t="str">
            <v>TWD</v>
          </cell>
          <cell r="F271">
            <v>6457.7079999999996</v>
          </cell>
          <cell r="G271">
            <v>13405.682000000001</v>
          </cell>
          <cell r="H271">
            <v>7611.8959999999997</v>
          </cell>
          <cell r="I271">
            <v>9739.5519999999997</v>
          </cell>
          <cell r="J271">
            <v>4407.0209999999997</v>
          </cell>
          <cell r="K271">
            <v>10497.892</v>
          </cell>
          <cell r="L271">
            <v>50780.377999999997</v>
          </cell>
          <cell r="M271">
            <v>-3157.3020000000001</v>
          </cell>
          <cell r="N271">
            <v>7072.0320000000002</v>
          </cell>
          <cell r="O271">
            <v>14020.257</v>
          </cell>
          <cell r="P271">
            <v>31843.381000000001</v>
          </cell>
          <cell r="Q271">
            <v>7026.692</v>
          </cell>
          <cell r="R271">
            <v>32619.312999999998</v>
          </cell>
          <cell r="S271">
            <v>16961.761999999999</v>
          </cell>
          <cell r="T271">
            <v>-22320.075000000001</v>
          </cell>
          <cell r="U271">
            <v>3874.0279999999898</v>
          </cell>
          <cell r="V271">
            <v>23898.904999999999</v>
          </cell>
          <cell r="W271">
            <v>10609.695</v>
          </cell>
          <cell r="X271">
            <v>7819.4480000000003</v>
          </cell>
          <cell r="Y271">
            <v>12630.203</v>
          </cell>
          <cell r="Z271">
            <v>12141.341</v>
          </cell>
          <cell r="AA271">
            <v>13448.624</v>
          </cell>
          <cell r="AB271">
            <v>8315.6319999999996</v>
          </cell>
          <cell r="AC271">
            <v>9629</v>
          </cell>
          <cell r="AI271">
            <v>3482.165</v>
          </cell>
          <cell r="AJ271">
            <v>5272.4279999999999</v>
          </cell>
          <cell r="AK271">
            <v>8720.4470000000001</v>
          </cell>
          <cell r="AL271">
            <v>6423.8649999999998</v>
          </cell>
          <cell r="AM271">
            <v>4483.4930000000004</v>
          </cell>
          <cell r="AN271">
            <v>3191.7710000000002</v>
          </cell>
          <cell r="AO271">
            <v>1954.2339999999999</v>
          </cell>
          <cell r="AP271">
            <v>980.197</v>
          </cell>
          <cell r="AQ271">
            <v>1335.45</v>
          </cell>
          <cell r="AR271">
            <v>2989.7370000000001</v>
          </cell>
          <cell r="AS271">
            <v>2416.614</v>
          </cell>
          <cell r="AT271">
            <v>1077.6469999999999</v>
          </cell>
          <cell r="AU271">
            <v>6592.7049999999999</v>
          </cell>
          <cell r="AV271">
            <v>1812</v>
          </cell>
          <cell r="AW271">
            <v>3476.0949999999998</v>
          </cell>
          <cell r="AX271">
            <v>749.40300000000002</v>
          </cell>
          <cell r="AY271">
            <v>1179.6980000000001</v>
          </cell>
          <cell r="AZ271">
            <v>3482.4209999999998</v>
          </cell>
          <cell r="BA271">
            <v>2915.944</v>
          </cell>
          <cell r="BB271">
            <v>4563.2780000000002</v>
          </cell>
          <cell r="BC271">
            <v>3979.91</v>
          </cell>
          <cell r="BD271">
            <v>4600.375</v>
          </cell>
          <cell r="BE271">
            <v>1708.479</v>
          </cell>
          <cell r="BF271">
            <v>3159.86</v>
          </cell>
          <cell r="BG271">
            <v>209.63200000000001</v>
          </cell>
          <cell r="BH271">
            <v>2583</v>
          </cell>
          <cell r="BI271">
            <v>2975</v>
          </cell>
          <cell r="BJ271">
            <v>2548</v>
          </cell>
          <cell r="BK271">
            <v>2286</v>
          </cell>
          <cell r="BL271">
            <v>2099</v>
          </cell>
          <cell r="BM271">
            <v>3473</v>
          </cell>
          <cell r="BN271">
            <v>1771</v>
          </cell>
          <cell r="BO271">
            <v>3400</v>
          </cell>
          <cell r="BP271">
            <v>3659</v>
          </cell>
        </row>
        <row r="272">
          <cell r="B272" t="str">
            <v>EPS (pre-exceptionals, basic)</v>
          </cell>
          <cell r="C272" t="str">
            <v>EPS</v>
          </cell>
          <cell r="D272" t="str">
            <v>TWD</v>
          </cell>
          <cell r="F272">
            <v>0.86544450049300004</v>
          </cell>
          <cell r="G272">
            <v>1.681135953354</v>
          </cell>
          <cell r="H272">
            <v>0.877498752795</v>
          </cell>
          <cell r="I272">
            <v>0.99884956768599997</v>
          </cell>
          <cell r="J272">
            <v>0.412898341354</v>
          </cell>
          <cell r="K272">
            <v>0.98714485516600003</v>
          </cell>
          <cell r="L272">
            <v>3.3681130455439998</v>
          </cell>
          <cell r="M272">
            <v>-0.20038067537000001</v>
          </cell>
          <cell r="N272">
            <v>0.44579478579699999</v>
          </cell>
          <cell r="O272">
            <v>0.87496078120200005</v>
          </cell>
          <cell r="P272">
            <v>1.9677836216589999</v>
          </cell>
          <cell r="Q272">
            <v>0.44401393004400003</v>
          </cell>
          <cell r="R272">
            <v>2.1997566691900001</v>
          </cell>
          <cell r="S272">
            <v>1.4170559319710001</v>
          </cell>
          <cell r="T272">
            <v>-1.7646112594159999</v>
          </cell>
          <cell r="U272">
            <v>8.0470560930999996E-2</v>
          </cell>
          <cell r="V272">
            <v>1.90261913621</v>
          </cell>
          <cell r="W272">
            <v>0.84467050136300004</v>
          </cell>
          <cell r="X272">
            <v>0.61934995346599997</v>
          </cell>
          <cell r="Y272">
            <v>1.0097699872079999</v>
          </cell>
          <cell r="Z272">
            <v>0.97169595838300005</v>
          </cell>
          <cell r="AA272">
            <v>1.075223281565</v>
          </cell>
          <cell r="AB272">
            <v>0.67663150186099996</v>
          </cell>
          <cell r="AC272">
            <v>0.78874508518999997</v>
          </cell>
        </row>
        <row r="273">
          <cell r="B273" t="str">
            <v>EPS (pre-exceptionals, diluted)</v>
          </cell>
          <cell r="C273" t="str">
            <v>EPS_FUL_DIL</v>
          </cell>
          <cell r="D273" t="str">
            <v>TWD</v>
          </cell>
          <cell r="F273">
            <v>0.86544450049300004</v>
          </cell>
          <cell r="G273">
            <v>1.681135953354</v>
          </cell>
          <cell r="H273">
            <v>0.877498752795</v>
          </cell>
          <cell r="I273">
            <v>0.99884956768599997</v>
          </cell>
          <cell r="J273">
            <v>0.412898341354</v>
          </cell>
          <cell r="K273">
            <v>0.98714485516600003</v>
          </cell>
          <cell r="L273">
            <v>3.3681130455439998</v>
          </cell>
          <cell r="M273">
            <v>-0.20038067537000001</v>
          </cell>
          <cell r="N273">
            <v>0.44579478579699999</v>
          </cell>
          <cell r="O273">
            <v>0.87496078120200005</v>
          </cell>
          <cell r="P273">
            <v>1.9677836216589999</v>
          </cell>
          <cell r="Q273">
            <v>0.44401393004400003</v>
          </cell>
          <cell r="R273">
            <v>2.1997566691900001</v>
          </cell>
          <cell r="S273">
            <v>1.4170559319710001</v>
          </cell>
          <cell r="T273">
            <v>-1.7646112594159999</v>
          </cell>
          <cell r="U273">
            <v>8.0470560930999996E-2</v>
          </cell>
          <cell r="V273">
            <v>1.90261913621</v>
          </cell>
          <cell r="W273">
            <v>0.84467050136300004</v>
          </cell>
          <cell r="X273">
            <v>0.61934995346599997</v>
          </cell>
          <cell r="Y273">
            <v>1.0097699872079999</v>
          </cell>
          <cell r="Z273">
            <v>0.97169595838300005</v>
          </cell>
          <cell r="AA273">
            <v>1.075223281565</v>
          </cell>
          <cell r="AB273">
            <v>0.67663150186099996</v>
          </cell>
          <cell r="AC273">
            <v>0.78874508518999997</v>
          </cell>
        </row>
        <row r="274">
          <cell r="B274" t="str">
            <v>EPS (post-exceptionals, basic)</v>
          </cell>
          <cell r="C274" t="str">
            <v>EPS_POST_BASIC</v>
          </cell>
          <cell r="D274" t="str">
            <v>TWD</v>
          </cell>
          <cell r="F274">
            <v>0.86544450049300004</v>
          </cell>
          <cell r="G274">
            <v>1.681135953354</v>
          </cell>
          <cell r="H274">
            <v>0.877498752795</v>
          </cell>
          <cell r="I274">
            <v>0.99884956768599997</v>
          </cell>
          <cell r="J274">
            <v>0.412898341354</v>
          </cell>
          <cell r="K274">
            <v>0.98714485516600003</v>
          </cell>
          <cell r="L274">
            <v>3.3681130455439998</v>
          </cell>
          <cell r="M274">
            <v>-0.20038067537000001</v>
          </cell>
          <cell r="N274">
            <v>0.44579478579699999</v>
          </cell>
          <cell r="O274">
            <v>0.87496078120200005</v>
          </cell>
          <cell r="P274">
            <v>1.9677836216589999</v>
          </cell>
          <cell r="Q274">
            <v>0.444086989253</v>
          </cell>
          <cell r="R274">
            <v>2.1224241709989999</v>
          </cell>
          <cell r="S274">
            <v>1.2990475049700001</v>
          </cell>
          <cell r="T274">
            <v>-1.7137056953000001</v>
          </cell>
          <cell r="U274">
            <v>0.30505474554200002</v>
          </cell>
          <cell r="V274">
            <v>1.9123331132850001</v>
          </cell>
          <cell r="W274">
            <v>0.84467050136300004</v>
          </cell>
          <cell r="X274">
            <v>0.61934995346599997</v>
          </cell>
          <cell r="Y274">
            <v>1.0097699872079999</v>
          </cell>
          <cell r="Z274">
            <v>0.97169595838300005</v>
          </cell>
          <cell r="AA274">
            <v>1.075223281565</v>
          </cell>
          <cell r="AB274">
            <v>0.67663150186099996</v>
          </cell>
          <cell r="AC274">
            <v>0.78874508518999997</v>
          </cell>
          <cell r="AQ274">
            <v>0.105878855149</v>
          </cell>
          <cell r="AR274">
            <v>0.23686713674500001</v>
          </cell>
          <cell r="AS274">
            <v>0.19135434317800001</v>
          </cell>
          <cell r="AT274">
            <v>8.5277122735000002E-2</v>
          </cell>
          <cell r="AU274">
            <v>0.52194640170999995</v>
          </cell>
          <cell r="AV274">
            <v>0.14536702767699999</v>
          </cell>
          <cell r="AW274">
            <v>0.278980337079</v>
          </cell>
          <cell r="AX274">
            <v>6.0067569734000001E-2</v>
          </cell>
          <cell r="AY274">
            <v>9.4527083333E-2</v>
          </cell>
          <cell r="AZ274">
            <v>0.27883905837099998</v>
          </cell>
          <cell r="BA274">
            <v>0.233256859451</v>
          </cell>
          <cell r="BB274">
            <v>0.36477042366099999</v>
          </cell>
          <cell r="BC274">
            <v>0.317731917611</v>
          </cell>
          <cell r="BD274">
            <v>0.365922287623</v>
          </cell>
          <cell r="BE274">
            <v>0.13640550898199999</v>
          </cell>
          <cell r="BF274">
            <v>0.25466312056700002</v>
          </cell>
          <cell r="BG274">
            <v>1.6894906511999999E-2</v>
          </cell>
          <cell r="BH274">
            <v>0.20940413457599999</v>
          </cell>
          <cell r="BI274">
            <v>0.24369266055</v>
          </cell>
          <cell r="BJ274">
            <v>0.20871559633</v>
          </cell>
          <cell r="BK274">
            <v>0.187254259502</v>
          </cell>
          <cell r="BL274">
            <v>0.17193643512500001</v>
          </cell>
          <cell r="BM274">
            <v>0.28448558322400003</v>
          </cell>
          <cell r="BN274">
            <v>0.14506880733899999</v>
          </cell>
          <cell r="BO274">
            <v>0.27850589777200002</v>
          </cell>
          <cell r="BP274">
            <v>0.30367665366399998</v>
          </cell>
        </row>
        <row r="275">
          <cell r="B275" t="str">
            <v>EPS (post-exceptionals, diluted)</v>
          </cell>
          <cell r="C275" t="str">
            <v>FULLY_DIL_EPS</v>
          </cell>
          <cell r="D275" t="str">
            <v>TWD</v>
          </cell>
          <cell r="F275">
            <v>0.86544450049300004</v>
          </cell>
          <cell r="G275">
            <v>1.681135953354</v>
          </cell>
          <cell r="H275">
            <v>0.877498752795</v>
          </cell>
          <cell r="I275">
            <v>0.99884956768599997</v>
          </cell>
          <cell r="J275">
            <v>0.412898341354</v>
          </cell>
          <cell r="K275">
            <v>0.98714485516600003</v>
          </cell>
          <cell r="L275">
            <v>3.3681130455439998</v>
          </cell>
          <cell r="M275">
            <v>-0.20038067537000001</v>
          </cell>
          <cell r="N275">
            <v>0.44579478579699999</v>
          </cell>
          <cell r="O275">
            <v>0.87496078120200005</v>
          </cell>
          <cell r="P275">
            <v>1.9677836216589999</v>
          </cell>
          <cell r="Q275">
            <v>0.444086989253</v>
          </cell>
          <cell r="R275">
            <v>2.1224241709989999</v>
          </cell>
          <cell r="S275">
            <v>1.2990475049700001</v>
          </cell>
          <cell r="T275">
            <v>-1.7137056953000001</v>
          </cell>
          <cell r="U275">
            <v>0.30505474554200002</v>
          </cell>
          <cell r="V275">
            <v>1.9123331132850001</v>
          </cell>
          <cell r="W275">
            <v>0.84467050136300004</v>
          </cell>
          <cell r="X275">
            <v>0.61934995346599997</v>
          </cell>
          <cell r="Y275">
            <v>1.0097699872079999</v>
          </cell>
          <cell r="Z275">
            <v>0.97169595838300005</v>
          </cell>
          <cell r="AA275">
            <v>1.075223281565</v>
          </cell>
          <cell r="AB275">
            <v>0.67663150186099996</v>
          </cell>
          <cell r="AC275">
            <v>0.78874508518999997</v>
          </cell>
        </row>
        <row r="276">
          <cell r="B276" t="str">
            <v>Common dividends paid</v>
          </cell>
          <cell r="C276" t="str">
            <v>COMMON_DIV_PAID</v>
          </cell>
          <cell r="D276" t="str">
            <v>TWD</v>
          </cell>
          <cell r="F276">
            <v>0</v>
          </cell>
          <cell r="G276">
            <v>0</v>
          </cell>
          <cell r="H276">
            <v>0</v>
          </cell>
          <cell r="I276">
            <v>-979.41200000000003</v>
          </cell>
          <cell r="J276">
            <v>-1182.8520000000001</v>
          </cell>
          <cell r="K276">
            <v>-879.92</v>
          </cell>
          <cell r="L276">
            <v>-105</v>
          </cell>
          <cell r="M276">
            <v>-105</v>
          </cell>
          <cell r="N276">
            <v>0</v>
          </cell>
          <cell r="O276">
            <v>0</v>
          </cell>
          <cell r="P276">
            <v>0</v>
          </cell>
          <cell r="Q276">
            <v>0</v>
          </cell>
          <cell r="R276">
            <v>-7161.2668299999996</v>
          </cell>
          <cell r="S276">
            <v>-12461.529283</v>
          </cell>
          <cell r="T276">
            <v>-9382.6469489999999</v>
          </cell>
          <cell r="U276">
            <v>0</v>
          </cell>
          <cell r="V276">
            <v>-6233</v>
          </cell>
          <cell r="W276">
            <v>-14034</v>
          </cell>
          <cell r="X276">
            <v>-6316</v>
          </cell>
          <cell r="Y276">
            <v>-5061</v>
          </cell>
          <cell r="Z276">
            <v>-6253.1571450000001</v>
          </cell>
          <cell r="AA276">
            <v>-6889.3</v>
          </cell>
          <cell r="AB276">
            <v>-7631.0850113838296</v>
          </cell>
          <cell r="AC276">
            <v>-6312.15</v>
          </cell>
        </row>
        <row r="277">
          <cell r="B277" t="str">
            <v>DPS, dividend per share</v>
          </cell>
          <cell r="C277" t="str">
            <v>DPS</v>
          </cell>
          <cell r="D277" t="str">
            <v>TWD</v>
          </cell>
          <cell r="F277">
            <v>0</v>
          </cell>
          <cell r="G277">
            <v>0</v>
          </cell>
          <cell r="H277">
            <v>0</v>
          </cell>
          <cell r="I277">
            <v>0.10044458027399999</v>
          </cell>
          <cell r="J277">
            <v>0.11082261562700001</v>
          </cell>
          <cell r="K277">
            <v>8.2741233075000004E-2</v>
          </cell>
          <cell r="L277">
            <v>6.9643402560000001E-3</v>
          </cell>
          <cell r="M277">
            <v>6.6639088659999996E-3</v>
          </cell>
          <cell r="N277">
            <v>0</v>
          </cell>
          <cell r="O277">
            <v>0</v>
          </cell>
          <cell r="P277">
            <v>0</v>
          </cell>
          <cell r="R277">
            <v>0.46595850228399999</v>
          </cell>
          <cell r="S277">
            <v>0.954388967561</v>
          </cell>
          <cell r="T277">
            <v>0.72038716328200003</v>
          </cell>
          <cell r="U277">
            <v>0</v>
          </cell>
          <cell r="V277">
            <v>0.49874972493899999</v>
          </cell>
          <cell r="W277">
            <v>1.1172899707420001</v>
          </cell>
          <cell r="X277">
            <v>0.50026732143899999</v>
          </cell>
          <cell r="Y277">
            <v>0.40462104253300002</v>
          </cell>
          <cell r="Z277">
            <v>0.50045275270099998</v>
          </cell>
          <cell r="AA277">
            <v>0.550802502448</v>
          </cell>
          <cell r="AB277">
            <v>0.620930857941</v>
          </cell>
          <cell r="AC277">
            <v>0.51705029488900001</v>
          </cell>
        </row>
        <row r="278">
          <cell r="B278" t="str">
            <v>Weighted average shares outstanding, basic</v>
          </cell>
          <cell r="C278" t="str">
            <v>SH</v>
          </cell>
          <cell r="F278">
            <v>7461.7240000000002</v>
          </cell>
          <cell r="G278">
            <v>7974.1819999999998</v>
          </cell>
          <cell r="H278">
            <v>8674.5380000000005</v>
          </cell>
          <cell r="I278">
            <v>9750.77</v>
          </cell>
          <cell r="J278">
            <v>10673.380999999999</v>
          </cell>
          <cell r="K278">
            <v>10634.601000000001</v>
          </cell>
          <cell r="L278">
            <v>15076.805</v>
          </cell>
          <cell r="M278">
            <v>15756.518</v>
          </cell>
          <cell r="N278">
            <v>15863.871999999999</v>
          </cell>
          <cell r="O278">
            <v>16023.869000000001</v>
          </cell>
          <cell r="P278">
            <v>16182.359</v>
          </cell>
          <cell r="Q278">
            <v>15822.781999999999</v>
          </cell>
          <cell r="R278">
            <v>15368.894</v>
          </cell>
          <cell r="S278">
            <v>13057.075999999999</v>
          </cell>
          <cell r="T278">
            <v>13024.450500000001</v>
          </cell>
          <cell r="U278">
            <v>12699.451677499999</v>
          </cell>
          <cell r="V278">
            <v>12497.25</v>
          </cell>
          <cell r="W278">
            <v>12560.75</v>
          </cell>
          <cell r="X278">
            <v>12625.25</v>
          </cell>
          <cell r="Y278">
            <v>12508</v>
          </cell>
          <cell r="Z278">
            <v>12495</v>
          </cell>
          <cell r="AA278">
            <v>12507.75</v>
          </cell>
          <cell r="AB278">
            <v>12289.75</v>
          </cell>
          <cell r="AC278">
            <v>12208</v>
          </cell>
        </row>
        <row r="279">
          <cell r="B279" t="str">
            <v>Diluted average shares outstanding (mn)</v>
          </cell>
          <cell r="C279" t="str">
            <v>DILUTE_SHARES</v>
          </cell>
          <cell r="F279">
            <v>7461.7240000000002</v>
          </cell>
          <cell r="G279">
            <v>7974.1819999999998</v>
          </cell>
          <cell r="H279">
            <v>8674.5380000000005</v>
          </cell>
          <cell r="I279">
            <v>9750.77</v>
          </cell>
          <cell r="J279">
            <v>10673.380999999999</v>
          </cell>
          <cell r="K279">
            <v>10634.601000000001</v>
          </cell>
          <cell r="L279">
            <v>15076.805</v>
          </cell>
          <cell r="M279">
            <v>15756.518</v>
          </cell>
          <cell r="N279">
            <v>15863.871999999999</v>
          </cell>
          <cell r="O279">
            <v>16023.869000000001</v>
          </cell>
          <cell r="P279">
            <v>16182.359</v>
          </cell>
          <cell r="Q279">
            <v>15822.781999999999</v>
          </cell>
          <cell r="R279">
            <v>15368.894</v>
          </cell>
          <cell r="S279">
            <v>13057.075999999999</v>
          </cell>
          <cell r="T279">
            <v>13024.450500000001</v>
          </cell>
          <cell r="U279">
            <v>12699.451677499999</v>
          </cell>
          <cell r="V279">
            <v>12497.25</v>
          </cell>
          <cell r="W279">
            <v>12560.75</v>
          </cell>
          <cell r="X279">
            <v>12625.25</v>
          </cell>
          <cell r="Y279">
            <v>12508</v>
          </cell>
          <cell r="Z279">
            <v>12495</v>
          </cell>
          <cell r="AA279">
            <v>12507.75</v>
          </cell>
          <cell r="AB279">
            <v>12289.75</v>
          </cell>
          <cell r="AC279">
            <v>12208</v>
          </cell>
        </row>
        <row r="280">
          <cell r="B280" t="str">
            <v>Period-end shares outstanding</v>
          </cell>
          <cell r="C280" t="str">
            <v>NON_OP_ADD</v>
          </cell>
          <cell r="F280">
            <v>7461.7240000000002</v>
          </cell>
          <cell r="G280">
            <v>7974.1819999999998</v>
          </cell>
          <cell r="H280">
            <v>8674.5380000000005</v>
          </cell>
          <cell r="I280">
            <v>9750.77</v>
          </cell>
          <cell r="J280">
            <v>10673.380999999999</v>
          </cell>
          <cell r="K280">
            <v>10634.601000000001</v>
          </cell>
          <cell r="L280">
            <v>15076.805</v>
          </cell>
          <cell r="M280">
            <v>15756.518</v>
          </cell>
          <cell r="N280">
            <v>15863.871999999999</v>
          </cell>
          <cell r="O280">
            <v>16023.869000000001</v>
          </cell>
          <cell r="P280">
            <v>16182.359</v>
          </cell>
          <cell r="Q280">
            <v>15822.781999999999</v>
          </cell>
          <cell r="R280">
            <v>15368.894</v>
          </cell>
          <cell r="S280">
            <v>13057.075999999999</v>
          </cell>
          <cell r="T280">
            <v>13024.450500000001</v>
          </cell>
          <cell r="U280">
            <v>12699.451677499999</v>
          </cell>
          <cell r="V280">
            <v>12497.25</v>
          </cell>
          <cell r="W280">
            <v>12560.75</v>
          </cell>
          <cell r="X280">
            <v>12625.25</v>
          </cell>
          <cell r="Y280">
            <v>12508</v>
          </cell>
          <cell r="Z280">
            <v>12495</v>
          </cell>
          <cell r="AA280">
            <v>12507.75</v>
          </cell>
          <cell r="AB280">
            <v>12289.75</v>
          </cell>
          <cell r="AC280">
            <v>12208</v>
          </cell>
        </row>
        <row r="281">
          <cell r="A281" t="str">
            <v>Additional Income Statement Items</v>
          </cell>
        </row>
        <row r="282">
          <cell r="B282" t="str">
            <v>Marginal tax rate</v>
          </cell>
          <cell r="C282" t="str">
            <v>MARGIN_TAX_RATE</v>
          </cell>
          <cell r="F282">
            <v>2.5784999999999999E-2</v>
          </cell>
          <cell r="G282">
            <v>0</v>
          </cell>
          <cell r="H282">
            <v>0</v>
          </cell>
          <cell r="I282">
            <v>1.2043E-2</v>
          </cell>
          <cell r="J282">
            <v>0</v>
          </cell>
          <cell r="K282">
            <v>2.6389999999999999E-3</v>
          </cell>
          <cell r="L282">
            <v>0</v>
          </cell>
          <cell r="M282">
            <v>0.50300199999999995</v>
          </cell>
          <cell r="N282">
            <v>1.7030000000000001E-3</v>
          </cell>
          <cell r="O282">
            <v>5.3668E-2</v>
          </cell>
          <cell r="P282">
            <v>1.0640000000000001E-3</v>
          </cell>
          <cell r="Q282">
            <v>2.8400000000000002E-4</v>
          </cell>
          <cell r="R282">
            <v>8.6670999999999998E-2</v>
          </cell>
          <cell r="S282">
            <v>5.4365891153000001E-2</v>
          </cell>
          <cell r="T282">
            <v>0</v>
          </cell>
          <cell r="U282">
            <v>0.38916198445900002</v>
          </cell>
          <cell r="V282">
            <v>6.3273636177000006E-2</v>
          </cell>
          <cell r="W282">
            <v>9.7377486193999996E-2</v>
          </cell>
          <cell r="X282">
            <v>0.26603135165399999</v>
          </cell>
          <cell r="Y282">
            <v>0.15714151031500001</v>
          </cell>
          <cell r="Z282">
            <v>0.150496740396</v>
          </cell>
          <cell r="AA282">
            <v>6.3920998502000004E-2</v>
          </cell>
          <cell r="AB282">
            <v>0.202825206058</v>
          </cell>
          <cell r="AC282">
            <v>0.14941644222100001</v>
          </cell>
        </row>
        <row r="283">
          <cell r="B283" t="str">
            <v>Net income (consensus) (Pub)</v>
          </cell>
          <cell r="C283" t="str">
            <v>NI_CONS</v>
          </cell>
          <cell r="D283" t="str">
            <v>TWD</v>
          </cell>
        </row>
        <row r="284">
          <cell r="A284" t="str">
            <v>ESO</v>
          </cell>
        </row>
        <row r="285">
          <cell r="B285" t="str">
            <v>Fair value of grant</v>
          </cell>
          <cell r="C285" t="str">
            <v>FV_GRANT</v>
          </cell>
          <cell r="D285" t="str">
            <v>TWD</v>
          </cell>
        </row>
        <row r="286">
          <cell r="B286" t="str">
            <v>ESO expense (post-tax)</v>
          </cell>
          <cell r="C286" t="str">
            <v>ESO_POST_TAX</v>
          </cell>
          <cell r="D286" t="str">
            <v>TWD</v>
          </cell>
        </row>
        <row r="287">
          <cell r="B287" t="str">
            <v>EPS (excl. ESO expense, basic)</v>
          </cell>
          <cell r="C287" t="str">
            <v>EPS_EX_ESO_B</v>
          </cell>
          <cell r="D287" t="str">
            <v>TWD</v>
          </cell>
          <cell r="O287">
            <v>0.87496078120200005</v>
          </cell>
          <cell r="P287">
            <v>1.9677836216589999</v>
          </cell>
          <cell r="Q287">
            <v>0.444086989253</v>
          </cell>
          <cell r="R287">
            <v>2.1224241709989999</v>
          </cell>
          <cell r="S287">
            <v>1.2990475049700001</v>
          </cell>
          <cell r="T287">
            <v>-1.7137056953000001</v>
          </cell>
          <cell r="U287">
            <v>0.30505474554200002</v>
          </cell>
          <cell r="V287">
            <v>1.9123331132850001</v>
          </cell>
          <cell r="W287">
            <v>0.84467050136300004</v>
          </cell>
          <cell r="X287">
            <v>0.61934995346599997</v>
          </cell>
          <cell r="Y287">
            <v>1.0097699872079999</v>
          </cell>
          <cell r="Z287">
            <v>0.97169595838300005</v>
          </cell>
          <cell r="AA287">
            <v>1.075223281565</v>
          </cell>
          <cell r="AB287">
            <v>0.67663150186099996</v>
          </cell>
          <cell r="AC287">
            <v>0.78874508518999997</v>
          </cell>
        </row>
        <row r="288">
          <cell r="B288" t="str">
            <v>EPS (excl. ESO expense, diluted)</v>
          </cell>
          <cell r="C288" t="str">
            <v>EPS_EX_ESO_D</v>
          </cell>
          <cell r="D288" t="str">
            <v>TWD</v>
          </cell>
          <cell r="O288">
            <v>0.87496078120200005</v>
          </cell>
          <cell r="P288">
            <v>1.9677836216589999</v>
          </cell>
          <cell r="Q288">
            <v>0.444086989253</v>
          </cell>
          <cell r="R288">
            <v>2.1224241709989999</v>
          </cell>
          <cell r="S288">
            <v>1.2990475049700001</v>
          </cell>
          <cell r="T288">
            <v>-1.7137056953000001</v>
          </cell>
          <cell r="U288">
            <v>0.30505474554200002</v>
          </cell>
          <cell r="V288">
            <v>1.9123331132850001</v>
          </cell>
          <cell r="W288">
            <v>0.84467050136300004</v>
          </cell>
          <cell r="X288">
            <v>0.61934995346599997</v>
          </cell>
          <cell r="Y288">
            <v>1.0097699872079999</v>
          </cell>
          <cell r="Z288">
            <v>0.97169595838300005</v>
          </cell>
          <cell r="AA288">
            <v>1.075223281565</v>
          </cell>
          <cell r="AB288">
            <v>0.67663150186099996</v>
          </cell>
          <cell r="AC288">
            <v>0.78874508518999997</v>
          </cell>
        </row>
        <row r="289">
          <cell r="B289" t="str">
            <v>Year that ESO expense takes effect</v>
          </cell>
          <cell r="C289" t="str">
            <v>ESO_YEAR</v>
          </cell>
        </row>
        <row r="290">
          <cell r="A290" t="str">
            <v>Balance Sheet</v>
          </cell>
        </row>
        <row r="291">
          <cell r="B291" t="str">
            <v>BVPS, book value per share</v>
          </cell>
          <cell r="C291" t="str">
            <v>BVPS</v>
          </cell>
          <cell r="D291" t="str">
            <v>TWD</v>
          </cell>
          <cell r="F291">
            <v>2.4980028744029998</v>
          </cell>
          <cell r="G291">
            <v>3.9334651274680001</v>
          </cell>
          <cell r="H291">
            <v>5.3037639201779996</v>
          </cell>
          <cell r="I291">
            <v>6.8469332920139996</v>
          </cell>
          <cell r="J291">
            <v>7.1708064201959996</v>
          </cell>
          <cell r="K291">
            <v>11.219193649108</v>
          </cell>
          <cell r="L291">
            <v>15.785947553212001</v>
          </cell>
          <cell r="M291">
            <v>14.817087062002001</v>
          </cell>
          <cell r="N291">
            <v>13.706197515966</v>
          </cell>
          <cell r="O291">
            <v>14.493498603552</v>
          </cell>
          <cell r="P291">
            <v>16.461320626986002</v>
          </cell>
          <cell r="Q291">
            <v>16.323522565865002</v>
          </cell>
          <cell r="R291">
            <v>18.945075880539001</v>
          </cell>
          <cell r="S291">
            <v>18.110248343504001</v>
          </cell>
          <cell r="T291">
            <v>14.715269100987999</v>
          </cell>
          <cell r="U291">
            <v>16.858700787791999</v>
          </cell>
          <cell r="V291">
            <v>18.014845586029001</v>
          </cell>
          <cell r="W291">
            <v>16.887921740342001</v>
          </cell>
          <cell r="X291">
            <v>16.238961208688998</v>
          </cell>
          <cell r="Y291">
            <v>16.984424048609</v>
          </cell>
          <cell r="Z291">
            <v>18.007911244498001</v>
          </cell>
          <cell r="AA291">
            <v>18.294049929044</v>
          </cell>
          <cell r="AB291">
            <v>17.798734717955998</v>
          </cell>
          <cell r="AC291">
            <v>17.532601572739001</v>
          </cell>
        </row>
        <row r="292">
          <cell r="A292" t="str">
            <v>Cash Flow Statement</v>
          </cell>
        </row>
        <row r="293">
          <cell r="B293" t="str">
            <v>Net income (pre-preferred dividends)</v>
          </cell>
          <cell r="C293" t="str">
            <v>CF_NI_PRE_PREF</v>
          </cell>
          <cell r="D293" t="str">
            <v>TWD</v>
          </cell>
          <cell r="F293">
            <v>6492.7079999999996</v>
          </cell>
          <cell r="G293">
            <v>13440.682000000001</v>
          </cell>
          <cell r="H293">
            <v>7646.8959999999997</v>
          </cell>
          <cell r="I293">
            <v>9739.5519999999997</v>
          </cell>
          <cell r="J293">
            <v>4407.0209999999997</v>
          </cell>
          <cell r="K293">
            <v>10497.892</v>
          </cell>
          <cell r="L293">
            <v>50780.377999999997</v>
          </cell>
          <cell r="M293">
            <v>-3157.3020000000001</v>
          </cell>
          <cell r="N293">
            <v>7072.0320000000002</v>
          </cell>
          <cell r="O293">
            <v>14020.257</v>
          </cell>
          <cell r="P293">
            <v>31843.381000000001</v>
          </cell>
          <cell r="Q293">
            <v>7025.5360000000001</v>
          </cell>
          <cell r="R293">
            <v>33807.828000000001</v>
          </cell>
          <cell r="S293">
            <v>18502.607</v>
          </cell>
          <cell r="T293">
            <v>-22983.092000000001</v>
          </cell>
          <cell r="U293">
            <v>1021.93199999999</v>
          </cell>
          <cell r="V293">
            <v>23777.507000000001</v>
          </cell>
          <cell r="W293">
            <v>8466.9159999999993</v>
          </cell>
          <cell r="X293">
            <v>5873.9210000000003</v>
          </cell>
          <cell r="Y293">
            <v>12104.96</v>
          </cell>
          <cell r="Z293">
            <v>11479.589</v>
          </cell>
          <cell r="AA293">
            <v>12835.651</v>
          </cell>
          <cell r="AB293">
            <v>3863.18</v>
          </cell>
          <cell r="AC293">
            <v>6632</v>
          </cell>
        </row>
        <row r="294">
          <cell r="A294" t="str">
            <v>Other Items</v>
          </cell>
        </row>
        <row r="295">
          <cell r="B295" t="str">
            <v>Adjusted EPS (fully loaded)</v>
          </cell>
          <cell r="C295" t="str">
            <v>ADJ_EPS_TW</v>
          </cell>
          <cell r="D295" t="str">
            <v>TWD</v>
          </cell>
          <cell r="F295">
            <v>0.16556187406799999</v>
          </cell>
          <cell r="G295">
            <v>1.045540849257</v>
          </cell>
          <cell r="H295">
            <v>0.179256757697</v>
          </cell>
          <cell r="I295">
            <v>0.735650858746</v>
          </cell>
          <cell r="J295">
            <v>0.24085340734399999</v>
          </cell>
          <cell r="K295">
            <v>0.32699913129500002</v>
          </cell>
          <cell r="L295">
            <v>2.9723982300639999</v>
          </cell>
          <cell r="M295">
            <v>-0.48602571436100001</v>
          </cell>
          <cell r="N295">
            <v>0.35407900665399999</v>
          </cell>
          <cell r="O295">
            <v>0.70079548830799998</v>
          </cell>
          <cell r="P295">
            <v>1.7555313224519999</v>
          </cell>
          <cell r="Q295">
            <v>0.37261698980300001</v>
          </cell>
          <cell r="R295">
            <v>1.9712018812630001</v>
          </cell>
          <cell r="S295">
            <v>1.658994344863</v>
          </cell>
          <cell r="T295">
            <v>-1.7219462430850001</v>
          </cell>
          <cell r="U295">
            <v>0.31010574590899997</v>
          </cell>
          <cell r="V295">
            <v>1.9153886889589999</v>
          </cell>
          <cell r="W295">
            <v>0.84609618684999999</v>
          </cell>
          <cell r="X295">
            <v>0.61937745780800002</v>
          </cell>
          <cell r="Y295">
            <v>1.0063613361999999</v>
          </cell>
          <cell r="Z295">
            <v>0.97139342481699997</v>
          </cell>
          <cell r="AA295">
            <v>1.0747228347840001</v>
          </cell>
          <cell r="AB295">
            <v>0.67870729796899998</v>
          </cell>
          <cell r="AC295">
            <v>0.78874508518999997</v>
          </cell>
        </row>
        <row r="296">
          <cell r="B296" t="str">
            <v>Adjusted net income (fully loaded)</v>
          </cell>
          <cell r="C296" t="str">
            <v>ADJ_NI_TW</v>
          </cell>
          <cell r="D296" t="str">
            <v>TWD</v>
          </cell>
          <cell r="F296">
            <v>1235.3774000000001</v>
          </cell>
          <cell r="G296">
            <v>8337.3317399999996</v>
          </cell>
          <cell r="H296">
            <v>1554.9694999999999</v>
          </cell>
          <cell r="I296">
            <v>7173.1620300000004</v>
          </cell>
          <cell r="J296">
            <v>2570.7199999999998</v>
          </cell>
          <cell r="K296">
            <v>3477.5054</v>
          </cell>
          <cell r="L296">
            <v>44814.263550000003</v>
          </cell>
          <cell r="M296">
            <v>-7658.0735999999997</v>
          </cell>
          <cell r="N296">
            <v>5617.0645000000004</v>
          </cell>
          <cell r="O296">
            <v>11229.45515</v>
          </cell>
          <cell r="P296">
            <v>28408.639922999999</v>
          </cell>
          <cell r="Q296">
            <v>5895.8377179999998</v>
          </cell>
          <cell r="R296">
            <v>30295.193595000001</v>
          </cell>
          <cell r="S296">
            <v>21661.615244444802</v>
          </cell>
          <cell r="T296">
            <v>-22320.075000000001</v>
          </cell>
          <cell r="U296">
            <v>3874.0279999999898</v>
          </cell>
          <cell r="V296">
            <v>23898.904999999999</v>
          </cell>
          <cell r="W296">
            <v>10609.695</v>
          </cell>
          <cell r="X296">
            <v>7819.4480000000003</v>
          </cell>
          <cell r="Y296">
            <v>12630.203</v>
          </cell>
          <cell r="Z296">
            <v>12141.341</v>
          </cell>
          <cell r="AA296">
            <v>13448.624</v>
          </cell>
          <cell r="AB296">
            <v>8315.6319999999996</v>
          </cell>
          <cell r="AC296">
            <v>9629</v>
          </cell>
        </row>
        <row r="297">
          <cell r="B297" t="str">
            <v>Beta</v>
          </cell>
          <cell r="C297" t="str">
            <v>BETA_ANALYST</v>
          </cell>
        </row>
        <row r="298">
          <cell r="B298" t="str">
            <v>Market equity risk premium</v>
          </cell>
          <cell r="C298" t="str">
            <v>MKT_EQ_RISK_PREM</v>
          </cell>
        </row>
        <row r="299">
          <cell r="B299" t="str">
            <v>Risk-free rate</v>
          </cell>
          <cell r="C299" t="str">
            <v>RISK_FR_RATE</v>
          </cell>
        </row>
        <row r="300">
          <cell r="A300" t="str">
            <v>Security: United Microelectronics Corp. (ADR)</v>
          </cell>
          <cell r="B300" t="str">
            <v>44M01</v>
          </cell>
        </row>
        <row r="301">
          <cell r="A301" t="str">
            <v>Reference Data</v>
          </cell>
        </row>
        <row r="302">
          <cell r="B302" t="str">
            <v>Ticker</v>
          </cell>
          <cell r="C302" t="str">
            <v>Ticker</v>
          </cell>
          <cell r="E302" t="str">
            <v>UMC</v>
          </cell>
        </row>
        <row r="303">
          <cell r="B303" t="str">
            <v>Security Name</v>
          </cell>
          <cell r="C303" t="str">
            <v>Security Name</v>
          </cell>
          <cell r="E303" t="str">
            <v>United Microelectronics Corp. (ADR)</v>
          </cell>
        </row>
        <row r="304">
          <cell r="B304" t="str">
            <v>Interim Type</v>
          </cell>
          <cell r="C304" t="str">
            <v>Interim Type</v>
          </cell>
          <cell r="E304" t="str">
            <v>Q</v>
          </cell>
        </row>
        <row r="305">
          <cell r="B305" t="str">
            <v>Publishing Currency</v>
          </cell>
          <cell r="C305" t="str">
            <v>PUB_CURRENCY_ISO</v>
          </cell>
          <cell r="E305" t="str">
            <v>USD</v>
          </cell>
        </row>
        <row r="306">
          <cell r="B306" t="str">
            <v>Pricing Currency</v>
          </cell>
          <cell r="C306" t="str">
            <v>PRICE_CURRENCY_ISO</v>
          </cell>
          <cell r="E306" t="str">
            <v>USD</v>
          </cell>
        </row>
        <row r="307">
          <cell r="B307" t="str">
            <v>Reporting Currency</v>
          </cell>
          <cell r="C307" t="str">
            <v>CURRENCY_ISO</v>
          </cell>
          <cell r="E307" t="str">
            <v>TWD</v>
          </cell>
        </row>
        <row r="308">
          <cell r="A308" t="str">
            <v>General Information</v>
          </cell>
        </row>
        <row r="309">
          <cell r="B309" t="str">
            <v>Asia ex. Japan Investment List</v>
          </cell>
          <cell r="C309" t="str">
            <v>AEJ_LIST</v>
          </cell>
        </row>
        <row r="310">
          <cell r="B310" t="str">
            <v>Asia ex. Japan Conviction List</v>
          </cell>
          <cell r="C310" t="str">
            <v>AEJ_CONVICTION</v>
          </cell>
        </row>
        <row r="311">
          <cell r="B311" t="str">
            <v>Legal rating</v>
          </cell>
          <cell r="C311" t="str">
            <v>LEGAL_RATING</v>
          </cell>
          <cell r="E311" t="str">
            <v>Coverage Suspended</v>
          </cell>
        </row>
        <row r="312">
          <cell r="B312" t="str">
            <v>Target price</v>
          </cell>
          <cell r="C312" t="str">
            <v>TARGET_PRICE</v>
          </cell>
          <cell r="D312" t="str">
            <v>USD</v>
          </cell>
        </row>
        <row r="313">
          <cell r="B313" t="str">
            <v>Target price period</v>
          </cell>
          <cell r="C313" t="str">
            <v>TP_PERIOD</v>
          </cell>
        </row>
        <row r="314">
          <cell r="B314" t="str">
            <v>Fundamental value</v>
          </cell>
          <cell r="C314" t="str">
            <v>TARGET_PRICE_FUNDAMENTAL</v>
          </cell>
          <cell r="D314" t="str">
            <v>USD</v>
          </cell>
        </row>
        <row r="315">
          <cell r="B315" t="str">
            <v>M&amp;A value</v>
          </cell>
          <cell r="C315" t="str">
            <v>TARGET_PRICE_MA</v>
          </cell>
          <cell r="D315" t="str">
            <v>USD</v>
          </cell>
        </row>
        <row r="316">
          <cell r="B316" t="str">
            <v>Current shares outstanding (mn)</v>
          </cell>
          <cell r="C316" t="str">
            <v>NUM_SH</v>
          </cell>
          <cell r="E316">
            <v>2594.4</v>
          </cell>
        </row>
        <row r="317">
          <cell r="B317" t="str">
            <v>Free float</v>
          </cell>
          <cell r="C317" t="str">
            <v>FREE_FLOAT</v>
          </cell>
          <cell r="E317">
            <v>0.93630000000000002</v>
          </cell>
        </row>
        <row r="318">
          <cell r="B318" t="str">
            <v>Foreign ownership</v>
          </cell>
          <cell r="C318" t="str">
            <v>FOREIGN_HOLDNG</v>
          </cell>
        </row>
        <row r="319">
          <cell r="B319" t="str">
            <v>2303.TW_Exchange_Sheet'!B291</v>
          </cell>
          <cell r="C319" t="str">
            <v>ACT1</v>
          </cell>
          <cell r="E319">
            <v>3.0300000000000001E-2</v>
          </cell>
        </row>
        <row r="320">
          <cell r="B320" t="str">
            <v>2303.TW_Exchange_Sheet'!B292</v>
          </cell>
          <cell r="C320" t="str">
            <v>ACT2</v>
          </cell>
          <cell r="E320">
            <v>2.1600000000000001E-2</v>
          </cell>
        </row>
        <row r="321">
          <cell r="B321" t="str">
            <v>2303.TW_Exchange_Sheet'!B293</v>
          </cell>
          <cell r="C321" t="str">
            <v>ACT3</v>
          </cell>
          <cell r="E321">
            <v>1.18E-2</v>
          </cell>
        </row>
        <row r="322">
          <cell r="B322" t="str">
            <v>Catalyst 1 date</v>
          </cell>
          <cell r="C322" t="str">
            <v>CATALYST1_DATE</v>
          </cell>
        </row>
        <row r="323">
          <cell r="B323" t="str">
            <v>Catalyst 1 description</v>
          </cell>
          <cell r="C323" t="str">
            <v>CATALYST1_EVENT</v>
          </cell>
        </row>
        <row r="324">
          <cell r="B324" t="str">
            <v>Catalyst 2 date</v>
          </cell>
          <cell r="C324" t="str">
            <v>CATALYST2_DATE</v>
          </cell>
        </row>
        <row r="325">
          <cell r="B325" t="str">
            <v>Catalyst 2 description</v>
          </cell>
          <cell r="C325" t="str">
            <v>CATALYST2_EVENT</v>
          </cell>
        </row>
        <row r="326">
          <cell r="B326" t="str">
            <v>Catalyst 3 date</v>
          </cell>
          <cell r="C326" t="str">
            <v>CATALYST3_DATE</v>
          </cell>
        </row>
        <row r="327">
          <cell r="B327" t="str">
            <v>Catalyst 3 description</v>
          </cell>
          <cell r="C327" t="str">
            <v>CATALYST3_EVENT</v>
          </cell>
        </row>
        <row r="328">
          <cell r="B328" t="str">
            <v>Catalyst 4 date</v>
          </cell>
          <cell r="C328" t="str">
            <v>CATALYST4_DATE</v>
          </cell>
        </row>
        <row r="329">
          <cell r="B329" t="str">
            <v>Catalyst 4 description</v>
          </cell>
          <cell r="C329" t="str">
            <v>CATALYST4_EVENT</v>
          </cell>
        </row>
        <row r="330">
          <cell r="B330" t="str">
            <v>Catalyst 5 date</v>
          </cell>
          <cell r="C330" t="str">
            <v>CATALYST5_DATE</v>
          </cell>
        </row>
        <row r="331">
          <cell r="B331" t="str">
            <v>Catalyst 5 description</v>
          </cell>
          <cell r="C331" t="str">
            <v>CATALYST5_EVENT</v>
          </cell>
        </row>
        <row r="332">
          <cell r="B332" t="str">
            <v>Target price multiple</v>
          </cell>
          <cell r="C332" t="str">
            <v>PRI_TARG_MULT</v>
          </cell>
          <cell r="E332">
            <v>0</v>
          </cell>
        </row>
        <row r="333">
          <cell r="B333" t="str">
            <v>Target price methodology</v>
          </cell>
          <cell r="C333" t="str">
            <v>PRI_TARG_METH</v>
          </cell>
          <cell r="E333" t="str">
            <v>NTM P/B</v>
          </cell>
        </row>
        <row r="334">
          <cell r="A334" t="str">
            <v>Publishing Items</v>
          </cell>
        </row>
        <row r="335">
          <cell r="B335" t="str">
            <v>Book value per share, BVPS (Pub)</v>
          </cell>
          <cell r="C335" t="str">
            <v>BVPS_PUB</v>
          </cell>
          <cell r="D335" t="str">
            <v>USD</v>
          </cell>
          <cell r="F335">
            <v>0.47333968893799999</v>
          </cell>
          <cell r="G335">
            <v>0.74145663535399997</v>
          </cell>
          <cell r="H335">
            <v>0.96706362187700001</v>
          </cell>
          <cell r="I335">
            <v>1.1746728334209999</v>
          </cell>
          <cell r="J335">
            <v>1.072534744303</v>
          </cell>
          <cell r="K335">
            <v>1.7446709300309999</v>
          </cell>
          <cell r="L335">
            <v>2.5128456333410001</v>
          </cell>
          <cell r="M335">
            <v>2.1667634827120001</v>
          </cell>
          <cell r="N335">
            <v>1.981380197465</v>
          </cell>
          <cell r="O335">
            <v>2.119242384489</v>
          </cell>
          <cell r="P335">
            <v>2.4609538984879999</v>
          </cell>
          <cell r="Q335">
            <v>2.5505505388529999</v>
          </cell>
          <cell r="R335">
            <v>2.9005705273090001</v>
          </cell>
          <cell r="S335">
            <v>2.7638684995810001</v>
          </cell>
          <cell r="T335">
            <v>2.3186432050720001</v>
          </cell>
          <cell r="U335">
            <v>2.576404185496</v>
          </cell>
          <cell r="V335">
            <v>2.9016421979590001</v>
          </cell>
          <cell r="W335">
            <v>2.8416492916610001</v>
          </cell>
          <cell r="X335">
            <v>2.7591472616920001</v>
          </cell>
          <cell r="Y335">
            <v>2.8478242871580002</v>
          </cell>
          <cell r="Z335">
            <v>2.9612673991760001</v>
          </cell>
          <cell r="AA335">
            <v>2.8795923074209999</v>
          </cell>
          <cell r="AB335">
            <v>2.755648663563</v>
          </cell>
          <cell r="AC335">
            <v>2.8836515744639999</v>
          </cell>
        </row>
        <row r="336">
          <cell r="B336" t="str">
            <v>DPS, dividend per share (Pub)</v>
          </cell>
          <cell r="C336" t="str">
            <v>DPS_PUB</v>
          </cell>
          <cell r="D336" t="str">
            <v>USD</v>
          </cell>
          <cell r="F336">
            <v>0</v>
          </cell>
          <cell r="G336">
            <v>0</v>
          </cell>
          <cell r="H336">
            <v>0</v>
          </cell>
          <cell r="I336">
            <v>1.7232462989999999E-2</v>
          </cell>
          <cell r="J336">
            <v>1.6575695779000001E-2</v>
          </cell>
          <cell r="K336">
            <v>1.2866898333000001E-2</v>
          </cell>
          <cell r="L336">
            <v>1.1086006680000001E-3</v>
          </cell>
          <cell r="M336">
            <v>9.7449075699999996E-4</v>
          </cell>
          <cell r="N336">
            <v>0</v>
          </cell>
          <cell r="O336">
            <v>0</v>
          </cell>
          <cell r="P336">
            <v>0</v>
          </cell>
          <cell r="Q336">
            <v>0</v>
          </cell>
          <cell r="R336">
            <v>7.1340197854000004E-2</v>
          </cell>
          <cell r="S336">
            <v>0.14565264670899999</v>
          </cell>
          <cell r="T336">
            <v>0.11350936158200001</v>
          </cell>
          <cell r="U336">
            <v>0</v>
          </cell>
          <cell r="V336">
            <v>8.0333369564000001E-2</v>
          </cell>
          <cell r="W336">
            <v>0.18800100466799999</v>
          </cell>
          <cell r="X336">
            <v>8.4999969660999999E-2</v>
          </cell>
          <cell r="Y336">
            <v>6.7843903844999998E-2</v>
          </cell>
          <cell r="Z336">
            <v>8.2295742204000003E-2</v>
          </cell>
          <cell r="AA336">
            <v>8.6699591130000003E-2</v>
          </cell>
          <cell r="AB336">
            <v>9.6134209311000002E-2</v>
          </cell>
          <cell r="AC336">
            <v>8.5041166922000005E-2</v>
          </cell>
        </row>
        <row r="337">
          <cell r="B337" t="str">
            <v>Special dividend per share</v>
          </cell>
          <cell r="C337" t="str">
            <v>DPS_SPECIAL_PUB</v>
          </cell>
          <cell r="D337" t="str">
            <v>USD</v>
          </cell>
        </row>
        <row r="338">
          <cell r="B338" t="str">
            <v>EBITDA (Pub)</v>
          </cell>
          <cell r="C338" t="str">
            <v>EBITDA_PUB</v>
          </cell>
          <cell r="D338" t="str">
            <v>USD</v>
          </cell>
          <cell r="F338">
            <v>310.756205707356</v>
          </cell>
          <cell r="G338">
            <v>554.68159583792794</v>
          </cell>
          <cell r="H338">
            <v>349.23627014805601</v>
          </cell>
          <cell r="I338">
            <v>261.88786714246498</v>
          </cell>
          <cell r="J338">
            <v>155.63612704443</v>
          </cell>
          <cell r="K338">
            <v>342.98008723981599</v>
          </cell>
          <cell r="L338">
            <v>2167.7560051575101</v>
          </cell>
          <cell r="M338">
            <v>839.405061162415</v>
          </cell>
          <cell r="N338">
            <v>1036.9637296711201</v>
          </cell>
          <cell r="O338">
            <v>1384.6433981576299</v>
          </cell>
          <cell r="P338">
            <v>1920.5359545522499</v>
          </cell>
          <cell r="Q338">
            <v>1432.7557812499999</v>
          </cell>
          <cell r="R338">
            <v>1540.7832197810601</v>
          </cell>
          <cell r="S338">
            <v>1161.7243494849299</v>
          </cell>
          <cell r="T338">
            <v>1147.45399826676</v>
          </cell>
          <cell r="U338">
            <v>1102.6907312600299</v>
          </cell>
          <cell r="V338">
            <v>1691.7229926713401</v>
          </cell>
          <cell r="W338">
            <v>1263.6939592798201</v>
          </cell>
          <cell r="X338">
            <v>1333.5215699600701</v>
          </cell>
          <cell r="Y338">
            <v>1424.02521797451</v>
          </cell>
          <cell r="Z338">
            <v>1668.55565148039</v>
          </cell>
          <cell r="AA338">
            <v>1772.6354793011201</v>
          </cell>
          <cell r="AB338">
            <v>1801.3920111472401</v>
          </cell>
          <cell r="AC338">
            <v>1962.7631578947401</v>
          </cell>
        </row>
        <row r="339">
          <cell r="B339" t="str">
            <v>EPS (Pub)</v>
          </cell>
          <cell r="C339" t="str">
            <v>EPS_PUB</v>
          </cell>
          <cell r="D339" t="str">
            <v>USD</v>
          </cell>
          <cell r="F339">
            <v>0.16399069627000001</v>
          </cell>
          <cell r="G339">
            <v>0.31689346852</v>
          </cell>
          <cell r="H339">
            <v>0.159999037446</v>
          </cell>
          <cell r="I339">
            <v>0.17136452215799999</v>
          </cell>
          <cell r="J339">
            <v>6.1757040940000001E-2</v>
          </cell>
          <cell r="K339">
            <v>0.153508624732</v>
          </cell>
          <cell r="L339">
            <v>0.53614439021000004</v>
          </cell>
          <cell r="M339">
            <v>-2.9302491573000002E-2</v>
          </cell>
          <cell r="N339">
            <v>6.4444499074999995E-2</v>
          </cell>
          <cell r="O339">
            <v>0.12793694766200001</v>
          </cell>
          <cell r="P339">
            <v>0.294182033437</v>
          </cell>
          <cell r="Q339">
            <v>6.9388595822999999E-2</v>
          </cell>
          <cell r="R339">
            <v>0.32495203691300001</v>
          </cell>
          <cell r="S339">
            <v>0.198252194578</v>
          </cell>
          <cell r="T339">
            <v>-0.27002374463099998</v>
          </cell>
          <cell r="U339">
            <v>4.6619507227E-2</v>
          </cell>
          <cell r="V339">
            <v>0.30801854123900002</v>
          </cell>
          <cell r="W339">
            <v>0.14212863896399999</v>
          </cell>
          <cell r="X339">
            <v>0.10523319233099999</v>
          </cell>
          <cell r="Y339">
            <v>0.16931086304599999</v>
          </cell>
          <cell r="Z339">
            <v>0.15978819111199999</v>
          </cell>
          <cell r="AA339">
            <v>0.16924654203799999</v>
          </cell>
          <cell r="AB339">
            <v>0.104757934953</v>
          </cell>
          <cell r="AC339">
            <v>0.129727810064</v>
          </cell>
          <cell r="BG339">
            <v>2.5367727500000001E-3</v>
          </cell>
          <cell r="BH339">
            <v>3.2445635973999999E-2</v>
          </cell>
          <cell r="BI339">
            <v>3.8854059399000003E-2</v>
          </cell>
          <cell r="BJ339">
            <v>3.0921466830000001E-2</v>
          </cell>
          <cell r="BK339">
            <v>3.0105186414999999E-2</v>
          </cell>
          <cell r="BL339">
            <v>2.8260426549E-2</v>
          </cell>
          <cell r="BM339">
            <v>4.6944815713999999E-2</v>
          </cell>
          <cell r="BN339">
            <v>2.4417381386000001E-2</v>
          </cell>
          <cell r="BO339">
            <v>4.7526603714999997E-2</v>
          </cell>
          <cell r="BP339">
            <v>5.1106808088999998E-2</v>
          </cell>
        </row>
        <row r="340">
          <cell r="B340" t="str">
            <v>EPS (excl. ESO) (Pub)</v>
          </cell>
          <cell r="C340" t="str">
            <v>EPS_PUB_EX_ESO</v>
          </cell>
          <cell r="D340" t="str">
            <v>USD</v>
          </cell>
        </row>
        <row r="341">
          <cell r="B341" t="str">
            <v>EV adjustment (Pub)</v>
          </cell>
          <cell r="C341" t="str">
            <v>EV_ADJ_PUB</v>
          </cell>
          <cell r="D341" t="str">
            <v>USD</v>
          </cell>
        </row>
        <row r="342">
          <cell r="B342" t="str">
            <v>Net debt (Pub)</v>
          </cell>
          <cell r="C342" t="str">
            <v>NET_DEBT_PUB</v>
          </cell>
          <cell r="D342" t="str">
            <v>USD</v>
          </cell>
          <cell r="F342">
            <v>-203.63804145981001</v>
          </cell>
          <cell r="G342">
            <v>-8.5074410231759998</v>
          </cell>
          <cell r="H342">
            <v>-93.414192983736001</v>
          </cell>
          <cell r="I342">
            <v>-215.004426297008</v>
          </cell>
          <cell r="J342">
            <v>-115.292505814519</v>
          </cell>
          <cell r="K342">
            <v>209.003242335414</v>
          </cell>
          <cell r="L342">
            <v>-237.83639228920299</v>
          </cell>
          <cell r="M342">
            <v>-4.0494563747100001</v>
          </cell>
          <cell r="N342">
            <v>30.106685941453001</v>
          </cell>
          <cell r="O342">
            <v>-796.76932300043904</v>
          </cell>
          <cell r="P342">
            <v>-1437.4107340409601</v>
          </cell>
          <cell r="Q342">
            <v>-1725.64653125</v>
          </cell>
          <cell r="R342">
            <v>-1750.5357727933899</v>
          </cell>
          <cell r="S342">
            <v>-362.25056085463598</v>
          </cell>
          <cell r="T342">
            <v>-1333.98342393445</v>
          </cell>
          <cell r="U342">
            <v>-1858.4526935126501</v>
          </cell>
          <cell r="V342">
            <v>-1379.5933639365401</v>
          </cell>
          <cell r="W342">
            <v>-551.74319367322903</v>
          </cell>
          <cell r="X342">
            <v>-26.001699090987</v>
          </cell>
          <cell r="Y342">
            <v>-133.882930918846</v>
          </cell>
          <cell r="Z342">
            <v>-115.94918724254499</v>
          </cell>
          <cell r="AA342">
            <v>178.68175665040101</v>
          </cell>
          <cell r="AB342">
            <v>1038.8295401764999</v>
          </cell>
          <cell r="AC342">
            <v>780.82236842105306</v>
          </cell>
        </row>
        <row r="343">
          <cell r="B343" t="str">
            <v>Net income (Pub)</v>
          </cell>
          <cell r="C343" t="str">
            <v>NI_PUB</v>
          </cell>
          <cell r="D343" t="str">
            <v>USD</v>
          </cell>
          <cell r="F343">
            <v>244.73066282639201</v>
          </cell>
          <cell r="G343">
            <v>505.39323851801601</v>
          </cell>
          <cell r="H343">
            <v>277.58354605790998</v>
          </cell>
          <cell r="I343">
            <v>334.18720834477102</v>
          </cell>
          <cell r="J343">
            <v>131.83128547604301</v>
          </cell>
          <cell r="K343">
            <v>326.50059481692898</v>
          </cell>
          <cell r="L343">
            <v>1616.6688846086499</v>
          </cell>
          <cell r="M343">
            <v>-92.341047182433996</v>
          </cell>
          <cell r="N343">
            <v>204.467856884713</v>
          </cell>
          <cell r="O343">
            <v>410.00897792074898</v>
          </cell>
          <cell r="P343">
            <v>952.11185528479598</v>
          </cell>
          <cell r="Q343">
            <v>219.584125</v>
          </cell>
          <cell r="R343">
            <v>998.83068207915505</v>
          </cell>
          <cell r="S343">
            <v>517.71879435330004</v>
          </cell>
          <cell r="T343">
            <v>-703.38217915386394</v>
          </cell>
          <cell r="U343">
            <v>118.40843585237199</v>
          </cell>
          <cell r="V343">
            <v>769.87694290086199</v>
          </cell>
          <cell r="W343">
            <v>357.04846037354798</v>
          </cell>
          <cell r="X343">
            <v>265.719072296322</v>
          </cell>
          <cell r="Y343">
            <v>423.54805499664599</v>
          </cell>
          <cell r="Z343">
            <v>399.31068958996201</v>
          </cell>
          <cell r="AA343">
            <v>423.37868723437703</v>
          </cell>
          <cell r="AB343">
            <v>257.48976621768099</v>
          </cell>
          <cell r="AC343">
            <v>316.74342105263202</v>
          </cell>
          <cell r="AI343">
            <v>109.709042218021</v>
          </cell>
          <cell r="AJ343">
            <v>164.19894113983199</v>
          </cell>
          <cell r="AK343">
            <v>279.14362996158798</v>
          </cell>
          <cell r="AL343">
            <v>216.82532958142099</v>
          </cell>
          <cell r="AM343">
            <v>152.447908874532</v>
          </cell>
          <cell r="AN343">
            <v>111.172796934866</v>
          </cell>
          <cell r="AO343">
            <v>64.115288713910999</v>
          </cell>
          <cell r="AP343">
            <v>29.312465850239001</v>
          </cell>
          <cell r="AQ343">
            <v>45.269491525424002</v>
          </cell>
          <cell r="AR343">
            <v>100.09163039839299</v>
          </cell>
          <cell r="AS343">
            <v>82.450153531218007</v>
          </cell>
          <cell r="AT343">
            <v>37.907796841287002</v>
          </cell>
          <cell r="AU343">
            <v>221.00921890714</v>
          </cell>
          <cell r="AV343">
            <v>60.440293529019002</v>
          </cell>
          <cell r="AW343">
            <v>117.356347062795</v>
          </cell>
          <cell r="AX343">
            <v>25.105628140703999</v>
          </cell>
          <cell r="AY343">
            <v>38.725601549421</v>
          </cell>
          <cell r="AZ343">
            <v>116.62494976557301</v>
          </cell>
          <cell r="BA343">
            <v>95.887668530089002</v>
          </cell>
          <cell r="BB343">
            <v>147.726707672386</v>
          </cell>
          <cell r="BC343">
            <v>127.153674121406</v>
          </cell>
          <cell r="BD343">
            <v>149.12074554295</v>
          </cell>
          <cell r="BE343">
            <v>53.223644859813</v>
          </cell>
          <cell r="BF343">
            <v>96.307832977751005</v>
          </cell>
          <cell r="BG343">
            <v>6.2952552552550003</v>
          </cell>
          <cell r="BH343">
            <v>80.043383947939006</v>
          </cell>
          <cell r="BI343">
            <v>94.866071428571004</v>
          </cell>
          <cell r="BJ343">
            <v>76.285055585915003</v>
          </cell>
          <cell r="BK343">
            <v>73.504823151124995</v>
          </cell>
          <cell r="BL343">
            <v>69.000657462196003</v>
          </cell>
          <cell r="BM343">
            <v>114.62046204620501</v>
          </cell>
          <cell r="BN343">
            <v>59.617478393105998</v>
          </cell>
          <cell r="BO343">
            <v>116.040955631399</v>
          </cell>
          <cell r="BP343">
            <v>123.157186132615</v>
          </cell>
        </row>
        <row r="344">
          <cell r="B344" t="str">
            <v>EBIT, operating profit (Pub)</v>
          </cell>
          <cell r="C344" t="str">
            <v>EBIT_PUB</v>
          </cell>
          <cell r="D344" t="str">
            <v>USD</v>
          </cell>
          <cell r="F344">
            <v>252.07446848827101</v>
          </cell>
          <cell r="G344">
            <v>472.00309139404902</v>
          </cell>
          <cell r="H344">
            <v>223.15006199401901</v>
          </cell>
          <cell r="I344">
            <v>123.05771342300299</v>
          </cell>
          <cell r="J344">
            <v>11.733167809628</v>
          </cell>
          <cell r="K344">
            <v>171.72384943745101</v>
          </cell>
          <cell r="L344">
            <v>1387.2153260852299</v>
          </cell>
          <cell r="M344">
            <v>-163.49481965678899</v>
          </cell>
          <cell r="N344">
            <v>4.0757788218290001</v>
          </cell>
          <cell r="O344">
            <v>290.57856411756097</v>
          </cell>
          <cell r="P344">
            <v>731.20023919868402</v>
          </cell>
          <cell r="Q344">
            <v>-83.397468750000002</v>
          </cell>
          <cell r="R344">
            <v>187.52623440251099</v>
          </cell>
          <cell r="S344">
            <v>40.470934757725999</v>
          </cell>
          <cell r="T344">
            <v>-66.194595446308995</v>
          </cell>
          <cell r="U344">
            <v>56.467914724536001</v>
          </cell>
          <cell r="V344">
            <v>709.33971168559196</v>
          </cell>
          <cell r="W344">
            <v>174.318256772674</v>
          </cell>
          <cell r="X344">
            <v>119.093738849716</v>
          </cell>
          <cell r="Y344">
            <v>135.21529175050301</v>
          </cell>
          <cell r="Z344">
            <v>331.39560773866799</v>
          </cell>
          <cell r="AA344">
            <v>341.11937667243802</v>
          </cell>
          <cell r="AB344">
            <v>191.78052330082099</v>
          </cell>
          <cell r="AC344">
            <v>216.085526315789</v>
          </cell>
          <cell r="AI344">
            <v>99.567296786388994</v>
          </cell>
          <cell r="AJ344">
            <v>166.14322640921799</v>
          </cell>
          <cell r="AK344">
            <v>229.02007042253501</v>
          </cell>
          <cell r="AL344">
            <v>214.609118067449</v>
          </cell>
          <cell r="AM344">
            <v>131.25280516831</v>
          </cell>
          <cell r="AN344">
            <v>87.518390804597999</v>
          </cell>
          <cell r="AO344">
            <v>5.3242454068239997</v>
          </cell>
          <cell r="AP344">
            <v>-49.777184607057997</v>
          </cell>
          <cell r="AQ344">
            <v>8.9682711864409992</v>
          </cell>
          <cell r="AR344">
            <v>73.310780046869993</v>
          </cell>
          <cell r="AS344">
            <v>67.655885363357001</v>
          </cell>
          <cell r="AT344">
            <v>-30.841197746951998</v>
          </cell>
          <cell r="AU344">
            <v>9.8556151525309996</v>
          </cell>
          <cell r="AV344">
            <v>38.341194129420003</v>
          </cell>
          <cell r="AW344">
            <v>80.850033760971996</v>
          </cell>
          <cell r="AX344">
            <v>6.4951423785589997</v>
          </cell>
          <cell r="AY344">
            <v>30.878081607195998</v>
          </cell>
          <cell r="AZ344">
            <v>97.681078365706995</v>
          </cell>
          <cell r="BA344">
            <v>55.458632028937998</v>
          </cell>
          <cell r="BB344">
            <v>146.72835869213301</v>
          </cell>
          <cell r="BC344">
            <v>130.947987220447</v>
          </cell>
          <cell r="BD344">
            <v>125.654165316045</v>
          </cell>
          <cell r="BE344">
            <v>30.553333333333001</v>
          </cell>
          <cell r="BF344">
            <v>57.293264248705</v>
          </cell>
          <cell r="BG344">
            <v>-0.49393393393399998</v>
          </cell>
          <cell r="BH344">
            <v>75.890920359467003</v>
          </cell>
          <cell r="BI344">
            <v>47.353316326531001</v>
          </cell>
          <cell r="BJ344">
            <v>69.030220548757001</v>
          </cell>
          <cell r="BK344">
            <v>44.083601286174002</v>
          </cell>
          <cell r="BL344">
            <v>54.832347140038998</v>
          </cell>
          <cell r="BM344">
            <v>53.762376237623997</v>
          </cell>
          <cell r="BN344">
            <v>63.407201651953002</v>
          </cell>
          <cell r="BO344">
            <v>26.245733788395999</v>
          </cell>
          <cell r="BP344">
            <v>107.068327162572</v>
          </cell>
        </row>
        <row r="345">
          <cell r="B345" t="str">
            <v>Pre-tax profit (Pub)</v>
          </cell>
          <cell r="C345" t="str">
            <v>PTP_PUB</v>
          </cell>
          <cell r="D345" t="str">
            <v>USD</v>
          </cell>
          <cell r="F345">
            <v>252.56956076856</v>
          </cell>
          <cell r="G345">
            <v>480.56779860698799</v>
          </cell>
          <cell r="H345">
            <v>262.20592954561999</v>
          </cell>
          <cell r="I345">
            <v>338.26084271205099</v>
          </cell>
          <cell r="J345">
            <v>118.317401676675</v>
          </cell>
          <cell r="K345">
            <v>327.36434675105602</v>
          </cell>
          <cell r="L345">
            <v>1609.5913786791</v>
          </cell>
          <cell r="M345">
            <v>-185.797655867278</v>
          </cell>
          <cell r="N345">
            <v>204.816595590893</v>
          </cell>
          <cell r="O345">
            <v>433.26126626699801</v>
          </cell>
          <cell r="P345">
            <v>953.125728808492</v>
          </cell>
          <cell r="Q345">
            <v>219.61031249999999</v>
          </cell>
          <cell r="R345">
            <v>1133.46211436883</v>
          </cell>
          <cell r="S345">
            <v>597.21782525753497</v>
          </cell>
          <cell r="T345">
            <v>-692.85971795477803</v>
          </cell>
          <cell r="U345">
            <v>51.134713838160003</v>
          </cell>
          <cell r="V345">
            <v>817.70543609567505</v>
          </cell>
          <cell r="W345">
            <v>315.67730102641701</v>
          </cell>
          <cell r="X345">
            <v>271.95511001614199</v>
          </cell>
          <cell r="Y345">
            <v>481.61616364855797</v>
          </cell>
          <cell r="Z345">
            <v>444.432253767791</v>
          </cell>
          <cell r="AA345">
            <v>431.67464190146399</v>
          </cell>
          <cell r="AB345">
            <v>150.05694379934999</v>
          </cell>
          <cell r="AC345">
            <v>256.48026315789502</v>
          </cell>
        </row>
        <row r="346">
          <cell r="B346" t="str">
            <v>Sales, revenue (Pub)</v>
          </cell>
          <cell r="C346" t="str">
            <v>REVS_PUB</v>
          </cell>
          <cell r="D346" t="str">
            <v>USD</v>
          </cell>
          <cell r="F346">
            <v>577.67681055064998</v>
          </cell>
          <cell r="G346">
            <v>914.10686044429394</v>
          </cell>
          <cell r="H346">
            <v>824.36189920501795</v>
          </cell>
          <cell r="I346">
            <v>860.863127916552</v>
          </cell>
          <cell r="J346">
            <v>551.36151723415901</v>
          </cell>
          <cell r="K346">
            <v>906.518291592477</v>
          </cell>
          <cell r="L346">
            <v>3345.5284061062398</v>
          </cell>
          <cell r="M346">
            <v>1886.22714543713</v>
          </cell>
          <cell r="N346">
            <v>1949.4252258764</v>
          </cell>
          <cell r="O346">
            <v>2481.7098991080602</v>
          </cell>
          <cell r="P346">
            <v>3507.6047241740198</v>
          </cell>
          <cell r="Q346">
            <v>2836.73246875</v>
          </cell>
          <cell r="R346">
            <v>3187.5866493148601</v>
          </cell>
          <cell r="S346">
            <v>3258.9408927890099</v>
          </cell>
          <cell r="T346">
            <v>3050.9271567005399</v>
          </cell>
          <cell r="U346">
            <v>2793.2991518300601</v>
          </cell>
          <cell r="V346">
            <v>4073.1752919384699</v>
          </cell>
          <cell r="W346">
            <v>3927.4010768971898</v>
          </cell>
          <cell r="X346">
            <v>3930.83894316541</v>
          </cell>
          <cell r="Y346">
            <v>4151.9663313212604</v>
          </cell>
          <cell r="Z346">
            <v>4604.7894230532102</v>
          </cell>
          <cell r="AA346">
            <v>4559.4339996851904</v>
          </cell>
          <cell r="AB346">
            <v>4578.7607679207304</v>
          </cell>
          <cell r="AC346">
            <v>4910.6907894736796</v>
          </cell>
          <cell r="AI346">
            <v>861.30409577819796</v>
          </cell>
          <cell r="AJ346">
            <v>953.54366241046398</v>
          </cell>
          <cell r="AK346">
            <v>1089.9396606914199</v>
          </cell>
          <cell r="AL346">
            <v>1168.3878730583899</v>
          </cell>
          <cell r="AM346">
            <v>1059.69656579395</v>
          </cell>
          <cell r="AN346">
            <v>1103.4157088122599</v>
          </cell>
          <cell r="AO346">
            <v>912.07345800524899</v>
          </cell>
          <cell r="AP346">
            <v>852.21534428573204</v>
          </cell>
          <cell r="AQ346">
            <v>890.48928813559303</v>
          </cell>
          <cell r="AR346">
            <v>1016.98459993304</v>
          </cell>
          <cell r="AS346">
            <v>1029.4659160696001</v>
          </cell>
          <cell r="AT346">
            <v>993.89913902716899</v>
          </cell>
          <cell r="AU346">
            <v>931.32470667113603</v>
          </cell>
          <cell r="AV346">
            <v>1064.1995997331601</v>
          </cell>
          <cell r="AW346">
            <v>1127.8451046590101</v>
          </cell>
          <cell r="AX346">
            <v>1029.1036515912899</v>
          </cell>
          <cell r="AY346">
            <v>1040.39605422972</v>
          </cell>
          <cell r="AZ346">
            <v>1201.2508707300699</v>
          </cell>
          <cell r="BA346">
            <v>1157.96941795462</v>
          </cell>
          <cell r="BB346">
            <v>1205.4156685011301</v>
          </cell>
          <cell r="BC346">
            <v>1202.8640255591099</v>
          </cell>
          <cell r="BD346">
            <v>1232.1411345218801</v>
          </cell>
          <cell r="BE346">
            <v>1100.30657320872</v>
          </cell>
          <cell r="BF346">
            <v>1031.67881743371</v>
          </cell>
          <cell r="BG346">
            <v>1033.15552552553</v>
          </cell>
          <cell r="BH346">
            <v>1146.4828013634999</v>
          </cell>
          <cell r="BI346">
            <v>1216.9642857142901</v>
          </cell>
          <cell r="BJ346">
            <v>1182.1581553174201</v>
          </cell>
          <cell r="BK346">
            <v>1203.1511254019299</v>
          </cell>
          <cell r="BL346">
            <v>1233.9907955292599</v>
          </cell>
          <cell r="BM346">
            <v>1244.1584158415801</v>
          </cell>
          <cell r="BN346">
            <v>1229.3904527009099</v>
          </cell>
          <cell r="BO346">
            <v>1279.76109215017</v>
          </cell>
          <cell r="BP346">
            <v>1307.7078424772801</v>
          </cell>
        </row>
        <row r="347">
          <cell r="B347" t="str">
            <v>Total shareholders' equity (Pub)</v>
          </cell>
          <cell r="C347" t="str">
            <v>EQ_PUB</v>
          </cell>
          <cell r="D347" t="str">
            <v>USD</v>
          </cell>
          <cell r="F347">
            <v>706.38602342062404</v>
          </cell>
          <cell r="G347">
            <v>1182.5020310835901</v>
          </cell>
          <cell r="H347">
            <v>1677.7660272773701</v>
          </cell>
          <cell r="I347">
            <v>2290.7929247872598</v>
          </cell>
          <cell r="J347">
            <v>2289.5143923360502</v>
          </cell>
          <cell r="K347">
            <v>3710.7758434348498</v>
          </cell>
          <cell r="L347">
            <v>7577.13672179685</v>
          </cell>
          <cell r="M347">
            <v>6828.1295634180797</v>
          </cell>
          <cell r="N347">
            <v>6286.4723671846796</v>
          </cell>
          <cell r="O347">
            <v>6791.6924696593096</v>
          </cell>
          <cell r="P347">
            <v>7964.80789355659</v>
          </cell>
          <cell r="Q347">
            <v>8071.3610312500005</v>
          </cell>
          <cell r="R347">
            <v>8915.7121947485302</v>
          </cell>
          <cell r="S347">
            <v>7217.6082106066397</v>
          </cell>
          <cell r="T347">
            <v>6039.8107303238003</v>
          </cell>
          <cell r="U347">
            <v>6543.7840910827499</v>
          </cell>
          <cell r="V347">
            <v>7252.5095916888104</v>
          </cell>
          <cell r="W347">
            <v>7138.6492680464398</v>
          </cell>
          <cell r="X347">
            <v>6966.9847931356699</v>
          </cell>
          <cell r="Y347">
            <v>7124.1172367538602</v>
          </cell>
          <cell r="Z347">
            <v>7400.2072305402799</v>
          </cell>
          <cell r="AA347">
            <v>7203.44413662836</v>
          </cell>
          <cell r="AB347">
            <v>6773.2466326056701</v>
          </cell>
          <cell r="AC347">
            <v>7040.7236842105303</v>
          </cell>
        </row>
        <row r="348">
          <cell r="B348" t="str">
            <v>EPS (consensus)</v>
          </cell>
          <cell r="C348" t="str">
            <v>EPS_CONS_PUB</v>
          </cell>
          <cell r="D348" t="str">
            <v>USD</v>
          </cell>
        </row>
        <row r="349">
          <cell r="A349" t="str">
            <v>Income Statement</v>
          </cell>
        </row>
        <row r="350">
          <cell r="B350" t="str">
            <v>Provision for income tax</v>
          </cell>
          <cell r="C350" t="str">
            <v>PROV_INC_TAX</v>
          </cell>
          <cell r="D350" t="str">
            <v>TWD</v>
          </cell>
          <cell r="F350">
            <v>-171.845</v>
          </cell>
          <cell r="G350">
            <v>693.50099999999998</v>
          </cell>
          <cell r="H350">
            <v>456.685</v>
          </cell>
          <cell r="I350">
            <v>-118.72199999999999</v>
          </cell>
          <cell r="J350">
            <v>451.75900000000001</v>
          </cell>
          <cell r="K350">
            <v>-27.772000000001</v>
          </cell>
          <cell r="L350">
            <v>222.30800000000099</v>
          </cell>
          <cell r="M350">
            <v>3195.4450000000002</v>
          </cell>
          <cell r="N350">
            <v>-12.061999999999999</v>
          </cell>
          <cell r="O350">
            <v>-795.11200000000099</v>
          </cell>
          <cell r="P350">
            <v>-33.908999999999999</v>
          </cell>
          <cell r="Q350">
            <v>-1.994</v>
          </cell>
          <cell r="R350">
            <v>-3208.2109999999998</v>
          </cell>
          <cell r="S350">
            <v>-1063.742</v>
          </cell>
          <cell r="T350">
            <v>-996.92100000000005</v>
          </cell>
          <cell r="U350">
            <v>-651.06799999999998</v>
          </cell>
          <cell r="V350">
            <v>-1606.114</v>
          </cell>
          <cell r="W350">
            <v>-913.43499999999995</v>
          </cell>
          <cell r="X350">
            <v>-2129.038</v>
          </cell>
          <cell r="Y350">
            <v>-2256.8339999999998</v>
          </cell>
          <cell r="Z350">
            <v>-2033.7070000000001</v>
          </cell>
          <cell r="AA350">
            <v>-876.49400000000003</v>
          </cell>
          <cell r="AB350">
            <v>-982.90899999999999</v>
          </cell>
          <cell r="AC350">
            <v>-1165</v>
          </cell>
        </row>
        <row r="351">
          <cell r="B351" t="str">
            <v>Minority interest</v>
          </cell>
          <cell r="C351" t="str">
            <v>INC_MINORITY</v>
          </cell>
          <cell r="D351" t="str">
            <v>TWD</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663.01700000000005</v>
          </cell>
          <cell r="U351">
            <v>2203.1379999999999</v>
          </cell>
          <cell r="V351">
            <v>52.948999999999998</v>
          </cell>
          <cell r="W351">
            <v>2142.779</v>
          </cell>
          <cell r="X351">
            <v>1945.527</v>
          </cell>
          <cell r="Y351">
            <v>525.24300000000005</v>
          </cell>
          <cell r="Z351">
            <v>661.75199999999995</v>
          </cell>
          <cell r="AA351">
            <v>612.97299999999996</v>
          </cell>
          <cell r="AB351">
            <v>4452.4520000000002</v>
          </cell>
          <cell r="AC351">
            <v>2997</v>
          </cell>
        </row>
        <row r="352">
          <cell r="B352" t="str">
            <v>Net income (pre-preferred dividends)</v>
          </cell>
          <cell r="C352" t="str">
            <v>NI_PRE_PREF</v>
          </cell>
          <cell r="D352" t="str">
            <v>TWD</v>
          </cell>
          <cell r="F352">
            <v>6492.7079999999996</v>
          </cell>
          <cell r="G352">
            <v>13440.682000000001</v>
          </cell>
          <cell r="H352">
            <v>7646.8959999999997</v>
          </cell>
          <cell r="I352">
            <v>9739.5519999999997</v>
          </cell>
          <cell r="J352">
            <v>4407.0209999999997</v>
          </cell>
          <cell r="K352">
            <v>10497.892</v>
          </cell>
          <cell r="L352">
            <v>50780.377999999997</v>
          </cell>
          <cell r="M352">
            <v>-3157.3020000000001</v>
          </cell>
          <cell r="N352">
            <v>7072.0320000000002</v>
          </cell>
          <cell r="O352">
            <v>14020.257</v>
          </cell>
          <cell r="P352">
            <v>31843.381000000001</v>
          </cell>
          <cell r="Q352">
            <v>7025.5360000000001</v>
          </cell>
          <cell r="R352">
            <v>33807.828000000001</v>
          </cell>
          <cell r="S352">
            <v>18502.607</v>
          </cell>
          <cell r="T352">
            <v>-22320.075000000001</v>
          </cell>
          <cell r="U352">
            <v>3225.0699999999902</v>
          </cell>
          <cell r="V352">
            <v>23830.455999999998</v>
          </cell>
          <cell r="W352">
            <v>10609.695</v>
          </cell>
          <cell r="X352">
            <v>7819.4480000000003</v>
          </cell>
          <cell r="Y352">
            <v>12630.203</v>
          </cell>
          <cell r="Z352">
            <v>12141.341</v>
          </cell>
          <cell r="AA352">
            <v>13448.624</v>
          </cell>
          <cell r="AB352">
            <v>8315.6319999999996</v>
          </cell>
          <cell r="AC352">
            <v>9629</v>
          </cell>
        </row>
        <row r="353">
          <cell r="B353" t="str">
            <v>Preferred dividends</v>
          </cell>
          <cell r="C353" t="str">
            <v>PREF_DIV</v>
          </cell>
          <cell r="D353" t="str">
            <v>TWD</v>
          </cell>
          <cell r="F353">
            <v>-35</v>
          </cell>
          <cell r="G353">
            <v>-35</v>
          </cell>
          <cell r="H353">
            <v>-35</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row>
        <row r="354">
          <cell r="B354" t="str">
            <v>Net income (pre-exceptionals)</v>
          </cell>
          <cell r="C354" t="str">
            <v>NET_EARNING</v>
          </cell>
          <cell r="D354" t="str">
            <v>TWD</v>
          </cell>
          <cell r="F354">
            <v>6457.7079999999996</v>
          </cell>
          <cell r="G354">
            <v>13405.682000000001</v>
          </cell>
          <cell r="H354">
            <v>7611.8959999999997</v>
          </cell>
          <cell r="I354">
            <v>9739.5519999999997</v>
          </cell>
          <cell r="J354">
            <v>4407.0209999999997</v>
          </cell>
          <cell r="K354">
            <v>10497.892</v>
          </cell>
          <cell r="L354">
            <v>50780.377999999997</v>
          </cell>
          <cell r="M354">
            <v>-3157.3020000000001</v>
          </cell>
          <cell r="N354">
            <v>7072.0320000000002</v>
          </cell>
          <cell r="O354">
            <v>14020.257</v>
          </cell>
          <cell r="P354">
            <v>31843.381000000001</v>
          </cell>
          <cell r="Q354">
            <v>7025.5360000000001</v>
          </cell>
          <cell r="R354">
            <v>33807.828000000001</v>
          </cell>
          <cell r="S354">
            <v>18502.607</v>
          </cell>
          <cell r="T354">
            <v>-22320.075000000001</v>
          </cell>
          <cell r="U354">
            <v>3225.0699999999902</v>
          </cell>
          <cell r="V354">
            <v>23830.455999999998</v>
          </cell>
          <cell r="W354">
            <v>10609.695</v>
          </cell>
          <cell r="X354">
            <v>7819.4480000000003</v>
          </cell>
          <cell r="Y354">
            <v>12630.203</v>
          </cell>
          <cell r="Z354">
            <v>12141.341</v>
          </cell>
          <cell r="AA354">
            <v>13448.624</v>
          </cell>
          <cell r="AB354">
            <v>8315.6319999999996</v>
          </cell>
          <cell r="AC354">
            <v>9629</v>
          </cell>
        </row>
        <row r="355">
          <cell r="B355" t="str">
            <v>Post-tax exceptionals</v>
          </cell>
          <cell r="C355" t="str">
            <v>TAX_EXC</v>
          </cell>
          <cell r="D355" t="str">
            <v>TWD</v>
          </cell>
          <cell r="F355">
            <v>0</v>
          </cell>
          <cell r="G355">
            <v>0</v>
          </cell>
          <cell r="H355">
            <v>0</v>
          </cell>
          <cell r="I355">
            <v>0</v>
          </cell>
          <cell r="J355">
            <v>0</v>
          </cell>
          <cell r="K355">
            <v>0</v>
          </cell>
          <cell r="L355">
            <v>0</v>
          </cell>
          <cell r="M355">
            <v>0</v>
          </cell>
          <cell r="N355">
            <v>0</v>
          </cell>
          <cell r="O355">
            <v>0</v>
          </cell>
          <cell r="P355">
            <v>0</v>
          </cell>
          <cell r="Q355">
            <v>0</v>
          </cell>
          <cell r="R355">
            <v>-1188.5150000000001</v>
          </cell>
          <cell r="S355">
            <v>0</v>
          </cell>
          <cell r="T355">
            <v>0</v>
          </cell>
          <cell r="U355">
            <v>648.95799999999997</v>
          </cell>
          <cell r="V355">
            <v>68.448999999999998</v>
          </cell>
          <cell r="W355">
            <v>0</v>
          </cell>
          <cell r="X355">
            <v>0</v>
          </cell>
          <cell r="Y355">
            <v>0</v>
          </cell>
          <cell r="Z355">
            <v>0</v>
          </cell>
          <cell r="AA355">
            <v>0</v>
          </cell>
        </row>
        <row r="356">
          <cell r="B356" t="str">
            <v>Net income (post-exceptionals)</v>
          </cell>
          <cell r="C356" t="str">
            <v>NET_INC</v>
          </cell>
          <cell r="D356" t="str">
            <v>TWD</v>
          </cell>
          <cell r="F356">
            <v>6457.7079999999996</v>
          </cell>
          <cell r="G356">
            <v>13405.682000000001</v>
          </cell>
          <cell r="H356">
            <v>7611.8959999999997</v>
          </cell>
          <cell r="I356">
            <v>9739.5519999999997</v>
          </cell>
          <cell r="J356">
            <v>4407.0209999999997</v>
          </cell>
          <cell r="K356">
            <v>10497.892</v>
          </cell>
          <cell r="L356">
            <v>50780.377999999997</v>
          </cell>
          <cell r="M356">
            <v>-3157.3020000000001</v>
          </cell>
          <cell r="N356">
            <v>7072.0320000000002</v>
          </cell>
          <cell r="O356">
            <v>14020.257</v>
          </cell>
          <cell r="P356">
            <v>31843.381000000001</v>
          </cell>
          <cell r="Q356">
            <v>7026.692</v>
          </cell>
          <cell r="R356">
            <v>32619.312999999998</v>
          </cell>
          <cell r="S356">
            <v>16961.761999999999</v>
          </cell>
          <cell r="T356">
            <v>-22320.075000000001</v>
          </cell>
          <cell r="U356">
            <v>3874.0279999999898</v>
          </cell>
          <cell r="V356">
            <v>23898.904999999999</v>
          </cell>
          <cell r="W356">
            <v>10609.695</v>
          </cell>
          <cell r="X356">
            <v>7819.4480000000003</v>
          </cell>
          <cell r="Y356">
            <v>12630.203</v>
          </cell>
          <cell r="Z356">
            <v>12141.341</v>
          </cell>
          <cell r="AA356">
            <v>13448.624</v>
          </cell>
          <cell r="AB356">
            <v>8315.6319999999996</v>
          </cell>
          <cell r="AC356">
            <v>9629</v>
          </cell>
          <cell r="AI356">
            <v>3482.165</v>
          </cell>
          <cell r="AJ356">
            <v>5272.4279999999999</v>
          </cell>
          <cell r="AK356">
            <v>8720.4470000000001</v>
          </cell>
          <cell r="AL356">
            <v>6423.8649999999998</v>
          </cell>
          <cell r="AM356">
            <v>4483.4930000000004</v>
          </cell>
          <cell r="AN356">
            <v>3191.7710000000002</v>
          </cell>
          <cell r="AO356">
            <v>1954.2339999999999</v>
          </cell>
          <cell r="AP356">
            <v>980.197</v>
          </cell>
          <cell r="AQ356">
            <v>1335.45</v>
          </cell>
          <cell r="AR356">
            <v>2989.7370000000001</v>
          </cell>
          <cell r="AS356">
            <v>2416.614</v>
          </cell>
          <cell r="AT356">
            <v>1077.6469999999999</v>
          </cell>
          <cell r="AU356">
            <v>6592.7049999999999</v>
          </cell>
          <cell r="AV356">
            <v>1812</v>
          </cell>
          <cell r="AW356">
            <v>3476.0949999999998</v>
          </cell>
          <cell r="AX356">
            <v>749.40300000000002</v>
          </cell>
          <cell r="AY356">
            <v>1179.6980000000001</v>
          </cell>
          <cell r="AZ356">
            <v>3482.4209999999998</v>
          </cell>
          <cell r="BA356">
            <v>2915.944</v>
          </cell>
          <cell r="BB356">
            <v>4563.2780000000002</v>
          </cell>
          <cell r="BC356">
            <v>3979.91</v>
          </cell>
          <cell r="BD356">
            <v>4600.375</v>
          </cell>
          <cell r="BE356">
            <v>1708.479</v>
          </cell>
          <cell r="BF356">
            <v>3159.86</v>
          </cell>
          <cell r="BG356">
            <v>209.63200000000001</v>
          </cell>
          <cell r="BH356">
            <v>2583</v>
          </cell>
          <cell r="BI356">
            <v>2975</v>
          </cell>
          <cell r="BJ356">
            <v>2548</v>
          </cell>
          <cell r="BK356">
            <v>2286</v>
          </cell>
          <cell r="BL356">
            <v>2099</v>
          </cell>
          <cell r="BM356">
            <v>3473</v>
          </cell>
          <cell r="BN356">
            <v>1771</v>
          </cell>
          <cell r="BO356">
            <v>3400</v>
          </cell>
          <cell r="BP356">
            <v>3659</v>
          </cell>
        </row>
        <row r="357">
          <cell r="B357" t="str">
            <v>EPS (pre-exceptionals, basic)</v>
          </cell>
          <cell r="C357" t="str">
            <v>EPS</v>
          </cell>
          <cell r="D357" t="str">
            <v>TWD</v>
          </cell>
          <cell r="F357">
            <v>4.3272225024670004</v>
          </cell>
          <cell r="G357">
            <v>8.4056784758610004</v>
          </cell>
          <cell r="H357">
            <v>4.3874936048470001</v>
          </cell>
          <cell r="I357">
            <v>4.9942476337770003</v>
          </cell>
          <cell r="J357">
            <v>2.0644915608279999</v>
          </cell>
          <cell r="K357">
            <v>4.9357244338550004</v>
          </cell>
          <cell r="L357">
            <v>16.840563368698</v>
          </cell>
          <cell r="M357">
            <v>-1.0019034662349999</v>
          </cell>
          <cell r="N357">
            <v>2.2289741117430002</v>
          </cell>
          <cell r="O357">
            <v>4.3748039253190001</v>
          </cell>
          <cell r="P357">
            <v>9.8389181082930008</v>
          </cell>
          <cell r="Q357">
            <v>2.2200697702840002</v>
          </cell>
          <cell r="R357">
            <v>10.998783647021</v>
          </cell>
          <cell r="S357">
            <v>7.0852796598559999</v>
          </cell>
          <cell r="T357">
            <v>-8.8230562970780007</v>
          </cell>
          <cell r="U357">
            <v>0.402352804653</v>
          </cell>
          <cell r="V357">
            <v>9.5130956810500003</v>
          </cell>
          <cell r="W357">
            <v>4.2233525068170001</v>
          </cell>
          <cell r="X357">
            <v>3.096749767331</v>
          </cell>
          <cell r="Y357">
            <v>5.048849936041</v>
          </cell>
          <cell r="Z357">
            <v>4.8584797919170004</v>
          </cell>
          <cell r="AA357">
            <v>5.3761164078270003</v>
          </cell>
          <cell r="AB357">
            <v>3.3831575093069999</v>
          </cell>
          <cell r="AC357">
            <v>3.9437254259499999</v>
          </cell>
        </row>
        <row r="358">
          <cell r="B358" t="str">
            <v>EPS (pre-exceptionals, diluted)</v>
          </cell>
          <cell r="C358" t="str">
            <v>EPS_FUL_DIL</v>
          </cell>
          <cell r="D358" t="str">
            <v>TWD</v>
          </cell>
          <cell r="F358">
            <v>4.3272225024670004</v>
          </cell>
          <cell r="G358">
            <v>8.4056784758610004</v>
          </cell>
          <cell r="H358">
            <v>4.3874936048470001</v>
          </cell>
          <cell r="I358">
            <v>4.9942476337770003</v>
          </cell>
          <cell r="J358">
            <v>2.0644915608279999</v>
          </cell>
          <cell r="K358">
            <v>4.9357244338550004</v>
          </cell>
          <cell r="L358">
            <v>16.840563368698</v>
          </cell>
          <cell r="M358">
            <v>-1.0019034662349999</v>
          </cell>
          <cell r="N358">
            <v>2.2289741117430002</v>
          </cell>
          <cell r="O358">
            <v>4.3748039253190001</v>
          </cell>
          <cell r="P358">
            <v>9.8389181082930008</v>
          </cell>
          <cell r="Q358">
            <v>2.2200697702840002</v>
          </cell>
          <cell r="R358">
            <v>10.998783647021</v>
          </cell>
          <cell r="S358">
            <v>7.0852796598559999</v>
          </cell>
          <cell r="T358">
            <v>-8.8230562970780007</v>
          </cell>
          <cell r="U358">
            <v>0.402352804653</v>
          </cell>
          <cell r="V358">
            <v>9.5130956810500003</v>
          </cell>
          <cell r="W358">
            <v>4.2233525068170001</v>
          </cell>
          <cell r="X358">
            <v>3.096749767331</v>
          </cell>
          <cell r="Y358">
            <v>5.048849936041</v>
          </cell>
          <cell r="Z358">
            <v>4.8584797919170004</v>
          </cell>
          <cell r="AA358">
            <v>5.3761164078270003</v>
          </cell>
          <cell r="AB358">
            <v>3.3831575093069999</v>
          </cell>
          <cell r="AC358">
            <v>3.9437254259499999</v>
          </cell>
        </row>
        <row r="359">
          <cell r="B359" t="str">
            <v>EPS (post-exceptionals, basic)</v>
          </cell>
          <cell r="C359" t="str">
            <v>EPS_POST_BASIC</v>
          </cell>
          <cell r="D359" t="str">
            <v>TWD</v>
          </cell>
          <cell r="F359">
            <v>4.3272225024670004</v>
          </cell>
          <cell r="G359">
            <v>8.4056784758610004</v>
          </cell>
          <cell r="H359">
            <v>4.3874936048470001</v>
          </cell>
          <cell r="I359">
            <v>4.9942476337770003</v>
          </cell>
          <cell r="J359">
            <v>2.0644915608279999</v>
          </cell>
          <cell r="K359">
            <v>4.9357244338550004</v>
          </cell>
          <cell r="L359">
            <v>16.840563368698</v>
          </cell>
          <cell r="M359">
            <v>-1.0019034662349999</v>
          </cell>
          <cell r="N359">
            <v>2.2289741117430002</v>
          </cell>
          <cell r="O359">
            <v>4.3748039253190001</v>
          </cell>
          <cell r="P359">
            <v>9.8389181082930008</v>
          </cell>
          <cell r="Q359">
            <v>2.2204350663489998</v>
          </cell>
          <cell r="R359">
            <v>10.612121145476999</v>
          </cell>
          <cell r="S359">
            <v>6.4952375248490002</v>
          </cell>
          <cell r="T359">
            <v>-8.5685284764990008</v>
          </cell>
          <cell r="U359">
            <v>1.525273727709</v>
          </cell>
          <cell r="V359">
            <v>9.5616655664250008</v>
          </cell>
          <cell r="W359">
            <v>4.2233525068170001</v>
          </cell>
          <cell r="X359">
            <v>3.096749767331</v>
          </cell>
          <cell r="Y359">
            <v>5.048849936041</v>
          </cell>
          <cell r="Z359">
            <v>4.8584797919170004</v>
          </cell>
          <cell r="AA359">
            <v>5.3761164078270003</v>
          </cell>
          <cell r="AB359">
            <v>3.3831575093069999</v>
          </cell>
          <cell r="AC359">
            <v>3.9437254259499999</v>
          </cell>
        </row>
        <row r="360">
          <cell r="B360" t="str">
            <v>EPS (post-exceptionals, diluted)</v>
          </cell>
          <cell r="C360" t="str">
            <v>FULLY_DIL_EPS</v>
          </cell>
          <cell r="D360" t="str">
            <v>TWD</v>
          </cell>
          <cell r="F360">
            <v>4.3272225024670004</v>
          </cell>
          <cell r="G360">
            <v>8.4056784758610004</v>
          </cell>
          <cell r="H360">
            <v>4.3874936048470001</v>
          </cell>
          <cell r="I360">
            <v>4.9942476337770003</v>
          </cell>
          <cell r="J360">
            <v>2.0644915608279999</v>
          </cell>
          <cell r="K360">
            <v>4.9357244338550004</v>
          </cell>
          <cell r="L360">
            <v>16.840563368698</v>
          </cell>
          <cell r="M360">
            <v>-1.0019034662349999</v>
          </cell>
          <cell r="N360">
            <v>2.2289741117430002</v>
          </cell>
          <cell r="O360">
            <v>4.3748039253190001</v>
          </cell>
          <cell r="P360">
            <v>9.8389181082930008</v>
          </cell>
          <cell r="Q360">
            <v>2.2204350663489998</v>
          </cell>
          <cell r="R360">
            <v>10.612121145476999</v>
          </cell>
          <cell r="S360">
            <v>6.4952375248490002</v>
          </cell>
          <cell r="T360">
            <v>-8.5685284764990008</v>
          </cell>
          <cell r="U360">
            <v>1.525273727709</v>
          </cell>
          <cell r="V360">
            <v>9.5616655664250008</v>
          </cell>
          <cell r="W360">
            <v>4.2233525068170001</v>
          </cell>
          <cell r="X360">
            <v>3.096749767331</v>
          </cell>
          <cell r="Y360">
            <v>5.048849936041</v>
          </cell>
          <cell r="Z360">
            <v>4.8584797919170004</v>
          </cell>
          <cell r="AA360">
            <v>5.3761164078270003</v>
          </cell>
          <cell r="AB360">
            <v>3.3831575093069999</v>
          </cell>
          <cell r="AC360">
            <v>3.9437254259499999</v>
          </cell>
        </row>
        <row r="361">
          <cell r="B361" t="str">
            <v>Common dividends paid</v>
          </cell>
          <cell r="C361" t="str">
            <v>COMMON_DIV_PAID</v>
          </cell>
          <cell r="D361" t="str">
            <v>TWD</v>
          </cell>
          <cell r="F361">
            <v>0</v>
          </cell>
          <cell r="G361">
            <v>0</v>
          </cell>
          <cell r="H361">
            <v>0</v>
          </cell>
          <cell r="I361">
            <v>-979.41200000000003</v>
          </cell>
          <cell r="J361">
            <v>-1182.8520000000001</v>
          </cell>
          <cell r="K361">
            <v>-879.92</v>
          </cell>
          <cell r="L361">
            <v>-105</v>
          </cell>
          <cell r="M361">
            <v>-105</v>
          </cell>
          <cell r="N361">
            <v>0</v>
          </cell>
          <cell r="O361">
            <v>0</v>
          </cell>
          <cell r="P361">
            <v>0</v>
          </cell>
          <cell r="Q361">
            <v>0</v>
          </cell>
          <cell r="R361">
            <v>-7161.2668299999996</v>
          </cell>
          <cell r="S361">
            <v>-12461.529283</v>
          </cell>
          <cell r="T361">
            <v>-9382.6469489999999</v>
          </cell>
          <cell r="U361">
            <v>0</v>
          </cell>
          <cell r="V361">
            <v>-6233</v>
          </cell>
          <cell r="W361">
            <v>-14034</v>
          </cell>
          <cell r="X361">
            <v>-6316</v>
          </cell>
          <cell r="Y361">
            <v>-5061</v>
          </cell>
          <cell r="Z361">
            <v>-6253.1571450000001</v>
          </cell>
          <cell r="AA361">
            <v>-6889.3</v>
          </cell>
          <cell r="AB361">
            <v>-7631.0850113838296</v>
          </cell>
          <cell r="AC361">
            <v>-6312.15</v>
          </cell>
        </row>
        <row r="362">
          <cell r="B362" t="str">
            <v>DPS, dividend per share</v>
          </cell>
          <cell r="C362" t="str">
            <v>DPS</v>
          </cell>
          <cell r="D362" t="str">
            <v>TWD</v>
          </cell>
          <cell r="F362">
            <v>0</v>
          </cell>
          <cell r="G362">
            <v>0</v>
          </cell>
          <cell r="H362">
            <v>0</v>
          </cell>
          <cell r="I362">
            <v>0.50222290137100001</v>
          </cell>
          <cell r="J362">
            <v>0.55411307813300004</v>
          </cell>
          <cell r="K362">
            <v>0.41370616537499999</v>
          </cell>
          <cell r="L362">
            <v>3.4821701282000003E-2</v>
          </cell>
          <cell r="M362">
            <v>3.3319544330999998E-2</v>
          </cell>
          <cell r="N362">
            <v>0</v>
          </cell>
          <cell r="O362">
            <v>0</v>
          </cell>
          <cell r="P362">
            <v>0</v>
          </cell>
          <cell r="R362">
            <v>2.3297925114189999</v>
          </cell>
          <cell r="S362">
            <v>4.7719448378029998</v>
          </cell>
          <cell r="T362">
            <v>3.6019358164090001</v>
          </cell>
          <cell r="U362">
            <v>0</v>
          </cell>
          <cell r="V362">
            <v>2.493748624697</v>
          </cell>
          <cell r="W362">
            <v>5.5864498537109997</v>
          </cell>
          <cell r="X362">
            <v>2.5013366071959999</v>
          </cell>
          <cell r="Y362">
            <v>2.0231052126639999</v>
          </cell>
          <cell r="Z362">
            <v>2.5022637635049998</v>
          </cell>
          <cell r="AA362">
            <v>2.7540125122419998</v>
          </cell>
          <cell r="AB362">
            <v>3.1046542897060001</v>
          </cell>
          <cell r="AC362">
            <v>2.585251474443</v>
          </cell>
        </row>
        <row r="363">
          <cell r="B363" t="str">
            <v>Weighted average shares outstanding, basic</v>
          </cell>
          <cell r="C363" t="str">
            <v>SH</v>
          </cell>
          <cell r="F363">
            <v>1492.3448000000001</v>
          </cell>
          <cell r="G363">
            <v>1594.8363999999999</v>
          </cell>
          <cell r="H363">
            <v>1734.9076</v>
          </cell>
          <cell r="I363">
            <v>1950.154</v>
          </cell>
          <cell r="J363">
            <v>2134.6761999999999</v>
          </cell>
          <cell r="K363">
            <v>2126.9202</v>
          </cell>
          <cell r="L363">
            <v>3015.3609999999999</v>
          </cell>
          <cell r="M363">
            <v>3151.3036000000002</v>
          </cell>
          <cell r="N363">
            <v>3172.7743999999998</v>
          </cell>
          <cell r="O363">
            <v>3204.7737999999999</v>
          </cell>
          <cell r="P363">
            <v>3236.4717999999998</v>
          </cell>
          <cell r="Q363">
            <v>3164.5563999999999</v>
          </cell>
          <cell r="R363">
            <v>3073.7788</v>
          </cell>
          <cell r="S363">
            <v>2611.4151999999999</v>
          </cell>
          <cell r="T363">
            <v>2604.8901000000001</v>
          </cell>
          <cell r="U363">
            <v>2539.8903355000002</v>
          </cell>
          <cell r="V363">
            <v>2499.4499999999998</v>
          </cell>
          <cell r="W363">
            <v>2512.15</v>
          </cell>
          <cell r="X363">
            <v>2525.0500000000002</v>
          </cell>
          <cell r="Y363">
            <v>2501.6</v>
          </cell>
          <cell r="Z363">
            <v>2499</v>
          </cell>
          <cell r="AA363">
            <v>2501.5500000000002</v>
          </cell>
          <cell r="AB363">
            <v>2457.9499999999998</v>
          </cell>
          <cell r="AC363">
            <v>2441.6</v>
          </cell>
        </row>
        <row r="364">
          <cell r="B364" t="str">
            <v>Diluted average shares outstanding (mn)</v>
          </cell>
          <cell r="C364" t="str">
            <v>DILUTE_SHARES</v>
          </cell>
          <cell r="F364">
            <v>1492.3448000000001</v>
          </cell>
          <cell r="G364">
            <v>1594.8363999999999</v>
          </cell>
          <cell r="H364">
            <v>1734.9076</v>
          </cell>
          <cell r="I364">
            <v>1950.154</v>
          </cell>
          <cell r="J364">
            <v>2134.6761999999999</v>
          </cell>
          <cell r="K364">
            <v>2126.9202</v>
          </cell>
          <cell r="L364">
            <v>3015.3609999999999</v>
          </cell>
          <cell r="M364">
            <v>3151.3036000000002</v>
          </cell>
          <cell r="N364">
            <v>3172.7743999999998</v>
          </cell>
          <cell r="O364">
            <v>3204.7737999999999</v>
          </cell>
          <cell r="P364">
            <v>3236.4717999999998</v>
          </cell>
          <cell r="Q364">
            <v>3164.5563999999999</v>
          </cell>
          <cell r="R364">
            <v>3073.7788</v>
          </cell>
          <cell r="S364">
            <v>2611.4151999999999</v>
          </cell>
          <cell r="T364">
            <v>2604.8901000000001</v>
          </cell>
          <cell r="U364">
            <v>2539.8903355000002</v>
          </cell>
          <cell r="V364">
            <v>2499.4499999999998</v>
          </cell>
          <cell r="W364">
            <v>2512.15</v>
          </cell>
          <cell r="X364">
            <v>2525.0500000000002</v>
          </cell>
          <cell r="Y364">
            <v>2501.6</v>
          </cell>
          <cell r="Z364">
            <v>2499</v>
          </cell>
          <cell r="AA364">
            <v>2501.5500000000002</v>
          </cell>
          <cell r="AB364">
            <v>2457.9499999999998</v>
          </cell>
          <cell r="AC364">
            <v>2441.6</v>
          </cell>
        </row>
        <row r="365">
          <cell r="B365" t="str">
            <v>Period-end shares outstanding</v>
          </cell>
          <cell r="C365" t="str">
            <v>NON_OP_ADD</v>
          </cell>
          <cell r="F365">
            <v>1492.3448000000001</v>
          </cell>
          <cell r="G365">
            <v>1594.8363999999999</v>
          </cell>
          <cell r="H365">
            <v>1734.9076</v>
          </cell>
          <cell r="I365">
            <v>1950.154</v>
          </cell>
          <cell r="J365">
            <v>2134.6761999999999</v>
          </cell>
          <cell r="K365">
            <v>2126.9202</v>
          </cell>
          <cell r="L365">
            <v>3015.3609999999999</v>
          </cell>
          <cell r="M365">
            <v>3151.3036000000002</v>
          </cell>
          <cell r="N365">
            <v>3172.7743999999998</v>
          </cell>
          <cell r="O365">
            <v>3204.7737999999999</v>
          </cell>
          <cell r="P365">
            <v>3236.4717999999998</v>
          </cell>
          <cell r="Q365">
            <v>3164.5563999999999</v>
          </cell>
          <cell r="R365">
            <v>3073.7788</v>
          </cell>
          <cell r="S365">
            <v>2611.4151999999999</v>
          </cell>
          <cell r="T365">
            <v>2604.8901000000001</v>
          </cell>
          <cell r="U365">
            <v>2539.8903355000002</v>
          </cell>
          <cell r="V365">
            <v>2499.4499999999998</v>
          </cell>
          <cell r="W365">
            <v>2512.15</v>
          </cell>
          <cell r="X365">
            <v>2525.0500000000002</v>
          </cell>
          <cell r="Y365">
            <v>2501.6</v>
          </cell>
          <cell r="Z365">
            <v>2499</v>
          </cell>
          <cell r="AA365">
            <v>2501.5500000000002</v>
          </cell>
          <cell r="AB365">
            <v>2457.9499999999998</v>
          </cell>
          <cell r="AC365">
            <v>2441.6</v>
          </cell>
        </row>
        <row r="366">
          <cell r="A366" t="str">
            <v>Additional Income Statement Items</v>
          </cell>
        </row>
        <row r="367">
          <cell r="B367" t="str">
            <v>Marginal tax rate</v>
          </cell>
          <cell r="C367" t="str">
            <v>MARGIN_TAX_RATE</v>
          </cell>
          <cell r="F367">
            <v>2.5784925111000001E-2</v>
          </cell>
          <cell r="G367">
            <v>0</v>
          </cell>
          <cell r="H367">
            <v>0</v>
          </cell>
          <cell r="I367">
            <v>1.2042878906000001E-2</v>
          </cell>
          <cell r="J367">
            <v>0</v>
          </cell>
          <cell r="K367">
            <v>2.6385033760000002E-3</v>
          </cell>
          <cell r="L367">
            <v>0</v>
          </cell>
          <cell r="M367">
            <v>0.50300208712899996</v>
          </cell>
          <cell r="N367">
            <v>1.7026877399999999E-3</v>
          </cell>
          <cell r="O367">
            <v>5.3668052411999997E-2</v>
          </cell>
          <cell r="P367">
            <v>1.063735343E-3</v>
          </cell>
          <cell r="Q367">
            <v>2.8374122900000001E-4</v>
          </cell>
          <cell r="R367">
            <v>8.6670834769999996E-2</v>
          </cell>
          <cell r="S367">
            <v>5.4365891153000001E-2</v>
          </cell>
          <cell r="T367">
            <v>0</v>
          </cell>
          <cell r="U367">
            <v>0.38916198445900002</v>
          </cell>
          <cell r="V367">
            <v>6.3273636177000006E-2</v>
          </cell>
          <cell r="W367">
            <v>9.7377486193999996E-2</v>
          </cell>
          <cell r="X367">
            <v>0.26603135165399999</v>
          </cell>
          <cell r="Y367">
            <v>0.15714151031500001</v>
          </cell>
          <cell r="Z367">
            <v>0.150496740396</v>
          </cell>
          <cell r="AA367">
            <v>6.3920998502000004E-2</v>
          </cell>
          <cell r="AB367">
            <v>0.202825206058</v>
          </cell>
          <cell r="AC367">
            <v>0.14941644222100001</v>
          </cell>
        </row>
        <row r="368">
          <cell r="B368" t="str">
            <v>Net income (consensus) (Pub)</v>
          </cell>
          <cell r="C368" t="str">
            <v>NI_CONS</v>
          </cell>
          <cell r="D368" t="str">
            <v>TWD</v>
          </cell>
        </row>
        <row r="369">
          <cell r="A369" t="str">
            <v>ESO</v>
          </cell>
        </row>
        <row r="370">
          <cell r="B370" t="str">
            <v>Fair value of grant</v>
          </cell>
          <cell r="C370" t="str">
            <v>FV_GRANT</v>
          </cell>
          <cell r="D370" t="str">
            <v>TWD</v>
          </cell>
        </row>
        <row r="371">
          <cell r="B371" t="str">
            <v>ESO expense (post-tax)</v>
          </cell>
          <cell r="C371" t="str">
            <v>ESO_POST_TAX</v>
          </cell>
          <cell r="D371" t="str">
            <v>TWD</v>
          </cell>
        </row>
        <row r="372">
          <cell r="B372" t="str">
            <v>EPS (excl. ESO expense, basic)</v>
          </cell>
          <cell r="C372" t="str">
            <v>EPS_EX_ESO_B</v>
          </cell>
          <cell r="D372" t="str">
            <v>TWD</v>
          </cell>
          <cell r="O372">
            <v>4.3748039253190001</v>
          </cell>
          <cell r="P372">
            <v>9.8389181082930008</v>
          </cell>
          <cell r="Q372">
            <v>2.2204350663489998</v>
          </cell>
          <cell r="R372">
            <v>10.612121145476999</v>
          </cell>
          <cell r="S372">
            <v>6.4952375248490002</v>
          </cell>
          <cell r="T372">
            <v>-8.5685284764990008</v>
          </cell>
          <cell r="U372">
            <v>1.525273727709</v>
          </cell>
          <cell r="V372">
            <v>9.5616655664250008</v>
          </cell>
          <cell r="W372">
            <v>4.2233525068170001</v>
          </cell>
          <cell r="X372">
            <v>3.096749767331</v>
          </cell>
          <cell r="Y372">
            <v>5.048849936041</v>
          </cell>
          <cell r="Z372">
            <v>4.8584797919170004</v>
          </cell>
          <cell r="AA372">
            <v>5.3761164078270003</v>
          </cell>
          <cell r="AB372">
            <v>3.3831575093069999</v>
          </cell>
          <cell r="AC372">
            <v>3.9437254259499999</v>
          </cell>
        </row>
        <row r="373">
          <cell r="B373" t="str">
            <v>EPS (excl. ESO expense, diluted)</v>
          </cell>
          <cell r="C373" t="str">
            <v>EPS_EX_ESO_D</v>
          </cell>
          <cell r="D373" t="str">
            <v>TWD</v>
          </cell>
          <cell r="O373">
            <v>4.3748039253190001</v>
          </cell>
          <cell r="P373">
            <v>9.8389181082930008</v>
          </cell>
          <cell r="Q373">
            <v>2.2204350663489998</v>
          </cell>
          <cell r="R373">
            <v>10.612121145476999</v>
          </cell>
          <cell r="S373">
            <v>6.4952375248490002</v>
          </cell>
          <cell r="T373">
            <v>-8.5685284764990008</v>
          </cell>
          <cell r="U373">
            <v>1.525273727709</v>
          </cell>
          <cell r="V373">
            <v>9.5616655664250008</v>
          </cell>
          <cell r="W373">
            <v>4.2233525068170001</v>
          </cell>
          <cell r="X373">
            <v>3.096749767331</v>
          </cell>
          <cell r="Y373">
            <v>5.048849936041</v>
          </cell>
          <cell r="Z373">
            <v>4.8584797919170004</v>
          </cell>
          <cell r="AA373">
            <v>5.3761164078270003</v>
          </cell>
          <cell r="AB373">
            <v>3.3831575093069999</v>
          </cell>
          <cell r="AC373">
            <v>3.9437254259499999</v>
          </cell>
        </row>
        <row r="374">
          <cell r="B374" t="str">
            <v>Year that ESO expense takes effect</v>
          </cell>
          <cell r="C374" t="str">
            <v>ESO_YEAR</v>
          </cell>
        </row>
        <row r="375">
          <cell r="A375" t="str">
            <v>Balance Sheet</v>
          </cell>
        </row>
        <row r="376">
          <cell r="B376" t="str">
            <v>BVPS, book value per share</v>
          </cell>
          <cell r="C376" t="str">
            <v>BVPS</v>
          </cell>
          <cell r="D376" t="str">
            <v>TWD</v>
          </cell>
          <cell r="F376">
            <v>12.490014372014</v>
          </cell>
          <cell r="G376">
            <v>19.667322616915001</v>
          </cell>
          <cell r="H376">
            <v>26.518818639102001</v>
          </cell>
          <cell r="I376">
            <v>34.234665057221001</v>
          </cell>
          <cell r="J376">
            <v>35.854032100981001</v>
          </cell>
          <cell r="K376">
            <v>56.095968245541002</v>
          </cell>
          <cell r="L376">
            <v>78.929737766057997</v>
          </cell>
          <cell r="M376">
            <v>74.085435310009998</v>
          </cell>
          <cell r="N376">
            <v>68.530987579829002</v>
          </cell>
          <cell r="O376">
            <v>72.467493337595002</v>
          </cell>
          <cell r="P376">
            <v>82.306603134932004</v>
          </cell>
          <cell r="Q376">
            <v>81.617617243289004</v>
          </cell>
          <cell r="R376">
            <v>94.725381995608004</v>
          </cell>
          <cell r="S376">
            <v>90.551241717517996</v>
          </cell>
          <cell r="T376">
            <v>73.576345504941003</v>
          </cell>
          <cell r="U376">
            <v>84.293503938962004</v>
          </cell>
          <cell r="V376">
            <v>90.074227930145</v>
          </cell>
          <cell r="W376">
            <v>84.43960870171</v>
          </cell>
          <cell r="X376">
            <v>81.194806043444999</v>
          </cell>
          <cell r="Y376">
            <v>84.922120243044006</v>
          </cell>
          <cell r="Z376">
            <v>90.039556222488997</v>
          </cell>
          <cell r="AA376">
            <v>91.470249645219994</v>
          </cell>
          <cell r="AB376">
            <v>88.993673589780002</v>
          </cell>
          <cell r="AC376">
            <v>87.663007863695995</v>
          </cell>
        </row>
        <row r="377">
          <cell r="A377" t="str">
            <v>Cash Flow Statement</v>
          </cell>
        </row>
        <row r="378">
          <cell r="B378" t="str">
            <v>Net income (pre-preferred dividends)</v>
          </cell>
          <cell r="C378" t="str">
            <v>CF_NI_PRE_PREF</v>
          </cell>
          <cell r="D378" t="str">
            <v>TWD</v>
          </cell>
          <cell r="F378">
            <v>6492.7079999999996</v>
          </cell>
          <cell r="G378">
            <v>13440.682000000001</v>
          </cell>
          <cell r="H378">
            <v>7646.8959999999997</v>
          </cell>
          <cell r="I378">
            <v>9739.5519999999997</v>
          </cell>
          <cell r="J378">
            <v>4407.0209999999997</v>
          </cell>
          <cell r="K378">
            <v>10497.892</v>
          </cell>
          <cell r="L378">
            <v>50780.377999999997</v>
          </cell>
          <cell r="M378">
            <v>-3157.3020000000001</v>
          </cell>
          <cell r="N378">
            <v>7072.0320000000002</v>
          </cell>
          <cell r="O378">
            <v>14020.257</v>
          </cell>
          <cell r="P378">
            <v>31843.381000000001</v>
          </cell>
          <cell r="Q378">
            <v>7025.5360000000001</v>
          </cell>
          <cell r="R378">
            <v>33807.828000000001</v>
          </cell>
          <cell r="S378">
            <v>18502.607</v>
          </cell>
          <cell r="T378">
            <v>-22983.092000000001</v>
          </cell>
          <cell r="U378">
            <v>1021.93199999999</v>
          </cell>
          <cell r="V378">
            <v>23777.507000000001</v>
          </cell>
          <cell r="W378">
            <v>8466.9159999999993</v>
          </cell>
          <cell r="X378">
            <v>5873.9210000000003</v>
          </cell>
          <cell r="Y378">
            <v>12104.96</v>
          </cell>
          <cell r="Z378">
            <v>11479.589</v>
          </cell>
          <cell r="AA378">
            <v>12835.651</v>
          </cell>
          <cell r="AB378">
            <v>3863.18</v>
          </cell>
          <cell r="AC378">
            <v>6632</v>
          </cell>
        </row>
        <row r="379">
          <cell r="A379" t="str">
            <v>Other Items</v>
          </cell>
        </row>
        <row r="380">
          <cell r="B380" t="str">
            <v>Adjusted EPS (fully loaded)</v>
          </cell>
          <cell r="C380" t="str">
            <v>ADJ_EPS_TW</v>
          </cell>
          <cell r="D380" t="str">
            <v>TWD</v>
          </cell>
          <cell r="F380">
            <v>0.82780963219799997</v>
          </cell>
          <cell r="G380">
            <v>5.2277034434380001</v>
          </cell>
          <cell r="H380">
            <v>0.89628375597599996</v>
          </cell>
          <cell r="I380">
            <v>3.6782541430059998</v>
          </cell>
          <cell r="J380">
            <v>1.2042669515869999</v>
          </cell>
          <cell r="K380">
            <v>1.6349957088189999</v>
          </cell>
          <cell r="L380">
            <v>14.861989509714</v>
          </cell>
          <cell r="M380">
            <v>-2.430128788607</v>
          </cell>
          <cell r="N380">
            <v>1.7703951784280001</v>
          </cell>
          <cell r="O380">
            <v>3.503977457005</v>
          </cell>
          <cell r="P380">
            <v>8.7776571767749996</v>
          </cell>
          <cell r="Q380">
            <v>1.863085049772</v>
          </cell>
          <cell r="R380">
            <v>9.8560096761029996</v>
          </cell>
          <cell r="S380">
            <v>8.2949717243139993</v>
          </cell>
          <cell r="T380">
            <v>-8.6097312154250005</v>
          </cell>
          <cell r="U380">
            <v>1.550528729546</v>
          </cell>
          <cell r="V380">
            <v>9.5769434447959991</v>
          </cell>
          <cell r="W380">
            <v>4.230480934249</v>
          </cell>
          <cell r="X380">
            <v>3.0968872890400001</v>
          </cell>
          <cell r="Y380">
            <v>5.031806681001</v>
          </cell>
          <cell r="Z380">
            <v>4.8569671240850001</v>
          </cell>
          <cell r="AA380">
            <v>5.3736141739200001</v>
          </cell>
          <cell r="AB380">
            <v>3.3935364898449998</v>
          </cell>
          <cell r="AC380">
            <v>3.9437254259499999</v>
          </cell>
        </row>
        <row r="381">
          <cell r="B381" t="str">
            <v>Adjusted net income (fully loaded)</v>
          </cell>
          <cell r="C381" t="str">
            <v>ADJ_NI_TW</v>
          </cell>
          <cell r="D381" t="str">
            <v>TWD</v>
          </cell>
          <cell r="F381">
            <v>1235.3774000000001</v>
          </cell>
          <cell r="G381">
            <v>8337.3317399999996</v>
          </cell>
          <cell r="H381">
            <v>1554.9694999999999</v>
          </cell>
          <cell r="I381">
            <v>7173.1620300000004</v>
          </cell>
          <cell r="J381">
            <v>2570.7199999999998</v>
          </cell>
          <cell r="K381">
            <v>3477.5054</v>
          </cell>
          <cell r="L381">
            <v>44814.263550000003</v>
          </cell>
          <cell r="M381">
            <v>-7658.0735999999997</v>
          </cell>
          <cell r="N381">
            <v>5617.0645000000004</v>
          </cell>
          <cell r="O381">
            <v>11229.45515</v>
          </cell>
          <cell r="P381">
            <v>28408.6399227</v>
          </cell>
          <cell r="Q381">
            <v>5895.8377179999998</v>
          </cell>
          <cell r="R381">
            <v>30295.193595000001</v>
          </cell>
          <cell r="S381">
            <v>21661.615244444802</v>
          </cell>
          <cell r="T381">
            <v>-22320.075000000001</v>
          </cell>
          <cell r="U381">
            <v>3874.0279999999898</v>
          </cell>
          <cell r="V381">
            <v>23898.904999999999</v>
          </cell>
          <cell r="W381">
            <v>10609.695</v>
          </cell>
          <cell r="X381">
            <v>7819.4480000000003</v>
          </cell>
          <cell r="Y381">
            <v>12630.203</v>
          </cell>
          <cell r="Z381">
            <v>12141.341</v>
          </cell>
          <cell r="AA381">
            <v>13448.624</v>
          </cell>
          <cell r="AB381">
            <v>8315.6319999999996</v>
          </cell>
          <cell r="AC381">
            <v>9629</v>
          </cell>
        </row>
        <row r="382">
          <cell r="B382" t="str">
            <v>Beta</v>
          </cell>
          <cell r="C382" t="str">
            <v>BETA_ANALYST</v>
          </cell>
        </row>
        <row r="383">
          <cell r="B383" t="str">
            <v>Market equity risk premium</v>
          </cell>
          <cell r="C383" t="str">
            <v>MKT_EQ_RISK_PREM</v>
          </cell>
        </row>
        <row r="384">
          <cell r="B384" t="str">
            <v>Risk-free rate</v>
          </cell>
          <cell r="C384" t="str">
            <v>RISK_FR_RATE</v>
          </cell>
        </row>
      </sheetData>
      <sheetData sheetId="11">
        <row r="1">
          <cell r="A1" t="str">
            <v>5f7cade2-0b53-453a-8eb8-9d49a76cfa21</v>
          </cell>
        </row>
        <row r="2">
          <cell r="A2" t="str">
            <v>\\usrny025vf.ny.fw.gs.com\bajabh\home\Desktop\Client Model\Bin\New folder\[GS_UMC(2303.TW) v2.xlsx]2303.TW_Validation_Sheet</v>
          </cell>
        </row>
        <row r="3">
          <cell r="A3" t="str">
            <v>Enabled</v>
          </cell>
        </row>
        <row r="7">
          <cell r="A7" t="str">
            <v>Scalar|||208000811|||ISSR|||CURRENCY_ISO|||False|||</v>
          </cell>
          <cell r="C7" t="str">
            <v>V_KEYWORD_ISSR_208000811_CURRENCY_ISO</v>
          </cell>
        </row>
        <row r="9">
          <cell r="A9" t="str">
            <v>Scalar|||208000811|||ISSR|||MA_PROB|||False|||</v>
          </cell>
          <cell r="C9" t="str">
            <v>V_KEYWORD_ISSR_208000811_MA_PROB</v>
          </cell>
          <cell r="E9" t="str">
            <v>ERROR</v>
          </cell>
        </row>
        <row r="11">
          <cell r="A11" t="str">
            <v>Vector|||208000811|||ISSR|||SALES|||False|||</v>
          </cell>
          <cell r="C11" t="str">
            <v>V_KEYWORD_ISSR_208000811_SALES</v>
          </cell>
        </row>
        <row r="12">
          <cell r="A12" t="str">
            <v>Vector|||208000811|||ISSR|||PERSONNEL|||False|||</v>
          </cell>
          <cell r="C12" t="str">
            <v>V_KEYWORD_ISSR_208000811_PERSONNEL</v>
          </cell>
        </row>
        <row r="13">
          <cell r="A13" t="str">
            <v>Vector|||208000811|||ISSR|||COST_GD_SD|||False|||</v>
          </cell>
          <cell r="C13" t="str">
            <v>V_KEYWORD_ISSR_208000811_COST_GD_SD</v>
          </cell>
        </row>
        <row r="14">
          <cell r="A14" t="str">
            <v>Vector|||208000811|||ISSR|||SEL_GL_AD|||False|||</v>
          </cell>
          <cell r="C14" t="str">
            <v>V_KEYWORD_ISSR_208000811_SEL_GL_AD</v>
          </cell>
        </row>
        <row r="15">
          <cell r="A15" t="str">
            <v>Vector|||208000811|||ISSR|||OP_COST|||False|||</v>
          </cell>
          <cell r="C15" t="str">
            <v>V_KEYWORD_ISSR_208000811_OP_COST</v>
          </cell>
        </row>
        <row r="16">
          <cell r="A16" t="str">
            <v>Vector|||208000811|||ISSR|||RD_EXP|||False|||</v>
          </cell>
          <cell r="C16" t="str">
            <v>V_KEYWORD_ISSR_208000811_RD_EXP</v>
          </cell>
        </row>
        <row r="17">
          <cell r="A17" t="str">
            <v>Vector|||208000811|||ISSR|||ESO_PRE_TAX|||False|||</v>
          </cell>
          <cell r="C17" t="str">
            <v>V_KEYWORD_ISSR_208000811_ESO_PRE_TAX</v>
          </cell>
        </row>
        <row r="18">
          <cell r="A18" t="str">
            <v>Vector|||208000811|||ISSR|||OTH_OP_INC_EXP|||False|||</v>
          </cell>
          <cell r="C18" t="str">
            <v>V_KEYWORD_ISSR_208000811_OTH_OP_INC_EXP</v>
          </cell>
        </row>
        <row r="19">
          <cell r="A19" t="str">
            <v>Vector|||208000811|||ISSR|||TOT_OPS_EXP_DDA|||False|||</v>
          </cell>
          <cell r="C19" t="str">
            <v>V_KEYWORD_ISSR_208000811_TOT_OPS_EXP_DDA</v>
          </cell>
        </row>
        <row r="20">
          <cell r="A20" t="str">
            <v>Vector|||208000811|||ISSR|||TOT_OPS_EXP|||False|||</v>
          </cell>
          <cell r="C20" t="str">
            <v>V_KEYWORD_ISSR_208000811_TOT_OPS_EXP</v>
          </cell>
        </row>
        <row r="21">
          <cell r="A21" t="str">
            <v>Vector|||208000811|||ISSR|||EBITDA_CALC|||False|||</v>
          </cell>
          <cell r="C21" t="str">
            <v>V_KEYWORD_ISSR_208000811_EBITDA_CALC</v>
          </cell>
        </row>
        <row r="22">
          <cell r="A22" t="str">
            <v>Vector|||208000811|||ISSR|||DEPREC|||False|||</v>
          </cell>
          <cell r="C22" t="str">
            <v>V_KEYWORD_ISSR_208000811_DEPREC</v>
          </cell>
        </row>
        <row r="23">
          <cell r="A23" t="str">
            <v>Vector|||208000811|||ISSR|||GOODWILL_AMORT|||False|||</v>
          </cell>
          <cell r="C23" t="str">
            <v>V_KEYWORD_ISSR_208000811_GOODWILL_AMORT</v>
          </cell>
        </row>
        <row r="24">
          <cell r="A24" t="str">
            <v>Vector|||208000811|||ISSR|||EBIT|||False|||</v>
          </cell>
          <cell r="C24" t="str">
            <v>V_KEYWORD_ISSR_208000811_EBIT</v>
          </cell>
        </row>
        <row r="25">
          <cell r="A25" t="str">
            <v>Vector|||208000811|||ISSR|||INT_INC_IND|||False|||</v>
          </cell>
          <cell r="C25" t="str">
            <v>V_KEYWORD_ISSR_208000811_INT_INC_IND</v>
          </cell>
        </row>
        <row r="26">
          <cell r="A26" t="str">
            <v>Vector|||208000811|||ISSR|||INT_EXP_IND|||False|||</v>
          </cell>
          <cell r="C26" t="str">
            <v>V_KEYWORD_ISSR_208000811_INT_EXP_IND</v>
          </cell>
          <cell r="BF26" t="str">
            <v>ERROR</v>
          </cell>
        </row>
        <row r="27">
          <cell r="A27" t="str">
            <v>Vector|||208000811|||ISSR|||NET_INT_EXP|||False|||</v>
          </cell>
          <cell r="C27" t="str">
            <v>V_KEYWORD_ISSR_208000811_NET_INT_EXP</v>
          </cell>
        </row>
        <row r="28">
          <cell r="A28" t="str">
            <v>Vector|||208000811|||ISSR|||ASSOCIATE|||False|||</v>
          </cell>
          <cell r="C28" t="str">
            <v>V_KEYWORD_ISSR_208000811_ASSOCIATE</v>
          </cell>
        </row>
        <row r="29">
          <cell r="A29" t="str">
            <v>Vector|||208000811|||ISSR|||PROFIT_ON_DISP|||False|||</v>
          </cell>
          <cell r="C29" t="str">
            <v>V_KEYWORD_ISSR_208000811_PROFIT_ON_DISP</v>
          </cell>
        </row>
        <row r="30">
          <cell r="A30" t="str">
            <v>Vector|||208000811|||ISSR|||OTH_COST_INC|||False|||</v>
          </cell>
          <cell r="C30" t="str">
            <v>V_KEYWORD_ISSR_208000811_OTH_COST_INC</v>
          </cell>
        </row>
        <row r="31">
          <cell r="A31" t="str">
            <v>Vector|||208000811|||ISSR|||PT_PROF|||False|||</v>
          </cell>
          <cell r="C31" t="str">
            <v>V_KEYWORD_ISSR_208000811_PT_PROF</v>
          </cell>
        </row>
        <row r="33">
          <cell r="A33" t="str">
            <v>Vector|||208000811|||ISSR|||CONTRIB_MARGIN_RATIO|||False|||</v>
          </cell>
          <cell r="C33" t="str">
            <v>V_KEYWORD_ISSR_208000811_CONTRIB_MARGIN_RATIO</v>
          </cell>
        </row>
        <row r="34">
          <cell r="A34" t="str">
            <v>Vector|||208000811|||ISSR|||LEASE_PAY|||False|||</v>
          </cell>
          <cell r="C34" t="str">
            <v>V_KEYWORD_ISSR_208000811_LEASE_PAY</v>
          </cell>
        </row>
        <row r="35">
          <cell r="A35" t="str">
            <v>Vector|||208000811|||ISSR|||LEASE_DEEM_INT|||False|||</v>
          </cell>
          <cell r="C35" t="str">
            <v>V_KEYWORD_ISSR_208000811_LEASE_DEEM_INT</v>
          </cell>
        </row>
        <row r="36">
          <cell r="A36" t="str">
            <v>Vector|||208000811|||ISSR|||LEASE_DEEM_DEPR|||False|||</v>
          </cell>
          <cell r="C36" t="str">
            <v>V_KEYWORD_ISSR_208000811_LEASE_DEEM_DEPR</v>
          </cell>
        </row>
        <row r="37">
          <cell r="A37" t="str">
            <v>Vector|||208000811|||ISSR|||NET_INT_CH|||False|||</v>
          </cell>
          <cell r="C37" t="str">
            <v>V_KEYWORD_ISSR_208000811_NET_INT_CH</v>
          </cell>
        </row>
        <row r="38">
          <cell r="A38" t="str">
            <v>Vector|||208000811|||ISSR|||ASSOCIATE_OP|||False|||</v>
          </cell>
          <cell r="C38" t="str">
            <v>V_KEYWORD_ISSR_208000811_ASSOCIATE_OP</v>
          </cell>
        </row>
        <row r="40">
          <cell r="A40" t="str">
            <v>Vector|||208000811|||ISSR|||CASH_EQ|||False|||</v>
          </cell>
          <cell r="C40" t="str">
            <v>V_KEYWORD_ISSR_208000811_CASH_EQ</v>
          </cell>
        </row>
        <row r="41">
          <cell r="A41" t="str">
            <v>Vector|||208000811|||ISSR|||DEBTORS|||False|||</v>
          </cell>
          <cell r="C41" t="str">
            <v>V_KEYWORD_ISSR_208000811_DEBTORS</v>
          </cell>
        </row>
        <row r="42">
          <cell r="A42" t="str">
            <v>Vector|||208000811|||ISSR|||STOCKS|||False|||</v>
          </cell>
          <cell r="C42" t="str">
            <v>V_KEYWORD_ISSR_208000811_STOCKS</v>
          </cell>
        </row>
        <row r="43">
          <cell r="A43" t="str">
            <v>Vector|||208000811|||ISSR|||OTH_CUR_ASS|||False|||</v>
          </cell>
          <cell r="C43" t="str">
            <v>V_KEYWORD_ISSR_208000811_OTH_CUR_ASS</v>
          </cell>
        </row>
        <row r="44">
          <cell r="A44" t="str">
            <v>Vector|||208000811|||ISSR|||CUR_ASS|||False|||</v>
          </cell>
          <cell r="C44" t="str">
            <v>V_KEYWORD_ISSR_208000811_CUR_ASS</v>
          </cell>
        </row>
        <row r="45">
          <cell r="A45" t="str">
            <v>Vector|||208000811|||ISSR|||GR_FIX_ASS|||False|||</v>
          </cell>
          <cell r="C45" t="str">
            <v>V_KEYWORD_ISSR_208000811_GR_FIX_ASS</v>
          </cell>
        </row>
        <row r="46">
          <cell r="A46" t="str">
            <v>Vector|||208000811|||ISSR|||ACC_DDA|||False|||</v>
          </cell>
          <cell r="C46" t="str">
            <v>V_KEYWORD_ISSR_208000811_ACC_DDA</v>
          </cell>
        </row>
        <row r="47">
          <cell r="A47" t="str">
            <v>Vector|||208000811|||ISSR|||NET_FIX_ASS|||False|||</v>
          </cell>
          <cell r="C47" t="str">
            <v>V_KEYWORD_ISSR_208000811_NET_FIX_ASS</v>
          </cell>
        </row>
        <row r="48">
          <cell r="A48" t="str">
            <v>Vector|||208000811|||ISSR|||GR_INTANG|||False|||</v>
          </cell>
          <cell r="C48" t="str">
            <v>V_KEYWORD_ISSR_208000811_GR_INTANG</v>
          </cell>
        </row>
        <row r="49">
          <cell r="A49" t="str">
            <v>Vector|||208000811|||ISSR|||ACC_AMORT|||False|||</v>
          </cell>
          <cell r="C49" t="str">
            <v>V_KEYWORD_ISSR_208000811_ACC_AMORT</v>
          </cell>
        </row>
        <row r="50">
          <cell r="A50" t="str">
            <v>Vector|||208000811|||ISSR|||NET_INTANG|||False|||</v>
          </cell>
          <cell r="C50" t="str">
            <v>V_KEYWORD_ISSR_208000811_NET_INTANG</v>
          </cell>
        </row>
        <row r="51">
          <cell r="A51" t="str">
            <v>Vector|||208000811|||ISSR|||FIX_ASS_INV|||False|||</v>
          </cell>
          <cell r="C51" t="str">
            <v>V_KEYWORD_ISSR_208000811_FIX_ASS_INV</v>
          </cell>
        </row>
        <row r="52">
          <cell r="A52" t="str">
            <v>Vector|||208000811|||ISSR|||INV_SECUR|||False|||</v>
          </cell>
          <cell r="C52" t="str">
            <v>V_KEYWORD_ISSR_208000811_INV_SECUR</v>
          </cell>
        </row>
        <row r="53">
          <cell r="A53" t="str">
            <v>Vector|||208000811|||ISSR|||OTH_LT_ASS|||False|||</v>
          </cell>
          <cell r="C53" t="str">
            <v>V_KEYWORD_ISSR_208000811_OTH_LT_ASS</v>
          </cell>
        </row>
        <row r="54">
          <cell r="A54" t="str">
            <v>Vector|||208000811|||ISSR|||TOT_ASSET|||False|||</v>
          </cell>
          <cell r="C54" t="str">
            <v>V_KEYWORD_ISSR_208000811_TOT_ASSET</v>
          </cell>
        </row>
        <row r="55">
          <cell r="A55" t="str">
            <v>Vector|||208000811|||ISSR|||ACC_PAY_GQ|||False|||</v>
          </cell>
          <cell r="C55" t="str">
            <v>V_KEYWORD_ISSR_208000811_ACC_PAY_GQ</v>
          </cell>
        </row>
        <row r="56">
          <cell r="A56" t="str">
            <v>Vector|||208000811|||ISSR|||SHORT_T_DEBT|||False|||</v>
          </cell>
          <cell r="C56" t="str">
            <v>V_KEYWORD_ISSR_208000811_SHORT_T_DEBT</v>
          </cell>
        </row>
        <row r="57">
          <cell r="A57" t="str">
            <v>Vector|||208000811|||ISSR|||OTH_CUR_LIABS|||False|||</v>
          </cell>
          <cell r="C57" t="str">
            <v>V_KEYWORD_ISSR_208000811_OTH_CUR_LIABS</v>
          </cell>
        </row>
        <row r="58">
          <cell r="A58" t="str">
            <v>Vector|||208000811|||ISSR|||SHORT_TERM_LIABS|||False|||</v>
          </cell>
          <cell r="C58" t="str">
            <v>V_KEYWORD_ISSR_208000811_SHORT_TERM_LIABS</v>
          </cell>
        </row>
        <row r="59">
          <cell r="A59" t="str">
            <v>Vector|||208000811|||ISSR|||LT_DEBT|||False|||</v>
          </cell>
          <cell r="C59" t="str">
            <v>V_KEYWORD_ISSR_208000811_LT_DEBT</v>
          </cell>
        </row>
        <row r="60">
          <cell r="A60" t="str">
            <v>Vector|||208000811|||ISSR|||OTH_LT_CRED_GQ|||False|||</v>
          </cell>
          <cell r="C60" t="str">
            <v>V_KEYWORD_ISSR_208000811_OTH_LT_CRED_GQ</v>
          </cell>
        </row>
        <row r="61">
          <cell r="A61" t="str">
            <v>Vector|||208000811|||ISSR|||TOT_LT_LIAB|||False|||</v>
          </cell>
          <cell r="C61" t="str">
            <v>V_KEYWORD_ISSR_208000811_TOT_LT_LIAB</v>
          </cell>
        </row>
        <row r="62">
          <cell r="A62" t="str">
            <v>Vector|||208000811|||ISSR|||TOT_LIAB|||False|||</v>
          </cell>
          <cell r="C62" t="str">
            <v>V_KEYWORD_ISSR_208000811_TOT_LIAB</v>
          </cell>
        </row>
        <row r="63">
          <cell r="A63" t="str">
            <v>Vector|||208000811|||ISSR|||PREF_SH|||False|||</v>
          </cell>
          <cell r="C63" t="str">
            <v>V_KEYWORD_ISSR_208000811_PREF_SH</v>
          </cell>
        </row>
        <row r="64">
          <cell r="A64" t="str">
            <v>Vector|||208000811|||ISSR|||ORD_SH_FUND|||False|||</v>
          </cell>
          <cell r="C64" t="str">
            <v>V_KEYWORD_ISSR_208000811_ORD_SH_FUND</v>
          </cell>
        </row>
        <row r="65">
          <cell r="A65" t="str">
            <v>Vector|||208000811|||ISSR|||MINORITIES|||False|||</v>
          </cell>
          <cell r="C65" t="str">
            <v>V_KEYWORD_ISSR_208000811_MINORITIES</v>
          </cell>
        </row>
        <row r="66">
          <cell r="A66" t="str">
            <v>Vector|||208000811|||ISSR|||EQ|||False|||</v>
          </cell>
          <cell r="C66" t="str">
            <v>V_KEYWORD_ISSR_208000811_EQ</v>
          </cell>
        </row>
        <row r="67">
          <cell r="A67" t="str">
            <v>Vector|||208000811|||ISSR|||TOT_LIAB_EQ|||False|||</v>
          </cell>
          <cell r="C67" t="str">
            <v>V_KEYWORD_ISSR_208000811_TOT_LIAB_EQ</v>
          </cell>
        </row>
        <row r="69">
          <cell r="A69" t="str">
            <v>Vector|||208000811|||ISSR|||TOT_USD_DEBT|||False|||</v>
          </cell>
          <cell r="C69" t="str">
            <v>V_KEYWORD_ISSR_208000811_TOT_USD_DEBT</v>
          </cell>
        </row>
        <row r="70">
          <cell r="A70" t="str">
            <v>Vector|||208000811|||ISSR|||TOT_PCT_USD_DEBT_HEDGED|||False|||</v>
          </cell>
          <cell r="C70" t="str">
            <v>V_KEYWORD_ISSR_208000811_TOT_PCT_USD_DEBT_HEDGED</v>
          </cell>
        </row>
        <row r="71">
          <cell r="A71" t="str">
            <v>Vector|||208000811|||ISSR|||FLOATING_PCT_LOCAL_DEBT|||False|||</v>
          </cell>
          <cell r="C71" t="str">
            <v>V_KEYWORD_ISSR_208000811_FLOATING_PCT_LOCAL_DEBT</v>
          </cell>
        </row>
        <row r="72">
          <cell r="A72" t="str">
            <v>Vector|||208000811|||ISSR|||FLOATING_PCT_LOCAL_DEBT_HEDGED|||False|||</v>
          </cell>
          <cell r="C72" t="str">
            <v>V_KEYWORD_ISSR_208000811_FLOATING_PCT_LOCAL_DEBT_HEDGED</v>
          </cell>
        </row>
        <row r="73">
          <cell r="A73" t="str">
            <v>Vector|||208000811|||ISSR|||NET_DEBT|||False|||</v>
          </cell>
          <cell r="C73" t="str">
            <v>V_KEYWORD_ISSR_208000811_NET_DEBT</v>
          </cell>
        </row>
        <row r="74">
          <cell r="A74" t="str">
            <v>Vector|||208000811|||ISSR|||CAP_LEASES|||False|||</v>
          </cell>
          <cell r="C74" t="str">
            <v>V_KEYWORD_ISSR_208000811_CAP_LEASES</v>
          </cell>
        </row>
        <row r="75">
          <cell r="A75" t="str">
            <v>Vector|||208000811|||ISSR|||DEF_INC_TAX|||False|||</v>
          </cell>
          <cell r="C75" t="str">
            <v>V_KEYWORD_ISSR_208000811_DEF_INC_TAX</v>
          </cell>
        </row>
        <row r="76">
          <cell r="A76" t="str">
            <v>Vector|||208000811|||ISSR|||MV_ASSOCIATES|||False|||</v>
          </cell>
          <cell r="C76" t="str">
            <v>V_KEYWORD_ISSR_208000811_MV_ASSOCIATES</v>
          </cell>
        </row>
        <row r="77">
          <cell r="A77" t="str">
            <v>Vector|||208000811|||ISSR|||NET_DEBT_ADJ|||False|||</v>
          </cell>
          <cell r="C77" t="str">
            <v>V_KEYWORD_ISSR_208000811_NET_DEBT_ADJ</v>
          </cell>
        </row>
        <row r="78">
          <cell r="A78" t="str">
            <v>Vector|||208000811|||ISSR|||CO_BOR_MARGIN|||False|||</v>
          </cell>
          <cell r="C78" t="str">
            <v>V_KEYWORD_ISSR_208000811_CO_BOR_MARGIN</v>
          </cell>
        </row>
        <row r="79">
          <cell r="A79" t="str">
            <v>Vector|||208000811|||ISSR|||UNF_PENS|||False|||</v>
          </cell>
          <cell r="C79" t="str">
            <v>V_KEYWORD_ISSR_208000811_UNF_PENS</v>
          </cell>
        </row>
        <row r="80">
          <cell r="A80" t="str">
            <v>Vector|||208000811|||ISSR|||UNF_PENS_OFF|||False|||</v>
          </cell>
          <cell r="C80" t="str">
            <v>V_KEYWORD_ISSR_208000811_UNF_PENS_OFF</v>
          </cell>
        </row>
        <row r="81">
          <cell r="A81" t="str">
            <v>Vector|||208000811|||ISSR|||UNF_PENS_LIAB_OTH|||False|||</v>
          </cell>
          <cell r="C81" t="str">
            <v>V_KEYWORD_ISSR_208000811_UNF_PENS_LIAB_OTH</v>
          </cell>
        </row>
        <row r="82">
          <cell r="A82" t="str">
            <v>Vector|||208000811|||ISSR|||ADJ_UNF_PENS_GOOD|||False|||</v>
          </cell>
          <cell r="C82" t="str">
            <v>V_KEYWORD_ISSR_208000811_ADJ_UNF_PENS_GOOD</v>
          </cell>
        </row>
        <row r="83">
          <cell r="A83" t="str">
            <v>Vector|||208000811|||ISSR|||OTH_GCI_ADJ|||False|||</v>
          </cell>
          <cell r="C83" t="str">
            <v>V_KEYWORD_ISSR_208000811_OTH_GCI_ADJ</v>
          </cell>
        </row>
        <row r="84">
          <cell r="A84" t="str">
            <v>Vector|||208000811|||ISSR|||GCI_INFL|||False|||</v>
          </cell>
          <cell r="C84" t="str">
            <v>V_KEYWORD_ISSR_208000811_GCI_INFL</v>
          </cell>
        </row>
        <row r="85">
          <cell r="A85" t="str">
            <v>Vector|||208000811|||ISSR|||BAL_MINO_INT|||False|||</v>
          </cell>
          <cell r="C85" t="str">
            <v>V_KEYWORD_ISSR_208000811_BAL_MINO_INT</v>
          </cell>
        </row>
        <row r="87">
          <cell r="A87" t="str">
            <v>Vector|||208000811|||ISSR|||CF_INC_MINORITY|||False|||</v>
          </cell>
          <cell r="C87" t="str">
            <v>V_KEYWORD_ISSR_208000811_CF_INC_MINORITY</v>
          </cell>
        </row>
        <row r="88">
          <cell r="A88" t="str">
            <v>Vector|||208000811|||ISSR|||DEPR_AMORT|||False|||</v>
          </cell>
          <cell r="C88" t="str">
            <v>V_KEYWORD_ISSR_208000811_DEPR_AMORT</v>
          </cell>
        </row>
        <row r="89">
          <cell r="A89" t="str">
            <v>Vector|||208000811|||ISSR|||WORK_CAP|||False|||</v>
          </cell>
          <cell r="C89" t="str">
            <v>V_KEYWORD_ISSR_208000811_WORK_CAP</v>
          </cell>
        </row>
        <row r="90">
          <cell r="A90" t="str">
            <v>Vector|||208000811|||ISSR|||OTH_OP_CF|||False|||</v>
          </cell>
          <cell r="C90" t="str">
            <v>V_KEYWORD_ISSR_208000811_OTH_OP_CF</v>
          </cell>
        </row>
        <row r="91">
          <cell r="A91" t="str">
            <v>Vector|||208000811|||ISSR|||CF_OPS|||False|||</v>
          </cell>
          <cell r="C91" t="str">
            <v>V_KEYWORD_ISSR_208000811_CF_OPS</v>
          </cell>
        </row>
        <row r="92">
          <cell r="A92" t="str">
            <v>Vector|||208000811|||ISSR|||CAPEX|||False|||</v>
          </cell>
          <cell r="C92" t="str">
            <v>V_KEYWORD_ISSR_208000811_CAPEX</v>
          </cell>
        </row>
        <row r="93">
          <cell r="A93" t="str">
            <v>Vector|||208000811|||ISSR|||ACQ|||False|||</v>
          </cell>
          <cell r="C93" t="str">
            <v>V_KEYWORD_ISSR_208000811_ACQ</v>
          </cell>
        </row>
        <row r="94">
          <cell r="A94" t="str">
            <v>Vector|||208000811|||ISSR|||DIVEST|||False|||</v>
          </cell>
          <cell r="C94" t="str">
            <v>V_KEYWORD_ISSR_208000811_DIVEST</v>
          </cell>
        </row>
        <row r="95">
          <cell r="A95" t="str">
            <v>Vector|||208000811|||ISSR|||OTH_INV_CF|||False|||</v>
          </cell>
          <cell r="C95" t="str">
            <v>V_KEYWORD_ISSR_208000811_OTH_INV_CF</v>
          </cell>
        </row>
        <row r="96">
          <cell r="A96" t="str">
            <v>Vector|||208000811|||ISSR|||CF_INV|||False|||</v>
          </cell>
          <cell r="C96" t="str">
            <v>V_KEYWORD_ISSR_208000811_CF_INV</v>
          </cell>
        </row>
        <row r="97">
          <cell r="A97" t="str">
            <v>Vector|||208000811|||ISSR|||DIV_PAID|||False|||</v>
          </cell>
          <cell r="C97" t="str">
            <v>V_KEYWORD_ISSR_208000811_DIV_PAID</v>
          </cell>
        </row>
        <row r="98">
          <cell r="A98" t="str">
            <v>Vector|||208000811|||ISSR|||SH_REPUR|||False|||</v>
          </cell>
          <cell r="C98" t="str">
            <v>V_KEYWORD_ISSR_208000811_SH_REPUR</v>
          </cell>
        </row>
        <row r="99">
          <cell r="A99" t="str">
            <v>Vector|||208000811|||ISSR|||CHG_LT_DEBT|||False|||</v>
          </cell>
          <cell r="C99" t="str">
            <v>V_KEYWORD_ISSR_208000811_CHG_LT_DEBT</v>
          </cell>
        </row>
        <row r="100">
          <cell r="A100" t="str">
            <v>Vector|||208000811|||ISSR|||OTH_FIN_CF|||False|||</v>
          </cell>
          <cell r="C100" t="str">
            <v>V_KEYWORD_ISSR_208000811_OTH_FIN_CF</v>
          </cell>
        </row>
        <row r="101">
          <cell r="A101" t="str">
            <v>Vector|||208000811|||ISSR|||CF_FIN|||False|||</v>
          </cell>
          <cell r="C101" t="str">
            <v>V_KEYWORD_ISSR_208000811_CF_FIN</v>
          </cell>
        </row>
        <row r="102">
          <cell r="A102" t="str">
            <v>Vector|||208000811|||ISSR|||TOT_CF|||False|||</v>
          </cell>
          <cell r="C102" t="str">
            <v>V_KEYWORD_ISSR_208000811_TOT_CF</v>
          </cell>
        </row>
        <row r="104">
          <cell r="A104" t="str">
            <v>Vector|||208000811|||ISSR|||ASSOC_JV_ADDBK|||False|||</v>
          </cell>
          <cell r="C104" t="str">
            <v>V_KEYWORD_ISSR_208000811_ASSOC_JV_ADDBK</v>
          </cell>
        </row>
        <row r="105">
          <cell r="A105" t="str">
            <v>Vector|||208000811|||ISSR|||PL_SALE_ASSETS|||False|||</v>
          </cell>
          <cell r="C105" t="str">
            <v>V_KEYWORD_ISSR_208000811_PL_SALE_ASSETS</v>
          </cell>
        </row>
        <row r="106">
          <cell r="A106" t="str">
            <v>Vector|||208000811|||ISSR|||OTH_NONCASH_ADJ|||False|||</v>
          </cell>
          <cell r="C106" t="str">
            <v>V_KEYWORD_ISSR_208000811_OTH_NONCASH_ADJ</v>
          </cell>
        </row>
        <row r="107">
          <cell r="A107" t="str">
            <v>Vector|||208000811|||ISSR|||OTH_DACF_ADJ|||False|||</v>
          </cell>
          <cell r="C107" t="str">
            <v>V_KEYWORD_ISSR_208000811_OTH_DACF_ADJ</v>
          </cell>
        </row>
        <row r="108">
          <cell r="A108" t="str">
            <v>Vector|||208000811|||ISSR|||CASH_INT_EXP|||False|||</v>
          </cell>
          <cell r="C108" t="str">
            <v>V_KEYWORD_ISSR_208000811_CASH_INT_EXP</v>
          </cell>
        </row>
        <row r="109">
          <cell r="A109" t="str">
            <v>Vector|||208000811|||ISSR|||CASH_TAX_EXP|||False|||</v>
          </cell>
          <cell r="C109" t="str">
            <v>V_KEYWORD_ISSR_208000811_CASH_TAX_EXP</v>
          </cell>
        </row>
        <row r="110">
          <cell r="A110" t="str">
            <v>Vector|||208000811|||ISSR|||DIVDS_ASSOC_JV|||False|||</v>
          </cell>
          <cell r="C110" t="str">
            <v>V_KEYWORD_ISSR_208000811_DIVDS_ASSOC_JV</v>
          </cell>
        </row>
        <row r="111">
          <cell r="A111" t="str">
            <v>Vector|||208000811|||ISSR|||CAPEX_MAINTENANCE|||False|||</v>
          </cell>
          <cell r="C111" t="str">
            <v>V_KEYWORD_ISSR_208000811_CAPEX_MAINTENANCE</v>
          </cell>
        </row>
        <row r="112">
          <cell r="A112" t="str">
            <v>Vector|||208000811|||ISSR|||CAPEX_EXPANSION|||False|||</v>
          </cell>
          <cell r="C112" t="str">
            <v>V_KEYWORD_ISSR_208000811_CAPEX_EXPANSION</v>
          </cell>
        </row>
        <row r="113">
          <cell r="A113" t="str">
            <v>Vector|||208000811|||ISSR|||NONPPE_CAPEX|||False|||</v>
          </cell>
          <cell r="C113" t="str">
            <v>V_KEYWORD_ISSR_208000811_NONPPE_CAPEX</v>
          </cell>
        </row>
        <row r="114">
          <cell r="A114" t="str">
            <v>Vector|||208000811|||ISSR|||DIVDS_PD_MINORITIES|||False|||</v>
          </cell>
          <cell r="C114" t="str">
            <v>V_KEYWORD_ISSR_208000811_DIVDS_PD_MINORITIES</v>
          </cell>
        </row>
        <row r="116">
          <cell r="A116" t="str">
            <v>Vector|||208000811|||ISSR|||EMPLOYEES|||False|||</v>
          </cell>
          <cell r="C116" t="str">
            <v>V_KEYWORD_ISSR_208000811_EMPLOYEES</v>
          </cell>
        </row>
        <row r="118">
          <cell r="A118" t="str">
            <v>Vector|||208000811|||ISSR|||SALES_CANADA|||False|||</v>
          </cell>
          <cell r="C118" t="str">
            <v>V_KEYWORD_ISSR_208000811_SALES_CANADA</v>
          </cell>
        </row>
        <row r="119">
          <cell r="A119" t="str">
            <v>Vector|||208000811|||ISSR|||SALES_US|||False|||</v>
          </cell>
          <cell r="C119" t="str">
            <v>V_KEYWORD_ISSR_208000811_SALES_US</v>
          </cell>
        </row>
        <row r="120">
          <cell r="A120" t="str">
            <v>Vector|||208000811|||ISSR|||SALES_OTH_NO_AMER|||False|||</v>
          </cell>
          <cell r="C120" t="str">
            <v>V_KEYWORD_ISSR_208000811_SALES_OTH_NO_AMER</v>
          </cell>
        </row>
        <row r="121">
          <cell r="A121" t="str">
            <v>Vector|||208000811|||ISSR|||SALES_ARGENTINA|||False|||</v>
          </cell>
          <cell r="C121" t="str">
            <v>V_KEYWORD_ISSR_208000811_SALES_ARGENTINA</v>
          </cell>
        </row>
        <row r="122">
          <cell r="A122" t="str">
            <v>Vector|||208000811|||ISSR|||SALES_BRAZIL|||False|||</v>
          </cell>
          <cell r="C122" t="str">
            <v>V_KEYWORD_ISSR_208000811_SALES_BRAZIL</v>
          </cell>
        </row>
        <row r="123">
          <cell r="A123" t="str">
            <v>Vector|||208000811|||ISSR|||SALES_CHILE|||False|||</v>
          </cell>
          <cell r="C123" t="str">
            <v>V_KEYWORD_ISSR_208000811_SALES_CHILE</v>
          </cell>
        </row>
        <row r="124">
          <cell r="A124" t="str">
            <v>Vector|||208000811|||ISSR|||SALES_COLOMBIA|||False|||</v>
          </cell>
          <cell r="C124" t="str">
            <v>V_KEYWORD_ISSR_208000811_SALES_COLOMBIA</v>
          </cell>
        </row>
        <row r="125">
          <cell r="A125" t="str">
            <v>Vector|||208000811|||ISSR|||SALES_MEXICO|||False|||</v>
          </cell>
          <cell r="C125" t="str">
            <v>V_KEYWORD_ISSR_208000811_SALES_MEXICO</v>
          </cell>
        </row>
        <row r="126">
          <cell r="A126" t="str">
            <v>Vector|||208000811|||ISSR|||SALES_VENEZUELA|||False|||</v>
          </cell>
          <cell r="C126" t="str">
            <v>V_KEYWORD_ISSR_208000811_SALES_VENEZUELA</v>
          </cell>
        </row>
        <row r="127">
          <cell r="A127" t="str">
            <v>Vector|||208000811|||ISSR|||SALES_OTH_LATAM|||False|||</v>
          </cell>
          <cell r="C127" t="str">
            <v>V_KEYWORD_ISSR_208000811_SALES_OTH_LATAM</v>
          </cell>
        </row>
        <row r="128">
          <cell r="A128" t="str">
            <v>Vector|||208000811|||ISSR|||SALES_AUSTRIA|||False|||</v>
          </cell>
          <cell r="C128" t="str">
            <v>V_KEYWORD_ISSR_208000811_SALES_AUSTRIA</v>
          </cell>
        </row>
        <row r="129">
          <cell r="A129" t="str">
            <v>Vector|||208000811|||ISSR|||SALES_BEL|||False|||</v>
          </cell>
          <cell r="C129" t="str">
            <v>V_KEYWORD_ISSR_208000811_SALES_BEL</v>
          </cell>
        </row>
        <row r="130">
          <cell r="A130" t="str">
            <v>Vector|||208000811|||ISSR|||SALES_FRA|||False|||</v>
          </cell>
          <cell r="C130" t="str">
            <v>V_KEYWORD_ISSR_208000811_SALES_FRA</v>
          </cell>
        </row>
        <row r="131">
          <cell r="A131" t="str">
            <v>Vector|||208000811|||ISSR|||SALES_GER|||False|||</v>
          </cell>
          <cell r="C131" t="str">
            <v>V_KEYWORD_ISSR_208000811_SALES_GER</v>
          </cell>
        </row>
        <row r="132">
          <cell r="A132" t="str">
            <v>Vector|||208000811|||ISSR|||SALES_GRE|||False|||</v>
          </cell>
          <cell r="C132" t="str">
            <v>V_KEYWORD_ISSR_208000811_SALES_GRE</v>
          </cell>
        </row>
        <row r="133">
          <cell r="A133" t="str">
            <v>Vector|||208000811|||ISSR|||SALES_IRE|||False|||</v>
          </cell>
          <cell r="C133" t="str">
            <v>V_KEYWORD_ISSR_208000811_SALES_IRE</v>
          </cell>
        </row>
        <row r="134">
          <cell r="A134" t="str">
            <v>Vector|||208000811|||ISSR|||SALES_ITA|||False|||</v>
          </cell>
          <cell r="C134" t="str">
            <v>V_KEYWORD_ISSR_208000811_SALES_ITA</v>
          </cell>
        </row>
        <row r="135">
          <cell r="A135" t="str">
            <v>Vector|||208000811|||ISSR|||SALES_NETH|||False|||</v>
          </cell>
          <cell r="C135" t="str">
            <v>V_KEYWORD_ISSR_208000811_SALES_NETH</v>
          </cell>
        </row>
        <row r="136">
          <cell r="A136" t="str">
            <v>Vector|||208000811|||ISSR|||SALES_NOR|||False|||</v>
          </cell>
          <cell r="C136" t="str">
            <v>V_KEYWORD_ISSR_208000811_SALES_NOR</v>
          </cell>
        </row>
        <row r="137">
          <cell r="A137" t="str">
            <v>Vector|||208000811|||ISSR|||SALES_POR|||False|||</v>
          </cell>
          <cell r="C137" t="str">
            <v>V_KEYWORD_ISSR_208000811_SALES_POR</v>
          </cell>
        </row>
        <row r="138">
          <cell r="A138" t="str">
            <v>Vector|||208000811|||ISSR|||SALES_SPA|||False|||</v>
          </cell>
          <cell r="C138" t="str">
            <v>V_KEYWORD_ISSR_208000811_SALES_SPA</v>
          </cell>
        </row>
        <row r="139">
          <cell r="A139" t="str">
            <v>Vector|||208000811|||ISSR|||SALES_SWE|||False|||</v>
          </cell>
          <cell r="C139" t="str">
            <v>V_KEYWORD_ISSR_208000811_SALES_SWE</v>
          </cell>
        </row>
        <row r="140">
          <cell r="A140" t="str">
            <v>Vector|||208000811|||ISSR|||SALES_SWIT|||False|||</v>
          </cell>
          <cell r="C140" t="str">
            <v>V_KEYWORD_ISSR_208000811_SALES_SWIT</v>
          </cell>
        </row>
        <row r="141">
          <cell r="A141" t="str">
            <v>Vector|||208000811|||ISSR|||SALES_UK|||False|||</v>
          </cell>
          <cell r="C141" t="str">
            <v>V_KEYWORD_ISSR_208000811_SALES_UK</v>
          </cell>
        </row>
        <row r="142">
          <cell r="A142" t="str">
            <v>Vector|||208000811|||ISSR|||SALES_OTH_WEST_EURO|||False|||</v>
          </cell>
          <cell r="C142" t="str">
            <v>V_KEYWORD_ISSR_208000811_SALES_OTH_WEST_EURO</v>
          </cell>
        </row>
        <row r="143">
          <cell r="A143" t="str">
            <v>Vector|||208000811|||ISSR|||SALES_POLAND|||False|||</v>
          </cell>
          <cell r="C143" t="str">
            <v>V_KEYWORD_ISSR_208000811_SALES_POLAND</v>
          </cell>
        </row>
        <row r="144">
          <cell r="A144" t="str">
            <v>Vector|||208000811|||ISSR|||SALES_RUSSIA|||False|||</v>
          </cell>
          <cell r="C144" t="str">
            <v>V_KEYWORD_ISSR_208000811_SALES_RUSSIA</v>
          </cell>
        </row>
        <row r="145">
          <cell r="A145" t="str">
            <v>Vector|||208000811|||ISSR|||SALES_TURKEY|||False|||</v>
          </cell>
          <cell r="C145" t="str">
            <v>V_KEYWORD_ISSR_208000811_SALES_TURKEY</v>
          </cell>
        </row>
        <row r="146">
          <cell r="A146" t="str">
            <v>Vector|||208000811|||ISSR|||SALES_OTH_CEE|||False|||</v>
          </cell>
          <cell r="C146" t="str">
            <v>V_KEYWORD_ISSR_208000811_SALES_OTH_CEE</v>
          </cell>
        </row>
        <row r="147">
          <cell r="A147" t="str">
            <v>Vector|||208000811|||ISSR|||SALES_SAUDI_ARABIA|||False|||</v>
          </cell>
          <cell r="C147" t="str">
            <v>V_KEYWORD_ISSR_208000811_SALES_SAUDI_ARABIA</v>
          </cell>
        </row>
        <row r="148">
          <cell r="A148" t="str">
            <v>Vector|||208000811|||ISSR|||SALES_UAE|||False|||</v>
          </cell>
          <cell r="C148" t="str">
            <v>V_KEYWORD_ISSR_208000811_SALES_UAE</v>
          </cell>
        </row>
        <row r="149">
          <cell r="A149" t="str">
            <v>Vector|||208000811|||ISSR|||SALES_OTH_ME|||False|||</v>
          </cell>
          <cell r="C149" t="str">
            <v>V_KEYWORD_ISSR_208000811_SALES_OTH_ME</v>
          </cell>
        </row>
        <row r="150">
          <cell r="A150" t="str">
            <v>Vector|||208000811|||ISSR|||SALES_NIGERIA|||False|||</v>
          </cell>
          <cell r="C150" t="str">
            <v>V_KEYWORD_ISSR_208000811_SALES_NIGERIA</v>
          </cell>
        </row>
        <row r="151">
          <cell r="A151" t="str">
            <v>Vector|||208000811|||ISSR|||SALES_SO_AFRICA|||False|||</v>
          </cell>
          <cell r="C151" t="str">
            <v>V_KEYWORD_ISSR_208000811_SALES_SO_AFRICA</v>
          </cell>
        </row>
        <row r="152">
          <cell r="A152" t="str">
            <v>Vector|||208000811|||ISSR|||SALES_OTH_AFRICA|||False|||</v>
          </cell>
          <cell r="C152" t="str">
            <v>V_KEYWORD_ISSR_208000811_SALES_OTH_AFRICA</v>
          </cell>
        </row>
        <row r="153">
          <cell r="A153" t="str">
            <v>Vector|||208000811|||ISSR|||SALES_HONG_KONG|||False|||</v>
          </cell>
          <cell r="C153" t="str">
            <v>V_KEYWORD_ISSR_208000811_SALES_HONG_KONG</v>
          </cell>
        </row>
        <row r="154">
          <cell r="A154" t="str">
            <v>Vector|||208000811|||ISSR|||SALES_JAPAN|||False|||</v>
          </cell>
          <cell r="C154" t="str">
            <v>V_KEYWORD_ISSR_208000811_SALES_JAPAN</v>
          </cell>
        </row>
        <row r="155">
          <cell r="A155" t="str">
            <v>Vector|||208000811|||ISSR|||SALES_SINGAPORE|||False|||</v>
          </cell>
          <cell r="C155" t="str">
            <v>V_KEYWORD_ISSR_208000811_SALES_SINGAPORE</v>
          </cell>
        </row>
        <row r="156">
          <cell r="A156" t="str">
            <v>Vector|||208000811|||ISSR|||SALES_SK|||False|||</v>
          </cell>
          <cell r="C156" t="str">
            <v>V_KEYWORD_ISSR_208000811_SALES_SK</v>
          </cell>
        </row>
        <row r="157">
          <cell r="A157" t="str">
            <v>Vector|||208000811|||ISSR|||SALES_TAIWAN|||False|||</v>
          </cell>
          <cell r="C157" t="str">
            <v>V_KEYWORD_ISSR_208000811_SALES_TAIWAN</v>
          </cell>
        </row>
        <row r="158">
          <cell r="A158" t="str">
            <v>Vector|||208000811|||ISSR|||SALES_OTH_DEV_ASIA|||False|||</v>
          </cell>
          <cell r="C158" t="str">
            <v>V_KEYWORD_ISSR_208000811_SALES_OTH_DEV_ASIA</v>
          </cell>
        </row>
        <row r="159">
          <cell r="A159" t="str">
            <v>Vector|||208000811|||ISSR|||SALES_CHINA|||False|||</v>
          </cell>
          <cell r="C159" t="str">
            <v>V_KEYWORD_ISSR_208000811_SALES_CHINA</v>
          </cell>
        </row>
        <row r="160">
          <cell r="A160" t="str">
            <v>Vector|||208000811|||ISSR|||SALES_INDIA|||False|||</v>
          </cell>
          <cell r="C160" t="str">
            <v>V_KEYWORD_ISSR_208000811_SALES_INDIA</v>
          </cell>
        </row>
        <row r="161">
          <cell r="A161" t="str">
            <v>Vector|||208000811|||ISSR|||SALES_INDONESIA|||False|||</v>
          </cell>
          <cell r="C161" t="str">
            <v>V_KEYWORD_ISSR_208000811_SALES_INDONESIA</v>
          </cell>
        </row>
        <row r="162">
          <cell r="A162" t="str">
            <v>Vector|||208000811|||ISSR|||SALES_THAILAND|||False|||</v>
          </cell>
          <cell r="C162" t="str">
            <v>V_KEYWORD_ISSR_208000811_SALES_THAILAND</v>
          </cell>
        </row>
        <row r="163">
          <cell r="A163" t="str">
            <v>Vector|||208000811|||ISSR|||SALES_OTH_EMERG_ASIA|||False|||</v>
          </cell>
          <cell r="C163" t="str">
            <v>V_KEYWORD_ISSR_208000811_SALES_OTH_EMERG_ASIA</v>
          </cell>
        </row>
        <row r="164">
          <cell r="A164" t="str">
            <v>Vector|||208000811|||ISSR|||SALES_AUSTRA|||False|||</v>
          </cell>
          <cell r="C164" t="str">
            <v>V_KEYWORD_ISSR_208000811_SALES_AUSTRA</v>
          </cell>
        </row>
        <row r="165">
          <cell r="A165" t="str">
            <v>Vector|||208000811|||ISSR|||SALES_NZ|||False|||</v>
          </cell>
          <cell r="C165" t="str">
            <v>V_KEYWORD_ISSR_208000811_SALES_NZ</v>
          </cell>
        </row>
        <row r="166">
          <cell r="A166" t="str">
            <v>Vector|||208000811|||ISSR|||SALES_OTHER|||False|||</v>
          </cell>
          <cell r="C166" t="str">
            <v>V_KEYWORD_ISSR_208000811_SALES_OTHER</v>
          </cell>
        </row>
        <row r="167">
          <cell r="A167" t="str">
            <v>Vector|||208000811|||ISSR|||COGS_PCT_US|||False|||</v>
          </cell>
          <cell r="C167" t="str">
            <v>V_KEYWORD_ISSR_208000811_COGS_PCT_US</v>
          </cell>
        </row>
        <row r="168">
          <cell r="A168" t="str">
            <v>Vector|||208000811|||ISSR|||COGS_PCT_ROW|||False|||</v>
          </cell>
          <cell r="C168" t="str">
            <v>V_KEYWORD_ISSR_208000811_COGS_PCT_ROW</v>
          </cell>
        </row>
        <row r="169">
          <cell r="A169" t="str">
            <v>Vector|||208000811|||ISSR|||SGA_PCT_US|||False|||</v>
          </cell>
          <cell r="C169" t="str">
            <v>V_KEYWORD_ISSR_208000811_SGA_PCT_US</v>
          </cell>
        </row>
        <row r="170">
          <cell r="A170" t="str">
            <v>Vector|||208000811|||ISSR|||SGA_PCT_ROW|||False|||</v>
          </cell>
          <cell r="C170" t="str">
            <v>V_KEYWORD_ISSR_208000811_SGA_PCT_ROW</v>
          </cell>
        </row>
        <row r="171">
          <cell r="A171" t="str">
            <v>Vector|||208000811|||ISSR|||SALES_CONS|||False|||</v>
          </cell>
          <cell r="C171" t="str">
            <v>V_KEYWORD_ISSR_208000811_SALES_CONS</v>
          </cell>
        </row>
        <row r="172">
          <cell r="A172" t="str">
            <v>Vector|||208000811|||ISSR|||SALES_IND|||False|||</v>
          </cell>
          <cell r="C172" t="str">
            <v>V_KEYWORD_ISSR_208000811_SALES_IND</v>
          </cell>
        </row>
        <row r="173">
          <cell r="A173" t="str">
            <v>Vector|||208000811|||ISSR|||SALES_GOV|||False|||</v>
          </cell>
          <cell r="C173" t="str">
            <v>V_KEYWORD_ISSR_208000811_SALES_GOV</v>
          </cell>
        </row>
        <row r="174">
          <cell r="A174" t="str">
            <v>Vector|||208000811|||ISSR|||SALES_FINAN|||False|||</v>
          </cell>
          <cell r="C174" t="str">
            <v>V_KEYWORD_ISSR_208000811_SALES_FINAN</v>
          </cell>
        </row>
        <row r="175">
          <cell r="A175" t="str">
            <v>Vector|||208000811|||ISSR|||SALES_OIL_GAS|||False|||</v>
          </cell>
          <cell r="C175" t="str">
            <v>V_KEYWORD_ISSR_208000811_SALES_OIL_GAS</v>
          </cell>
        </row>
        <row r="177">
          <cell r="A177" t="str">
            <v>Vector|||208000811|||ISSR|||EXP_OIL_PETRO_FUEL|||False|||</v>
          </cell>
          <cell r="C177" t="str">
            <v>V_KEYWORD_ISSR_208000811_EXP_OIL_PETRO_FUEL</v>
          </cell>
        </row>
        <row r="178">
          <cell r="A178" t="str">
            <v>Vector|||208000811|||ISSR|||EXP_OIL_DERIV_NGLS_PLASTICS|||False|||</v>
          </cell>
          <cell r="C178" t="str">
            <v>V_KEYWORD_ISSR_208000811_EXP_OIL_DERIV_NGLS_PLASTICS</v>
          </cell>
        </row>
        <row r="179">
          <cell r="A179" t="str">
            <v>Vector|||208000811|||ISSR|||EXP_GOLD|||False|||</v>
          </cell>
          <cell r="C179" t="str">
            <v>V_KEYWORD_ISSR_208000811_EXP_GOLD</v>
          </cell>
        </row>
        <row r="180">
          <cell r="A180" t="str">
            <v>Vector|||208000811|||ISSR|||EXP_COPPER|||False|||</v>
          </cell>
          <cell r="C180" t="str">
            <v>V_KEYWORD_ISSR_208000811_EXP_COPPER</v>
          </cell>
        </row>
        <row r="181">
          <cell r="A181" t="str">
            <v>Vector|||208000811|||ISSR|||EXP_SILVER|||False|||</v>
          </cell>
          <cell r="C181" t="str">
            <v>V_KEYWORD_ISSR_208000811_EXP_SILVER</v>
          </cell>
        </row>
        <row r="182">
          <cell r="A182" t="str">
            <v>Vector|||208000811|||ISSR|||EXP_PLATINUM|||False|||</v>
          </cell>
          <cell r="C182" t="str">
            <v>V_KEYWORD_ISSR_208000811_EXP_PLATINUM</v>
          </cell>
        </row>
        <row r="183">
          <cell r="A183" t="str">
            <v>Vector|||208000811|||ISSR|||EXP_PALLADIUM|||False|||</v>
          </cell>
          <cell r="C183" t="str">
            <v>V_KEYWORD_ISSR_208000811_EXP_PALLADIUM</v>
          </cell>
        </row>
        <row r="184">
          <cell r="A184" t="str">
            <v>Vector|||208000811|||ISSR|||EXP_ALUMINIUM|||False|||</v>
          </cell>
          <cell r="C184" t="str">
            <v>V_KEYWORD_ISSR_208000811_EXP_ALUMINIUM</v>
          </cell>
        </row>
        <row r="185">
          <cell r="A185" t="str">
            <v>Vector|||208000811|||ISSR|||EXP_NICKEL|||False|||</v>
          </cell>
          <cell r="C185" t="str">
            <v>V_KEYWORD_ISSR_208000811_EXP_NICKEL</v>
          </cell>
        </row>
        <row r="186">
          <cell r="A186" t="str">
            <v>Vector|||208000811|||ISSR|||EXP_ZINC|||False|||</v>
          </cell>
          <cell r="C186" t="str">
            <v>V_KEYWORD_ISSR_208000811_EXP_ZINC</v>
          </cell>
        </row>
        <row r="187">
          <cell r="A187" t="str">
            <v>Vector|||208000811|||ISSR|||EXP_PAPER_PULP|||False|||</v>
          </cell>
          <cell r="C187" t="str">
            <v>V_KEYWORD_ISSR_208000811_EXP_PAPER_PULP</v>
          </cell>
        </row>
        <row r="188">
          <cell r="A188" t="str">
            <v>Vector|||208000811|||ISSR|||EXP_GLASS|||False|||</v>
          </cell>
          <cell r="C188" t="str">
            <v>V_KEYWORD_ISSR_208000811_EXP_GLASS</v>
          </cell>
        </row>
        <row r="189">
          <cell r="A189" t="str">
            <v>Vector|||208000811|||ISSR|||EXP_WATER|||False|||</v>
          </cell>
          <cell r="C189" t="str">
            <v>V_KEYWORD_ISSR_208000811_EXP_WATER</v>
          </cell>
        </row>
        <row r="190">
          <cell r="A190" t="str">
            <v>Vector|||208000811|||ISSR|||EXP_OTH_COMMODITY|||False|||</v>
          </cell>
          <cell r="C190" t="str">
            <v>V_KEYWORD_ISSR_208000811_EXP_OTH_COMMODITY</v>
          </cell>
        </row>
        <row r="191">
          <cell r="A191" t="str">
            <v>Vector|||208000811|||ISSR|||EXP_OTH_COST|||False|||</v>
          </cell>
          <cell r="C191" t="str">
            <v>V_KEYWORD_ISSR_208000811_EXP_OTH_COST</v>
          </cell>
        </row>
        <row r="193">
          <cell r="A193" t="str">
            <v>Vector|||208000811|||ISSR|||SALES_FX_GPB|||False|||</v>
          </cell>
          <cell r="C193" t="str">
            <v>V_KEYWORD_ISSR_208000811_SALES_FX_GPB</v>
          </cell>
        </row>
        <row r="194">
          <cell r="A194" t="str">
            <v>Vector|||208000811|||ISSR|||SALES_FX_EUR|||False|||</v>
          </cell>
          <cell r="C194" t="str">
            <v>V_KEYWORD_ISSR_208000811_SALES_FX_EUR</v>
          </cell>
        </row>
        <row r="195">
          <cell r="A195" t="str">
            <v>Vector|||208000811|||ISSR|||SALES_FX_RUB|||False|||</v>
          </cell>
          <cell r="C195" t="str">
            <v>V_KEYWORD_ISSR_208000811_SALES_FX_RUB</v>
          </cell>
        </row>
        <row r="196">
          <cell r="A196" t="str">
            <v>Vector|||208000811|||ISSR|||SALES_FX_USD|||False|||</v>
          </cell>
          <cell r="C196" t="str">
            <v>V_KEYWORD_ISSR_208000811_SALES_FX_USD</v>
          </cell>
        </row>
        <row r="197">
          <cell r="A197" t="str">
            <v>Vector|||208000811|||ISSR|||SALES_FX_BRL|||False|||</v>
          </cell>
          <cell r="C197" t="str">
            <v>V_KEYWORD_ISSR_208000811_SALES_FX_BRL</v>
          </cell>
        </row>
        <row r="198">
          <cell r="A198" t="str">
            <v>Vector|||208000811|||ISSR|||SALES_FX_YEN|||False|||</v>
          </cell>
          <cell r="C198" t="str">
            <v>V_KEYWORD_ISSR_208000811_SALES_FX_YEN</v>
          </cell>
        </row>
        <row r="199">
          <cell r="A199" t="str">
            <v>Vector|||208000811|||ISSR|||SALES_FX_CNY|||False|||</v>
          </cell>
          <cell r="C199" t="str">
            <v>V_KEYWORD_ISSR_208000811_SALES_FX_CNY</v>
          </cell>
        </row>
        <row r="200">
          <cell r="A200" t="str">
            <v>Vector|||208000811|||ISSR|||SALES_FX_INR|||False|||</v>
          </cell>
          <cell r="C200" t="str">
            <v>V_KEYWORD_ISSR_208000811_SALES_FX_INR</v>
          </cell>
        </row>
        <row r="201">
          <cell r="A201" t="str">
            <v>Vector|||208000811|||ISSR|||SALES_FX_KRW|||False|||</v>
          </cell>
          <cell r="C201" t="str">
            <v>V_KEYWORD_ISSR_208000811_SALES_FX_KRW</v>
          </cell>
        </row>
        <row r="202">
          <cell r="A202" t="str">
            <v>Vector|||208000811|||ISSR|||SALES_FX_TWD|||False|||</v>
          </cell>
          <cell r="C202" t="str">
            <v>V_KEYWORD_ISSR_208000811_SALES_FX_TWD</v>
          </cell>
        </row>
        <row r="203">
          <cell r="A203" t="str">
            <v>Vector|||208000811|||ISSR|||SALES_FX_OTH|||False|||</v>
          </cell>
          <cell r="C203" t="str">
            <v>V_KEYWORD_ISSR_208000811_SALES_FX_OTH</v>
          </cell>
        </row>
        <row r="205">
          <cell r="A205" t="str">
            <v>Vector|||208000811|||ISSR|||SALES_TOT_AM|||False|||</v>
          </cell>
          <cell r="C205" t="str">
            <v>V_KEYWORD_ISSR_208000811_SALES_TOT_AM</v>
          </cell>
        </row>
        <row r="206">
          <cell r="A206" t="str">
            <v>Vector|||208000811|||ISSR|||SALES_OTH_AM|||False|||</v>
          </cell>
          <cell r="C206" t="str">
            <v>V_KEYWORD_ISSR_208000811_SALES_OTH_AM</v>
          </cell>
        </row>
        <row r="207">
          <cell r="A207" t="str">
            <v>Vector|||208000811|||ISSR|||SALES_TOT_EMEA|||False|||</v>
          </cell>
          <cell r="C207" t="str">
            <v>V_KEYWORD_ISSR_208000811_SALES_TOT_EMEA</v>
          </cell>
        </row>
        <row r="208">
          <cell r="A208" t="str">
            <v>Vector|||208000811|||ISSR|||SALES_EU_EX_UK|||False|||</v>
          </cell>
          <cell r="C208" t="str">
            <v>V_KEYWORD_ISSR_208000811_SALES_EU_EX_UK</v>
          </cell>
        </row>
        <row r="209">
          <cell r="A209" t="str">
            <v>Vector|||208000811|||ISSR|||SALES_CEE|||False|||</v>
          </cell>
          <cell r="C209" t="str">
            <v>V_KEYWORD_ISSR_208000811_SALES_CEE</v>
          </cell>
        </row>
        <row r="210">
          <cell r="A210" t="str">
            <v>Vector|||208000811|||ISSR|||SALES_ME|||False|||</v>
          </cell>
          <cell r="C210" t="str">
            <v>V_KEYWORD_ISSR_208000811_SALES_ME</v>
          </cell>
        </row>
        <row r="211">
          <cell r="A211" t="str">
            <v>Vector|||208000811|||ISSR|||SALES_TOT_AFRICA|||False|||</v>
          </cell>
          <cell r="C211" t="str">
            <v>V_KEYWORD_ISSR_208000811_SALES_TOT_AFRICA</v>
          </cell>
        </row>
        <row r="212">
          <cell r="A212" t="str">
            <v>Vector|||208000811|||ISSR|||SALES_OTH_EMEA|||False|||</v>
          </cell>
          <cell r="C212" t="str">
            <v>V_KEYWORD_ISSR_208000811_SALES_OTH_EMEA</v>
          </cell>
        </row>
        <row r="213">
          <cell r="A213" t="str">
            <v>Vector|||208000811|||ISSR|||SALES_TOT_ASIA|||False|||</v>
          </cell>
          <cell r="C213" t="str">
            <v>V_KEYWORD_ISSR_208000811_SALES_TOT_ASIA</v>
          </cell>
        </row>
        <row r="214">
          <cell r="A214" t="str">
            <v>Vector|||208000811|||ISSR|||SALES_OTH_AEJ|||False|||</v>
          </cell>
          <cell r="C214" t="str">
            <v>V_KEYWORD_ISSR_208000811_SALES_OTH_AEJ</v>
          </cell>
        </row>
        <row r="220">
          <cell r="A220" t="str">
            <v>Scalar|||200002230|||EQTY|||PUB_CURRENCY_ISO|||False|||</v>
          </cell>
          <cell r="C220" t="str">
            <v>V_KEYWORD_EQTY_200002230_PUB_CURRENCY_ISO</v>
          </cell>
        </row>
        <row r="221">
          <cell r="A221" t="str">
            <v>Scalar|||200002230|||EQTY|||PRICE_CURRENCY_ISO|||False|||</v>
          </cell>
          <cell r="C221" t="str">
            <v>V_KEYWORD_EQTY_200002230_PRICE_CURRENCY_ISO</v>
          </cell>
        </row>
        <row r="222">
          <cell r="A222" t="str">
            <v>Scalar|||200002230|||EQTY|||CURRENCY_ISO|||False|||</v>
          </cell>
          <cell r="C222" t="str">
            <v>V_KEYWORD_EQTY_200002230_CURRENCY_ISO</v>
          </cell>
        </row>
        <row r="224">
          <cell r="A224" t="str">
            <v>Scalar|||200002230|||EQTY|||AEJ_LIST|||False|||</v>
          </cell>
          <cell r="C224" t="str">
            <v>V_KEYWORD_EQTY_200002230_AEJ_LIST</v>
          </cell>
        </row>
        <row r="225">
          <cell r="A225" t="str">
            <v>Scalar|||200002230|||EQTY|||AEJ_CONVICTION|||False|||</v>
          </cell>
          <cell r="C225" t="str">
            <v>V_KEYWORD_EQTY_200002230_AEJ_CONVICTION</v>
          </cell>
        </row>
        <row r="226">
          <cell r="A226" t="str">
            <v>Scalar|||200002230|||EQTY|||LEGAL_RATING|||False|||</v>
          </cell>
          <cell r="C226" t="str">
            <v>V_KEYWORD_EQTY_200002230_LEGAL_RATING</v>
          </cell>
          <cell r="E226" t="str">
            <v>ERROR</v>
          </cell>
        </row>
        <row r="227">
          <cell r="A227" t="str">
            <v>Scalar|||200002230|||EQTY|||TARGET_PRICE|||False|||</v>
          </cell>
          <cell r="C227" t="str">
            <v>V_KEYWORD_EQTY_200002230_TARGET_PRICE</v>
          </cell>
          <cell r="E227" t="str">
            <v>ERROR</v>
          </cell>
        </row>
        <row r="228">
          <cell r="A228" t="str">
            <v>Scalar|||200002230|||EQTY|||TP_PERIOD|||False|||</v>
          </cell>
          <cell r="C228" t="str">
            <v>V_KEYWORD_EQTY_200002230_TP_PERIOD</v>
          </cell>
          <cell r="E228" t="str">
            <v>ERROR</v>
          </cell>
        </row>
        <row r="229">
          <cell r="A229" t="str">
            <v>Scalar|||200002230|||EQTY|||TARGET_PRICE_FUNDAMENTAL|||False|||</v>
          </cell>
          <cell r="C229" t="str">
            <v>V_KEYWORD_EQTY_200002230_TARGET_PRICE_FUNDAMENTAL</v>
          </cell>
        </row>
        <row r="230">
          <cell r="A230" t="str">
            <v>Scalar|||200002230|||EQTY|||TARGET_PRICE_MA|||False|||</v>
          </cell>
          <cell r="C230" t="str">
            <v>V_KEYWORD_EQTY_200002230_TARGET_PRICE_MA</v>
          </cell>
        </row>
        <row r="231">
          <cell r="A231" t="str">
            <v>Scalar|||200002230|||EQTY|||NUM_SH|||False|||</v>
          </cell>
          <cell r="C231" t="str">
            <v>V_KEYWORD_EQTY_200002230_NUM_SH</v>
          </cell>
        </row>
        <row r="232">
          <cell r="A232" t="str">
            <v>Scalar|||200002230|||EQTY|||FREE_FLOAT|||False|||</v>
          </cell>
          <cell r="C232" t="str">
            <v>V_KEYWORD_EQTY_200002230_FREE_FLOAT</v>
          </cell>
        </row>
        <row r="233">
          <cell r="A233" t="str">
            <v>Scalar|||200002230|||EQTY|||FOREIGN_HOLDNG|||False|||</v>
          </cell>
          <cell r="C233" t="str">
            <v>V_KEYWORD_EQTY_200002230_FOREIGN_HOLDNG</v>
          </cell>
        </row>
        <row r="234">
          <cell r="A234" t="str">
            <v>BreakdownScalar|||200002230|||EQTY|||ACT|||False|||1</v>
          </cell>
          <cell r="C234" t="str">
            <v>V_KEYWORD_EQTY_200002230_ACT1</v>
          </cell>
        </row>
        <row r="235">
          <cell r="A235" t="str">
            <v>BreakdownScalar|||200002230|||EQTY|||ACT|||False|||2</v>
          </cell>
          <cell r="C235" t="str">
            <v>V_KEYWORD_EQTY_200002230_ACT2</v>
          </cell>
        </row>
        <row r="236">
          <cell r="A236" t="str">
            <v>BreakdownScalar|||200002230|||EQTY|||ACT|||False|||3</v>
          </cell>
          <cell r="C236" t="str">
            <v>V_KEYWORD_EQTY_200002230_ACT3</v>
          </cell>
        </row>
        <row r="237">
          <cell r="A237" t="str">
            <v>Scalar|||200002230|||EQTY|||CATALYST1_DATE|||True|||</v>
          </cell>
          <cell r="C237" t="str">
            <v>V_KEYWORD_EQTY_200002230_CATALYST1_DATE</v>
          </cell>
        </row>
        <row r="238">
          <cell r="A238" t="str">
            <v>Scalar|||200002230|||EQTY|||CATALYST1_EVENT|||False|||</v>
          </cell>
          <cell r="C238" t="str">
            <v>V_KEYWORD_EQTY_200002230_CATALYST1_EVENT</v>
          </cell>
        </row>
        <row r="239">
          <cell r="A239" t="str">
            <v>Scalar|||200002230|||EQTY|||CATALYST2_DATE|||True|||</v>
          </cell>
          <cell r="C239" t="str">
            <v>V_KEYWORD_EQTY_200002230_CATALYST2_DATE</v>
          </cell>
        </row>
        <row r="240">
          <cell r="A240" t="str">
            <v>Scalar|||200002230|||EQTY|||CATALYST2_EVENT|||False|||</v>
          </cell>
          <cell r="C240" t="str">
            <v>V_KEYWORD_EQTY_200002230_CATALYST2_EVENT</v>
          </cell>
        </row>
        <row r="241">
          <cell r="A241" t="str">
            <v>Scalar|||200002230|||EQTY|||CATALYST3_DATE|||True|||</v>
          </cell>
          <cell r="C241" t="str">
            <v>V_KEYWORD_EQTY_200002230_CATALYST3_DATE</v>
          </cell>
        </row>
        <row r="242">
          <cell r="A242" t="str">
            <v>Scalar|||200002230|||EQTY|||CATALYST3_EVENT|||False|||</v>
          </cell>
          <cell r="C242" t="str">
            <v>V_KEYWORD_EQTY_200002230_CATALYST3_EVENT</v>
          </cell>
        </row>
        <row r="243">
          <cell r="A243" t="str">
            <v>Scalar|||200002230|||EQTY|||CATALYST4_DATE|||True|||</v>
          </cell>
          <cell r="C243" t="str">
            <v>V_KEYWORD_EQTY_200002230_CATALYST4_DATE</v>
          </cell>
        </row>
        <row r="244">
          <cell r="A244" t="str">
            <v>Scalar|||200002230|||EQTY|||CATALYST4_EVENT|||False|||</v>
          </cell>
          <cell r="C244" t="str">
            <v>V_KEYWORD_EQTY_200002230_CATALYST4_EVENT</v>
          </cell>
        </row>
        <row r="245">
          <cell r="A245" t="str">
            <v>Scalar|||200002230|||EQTY|||CATALYST5_DATE|||True|||</v>
          </cell>
          <cell r="C245" t="str">
            <v>V_KEYWORD_EQTY_200002230_CATALYST5_DATE</v>
          </cell>
        </row>
        <row r="246">
          <cell r="A246" t="str">
            <v>Scalar|||200002230|||EQTY|||CATALYST5_EVENT|||False|||</v>
          </cell>
          <cell r="C246" t="str">
            <v>V_KEYWORD_EQTY_200002230_CATALYST5_EVENT</v>
          </cell>
        </row>
        <row r="247">
          <cell r="A247" t="str">
            <v>Scalar|||200002230|||EQTY|||PRI_TARG_MULT|||False|||</v>
          </cell>
          <cell r="C247" t="str">
            <v>V_KEYWORD_EQTY_200002230_PRI_TARG_MULT</v>
          </cell>
        </row>
        <row r="248">
          <cell r="A248" t="str">
            <v>Scalar|||200002230|||EQTY|||PRI_TARG_METH|||False|||</v>
          </cell>
          <cell r="C248" t="str">
            <v>V_KEYWORD_EQTY_200002230_PRI_TARG_METH</v>
          </cell>
        </row>
        <row r="250">
          <cell r="A250" t="str">
            <v>Vector|||200002230|||EQTY|||BVPS_PUB|||False|||</v>
          </cell>
          <cell r="C250" t="str">
            <v>V_KEYWORD_EQTY_200002230_BVPS_PUB</v>
          </cell>
        </row>
        <row r="251">
          <cell r="A251" t="str">
            <v>Vector|||200002230|||EQTY|||DPS_PUB|||False|||</v>
          </cell>
          <cell r="C251" t="str">
            <v>V_KEYWORD_EQTY_200002230_DPS_PUB</v>
          </cell>
        </row>
        <row r="252">
          <cell r="A252" t="str">
            <v>Vector|||200002230|||EQTY|||DPS_SPECIAL_PUB|||False|||</v>
          </cell>
          <cell r="C252" t="str">
            <v>V_KEYWORD_EQTY_200002230_DPS_SPECIAL_PUB</v>
          </cell>
        </row>
        <row r="253">
          <cell r="A253" t="str">
            <v>Vector|||200002230|||EQTY|||EBITDA_PUB|||False|||</v>
          </cell>
          <cell r="C253" t="str">
            <v>V_KEYWORD_EQTY_200002230_EBITDA_PUB</v>
          </cell>
        </row>
        <row r="254">
          <cell r="A254" t="str">
            <v>Vector|||200002230|||EQTY|||EPS_PUB|||False|||</v>
          </cell>
          <cell r="C254" t="str">
            <v>V_KEYWORD_EQTY_200002230_EPS_PUB</v>
          </cell>
          <cell r="AD254" t="str">
            <v>ERROR</v>
          </cell>
          <cell r="AE254" t="str">
            <v>ERROR</v>
          </cell>
          <cell r="AF254" t="str">
            <v>ERROR</v>
          </cell>
          <cell r="AG254" t="str">
            <v>ERROR</v>
          </cell>
          <cell r="BQ254" t="str">
            <v>ERROR</v>
          </cell>
          <cell r="BR254" t="str">
            <v>ERROR</v>
          </cell>
          <cell r="BS254" t="str">
            <v>ERROR</v>
          </cell>
          <cell r="BT254" t="str">
            <v>ERROR</v>
          </cell>
          <cell r="BU254" t="str">
            <v>ERROR</v>
          </cell>
          <cell r="BV254" t="str">
            <v>ERROR</v>
          </cell>
          <cell r="BW254" t="str">
            <v>ERROR</v>
          </cell>
          <cell r="BX254" t="str">
            <v>ERROR</v>
          </cell>
          <cell r="BY254" t="str">
            <v>ERROR</v>
          </cell>
          <cell r="BZ254" t="str">
            <v>ERROR</v>
          </cell>
          <cell r="CA254" t="str">
            <v>ERROR</v>
          </cell>
          <cell r="CB254" t="str">
            <v>ERROR</v>
          </cell>
          <cell r="CC254" t="str">
            <v>ERROR</v>
          </cell>
          <cell r="CD254" t="str">
            <v>ERROR</v>
          </cell>
        </row>
        <row r="255">
          <cell r="A255" t="str">
            <v>Vector|||200002230|||EQTY|||EPS_PUB_EX_ESO|||False|||</v>
          </cell>
          <cell r="C255" t="str">
            <v>V_KEYWORD_EQTY_200002230_EPS_PUB_EX_ESO</v>
          </cell>
        </row>
        <row r="256">
          <cell r="A256" t="str">
            <v>Vector|||200002230|||EQTY|||EV_ADJ_PUB|||False|||</v>
          </cell>
          <cell r="C256" t="str">
            <v>V_KEYWORD_EQTY_200002230_EV_ADJ_PUB</v>
          </cell>
        </row>
        <row r="257">
          <cell r="A257" t="str">
            <v>Vector|||200002230|||EQTY|||NET_DEBT_PUB|||False|||</v>
          </cell>
          <cell r="C257" t="str">
            <v>V_KEYWORD_EQTY_200002230_NET_DEBT_PUB</v>
          </cell>
        </row>
        <row r="258">
          <cell r="A258" t="str">
            <v>Vector|||200002230|||EQTY|||NI_PUB|||False|||</v>
          </cell>
          <cell r="C258" t="str">
            <v>V_KEYWORD_EQTY_200002230_NI_PUB</v>
          </cell>
        </row>
        <row r="259">
          <cell r="A259" t="str">
            <v>Vector|||200002230|||EQTY|||EBIT_PUB|||False|||</v>
          </cell>
          <cell r="C259" t="str">
            <v>V_KEYWORD_EQTY_200002230_EBIT_PUB</v>
          </cell>
        </row>
        <row r="260">
          <cell r="A260" t="str">
            <v>Vector|||200002230|||EQTY|||PTP_PUB|||False|||</v>
          </cell>
          <cell r="C260" t="str">
            <v>V_KEYWORD_EQTY_200002230_PTP_PUB</v>
          </cell>
        </row>
        <row r="261">
          <cell r="A261" t="str">
            <v>Vector|||200002230|||EQTY|||REVS_PUB|||False|||</v>
          </cell>
          <cell r="C261" t="str">
            <v>V_KEYWORD_EQTY_200002230_REVS_PUB</v>
          </cell>
        </row>
        <row r="262">
          <cell r="A262" t="str">
            <v>Vector|||200002230|||EQTY|||EQ_PUB|||False|||</v>
          </cell>
          <cell r="C262" t="str">
            <v>V_KEYWORD_EQTY_200002230_EQ_PUB</v>
          </cell>
        </row>
        <row r="263">
          <cell r="A263" t="str">
            <v>Vector|||200002230|||EQTY|||EPS_CONS_PUB|||False|||</v>
          </cell>
          <cell r="C263" t="str">
            <v>V_KEYWORD_EQTY_200002230_EPS_CONS_PUB</v>
          </cell>
        </row>
        <row r="265">
          <cell r="A265" t="str">
            <v>Vector|||200002230|||EQTY|||PROV_INC_TAX|||False|||</v>
          </cell>
          <cell r="C265" t="str">
            <v>V_KEYWORD_EQTY_200002230_PROV_INC_TAX</v>
          </cell>
        </row>
        <row r="266">
          <cell r="A266" t="str">
            <v>Vector|||200002230|||EQTY|||INC_MINORITY|||False|||</v>
          </cell>
          <cell r="C266" t="str">
            <v>V_KEYWORD_EQTY_200002230_INC_MINORITY</v>
          </cell>
        </row>
        <row r="267">
          <cell r="A267" t="str">
            <v>Vector|||200002230|||EQTY|||NI_PRE_PREF|||False|||</v>
          </cell>
          <cell r="C267" t="str">
            <v>V_KEYWORD_EQTY_200002230_NI_PRE_PREF</v>
          </cell>
        </row>
        <row r="268">
          <cell r="A268" t="str">
            <v>Vector|||200002230|||EQTY|||PREF_DIV|||False|||</v>
          </cell>
          <cell r="C268" t="str">
            <v>V_KEYWORD_EQTY_200002230_PREF_DIV</v>
          </cell>
        </row>
        <row r="269">
          <cell r="A269" t="str">
            <v>Vector|||200002230|||EQTY|||NET_EARNING|||False|||</v>
          </cell>
          <cell r="C269" t="str">
            <v>V_KEYWORD_EQTY_200002230_NET_EARNING</v>
          </cell>
        </row>
        <row r="270">
          <cell r="A270" t="str">
            <v>Vector|||200002230|||EQTY|||TAX_EXC|||False|||</v>
          </cell>
          <cell r="C270" t="str">
            <v>V_KEYWORD_EQTY_200002230_TAX_EXC</v>
          </cell>
        </row>
        <row r="271">
          <cell r="A271" t="str">
            <v>Vector|||200002230|||EQTY|||NET_INC|||False|||</v>
          </cell>
          <cell r="C271" t="str">
            <v>V_KEYWORD_EQTY_200002230_NET_INC</v>
          </cell>
        </row>
        <row r="272">
          <cell r="A272" t="str">
            <v>Vector|||200002230|||EQTY|||EPS|||False|||</v>
          </cell>
          <cell r="C272" t="str">
            <v>V_KEYWORD_EQTY_200002230_EPS</v>
          </cell>
        </row>
        <row r="273">
          <cell r="A273" t="str">
            <v>Vector|||200002230|||EQTY|||EPS_FUL_DIL|||False|||</v>
          </cell>
          <cell r="C273" t="str">
            <v>V_KEYWORD_EQTY_200002230_EPS_FUL_DIL</v>
          </cell>
        </row>
        <row r="274">
          <cell r="A274" t="str">
            <v>Vector|||200002230|||EQTY|||EPS_POST_BASIC|||False|||</v>
          </cell>
          <cell r="C274" t="str">
            <v>V_KEYWORD_EQTY_200002230_EPS_POST_BASIC</v>
          </cell>
        </row>
        <row r="275">
          <cell r="A275" t="str">
            <v>Vector|||200002230|||EQTY|||FULLY_DIL_EPS|||False|||</v>
          </cell>
          <cell r="C275" t="str">
            <v>V_KEYWORD_EQTY_200002230_FULLY_DIL_EPS</v>
          </cell>
        </row>
        <row r="276">
          <cell r="A276" t="str">
            <v>Vector|||200002230|||EQTY|||COMMON_DIV_PAID|||False|||</v>
          </cell>
          <cell r="C276" t="str">
            <v>V_KEYWORD_EQTY_200002230_COMMON_DIV_PAID</v>
          </cell>
        </row>
        <row r="277">
          <cell r="A277" t="str">
            <v>Vector|||200002230|||EQTY|||DPS|||False|||</v>
          </cell>
          <cell r="C277" t="str">
            <v>V_KEYWORD_EQTY_200002230_DPS</v>
          </cell>
        </row>
        <row r="278">
          <cell r="A278" t="str">
            <v>Vector|||200002230|||EQTY|||SH|||False|||</v>
          </cell>
          <cell r="C278" t="str">
            <v>V_KEYWORD_EQTY_200002230_SH</v>
          </cell>
        </row>
        <row r="279">
          <cell r="A279" t="str">
            <v>Vector|||200002230|||EQTY|||DILUTE_SHARES|||False|||</v>
          </cell>
          <cell r="C279" t="str">
            <v>V_KEYWORD_EQTY_200002230_DILUTE_SHARES</v>
          </cell>
        </row>
        <row r="280">
          <cell r="A280" t="str">
            <v>Vector|||200002230|||EQTY|||NON_OP_ADD|||False|||</v>
          </cell>
          <cell r="C280" t="str">
            <v>V_KEYWORD_EQTY_200002230_NON_OP_ADD</v>
          </cell>
        </row>
        <row r="282">
          <cell r="A282" t="str">
            <v>Vector|||200002230|||EQTY|||MARGIN_TAX_RATE|||False|||</v>
          </cell>
          <cell r="C282" t="str">
            <v>V_KEYWORD_EQTY_200002230_MARGIN_TAX_RATE</v>
          </cell>
        </row>
        <row r="283">
          <cell r="A283" t="str">
            <v>Vector|||200002230|||EQTY|||NI_CONS|||False|||</v>
          </cell>
          <cell r="C283" t="str">
            <v>V_KEYWORD_EQTY_200002230_NI_CONS</v>
          </cell>
        </row>
        <row r="285">
          <cell r="A285" t="str">
            <v>Vector|||200002230|||EQTY|||FV_GRANT|||False|||</v>
          </cell>
          <cell r="C285" t="str">
            <v>V_KEYWORD_EQTY_200002230_FV_GRANT</v>
          </cell>
        </row>
        <row r="286">
          <cell r="A286" t="str">
            <v>Vector|||200002230|||EQTY|||ESO_POST_TAX|||False|||</v>
          </cell>
          <cell r="C286" t="str">
            <v>V_KEYWORD_EQTY_200002230_ESO_POST_TAX</v>
          </cell>
        </row>
        <row r="287">
          <cell r="A287" t="str">
            <v>Vector|||200002230|||EQTY|||EPS_EX_ESO_B|||False|||</v>
          </cell>
          <cell r="C287" t="str">
            <v>V_KEYWORD_EQTY_200002230_EPS_EX_ESO_B</v>
          </cell>
        </row>
        <row r="288">
          <cell r="A288" t="str">
            <v>Vector|||200002230|||EQTY|||EPS_EX_ESO_D|||False|||</v>
          </cell>
          <cell r="C288" t="str">
            <v>V_KEYWORD_EQTY_200002230_EPS_EX_ESO_D</v>
          </cell>
        </row>
        <row r="289">
          <cell r="A289" t="str">
            <v>Scalar|||200002230|||EQTY|||ESO_YEAR|||False|||</v>
          </cell>
          <cell r="C289" t="str">
            <v>V_KEYWORD_EQTY_200002230_ESO_YEAR</v>
          </cell>
        </row>
        <row r="291">
          <cell r="A291" t="str">
            <v>Vector|||200002230|||EQTY|||BVPS|||False|||</v>
          </cell>
          <cell r="C291" t="str">
            <v>V_KEYWORD_EQTY_200002230_BVPS</v>
          </cell>
        </row>
        <row r="293">
          <cell r="A293" t="str">
            <v>Vector|||200002230|||EQTY|||CF_NI_PRE_PREF|||False|||</v>
          </cell>
          <cell r="C293" t="str">
            <v>V_KEYWORD_EQTY_200002230_CF_NI_PRE_PREF</v>
          </cell>
        </row>
        <row r="295">
          <cell r="A295" t="str">
            <v>Vector|||200002230|||EQTY|||ADJ_EPS_TW|||False|||</v>
          </cell>
          <cell r="C295" t="str">
            <v>V_KEYWORD_EQTY_200002230_ADJ_EPS_TW</v>
          </cell>
        </row>
        <row r="296">
          <cell r="A296" t="str">
            <v>Vector|||200002230|||EQTY|||ADJ_NI_TW|||False|||</v>
          </cell>
          <cell r="C296" t="str">
            <v>V_KEYWORD_EQTY_200002230_ADJ_NI_TW</v>
          </cell>
        </row>
        <row r="297">
          <cell r="A297" t="str">
            <v>Scalar|||200002230|||EQTY|||BETA_ANALYST|||False|||</v>
          </cell>
          <cell r="C297" t="str">
            <v>V_KEYWORD_EQTY_200002230_BETA_ANALYST</v>
          </cell>
        </row>
        <row r="298">
          <cell r="A298" t="str">
            <v>Scalar|||200002230|||EQTY|||MKT_EQ_RISK_PREM|||False|||</v>
          </cell>
          <cell r="C298" t="str">
            <v>V_KEYWORD_EQTY_200002230_MKT_EQ_RISK_PREM</v>
          </cell>
        </row>
        <row r="299">
          <cell r="A299" t="str">
            <v>Scalar|||200002230|||EQTY|||RISK_FR_RATE|||False|||</v>
          </cell>
          <cell r="C299" t="str">
            <v>V_KEYWORD_EQTY_200002230_RISK_FR_RATE</v>
          </cell>
        </row>
        <row r="305">
          <cell r="A305" t="str">
            <v>Scalar|||200000488|||EQTY|||PUB_CURRENCY_ISO|||False|||</v>
          </cell>
          <cell r="C305" t="str">
            <v>V_KEYWORD_EQTY_200000488_PUB_CURRENCY_ISO</v>
          </cell>
        </row>
        <row r="306">
          <cell r="A306" t="str">
            <v>Scalar|||200000488|||EQTY|||PRICE_CURRENCY_ISO|||False|||</v>
          </cell>
          <cell r="C306" t="str">
            <v>V_KEYWORD_EQTY_200000488_PRICE_CURRENCY_ISO</v>
          </cell>
        </row>
        <row r="307">
          <cell r="A307" t="str">
            <v>Scalar|||200000488|||EQTY|||CURRENCY_ISO|||False|||</v>
          </cell>
          <cell r="C307" t="str">
            <v>V_KEYWORD_EQTY_200000488_CURRENCY_ISO</v>
          </cell>
        </row>
        <row r="309">
          <cell r="A309" t="str">
            <v>Scalar|||200000488|||EQTY|||AEJ_LIST|||False|||</v>
          </cell>
          <cell r="C309" t="str">
            <v>V_KEYWORD_EQTY_200000488_AEJ_LIST</v>
          </cell>
        </row>
        <row r="310">
          <cell r="A310" t="str">
            <v>Scalar|||200000488|||EQTY|||AEJ_CONVICTION|||False|||</v>
          </cell>
          <cell r="C310" t="str">
            <v>V_KEYWORD_EQTY_200000488_AEJ_CONVICTION</v>
          </cell>
        </row>
        <row r="311">
          <cell r="A311" t="str">
            <v>Scalar|||200000488|||EQTY|||LEGAL_RATING|||False|||</v>
          </cell>
          <cell r="C311" t="str">
            <v>V_KEYWORD_EQTY_200000488_LEGAL_RATING</v>
          </cell>
          <cell r="E311" t="str">
            <v>ERROR</v>
          </cell>
        </row>
        <row r="312">
          <cell r="A312" t="str">
            <v>Scalar|||200000488|||EQTY|||TARGET_PRICE|||False|||</v>
          </cell>
          <cell r="C312" t="str">
            <v>V_KEYWORD_EQTY_200000488_TARGET_PRICE</v>
          </cell>
          <cell r="E312" t="str">
            <v>ERROR</v>
          </cell>
        </row>
        <row r="313">
          <cell r="A313" t="str">
            <v>Scalar|||200000488|||EQTY|||TP_PERIOD|||False|||</v>
          </cell>
          <cell r="C313" t="str">
            <v>V_KEYWORD_EQTY_200000488_TP_PERIOD</v>
          </cell>
          <cell r="E313" t="str">
            <v>ERROR</v>
          </cell>
        </row>
        <row r="314">
          <cell r="A314" t="str">
            <v>Scalar|||200000488|||EQTY|||TARGET_PRICE_FUNDAMENTAL|||False|||</v>
          </cell>
          <cell r="C314" t="str">
            <v>V_KEYWORD_EQTY_200000488_TARGET_PRICE_FUNDAMENTAL</v>
          </cell>
        </row>
        <row r="315">
          <cell r="A315" t="str">
            <v>Scalar|||200000488|||EQTY|||TARGET_PRICE_MA|||False|||</v>
          </cell>
          <cell r="C315" t="str">
            <v>V_KEYWORD_EQTY_200000488_TARGET_PRICE_MA</v>
          </cell>
        </row>
        <row r="316">
          <cell r="A316" t="str">
            <v>Scalar|||200000488|||EQTY|||NUM_SH|||False|||</v>
          </cell>
          <cell r="C316" t="str">
            <v>V_KEYWORD_EQTY_200000488_NUM_SH</v>
          </cell>
        </row>
        <row r="317">
          <cell r="A317" t="str">
            <v>Scalar|||200000488|||EQTY|||FREE_FLOAT|||False|||</v>
          </cell>
          <cell r="C317" t="str">
            <v>V_KEYWORD_EQTY_200000488_FREE_FLOAT</v>
          </cell>
        </row>
        <row r="318">
          <cell r="A318" t="str">
            <v>Scalar|||200000488|||EQTY|||FOREIGN_HOLDNG|||False|||</v>
          </cell>
          <cell r="C318" t="str">
            <v>V_KEYWORD_EQTY_200000488_FOREIGN_HOLDNG</v>
          </cell>
        </row>
        <row r="319">
          <cell r="A319" t="str">
            <v>BreakdownScalar|||200000488|||EQTY|||ACT|||False|||1</v>
          </cell>
          <cell r="C319" t="str">
            <v>V_KEYWORD_EQTY_200000488_ACT1</v>
          </cell>
        </row>
        <row r="320">
          <cell r="A320" t="str">
            <v>BreakdownScalar|||200000488|||EQTY|||ACT|||False|||2</v>
          </cell>
          <cell r="C320" t="str">
            <v>V_KEYWORD_EQTY_200000488_ACT2</v>
          </cell>
        </row>
        <row r="321">
          <cell r="A321" t="str">
            <v>BreakdownScalar|||200000488|||EQTY|||ACT|||False|||3</v>
          </cell>
          <cell r="C321" t="str">
            <v>V_KEYWORD_EQTY_200000488_ACT3</v>
          </cell>
        </row>
        <row r="322">
          <cell r="A322" t="str">
            <v>Scalar|||200000488|||EQTY|||CATALYST1_DATE|||True|||</v>
          </cell>
          <cell r="C322" t="str">
            <v>V_KEYWORD_EQTY_200000488_CATALYST1_DATE</v>
          </cell>
        </row>
        <row r="323">
          <cell r="A323" t="str">
            <v>Scalar|||200000488|||EQTY|||CATALYST1_EVENT|||False|||</v>
          </cell>
          <cell r="C323" t="str">
            <v>V_KEYWORD_EQTY_200000488_CATALYST1_EVENT</v>
          </cell>
        </row>
        <row r="324">
          <cell r="A324" t="str">
            <v>Scalar|||200000488|||EQTY|||CATALYST2_DATE|||True|||</v>
          </cell>
          <cell r="C324" t="str">
            <v>V_KEYWORD_EQTY_200000488_CATALYST2_DATE</v>
          </cell>
        </row>
        <row r="325">
          <cell r="A325" t="str">
            <v>Scalar|||200000488|||EQTY|||CATALYST2_EVENT|||False|||</v>
          </cell>
          <cell r="C325" t="str">
            <v>V_KEYWORD_EQTY_200000488_CATALYST2_EVENT</v>
          </cell>
        </row>
        <row r="326">
          <cell r="A326" t="str">
            <v>Scalar|||200000488|||EQTY|||CATALYST3_DATE|||True|||</v>
          </cell>
          <cell r="C326" t="str">
            <v>V_KEYWORD_EQTY_200000488_CATALYST3_DATE</v>
          </cell>
        </row>
        <row r="327">
          <cell r="A327" t="str">
            <v>Scalar|||200000488|||EQTY|||CATALYST3_EVENT|||False|||</v>
          </cell>
          <cell r="C327" t="str">
            <v>V_KEYWORD_EQTY_200000488_CATALYST3_EVENT</v>
          </cell>
        </row>
        <row r="328">
          <cell r="A328" t="str">
            <v>Scalar|||200000488|||EQTY|||CATALYST4_DATE|||True|||</v>
          </cell>
          <cell r="C328" t="str">
            <v>V_KEYWORD_EQTY_200000488_CATALYST4_DATE</v>
          </cell>
        </row>
        <row r="329">
          <cell r="A329" t="str">
            <v>Scalar|||200000488|||EQTY|||CATALYST4_EVENT|||False|||</v>
          </cell>
          <cell r="C329" t="str">
            <v>V_KEYWORD_EQTY_200000488_CATALYST4_EVENT</v>
          </cell>
        </row>
        <row r="330">
          <cell r="A330" t="str">
            <v>Scalar|||200000488|||EQTY|||CATALYST5_DATE|||True|||</v>
          </cell>
          <cell r="C330" t="str">
            <v>V_KEYWORD_EQTY_200000488_CATALYST5_DATE</v>
          </cell>
        </row>
        <row r="331">
          <cell r="A331" t="str">
            <v>Scalar|||200000488|||EQTY|||CATALYST5_EVENT|||False|||</v>
          </cell>
          <cell r="C331" t="str">
            <v>V_KEYWORD_EQTY_200000488_CATALYST5_EVENT</v>
          </cell>
        </row>
        <row r="332">
          <cell r="A332" t="str">
            <v>Scalar|||200000488|||EQTY|||PRI_TARG_MULT|||False|||</v>
          </cell>
          <cell r="C332" t="str">
            <v>V_KEYWORD_EQTY_200000488_PRI_TARG_MULT</v>
          </cell>
        </row>
        <row r="333">
          <cell r="A333" t="str">
            <v>Scalar|||200000488|||EQTY|||PRI_TARG_METH|||False|||</v>
          </cell>
          <cell r="C333" t="str">
            <v>V_KEYWORD_EQTY_200000488_PRI_TARG_METH</v>
          </cell>
        </row>
        <row r="335">
          <cell r="A335" t="str">
            <v>Vector|||200000488|||EQTY|||BVPS_PUB|||False|||</v>
          </cell>
          <cell r="C335" t="str">
            <v>V_KEYWORD_EQTY_200000488_BVPS_PUB</v>
          </cell>
        </row>
        <row r="336">
          <cell r="A336" t="str">
            <v>Vector|||200000488|||EQTY|||DPS_PUB|||False|||</v>
          </cell>
          <cell r="C336" t="str">
            <v>V_KEYWORD_EQTY_200000488_DPS_PUB</v>
          </cell>
        </row>
        <row r="337">
          <cell r="A337" t="str">
            <v>Vector|||200000488|||EQTY|||DPS_SPECIAL_PUB|||False|||</v>
          </cell>
          <cell r="C337" t="str">
            <v>V_KEYWORD_EQTY_200000488_DPS_SPECIAL_PUB</v>
          </cell>
        </row>
        <row r="338">
          <cell r="A338" t="str">
            <v>Vector|||200000488|||EQTY|||EBITDA_PUB|||False|||</v>
          </cell>
          <cell r="C338" t="str">
            <v>V_KEYWORD_EQTY_200000488_EBITDA_PUB</v>
          </cell>
        </row>
        <row r="339">
          <cell r="A339" t="str">
            <v>Vector|||200000488|||EQTY|||EPS_PUB|||False|||</v>
          </cell>
          <cell r="C339" t="str">
            <v>V_KEYWORD_EQTY_200000488_EPS_PUB</v>
          </cell>
          <cell r="AD339" t="str">
            <v>ERROR</v>
          </cell>
          <cell r="AE339" t="str">
            <v>ERROR</v>
          </cell>
          <cell r="AF339" t="str">
            <v>ERROR</v>
          </cell>
          <cell r="AG339" t="str">
            <v>ERROR</v>
          </cell>
        </row>
        <row r="340">
          <cell r="A340" t="str">
            <v>Vector|||200000488|||EQTY|||EPS_PUB_EX_ESO|||False|||</v>
          </cell>
          <cell r="C340" t="str">
            <v>V_KEYWORD_EQTY_200000488_EPS_PUB_EX_ESO</v>
          </cell>
        </row>
        <row r="341">
          <cell r="A341" t="str">
            <v>Vector|||200000488|||EQTY|||EV_ADJ_PUB|||False|||</v>
          </cell>
          <cell r="C341" t="str">
            <v>V_KEYWORD_EQTY_200000488_EV_ADJ_PUB</v>
          </cell>
        </row>
        <row r="342">
          <cell r="A342" t="str">
            <v>Vector|||200000488|||EQTY|||NET_DEBT_PUB|||False|||</v>
          </cell>
          <cell r="C342" t="str">
            <v>V_KEYWORD_EQTY_200000488_NET_DEBT_PUB</v>
          </cell>
        </row>
        <row r="343">
          <cell r="A343" t="str">
            <v>Vector|||200000488|||EQTY|||NI_PUB|||False|||</v>
          </cell>
          <cell r="C343" t="str">
            <v>V_KEYWORD_EQTY_200000488_NI_PUB</v>
          </cell>
        </row>
        <row r="344">
          <cell r="A344" t="str">
            <v>Vector|||200000488|||EQTY|||EBIT_PUB|||False|||</v>
          </cell>
          <cell r="C344" t="str">
            <v>V_KEYWORD_EQTY_200000488_EBIT_PUB</v>
          </cell>
        </row>
        <row r="345">
          <cell r="A345" t="str">
            <v>Vector|||200000488|||EQTY|||PTP_PUB|||False|||</v>
          </cell>
          <cell r="C345" t="str">
            <v>V_KEYWORD_EQTY_200000488_PTP_PUB</v>
          </cell>
        </row>
        <row r="346">
          <cell r="A346" t="str">
            <v>Vector|||200000488|||EQTY|||REVS_PUB|||False|||</v>
          </cell>
          <cell r="C346" t="str">
            <v>V_KEYWORD_EQTY_200000488_REVS_PUB</v>
          </cell>
        </row>
        <row r="347">
          <cell r="A347" t="str">
            <v>Vector|||200000488|||EQTY|||EQ_PUB|||False|||</v>
          </cell>
          <cell r="C347" t="str">
            <v>V_KEYWORD_EQTY_200000488_EQ_PUB</v>
          </cell>
        </row>
        <row r="348">
          <cell r="A348" t="str">
            <v>Vector|||200000488|||EQTY|||EPS_CONS_PUB|||False|||</v>
          </cell>
          <cell r="C348" t="str">
            <v>V_KEYWORD_EQTY_200000488_EPS_CONS_PUB</v>
          </cell>
        </row>
        <row r="350">
          <cell r="A350" t="str">
            <v>Vector|||200000488|||EQTY|||PROV_INC_TAX|||False|||</v>
          </cell>
          <cell r="C350" t="str">
            <v>V_KEYWORD_EQTY_200000488_PROV_INC_TAX</v>
          </cell>
        </row>
        <row r="351">
          <cell r="A351" t="str">
            <v>Vector|||200000488|||EQTY|||INC_MINORITY|||False|||</v>
          </cell>
          <cell r="C351" t="str">
            <v>V_KEYWORD_EQTY_200000488_INC_MINORITY</v>
          </cell>
        </row>
        <row r="352">
          <cell r="A352" t="str">
            <v>Vector|||200000488|||EQTY|||NI_PRE_PREF|||False|||</v>
          </cell>
          <cell r="C352" t="str">
            <v>V_KEYWORD_EQTY_200000488_NI_PRE_PREF</v>
          </cell>
        </row>
        <row r="353">
          <cell r="A353" t="str">
            <v>Vector|||200000488|||EQTY|||PREF_DIV|||False|||</v>
          </cell>
          <cell r="C353" t="str">
            <v>V_KEYWORD_EQTY_200000488_PREF_DIV</v>
          </cell>
        </row>
        <row r="354">
          <cell r="A354" t="str">
            <v>Vector|||200000488|||EQTY|||NET_EARNING|||False|||</v>
          </cell>
          <cell r="C354" t="str">
            <v>V_KEYWORD_EQTY_200000488_NET_EARNING</v>
          </cell>
        </row>
        <row r="355">
          <cell r="A355" t="str">
            <v>Vector|||200000488|||EQTY|||TAX_EXC|||False|||</v>
          </cell>
          <cell r="C355" t="str">
            <v>V_KEYWORD_EQTY_200000488_TAX_EXC</v>
          </cell>
        </row>
        <row r="356">
          <cell r="A356" t="str">
            <v>Vector|||200000488|||EQTY|||NET_INC|||False|||</v>
          </cell>
          <cell r="C356" t="str">
            <v>V_KEYWORD_EQTY_200000488_NET_INC</v>
          </cell>
        </row>
        <row r="357">
          <cell r="A357" t="str">
            <v>Vector|||200000488|||EQTY|||EPS|||False|||</v>
          </cell>
          <cell r="C357" t="str">
            <v>V_KEYWORD_EQTY_200000488_EPS</v>
          </cell>
        </row>
        <row r="358">
          <cell r="A358" t="str">
            <v>Vector|||200000488|||EQTY|||EPS_FUL_DIL|||False|||</v>
          </cell>
          <cell r="C358" t="str">
            <v>V_KEYWORD_EQTY_200000488_EPS_FUL_DIL</v>
          </cell>
        </row>
        <row r="359">
          <cell r="A359" t="str">
            <v>Vector|||200000488|||EQTY|||EPS_POST_BASIC|||False|||</v>
          </cell>
          <cell r="C359" t="str">
            <v>V_KEYWORD_EQTY_200000488_EPS_POST_BASIC</v>
          </cell>
        </row>
        <row r="360">
          <cell r="A360" t="str">
            <v>Vector|||200000488|||EQTY|||FULLY_DIL_EPS|||False|||</v>
          </cell>
          <cell r="C360" t="str">
            <v>V_KEYWORD_EQTY_200000488_FULLY_DIL_EPS</v>
          </cell>
        </row>
        <row r="361">
          <cell r="A361" t="str">
            <v>Vector|||200000488|||EQTY|||COMMON_DIV_PAID|||False|||</v>
          </cell>
          <cell r="C361" t="str">
            <v>V_KEYWORD_EQTY_200000488_COMMON_DIV_PAID</v>
          </cell>
        </row>
        <row r="362">
          <cell r="A362" t="str">
            <v>Vector|||200000488|||EQTY|||DPS|||False|||</v>
          </cell>
          <cell r="C362" t="str">
            <v>V_KEYWORD_EQTY_200000488_DPS</v>
          </cell>
        </row>
        <row r="363">
          <cell r="A363" t="str">
            <v>Vector|||200000488|||EQTY|||SH|||False|||</v>
          </cell>
          <cell r="C363" t="str">
            <v>V_KEYWORD_EQTY_200000488_SH</v>
          </cell>
        </row>
        <row r="364">
          <cell r="A364" t="str">
            <v>Vector|||200000488|||EQTY|||DILUTE_SHARES|||False|||</v>
          </cell>
          <cell r="C364" t="str">
            <v>V_KEYWORD_EQTY_200000488_DILUTE_SHARES</v>
          </cell>
        </row>
        <row r="365">
          <cell r="A365" t="str">
            <v>Vector|||200000488|||EQTY|||NON_OP_ADD|||False|||</v>
          </cell>
          <cell r="C365" t="str">
            <v>V_KEYWORD_EQTY_200000488_NON_OP_ADD</v>
          </cell>
        </row>
        <row r="367">
          <cell r="A367" t="str">
            <v>Vector|||200000488|||EQTY|||MARGIN_TAX_RATE|||False|||</v>
          </cell>
          <cell r="C367" t="str">
            <v>V_KEYWORD_EQTY_200000488_MARGIN_TAX_RATE</v>
          </cell>
        </row>
        <row r="368">
          <cell r="A368" t="str">
            <v>Vector|||200000488|||EQTY|||NI_CONS|||False|||</v>
          </cell>
          <cell r="C368" t="str">
            <v>V_KEYWORD_EQTY_200000488_NI_CONS</v>
          </cell>
        </row>
        <row r="370">
          <cell r="A370" t="str">
            <v>Vector|||200000488|||EQTY|||FV_GRANT|||False|||</v>
          </cell>
          <cell r="C370" t="str">
            <v>V_KEYWORD_EQTY_200000488_FV_GRANT</v>
          </cell>
        </row>
        <row r="371">
          <cell r="A371" t="str">
            <v>Vector|||200000488|||EQTY|||ESO_POST_TAX|||False|||</v>
          </cell>
          <cell r="C371" t="str">
            <v>V_KEYWORD_EQTY_200000488_ESO_POST_TAX</v>
          </cell>
        </row>
        <row r="372">
          <cell r="A372" t="str">
            <v>Vector|||200000488|||EQTY|||EPS_EX_ESO_B|||False|||</v>
          </cell>
          <cell r="C372" t="str">
            <v>V_KEYWORD_EQTY_200000488_EPS_EX_ESO_B</v>
          </cell>
        </row>
        <row r="373">
          <cell r="A373" t="str">
            <v>Vector|||200000488|||EQTY|||EPS_EX_ESO_D|||False|||</v>
          </cell>
          <cell r="C373" t="str">
            <v>V_KEYWORD_EQTY_200000488_EPS_EX_ESO_D</v>
          </cell>
        </row>
        <row r="374">
          <cell r="A374" t="str">
            <v>Scalar|||200000488|||EQTY|||ESO_YEAR|||False|||</v>
          </cell>
          <cell r="C374" t="str">
            <v>V_KEYWORD_EQTY_200000488_ESO_YEAR</v>
          </cell>
        </row>
        <row r="376">
          <cell r="A376" t="str">
            <v>Vector|||200000488|||EQTY|||BVPS|||False|||</v>
          </cell>
          <cell r="C376" t="str">
            <v>V_KEYWORD_EQTY_200000488_BVPS</v>
          </cell>
        </row>
        <row r="378">
          <cell r="A378" t="str">
            <v>Vector|||200000488|||EQTY|||CF_NI_PRE_PREF|||False|||</v>
          </cell>
          <cell r="C378" t="str">
            <v>V_KEYWORD_EQTY_200000488_CF_NI_PRE_PREF</v>
          </cell>
        </row>
        <row r="380">
          <cell r="A380" t="str">
            <v>Vector|||200000488|||EQTY|||ADJ_EPS_TW|||False|||</v>
          </cell>
          <cell r="C380" t="str">
            <v>V_KEYWORD_EQTY_200000488_ADJ_EPS_TW</v>
          </cell>
        </row>
        <row r="381">
          <cell r="A381" t="str">
            <v>Vector|||200000488|||EQTY|||ADJ_NI_TW|||False|||</v>
          </cell>
          <cell r="C381" t="str">
            <v>V_KEYWORD_EQTY_200000488_ADJ_NI_TW</v>
          </cell>
        </row>
        <row r="382">
          <cell r="A382" t="str">
            <v>Scalar|||200000488|||EQTY|||BETA_ANALYST|||False|||</v>
          </cell>
          <cell r="C382" t="str">
            <v>V_KEYWORD_EQTY_200000488_BETA_ANALYST</v>
          </cell>
        </row>
        <row r="383">
          <cell r="A383" t="str">
            <v>Scalar|||200000488|||EQTY|||MKT_EQ_RISK_PREM|||False|||</v>
          </cell>
          <cell r="C383" t="str">
            <v>V_KEYWORD_EQTY_200000488_MKT_EQ_RISK_PREM</v>
          </cell>
        </row>
        <row r="384">
          <cell r="A384" t="str">
            <v>Scalar|||200000488|||EQTY|||RISK_FR_RATE|||False|||</v>
          </cell>
          <cell r="C384" t="str">
            <v>V_KEYWORD_EQTY_200000488_RISK_FR_RATE</v>
          </cell>
        </row>
      </sheetData>
      <sheetData sheetId="12">
        <row r="1">
          <cell r="A1" t="str">
            <v>Issuer: United Microelectronics Corp.</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cell r="CA1" t="str">
            <v>2021 Q1</v>
          </cell>
          <cell r="CB1" t="str">
            <v>2021 Q2</v>
          </cell>
          <cell r="CC1" t="str">
            <v>2021 Q3</v>
          </cell>
          <cell r="CD1" t="str">
            <v>2021 Q4</v>
          </cell>
        </row>
        <row r="4">
          <cell r="A4" t="str">
            <v>Issuer: United Microelectronics Corp.</v>
          </cell>
        </row>
        <row r="5">
          <cell r="A5" t="str">
            <v>Reference Data</v>
          </cell>
        </row>
        <row r="6">
          <cell r="B6" t="str">
            <v>Issuer Name</v>
          </cell>
          <cell r="C6" t="str">
            <v>Issuer Name</v>
          </cell>
          <cell r="E6" t="str">
            <v>United Microelectronics Corp.</v>
          </cell>
        </row>
        <row r="7">
          <cell r="B7" t="str">
            <v>Reporting Currency</v>
          </cell>
          <cell r="C7" t="str">
            <v>CURRENCY_ISO</v>
          </cell>
          <cell r="E7" t="str">
            <v>TWD</v>
          </cell>
        </row>
        <row r="8">
          <cell r="A8" t="str">
            <v>General Information</v>
          </cell>
        </row>
        <row r="9">
          <cell r="B9" t="str">
            <v>M&amp;A probability (1 = high, 3 = low)</v>
          </cell>
          <cell r="C9" t="str">
            <v>MA_PROB</v>
          </cell>
        </row>
        <row r="10">
          <cell r="A10" t="str">
            <v>Income Statement</v>
          </cell>
        </row>
        <row r="11">
          <cell r="B11" t="str">
            <v>Sales, net revenue</v>
          </cell>
          <cell r="C11" t="str">
            <v>SALES</v>
          </cell>
          <cell r="D11" t="e">
            <v>#NAME?</v>
          </cell>
        </row>
        <row r="12">
          <cell r="B12" t="str">
            <v>Compensation &amp; benfits expense</v>
          </cell>
          <cell r="C12" t="str">
            <v>PERSONNEL</v>
          </cell>
          <cell r="D12" t="e">
            <v>#NAME?</v>
          </cell>
        </row>
        <row r="13">
          <cell r="B13" t="str">
            <v>Cost of goods sold, COGS</v>
          </cell>
          <cell r="C13" t="str">
            <v>COST_GD_SD</v>
          </cell>
          <cell r="D13" t="e">
            <v>#NAME?</v>
          </cell>
        </row>
        <row r="14">
          <cell r="B14" t="str">
            <v>SG&amp;A, selling, general and admin. expense</v>
          </cell>
          <cell r="C14" t="str">
            <v>SEL_GL_AD</v>
          </cell>
          <cell r="D14" t="e">
            <v>#NAME?</v>
          </cell>
        </row>
        <row r="15">
          <cell r="B15" t="str">
            <v>Total operating expense</v>
          </cell>
          <cell r="C15" t="str">
            <v>OP_COST</v>
          </cell>
          <cell r="D15" t="e">
            <v>#NAME?</v>
          </cell>
        </row>
        <row r="16">
          <cell r="B16" t="str">
            <v>R&amp;D expense</v>
          </cell>
          <cell r="C16" t="str">
            <v>RD_EXP</v>
          </cell>
          <cell r="D16" t="e">
            <v>#NAME?</v>
          </cell>
        </row>
        <row r="17">
          <cell r="B17" t="str">
            <v>ESO expense (pre-tax)</v>
          </cell>
          <cell r="C17" t="str">
            <v>ESO_PRE_TAX</v>
          </cell>
          <cell r="D17" t="e">
            <v>#NAME?</v>
          </cell>
        </row>
        <row r="18">
          <cell r="B18" t="str">
            <v>Other operating income/(expense) (incl. leases)</v>
          </cell>
          <cell r="C18" t="str">
            <v>OTH_OP_INC_EXP</v>
          </cell>
          <cell r="D18" t="e">
            <v>#NAME?</v>
          </cell>
        </row>
        <row r="19">
          <cell r="B19" t="str">
            <v>Total operating expense (incl. D&amp;A)</v>
          </cell>
          <cell r="C19" t="str">
            <v>TOT_OPS_EXP_DDA</v>
          </cell>
          <cell r="D19" t="e">
            <v>#NAME?</v>
          </cell>
        </row>
        <row r="20">
          <cell r="B20" t="str">
            <v>Total operating expense (excl. D&amp;A)</v>
          </cell>
          <cell r="C20" t="str">
            <v>TOT_OPS_EXP</v>
          </cell>
          <cell r="D20" t="e">
            <v>#NAME?</v>
          </cell>
        </row>
        <row r="21">
          <cell r="B21" t="str">
            <v>EBITDA</v>
          </cell>
          <cell r="C21" t="str">
            <v>EBITDA_CALC</v>
          </cell>
          <cell r="D21" t="e">
            <v>#NAME?</v>
          </cell>
        </row>
        <row r="22">
          <cell r="B22" t="str">
            <v>Depreciation</v>
          </cell>
          <cell r="C22" t="str">
            <v>DEPREC</v>
          </cell>
          <cell r="D22" t="e">
            <v>#NAME?</v>
          </cell>
        </row>
        <row r="23">
          <cell r="B23" t="str">
            <v>Amortization</v>
          </cell>
          <cell r="C23" t="str">
            <v>GOODWILL_AMORT</v>
          </cell>
          <cell r="D23" t="e">
            <v>#NAME?</v>
          </cell>
        </row>
        <row r="24">
          <cell r="B24" t="str">
            <v>EBIT, operating profit</v>
          </cell>
          <cell r="C24" t="str">
            <v>EBIT</v>
          </cell>
          <cell r="D24" t="e">
            <v>#NAME?</v>
          </cell>
        </row>
        <row r="25">
          <cell r="B25" t="str">
            <v>Interest income</v>
          </cell>
          <cell r="C25" t="str">
            <v>INT_INC_IND</v>
          </cell>
          <cell r="D25" t="e">
            <v>#NAME?</v>
          </cell>
        </row>
        <row r="26">
          <cell r="B26" t="str">
            <v>Interest expense</v>
          </cell>
          <cell r="C26" t="str">
            <v>INT_EXP_IND</v>
          </cell>
          <cell r="D26" t="e">
            <v>#NAME?</v>
          </cell>
        </row>
        <row r="27">
          <cell r="B27" t="str">
            <v>Net interest income/(expense)</v>
          </cell>
          <cell r="C27" t="str">
            <v>NET_INT_EXP</v>
          </cell>
          <cell r="D27" t="e">
            <v>#NAME?</v>
          </cell>
        </row>
        <row r="28">
          <cell r="B28" t="str">
            <v>Income/(loss) from unconsolidated subs &amp; associates</v>
          </cell>
          <cell r="C28" t="str">
            <v>ASSOCIATE</v>
          </cell>
          <cell r="D28" t="e">
            <v>#NAME?</v>
          </cell>
        </row>
        <row r="29">
          <cell r="B29" t="str">
            <v>Profit/(loss) on disposals of assets, pre-tax</v>
          </cell>
          <cell r="C29" t="str">
            <v>PROFIT_ON_DISP</v>
          </cell>
          <cell r="D29" t="e">
            <v>#NAME?</v>
          </cell>
        </row>
        <row r="30">
          <cell r="B30" t="str">
            <v>Other non-ops income/(expense)</v>
          </cell>
          <cell r="C30" t="str">
            <v>OTH_COST_INC</v>
          </cell>
          <cell r="D30" t="e">
            <v>#NAME?</v>
          </cell>
        </row>
        <row r="31">
          <cell r="B31" t="str">
            <v>Pre-tax profit</v>
          </cell>
          <cell r="C31" t="str">
            <v>PT_PROF</v>
          </cell>
          <cell r="D31" t="e">
            <v>#NAME?</v>
          </cell>
        </row>
        <row r="32">
          <cell r="A32" t="str">
            <v>Additional Income Statement Items</v>
          </cell>
        </row>
        <row r="33">
          <cell r="B33" t="str">
            <v>Contribution margin ratio</v>
          </cell>
          <cell r="C33" t="str">
            <v>CONTRIB_MARGIN_RATIO</v>
          </cell>
          <cell r="D33" t="e">
            <v>#NAME?</v>
          </cell>
        </row>
        <row r="34">
          <cell r="B34" t="str">
            <v>Lease payments</v>
          </cell>
          <cell r="C34" t="str">
            <v>LEASE_PAY</v>
          </cell>
          <cell r="D34" t="e">
            <v>#NAME?</v>
          </cell>
        </row>
        <row r="35">
          <cell r="B35" t="str">
            <v>Lease payments (deemed interest portion)</v>
          </cell>
          <cell r="C35" t="str">
            <v>LEASE_DEEM_INT</v>
          </cell>
          <cell r="D35" t="e">
            <v>#NAME?</v>
          </cell>
        </row>
        <row r="36">
          <cell r="B36" t="str">
            <v>Lease payments (deemed depreciation portion)</v>
          </cell>
          <cell r="C36" t="str">
            <v>LEASE_DEEM_DEPR</v>
          </cell>
          <cell r="D36" t="e">
            <v>#NAME?</v>
          </cell>
        </row>
        <row r="37">
          <cell r="B37" t="str">
            <v>Gross interest charge</v>
          </cell>
          <cell r="C37" t="str">
            <v>NET_INT_CH</v>
          </cell>
          <cell r="D37" t="e">
            <v>#NAME?</v>
          </cell>
        </row>
        <row r="38">
          <cell r="B38" t="str">
            <v>Income from associates (operating)</v>
          </cell>
          <cell r="C38" t="str">
            <v>ASSOCIATE_OP</v>
          </cell>
          <cell r="D38" t="e">
            <v>#NAME?</v>
          </cell>
        </row>
        <row r="39">
          <cell r="A39" t="str">
            <v>Balance Sheet</v>
          </cell>
        </row>
        <row r="40">
          <cell r="B40" t="str">
            <v>Cash &amp; cash equivalents</v>
          </cell>
          <cell r="C40" t="str">
            <v>CASH_EQ</v>
          </cell>
          <cell r="D40" t="e">
            <v>#NAME?</v>
          </cell>
        </row>
        <row r="41">
          <cell r="B41" t="str">
            <v>Accounts receivable</v>
          </cell>
          <cell r="C41" t="str">
            <v>DEBTORS</v>
          </cell>
          <cell r="D41" t="e">
            <v>#NAME?</v>
          </cell>
        </row>
        <row r="42">
          <cell r="B42" t="str">
            <v>Inventory</v>
          </cell>
          <cell r="C42" t="str">
            <v>STOCKS</v>
          </cell>
          <cell r="D42" t="e">
            <v>#NAME?</v>
          </cell>
        </row>
        <row r="43">
          <cell r="B43" t="str">
            <v>Other current assets</v>
          </cell>
          <cell r="C43" t="str">
            <v>OTH_CUR_ASS</v>
          </cell>
          <cell r="D43" t="e">
            <v>#NAME?</v>
          </cell>
        </row>
        <row r="44">
          <cell r="B44" t="str">
            <v>Total current assets</v>
          </cell>
          <cell r="C44" t="str">
            <v>CUR_ASS</v>
          </cell>
          <cell r="D44" t="e">
            <v>#NAME?</v>
          </cell>
        </row>
        <row r="45">
          <cell r="B45" t="str">
            <v>Gross fixed assets, PP&amp;E</v>
          </cell>
          <cell r="C45" t="str">
            <v>GR_FIX_ASS</v>
          </cell>
          <cell r="D45" t="e">
            <v>#NAME?</v>
          </cell>
        </row>
        <row r="46">
          <cell r="B46" t="str">
            <v>Accumulated depreciation</v>
          </cell>
          <cell r="C46" t="str">
            <v>ACC_DDA</v>
          </cell>
          <cell r="D46" t="e">
            <v>#NAME?</v>
          </cell>
        </row>
        <row r="47">
          <cell r="B47" t="str">
            <v>Net PP&amp;E</v>
          </cell>
          <cell r="C47" t="str">
            <v>NET_FIX_ASS</v>
          </cell>
          <cell r="D47" t="e">
            <v>#NAME?</v>
          </cell>
        </row>
        <row r="48">
          <cell r="B48" t="str">
            <v>Gross intangibles</v>
          </cell>
          <cell r="C48" t="str">
            <v>GR_INTANG</v>
          </cell>
          <cell r="D48" t="e">
            <v>#NAME?</v>
          </cell>
        </row>
        <row r="49">
          <cell r="B49" t="str">
            <v>Accumulated amortization</v>
          </cell>
          <cell r="C49" t="str">
            <v>ACC_AMORT</v>
          </cell>
          <cell r="D49" t="e">
            <v>#NAME?</v>
          </cell>
        </row>
        <row r="50">
          <cell r="B50" t="str">
            <v>Net intangible assets</v>
          </cell>
          <cell r="C50" t="str">
            <v>NET_INTANG</v>
          </cell>
          <cell r="D50" t="e">
            <v>#NAME?</v>
          </cell>
        </row>
        <row r="51">
          <cell r="B51" t="str">
            <v>Equity method investments</v>
          </cell>
          <cell r="C51" t="str">
            <v>FIX_ASS_INV</v>
          </cell>
          <cell r="D51" t="e">
            <v>#NAME?</v>
          </cell>
        </row>
        <row r="52">
          <cell r="B52" t="str">
            <v>Investments in securities</v>
          </cell>
          <cell r="C52" t="str">
            <v>INV_SECUR</v>
          </cell>
          <cell r="D52" t="e">
            <v>#NAME?</v>
          </cell>
        </row>
        <row r="53">
          <cell r="B53" t="str">
            <v>Other long-term assets</v>
          </cell>
          <cell r="C53" t="str">
            <v>OTH_LT_ASS</v>
          </cell>
          <cell r="D53" t="e">
            <v>#NAME?</v>
          </cell>
        </row>
        <row r="54">
          <cell r="B54" t="str">
            <v>Total assets</v>
          </cell>
          <cell r="C54" t="str">
            <v>TOT_ASSET</v>
          </cell>
          <cell r="D54" t="e">
            <v>#NAME?</v>
          </cell>
        </row>
        <row r="55">
          <cell r="B55" t="str">
            <v>Accounts payable</v>
          </cell>
          <cell r="C55" t="str">
            <v>ACC_PAY_GQ</v>
          </cell>
          <cell r="D55" t="e">
            <v>#NAME?</v>
          </cell>
        </row>
        <row r="56">
          <cell r="B56" t="str">
            <v>Short-term debt</v>
          </cell>
          <cell r="C56" t="str">
            <v>SHORT_T_DEBT</v>
          </cell>
          <cell r="D56" t="e">
            <v>#NAME?</v>
          </cell>
        </row>
        <row r="57">
          <cell r="B57" t="str">
            <v>Other current liabilities</v>
          </cell>
          <cell r="C57" t="str">
            <v>OTH_CUR_LIABS</v>
          </cell>
          <cell r="D57" t="e">
            <v>#NAME?</v>
          </cell>
        </row>
        <row r="58">
          <cell r="B58" t="str">
            <v>Total current liabilities</v>
          </cell>
          <cell r="C58" t="str">
            <v>SHORT_TERM_LIABS</v>
          </cell>
          <cell r="D58" t="e">
            <v>#NAME?</v>
          </cell>
        </row>
        <row r="59">
          <cell r="B59" t="str">
            <v>Long-term  debt</v>
          </cell>
          <cell r="C59" t="str">
            <v>LT_DEBT</v>
          </cell>
          <cell r="D59" t="e">
            <v>#NAME?</v>
          </cell>
        </row>
        <row r="60">
          <cell r="B60" t="str">
            <v>Other long-term liabilities</v>
          </cell>
          <cell r="C60" t="str">
            <v>OTH_LT_CRED_GQ</v>
          </cell>
          <cell r="D60" t="e">
            <v>#NAME?</v>
          </cell>
        </row>
        <row r="61">
          <cell r="B61" t="str">
            <v>Total long-term liabilities</v>
          </cell>
          <cell r="C61" t="str">
            <v>TOT_LT_LIAB</v>
          </cell>
          <cell r="D61" t="e">
            <v>#NAME?</v>
          </cell>
        </row>
        <row r="62">
          <cell r="B62" t="str">
            <v>Total liabilities</v>
          </cell>
          <cell r="C62" t="str">
            <v>TOT_LIAB</v>
          </cell>
          <cell r="D62" t="e">
            <v>#NAME?</v>
          </cell>
        </row>
        <row r="63">
          <cell r="B63" t="str">
            <v>Preferred shares</v>
          </cell>
          <cell r="C63" t="str">
            <v>PREF_SH</v>
          </cell>
          <cell r="D63" t="e">
            <v>#NAME?</v>
          </cell>
        </row>
        <row r="64">
          <cell r="B64" t="str">
            <v>Total common equity</v>
          </cell>
          <cell r="C64" t="str">
            <v>ORD_SH_FUND</v>
          </cell>
          <cell r="D64" t="e">
            <v>#NAME?</v>
          </cell>
        </row>
        <row r="65">
          <cell r="B65" t="str">
            <v>Minority interest</v>
          </cell>
          <cell r="C65" t="str">
            <v>MINORITIES</v>
          </cell>
          <cell r="D65" t="e">
            <v>#NAME?</v>
          </cell>
        </row>
        <row r="66">
          <cell r="B66" t="str">
            <v>Total shareholders' equity</v>
          </cell>
          <cell r="C66" t="str">
            <v>EQ</v>
          </cell>
          <cell r="D66" t="e">
            <v>#NAME?</v>
          </cell>
        </row>
        <row r="67">
          <cell r="B67" t="str">
            <v>Total liabilities and equity</v>
          </cell>
          <cell r="C67" t="str">
            <v>TOT_LIAB_EQ</v>
          </cell>
          <cell r="D67" t="e">
            <v>#NAME?</v>
          </cell>
        </row>
        <row r="68">
          <cell r="A68" t="str">
            <v>Additional Balance Sheet Items</v>
          </cell>
        </row>
        <row r="69">
          <cell r="B69" t="str">
            <v>Total US$ debt (in US$)</v>
          </cell>
          <cell r="C69" t="str">
            <v>TOT_USD_DEBT</v>
          </cell>
        </row>
        <row r="70">
          <cell r="B70" t="str">
            <v>% US$ debt hedged (principal)</v>
          </cell>
          <cell r="C70" t="str">
            <v>TOT_PCT_USD_DEBT_HEDGED</v>
          </cell>
        </row>
        <row r="71">
          <cell r="B71" t="str">
            <v>% Floating debt (local currency debt)</v>
          </cell>
          <cell r="C71" t="str">
            <v>FLOATING_PCT_LOCAL_DEBT</v>
          </cell>
        </row>
        <row r="72">
          <cell r="B72" t="str">
            <v>% floating debt hedged (rates)</v>
          </cell>
          <cell r="C72" t="str">
            <v>FLOATING_PCT_LOCAL_DEBT_HEDGED</v>
          </cell>
        </row>
        <row r="73">
          <cell r="B73" t="str">
            <v>Net debt</v>
          </cell>
          <cell r="C73" t="str">
            <v>NET_DEBT</v>
          </cell>
          <cell r="D73" t="e">
            <v>#NAME?</v>
          </cell>
        </row>
        <row r="74">
          <cell r="B74" t="str">
            <v>Capitalized leases</v>
          </cell>
          <cell r="C74" t="str">
            <v>CAP_LEASES</v>
          </cell>
          <cell r="D74" t="e">
            <v>#NAME?</v>
          </cell>
        </row>
        <row r="75">
          <cell r="B75" t="str">
            <v>Deferred income taxes</v>
          </cell>
          <cell r="C75" t="str">
            <v>DEF_INC_TAX</v>
          </cell>
          <cell r="D75" t="e">
            <v>#NAME?</v>
          </cell>
        </row>
        <row r="76">
          <cell r="B76" t="str">
            <v>Associates (mkt value) used in EV calculation</v>
          </cell>
          <cell r="C76" t="str">
            <v>MV_ASSOCIATES</v>
          </cell>
          <cell r="D76" t="e">
            <v>#NAME?</v>
          </cell>
        </row>
        <row r="77">
          <cell r="B77" t="str">
            <v>Net debt adjustment</v>
          </cell>
          <cell r="C77" t="str">
            <v>NET_DEBT_ADJ</v>
          </cell>
          <cell r="D77" t="e">
            <v>#NAME?</v>
          </cell>
        </row>
        <row r="78">
          <cell r="B78" t="str">
            <v>Company borrowing margin</v>
          </cell>
          <cell r="C78" t="str">
            <v>CO_BOR_MARGIN</v>
          </cell>
        </row>
        <row r="79">
          <cell r="B79" t="str">
            <v>Unfunded pensions &amp; other provisions</v>
          </cell>
          <cell r="C79" t="str">
            <v>UNF_PENS</v>
          </cell>
          <cell r="D79" t="e">
            <v>#NAME?</v>
          </cell>
        </row>
        <row r="80">
          <cell r="B80" t="str">
            <v>Unfunded pension liabilities (off balance sheet)</v>
          </cell>
          <cell r="C80" t="str">
            <v>UNF_PENS_OFF</v>
          </cell>
          <cell r="D80" t="e">
            <v>#NAME?</v>
          </cell>
        </row>
        <row r="81">
          <cell r="B81" t="str">
            <v>Unfunded pension liabilities &amp; other, used in EV</v>
          </cell>
          <cell r="C81" t="str">
            <v>UNF_PENS_LIAB_OTH</v>
          </cell>
          <cell r="D81" t="e">
            <v>#NAME?</v>
          </cell>
        </row>
        <row r="82">
          <cell r="B82" t="str">
            <v>Adjustment for unfunded pensions &amp; goodwill</v>
          </cell>
          <cell r="C82" t="str">
            <v>ADJ_UNF_PENS_GOOD</v>
          </cell>
          <cell r="D82" t="e">
            <v>#NAME?</v>
          </cell>
        </row>
        <row r="83">
          <cell r="B83" t="str">
            <v>Other GCI adjustments</v>
          </cell>
          <cell r="C83" t="str">
            <v>OTH_GCI_ADJ</v>
          </cell>
          <cell r="D83" t="e">
            <v>#NAME?</v>
          </cell>
        </row>
        <row r="84">
          <cell r="B84" t="str">
            <v>GCI inflator</v>
          </cell>
          <cell r="C84" t="str">
            <v>GCI_INFL</v>
          </cell>
        </row>
        <row r="85">
          <cell r="B85" t="str">
            <v>Minority interest</v>
          </cell>
          <cell r="C85" t="str">
            <v>BAL_MINO_INT</v>
          </cell>
          <cell r="D85" t="e">
            <v>#NAME?</v>
          </cell>
        </row>
        <row r="86">
          <cell r="A86" t="str">
            <v>Cash Flow Statement</v>
          </cell>
        </row>
        <row r="87">
          <cell r="B87" t="str">
            <v>Minority interest add-back</v>
          </cell>
          <cell r="C87" t="str">
            <v>CF_INC_MINORITY</v>
          </cell>
          <cell r="D87" t="e">
            <v>#NAME?</v>
          </cell>
        </row>
        <row r="88">
          <cell r="B88" t="str">
            <v>Depreciation &amp; amortization add-back</v>
          </cell>
          <cell r="C88" t="str">
            <v>DEPR_AMORT</v>
          </cell>
          <cell r="D88" t="e">
            <v>#NAME?</v>
          </cell>
        </row>
        <row r="89">
          <cell r="B89" t="str">
            <v>(Increase)/decrease in working capital</v>
          </cell>
          <cell r="C89" t="str">
            <v>WORK_CAP</v>
          </cell>
          <cell r="D89" t="e">
            <v>#NAME?</v>
          </cell>
        </row>
        <row r="90">
          <cell r="B90" t="str">
            <v>Other operating cash flow items</v>
          </cell>
          <cell r="C90" t="str">
            <v>OTH_OP_CF</v>
          </cell>
          <cell r="D90" t="e">
            <v>#NAME?</v>
          </cell>
        </row>
        <row r="91">
          <cell r="B91" t="str">
            <v>Cash flow from operating activities</v>
          </cell>
          <cell r="C91" t="str">
            <v>CF_OPS</v>
          </cell>
          <cell r="D91" t="e">
            <v>#NAME?</v>
          </cell>
        </row>
        <row r="92">
          <cell r="B92" t="str">
            <v>Capital expenditures, Capex</v>
          </cell>
          <cell r="C92" t="str">
            <v>CAPEX</v>
          </cell>
          <cell r="D92" t="e">
            <v>#NAME?</v>
          </cell>
        </row>
        <row r="93">
          <cell r="B93" t="str">
            <v>Acquisitions</v>
          </cell>
          <cell r="C93" t="str">
            <v>ACQ</v>
          </cell>
          <cell r="D93" t="e">
            <v>#NAME?</v>
          </cell>
        </row>
        <row r="94">
          <cell r="B94" t="str">
            <v>Divestitures</v>
          </cell>
          <cell r="C94" t="str">
            <v>DIVEST</v>
          </cell>
          <cell r="D94" t="e">
            <v>#NAME?</v>
          </cell>
        </row>
        <row r="95">
          <cell r="B95" t="str">
            <v>Other investing cash flow items</v>
          </cell>
          <cell r="C95" t="str">
            <v>OTH_INV_CF</v>
          </cell>
          <cell r="D95" t="e">
            <v>#NAME?</v>
          </cell>
        </row>
        <row r="96">
          <cell r="B96" t="str">
            <v>Cash flow from investing</v>
          </cell>
          <cell r="C96" t="str">
            <v>CF_INV</v>
          </cell>
          <cell r="D96" t="e">
            <v>#NAME?</v>
          </cell>
        </row>
        <row r="97">
          <cell r="B97" t="str">
            <v>Dividends paid</v>
          </cell>
          <cell r="C97" t="str">
            <v>DIV_PAID</v>
          </cell>
          <cell r="D97" t="e">
            <v>#NAME?</v>
          </cell>
        </row>
        <row r="98">
          <cell r="B98" t="str">
            <v>Common stock issuance/(repurchase)</v>
          </cell>
          <cell r="C98" t="str">
            <v>SH_REPUR</v>
          </cell>
          <cell r="D98" t="e">
            <v>#NAME?</v>
          </cell>
        </row>
        <row r="99">
          <cell r="B99" t="str">
            <v>Increase/(decrease) in total debt</v>
          </cell>
          <cell r="C99" t="str">
            <v>CHG_LT_DEBT</v>
          </cell>
          <cell r="D99" t="e">
            <v>#NAME?</v>
          </cell>
        </row>
        <row r="100">
          <cell r="B100" t="str">
            <v>Other financing cash flow items</v>
          </cell>
          <cell r="C100" t="str">
            <v>OTH_FIN_CF</v>
          </cell>
          <cell r="D100" t="e">
            <v>#NAME?</v>
          </cell>
        </row>
        <row r="101">
          <cell r="B101" t="str">
            <v>Cash flow from financing</v>
          </cell>
          <cell r="C101" t="str">
            <v>CF_FIN</v>
          </cell>
          <cell r="D101" t="e">
            <v>#NAME?</v>
          </cell>
        </row>
        <row r="102">
          <cell r="B102" t="str">
            <v>Total cash flow</v>
          </cell>
          <cell r="C102" t="str">
            <v>TOT_CF</v>
          </cell>
          <cell r="D102" t="e">
            <v>#NAME?</v>
          </cell>
        </row>
        <row r="103">
          <cell r="A103" t="str">
            <v>Additional Cash Flow Items</v>
          </cell>
        </row>
        <row r="104">
          <cell r="B104" t="str">
            <v>Associate and JV add-back</v>
          </cell>
          <cell r="C104" t="str">
            <v>ASSOC_JV_ADDBK</v>
          </cell>
          <cell r="D104" t="e">
            <v>#NAME?</v>
          </cell>
        </row>
        <row r="105">
          <cell r="B105" t="str">
            <v>Profit/(loss) on sale of assets</v>
          </cell>
          <cell r="C105" t="str">
            <v>PL_SALE_ASSETS</v>
          </cell>
          <cell r="D105" t="e">
            <v>#NAME?</v>
          </cell>
        </row>
        <row r="106">
          <cell r="B106" t="str">
            <v>Other non-cash adjustments</v>
          </cell>
          <cell r="C106" t="str">
            <v>OTH_NONCASH_ADJ</v>
          </cell>
          <cell r="D106" t="e">
            <v>#NAME?</v>
          </cell>
        </row>
        <row r="107">
          <cell r="B107" t="str">
            <v>Other DACF adjustments</v>
          </cell>
          <cell r="C107" t="str">
            <v>OTH_DACF_ADJ</v>
          </cell>
          <cell r="D107" t="e">
            <v>#NAME?</v>
          </cell>
        </row>
        <row r="108">
          <cell r="B108" t="str">
            <v>Cash interest expense</v>
          </cell>
          <cell r="C108" t="str">
            <v>CASH_INT_EXP</v>
          </cell>
          <cell r="D108" t="e">
            <v>#NAME?</v>
          </cell>
        </row>
        <row r="109">
          <cell r="B109" t="str">
            <v>Cash tax expense</v>
          </cell>
          <cell r="C109" t="str">
            <v>CASH_TAX_EXP</v>
          </cell>
          <cell r="D109" t="e">
            <v>#NAME?</v>
          </cell>
        </row>
        <row r="110">
          <cell r="B110" t="str">
            <v>Dividends received from associates/JVs</v>
          </cell>
          <cell r="C110" t="str">
            <v>DIVDS_ASSOC_JV</v>
          </cell>
          <cell r="D110" t="e">
            <v>#NAME?</v>
          </cell>
        </row>
        <row r="111">
          <cell r="B111" t="str">
            <v>Capex maintenance</v>
          </cell>
          <cell r="C111" t="str">
            <v>CAPEX_MAINTENANCE</v>
          </cell>
          <cell r="D111" t="e">
            <v>#NAME?</v>
          </cell>
        </row>
        <row r="112">
          <cell r="B112" t="str">
            <v>Capex expansion</v>
          </cell>
          <cell r="C112" t="str">
            <v>CAPEX_EXPANSION</v>
          </cell>
          <cell r="D112" t="e">
            <v>#NAME?</v>
          </cell>
        </row>
        <row r="113">
          <cell r="B113" t="str">
            <v>Non-PP&amp;E capex</v>
          </cell>
          <cell r="C113" t="str">
            <v>NONPPE_CAPEX</v>
          </cell>
          <cell r="D113" t="e">
            <v>#NAME?</v>
          </cell>
        </row>
        <row r="114">
          <cell r="B114" t="str">
            <v>Dividends paid to minorities</v>
          </cell>
          <cell r="C114" t="str">
            <v>DIVDS_PD_MINORITIES</v>
          </cell>
          <cell r="D114" t="e">
            <v>#NAME?</v>
          </cell>
        </row>
        <row r="115">
          <cell r="A115" t="str">
            <v>Other Items</v>
          </cell>
        </row>
        <row r="116">
          <cell r="B116" t="str">
            <v>Number of employees</v>
          </cell>
          <cell r="C116" t="str">
            <v>EMPLOYEES</v>
          </cell>
        </row>
        <row r="117">
          <cell r="A117" t="str">
            <v>Geographical Breakdown</v>
          </cell>
        </row>
        <row r="118">
          <cell r="B118" t="str">
            <v>Sales - % Canada</v>
          </cell>
          <cell r="C118" t="str">
            <v>SALES_CANADA</v>
          </cell>
        </row>
        <row r="119">
          <cell r="B119" t="str">
            <v>Sales - % United States</v>
          </cell>
          <cell r="C119" t="str">
            <v>SALES_US</v>
          </cell>
        </row>
        <row r="120">
          <cell r="B120" t="str">
            <v>Sales - % Other North Americas</v>
          </cell>
          <cell r="C120" t="str">
            <v>SALES_OTH_NO_AMER</v>
          </cell>
        </row>
        <row r="121">
          <cell r="B121" t="str">
            <v>Sales - % Argentina</v>
          </cell>
          <cell r="C121" t="str">
            <v>SALES_ARGENTINA</v>
          </cell>
        </row>
        <row r="122">
          <cell r="B122" t="str">
            <v>Sales - % Brazil</v>
          </cell>
          <cell r="C122" t="str">
            <v>SALES_BRAZIL</v>
          </cell>
        </row>
        <row r="123">
          <cell r="B123" t="str">
            <v>Sales - % Chile</v>
          </cell>
          <cell r="C123" t="str">
            <v>SALES_CHILE</v>
          </cell>
        </row>
        <row r="124">
          <cell r="B124" t="str">
            <v>Sales - % Colombia</v>
          </cell>
          <cell r="C124" t="str">
            <v>SALES_COLOMBIA</v>
          </cell>
        </row>
        <row r="125">
          <cell r="B125" t="str">
            <v>Sales - % Mexico</v>
          </cell>
          <cell r="C125" t="str">
            <v>SALES_MEXICO</v>
          </cell>
        </row>
        <row r="126">
          <cell r="B126" t="str">
            <v>Sales - % Venezuela</v>
          </cell>
          <cell r="C126" t="str">
            <v>SALES_VENEZUELA</v>
          </cell>
        </row>
        <row r="127">
          <cell r="B127" t="str">
            <v>Sales - % Other Latin Americas</v>
          </cell>
          <cell r="C127" t="str">
            <v>SALES_OTH_LATAM</v>
          </cell>
        </row>
        <row r="128">
          <cell r="B128" t="str">
            <v>Sales - % Austria</v>
          </cell>
          <cell r="C128" t="str">
            <v>SALES_AUSTRIA</v>
          </cell>
        </row>
        <row r="129">
          <cell r="B129" t="str">
            <v>Sales - % Belgium</v>
          </cell>
          <cell r="C129" t="str">
            <v>SALES_BEL</v>
          </cell>
        </row>
        <row r="130">
          <cell r="B130" t="str">
            <v>Sales - % France</v>
          </cell>
          <cell r="C130" t="str">
            <v>SALES_FRA</v>
          </cell>
        </row>
        <row r="131">
          <cell r="B131" t="str">
            <v>Sales - % Germany</v>
          </cell>
          <cell r="C131" t="str">
            <v>SALES_GER</v>
          </cell>
        </row>
        <row r="132">
          <cell r="B132" t="str">
            <v>Sales - % Greece</v>
          </cell>
          <cell r="C132" t="str">
            <v>SALES_GRE</v>
          </cell>
        </row>
        <row r="133">
          <cell r="B133" t="str">
            <v>Sales - % Ireland</v>
          </cell>
          <cell r="C133" t="str">
            <v>SALES_IRE</v>
          </cell>
        </row>
        <row r="134">
          <cell r="B134" t="str">
            <v>Sales - % Italy</v>
          </cell>
          <cell r="C134" t="str">
            <v>SALES_ITA</v>
          </cell>
        </row>
        <row r="135">
          <cell r="B135" t="str">
            <v>Sales - % Netherlands</v>
          </cell>
          <cell r="C135" t="str">
            <v>SALES_NETH</v>
          </cell>
        </row>
        <row r="136">
          <cell r="B136" t="str">
            <v>Sales - % Norway</v>
          </cell>
          <cell r="C136" t="str">
            <v>SALES_NOR</v>
          </cell>
        </row>
        <row r="137">
          <cell r="B137" t="str">
            <v>Sales - % Portugal</v>
          </cell>
          <cell r="C137" t="str">
            <v>SALES_POR</v>
          </cell>
        </row>
        <row r="138">
          <cell r="B138" t="str">
            <v>Sales - % Spain</v>
          </cell>
          <cell r="C138" t="str">
            <v>SALES_SPA</v>
          </cell>
        </row>
        <row r="139">
          <cell r="B139" t="str">
            <v>Sales - % Sweden</v>
          </cell>
          <cell r="C139" t="str">
            <v>SALES_SWE</v>
          </cell>
        </row>
        <row r="140">
          <cell r="B140" t="str">
            <v>Sales - % Switzerland</v>
          </cell>
          <cell r="C140" t="str">
            <v>SALES_SWIT</v>
          </cell>
        </row>
        <row r="141">
          <cell r="B141" t="str">
            <v>Sales - % UK</v>
          </cell>
          <cell r="C141" t="str">
            <v>SALES_UK</v>
          </cell>
        </row>
        <row r="142">
          <cell r="B142" t="str">
            <v>Sales - % Other Western Europe</v>
          </cell>
          <cell r="C142" t="str">
            <v>SALES_OTH_WEST_EURO</v>
          </cell>
        </row>
        <row r="143">
          <cell r="B143" t="str">
            <v>Sales - % Poland</v>
          </cell>
          <cell r="C143" t="str">
            <v>SALES_POLAND</v>
          </cell>
        </row>
        <row r="144">
          <cell r="B144" t="str">
            <v>Sales - % Russia</v>
          </cell>
          <cell r="C144" t="str">
            <v>SALES_RUSSIA</v>
          </cell>
        </row>
        <row r="145">
          <cell r="B145" t="str">
            <v>Sales - % Turkey</v>
          </cell>
          <cell r="C145" t="str">
            <v>SALES_TURKEY</v>
          </cell>
        </row>
        <row r="146">
          <cell r="B146" t="str">
            <v>Sales - % Other CEE</v>
          </cell>
          <cell r="C146" t="str">
            <v>SALES_OTH_CEE</v>
          </cell>
        </row>
        <row r="147">
          <cell r="B147" t="str">
            <v>Sales - % Saudi Arabia</v>
          </cell>
          <cell r="C147" t="str">
            <v>SALES_SAUDI_ARABIA</v>
          </cell>
        </row>
        <row r="148">
          <cell r="B148" t="str">
            <v>Sales - % United Arab Emirates</v>
          </cell>
          <cell r="C148" t="str">
            <v>SALES_UAE</v>
          </cell>
        </row>
        <row r="149">
          <cell r="B149" t="str">
            <v>Sales - % Other Middle East</v>
          </cell>
          <cell r="C149" t="str">
            <v>SALES_OTH_ME</v>
          </cell>
        </row>
        <row r="150">
          <cell r="B150" t="str">
            <v>Sales - % Nigeria</v>
          </cell>
          <cell r="C150" t="str">
            <v>SALES_NIGERIA</v>
          </cell>
        </row>
        <row r="151">
          <cell r="B151" t="str">
            <v>Sales - % South Africa</v>
          </cell>
          <cell r="C151" t="str">
            <v>SALES_SO_AFRICA</v>
          </cell>
        </row>
        <row r="152">
          <cell r="B152" t="str">
            <v>Sales - % Other Africa</v>
          </cell>
          <cell r="C152" t="str">
            <v>SALES_OTH_AFRICA</v>
          </cell>
        </row>
        <row r="153">
          <cell r="B153" t="str">
            <v>Sales - % Hong Kong</v>
          </cell>
          <cell r="C153" t="str">
            <v>SALES_HONG_KONG</v>
          </cell>
        </row>
        <row r="154">
          <cell r="B154" t="str">
            <v>Sales - % Japan</v>
          </cell>
          <cell r="C154" t="str">
            <v>SALES_JAPAN</v>
          </cell>
        </row>
        <row r="155">
          <cell r="B155" t="str">
            <v>Sales - % Singapore</v>
          </cell>
          <cell r="C155" t="str">
            <v>SALES_SINGAPORE</v>
          </cell>
        </row>
        <row r="156">
          <cell r="B156" t="str">
            <v>Sales - % South Korea</v>
          </cell>
          <cell r="C156" t="str">
            <v>SALES_SK</v>
          </cell>
        </row>
        <row r="157">
          <cell r="B157" t="str">
            <v>Sales - % Taiwan</v>
          </cell>
          <cell r="C157" t="str">
            <v>SALES_TAIWAN</v>
          </cell>
        </row>
        <row r="158">
          <cell r="B158" t="str">
            <v>Sales - % Other Developed Asia</v>
          </cell>
          <cell r="C158" t="str">
            <v>SALES_OTH_DEV_ASIA</v>
          </cell>
        </row>
        <row r="159">
          <cell r="B159" t="str">
            <v>Sales - % China</v>
          </cell>
          <cell r="C159" t="str">
            <v>SALES_CHINA</v>
          </cell>
        </row>
        <row r="160">
          <cell r="B160" t="str">
            <v>Sales - % India</v>
          </cell>
          <cell r="C160" t="str">
            <v>SALES_INDIA</v>
          </cell>
        </row>
        <row r="161">
          <cell r="B161" t="str">
            <v>Sales - % Indonesia</v>
          </cell>
          <cell r="C161" t="str">
            <v>SALES_INDONESIA</v>
          </cell>
        </row>
        <row r="162">
          <cell r="B162" t="str">
            <v>Sales - % Thailand</v>
          </cell>
          <cell r="C162" t="str">
            <v>SALES_THAILAND</v>
          </cell>
        </row>
        <row r="163">
          <cell r="B163" t="str">
            <v>Sales - % Other Emerging Asia</v>
          </cell>
          <cell r="C163" t="str">
            <v>SALES_OTH_EMERG_ASIA</v>
          </cell>
        </row>
        <row r="164">
          <cell r="B164" t="str">
            <v>Sales - % Australia</v>
          </cell>
          <cell r="C164" t="str">
            <v>SALES_AUSTRA</v>
          </cell>
        </row>
        <row r="165">
          <cell r="B165" t="str">
            <v>Sales - % New Zealand</v>
          </cell>
          <cell r="C165" t="str">
            <v>SALES_NZ</v>
          </cell>
        </row>
        <row r="166">
          <cell r="B166" t="str">
            <v>Sales - % Others</v>
          </cell>
          <cell r="C166" t="str">
            <v>SALES_OTHER</v>
          </cell>
        </row>
        <row r="167">
          <cell r="B167" t="str">
            <v>% of CoGS from U.S. (GS estimate)</v>
          </cell>
          <cell r="C167" t="str">
            <v>COGS_PCT_US</v>
          </cell>
        </row>
        <row r="168">
          <cell r="B168" t="str">
            <v>% of CoGS from non-U.S. (GS estimate)</v>
          </cell>
          <cell r="C168" t="str">
            <v>COGS_PCT_ROW</v>
          </cell>
        </row>
        <row r="169">
          <cell r="B169" t="str">
            <v>% of SG&amp;A from U.S. (GS estimate)</v>
          </cell>
          <cell r="C169" t="str">
            <v>SGA_PCT_US</v>
          </cell>
        </row>
        <row r="170">
          <cell r="B170" t="str">
            <v>% of SG&amp;A from non-U.S. (GS estimate)</v>
          </cell>
          <cell r="C170" t="str">
            <v>SGA_PCT_ROW</v>
          </cell>
        </row>
        <row r="171">
          <cell r="B171" t="str">
            <v>Sales -% Consumer (C)</v>
          </cell>
          <cell r="C171" t="str">
            <v>SALES_CONS</v>
          </cell>
        </row>
        <row r="172">
          <cell r="B172" t="str">
            <v>Sales -% Industry (I)</v>
          </cell>
          <cell r="C172" t="str">
            <v>SALES_IND</v>
          </cell>
        </row>
        <row r="173">
          <cell r="B173" t="str">
            <v>Sales -% Government (G)</v>
          </cell>
          <cell r="C173" t="str">
            <v>SALES_GOV</v>
          </cell>
        </row>
        <row r="174">
          <cell r="B174" t="str">
            <v>Sales - % Industry Sub-Segment: Financial Services</v>
          </cell>
          <cell r="C174" t="str">
            <v>SALES_FINAN</v>
          </cell>
        </row>
        <row r="175">
          <cell r="B175" t="str">
            <v>Sales - % Industry Sub-Segment: Oil &amp; Gas</v>
          </cell>
          <cell r="C175" t="str">
            <v>SALES_OIL_GAS</v>
          </cell>
        </row>
        <row r="176">
          <cell r="A176" t="str">
            <v>Commodities Exposure - Expense</v>
          </cell>
        </row>
        <row r="177">
          <cell r="B177" t="str">
            <v>Expense - % Oil/Petrol/Fuel</v>
          </cell>
          <cell r="C177" t="str">
            <v>EXP_OIL_PETRO_FUEL</v>
          </cell>
        </row>
        <row r="178">
          <cell r="B178" t="str">
            <v>Expense - % Oil derivatives/NGLs/plastics</v>
          </cell>
          <cell r="C178" t="str">
            <v>EXP_OIL_DERIV_NGLS_PLASTICS</v>
          </cell>
        </row>
        <row r="179">
          <cell r="B179" t="str">
            <v>Expense - % Gold</v>
          </cell>
          <cell r="C179" t="str">
            <v>EXP_GOLD</v>
          </cell>
        </row>
        <row r="180">
          <cell r="B180" t="str">
            <v>Expense - % Copper</v>
          </cell>
          <cell r="C180" t="str">
            <v>EXP_COPPER</v>
          </cell>
        </row>
        <row r="181">
          <cell r="B181" t="str">
            <v>Expense - % Silver</v>
          </cell>
          <cell r="C181" t="str">
            <v>EXP_SILVER</v>
          </cell>
        </row>
        <row r="182">
          <cell r="B182" t="str">
            <v>Expense - % Platinum</v>
          </cell>
          <cell r="C182" t="str">
            <v>EXP_PLATINUM</v>
          </cell>
        </row>
        <row r="183">
          <cell r="B183" t="str">
            <v>Expense - % Palladium</v>
          </cell>
          <cell r="C183" t="str">
            <v>EXP_PALLADIUM</v>
          </cell>
        </row>
        <row r="184">
          <cell r="B184" t="str">
            <v>Expense - % Aluminium</v>
          </cell>
          <cell r="C184" t="str">
            <v>EXP_ALUMINIUM</v>
          </cell>
        </row>
        <row r="185">
          <cell r="B185" t="str">
            <v>Expense - % Nickel</v>
          </cell>
          <cell r="C185" t="str">
            <v>EXP_NICKEL</v>
          </cell>
        </row>
        <row r="186">
          <cell r="B186" t="str">
            <v>Expense - % Zinc</v>
          </cell>
          <cell r="C186" t="str">
            <v>EXP_ZINC</v>
          </cell>
        </row>
        <row r="187">
          <cell r="B187" t="str">
            <v>Expense - % Paper/pulp</v>
          </cell>
          <cell r="C187" t="str">
            <v>EXP_PAPER_PULP</v>
          </cell>
        </row>
        <row r="188">
          <cell r="B188" t="str">
            <v>Expense - % Glass</v>
          </cell>
          <cell r="C188" t="str">
            <v>EXP_GLASS</v>
          </cell>
        </row>
        <row r="189">
          <cell r="B189" t="str">
            <v>Expense - % Water</v>
          </cell>
          <cell r="C189" t="str">
            <v>EXP_WATER</v>
          </cell>
        </row>
        <row r="190">
          <cell r="B190" t="str">
            <v>Expense - % Other commodity</v>
          </cell>
          <cell r="C190" t="str">
            <v>EXP_OTH_COMMODITY</v>
          </cell>
        </row>
        <row r="191">
          <cell r="B191" t="str">
            <v>Expense - % Other (Non-Commodity) cost</v>
          </cell>
          <cell r="C191" t="str">
            <v>EXP_OTH_COST</v>
          </cell>
        </row>
        <row r="192">
          <cell r="A192" t="str">
            <v>FX Exposure - Sales</v>
          </cell>
        </row>
        <row r="193">
          <cell r="B193" t="str">
            <v>Sales - % FX: British Pounds/Pence</v>
          </cell>
          <cell r="C193" t="str">
            <v>SALES_FX_GPB</v>
          </cell>
        </row>
        <row r="194">
          <cell r="B194" t="str">
            <v>Sales - % FX: Euro</v>
          </cell>
          <cell r="C194" t="str">
            <v>SALES_FX_EUR</v>
          </cell>
        </row>
        <row r="195">
          <cell r="B195" t="str">
            <v>Sales - % FX: New Russian Ruble</v>
          </cell>
          <cell r="C195" t="str">
            <v>SALES_FX_RUB</v>
          </cell>
        </row>
        <row r="196">
          <cell r="B196" t="str">
            <v>Sales - % FX: U.S. Dollar</v>
          </cell>
          <cell r="C196" t="str">
            <v>SALES_FX_USD</v>
          </cell>
        </row>
        <row r="197">
          <cell r="B197" t="str">
            <v>Sales - % FX: Brazilian Real</v>
          </cell>
          <cell r="C197" t="str">
            <v>SALES_FX_BRL</v>
          </cell>
        </row>
        <row r="198">
          <cell r="B198" t="str">
            <v>Sales - % FX: Japanese Yen</v>
          </cell>
          <cell r="C198" t="str">
            <v>SALES_FX_YEN</v>
          </cell>
        </row>
        <row r="199">
          <cell r="B199" t="str">
            <v>Sales - % FX: Chinese Renminbi</v>
          </cell>
          <cell r="C199" t="str">
            <v>SALES_FX_CNY</v>
          </cell>
        </row>
        <row r="200">
          <cell r="B200" t="str">
            <v>Sales - % FX: Indian Rupee</v>
          </cell>
          <cell r="C200" t="str">
            <v>SALES_FX_INR</v>
          </cell>
        </row>
        <row r="201">
          <cell r="B201" t="str">
            <v>Sales - % FX: South Korean Won</v>
          </cell>
          <cell r="C201" t="str">
            <v>SALES_FX_KRW</v>
          </cell>
        </row>
        <row r="202">
          <cell r="B202" t="str">
            <v>Sales - % FX: Taiwan Dollar</v>
          </cell>
          <cell r="C202" t="str">
            <v>SALES_FX_TWD</v>
          </cell>
        </row>
        <row r="203">
          <cell r="B203" t="str">
            <v>Sales - % FX: Other Currency</v>
          </cell>
          <cell r="C203" t="str">
            <v>SALES_FX_OTH</v>
          </cell>
        </row>
        <row r="204">
          <cell r="A204" t="str">
            <v>Items to be removed</v>
          </cell>
        </row>
        <row r="205">
          <cell r="B205" t="str">
            <v>Sales - Total % Americas</v>
          </cell>
          <cell r="C205" t="str">
            <v>SALES_TOT_AM</v>
          </cell>
        </row>
        <row r="206">
          <cell r="B206" t="str">
            <v>Sales - % Other Americas</v>
          </cell>
          <cell r="C206" t="str">
            <v>SALES_OTH_AM</v>
          </cell>
        </row>
        <row r="207">
          <cell r="B207" t="str">
            <v>Sales - Total % EMEA</v>
          </cell>
          <cell r="C207" t="str">
            <v>SALES_TOT_EMEA</v>
          </cell>
        </row>
        <row r="208">
          <cell r="B208" t="str">
            <v>Sales - % Western Europe-Ex UK</v>
          </cell>
          <cell r="C208" t="str">
            <v>SALES_EU_EX_UK</v>
          </cell>
        </row>
        <row r="209">
          <cell r="B209" t="str">
            <v>Sales - % Central &amp; Eastern Europe</v>
          </cell>
          <cell r="C209" t="str">
            <v>SALES_CEE</v>
          </cell>
        </row>
        <row r="210">
          <cell r="B210" t="str">
            <v>Sales - % Middle East</v>
          </cell>
          <cell r="C210" t="str">
            <v>SALES_ME</v>
          </cell>
        </row>
        <row r="211">
          <cell r="B211" t="str">
            <v>Sales - % Total Africa</v>
          </cell>
          <cell r="C211" t="str">
            <v>SALES_TOT_AFRICA</v>
          </cell>
        </row>
        <row r="212">
          <cell r="B212" t="str">
            <v>Sales - % Other EMEA</v>
          </cell>
          <cell r="C212" t="str">
            <v>SALES_OTH_EMEA</v>
          </cell>
        </row>
        <row r="213">
          <cell r="B213" t="str">
            <v>Sales - Total % Asia (incl Australia &amp; New Zealand)</v>
          </cell>
          <cell r="C213" t="str">
            <v>SALES_TOT_ASIA</v>
          </cell>
        </row>
        <row r="214">
          <cell r="B214" t="str">
            <v>Sales - % Other Asia</v>
          </cell>
          <cell r="C214" t="str">
            <v>SALES_OTH_AEJ</v>
          </cell>
        </row>
        <row r="215">
          <cell r="A215" t="str">
            <v>Security: United Microelectronics Corp.</v>
          </cell>
        </row>
        <row r="216">
          <cell r="A216" t="str">
            <v>Reference Data</v>
          </cell>
        </row>
        <row r="217">
          <cell r="B217" t="str">
            <v>Ticker</v>
          </cell>
          <cell r="C217" t="str">
            <v>Ticker</v>
          </cell>
          <cell r="E217" t="str">
            <v>2303.TW</v>
          </cell>
        </row>
        <row r="218">
          <cell r="B218" t="str">
            <v>Security Name</v>
          </cell>
          <cell r="C218" t="str">
            <v>Security Name</v>
          </cell>
          <cell r="E218" t="str">
            <v>United Microelectronics Corp.</v>
          </cell>
        </row>
        <row r="219">
          <cell r="B219" t="str">
            <v>Interim Type</v>
          </cell>
          <cell r="C219" t="str">
            <v>Interim Type</v>
          </cell>
          <cell r="E219" t="str">
            <v>Q</v>
          </cell>
        </row>
        <row r="220">
          <cell r="B220" t="str">
            <v>Publishing Currency</v>
          </cell>
          <cell r="C220" t="str">
            <v>PUB_CURRENCY_ISO</v>
          </cell>
          <cell r="E220" t="str">
            <v>TWD</v>
          </cell>
        </row>
        <row r="221">
          <cell r="B221" t="str">
            <v>Pricing Currency</v>
          </cell>
          <cell r="C221" t="str">
            <v>PRICE_CURRENCY_ISO</v>
          </cell>
          <cell r="E221" t="str">
            <v>TWD</v>
          </cell>
        </row>
        <row r="222">
          <cell r="B222" t="str">
            <v>Reporting Currency</v>
          </cell>
          <cell r="C222" t="str">
            <v>CURRENCY_ISO</v>
          </cell>
          <cell r="E222" t="str">
            <v>TWD</v>
          </cell>
        </row>
        <row r="223">
          <cell r="A223" t="str">
            <v>General Information</v>
          </cell>
        </row>
        <row r="224">
          <cell r="B224" t="str">
            <v>Asia ex. Japan Investment List</v>
          </cell>
          <cell r="C224" t="str">
            <v>AEJ_LIST</v>
          </cell>
        </row>
        <row r="225">
          <cell r="B225" t="str">
            <v>Asia ex. Japan Conviction List</v>
          </cell>
          <cell r="C225" t="str">
            <v>AEJ_CONVICTION</v>
          </cell>
        </row>
        <row r="226">
          <cell r="B226" t="str">
            <v>Legal rating</v>
          </cell>
          <cell r="C226" t="str">
            <v>LEGAL_RATING</v>
          </cell>
        </row>
        <row r="227">
          <cell r="B227" t="str">
            <v>Target price</v>
          </cell>
          <cell r="C227" t="str">
            <v>TARGET_PRICE</v>
          </cell>
          <cell r="D227" t="e">
            <v>#NAME?</v>
          </cell>
        </row>
        <row r="228">
          <cell r="B228" t="str">
            <v>Target price period</v>
          </cell>
          <cell r="C228" t="str">
            <v>TP_PERIOD</v>
          </cell>
        </row>
        <row r="229">
          <cell r="B229" t="str">
            <v>Fundamental value</v>
          </cell>
          <cell r="C229" t="str">
            <v>TARGET_PRICE_FUNDAMENTAL</v>
          </cell>
          <cell r="D229" t="e">
            <v>#NAME?</v>
          </cell>
        </row>
        <row r="230">
          <cell r="B230" t="str">
            <v>M&amp;A value</v>
          </cell>
          <cell r="C230" t="str">
            <v>TARGET_PRICE_MA</v>
          </cell>
          <cell r="D230" t="e">
            <v>#NAME?</v>
          </cell>
        </row>
        <row r="231">
          <cell r="B231" t="str">
            <v>Current shares outstanding (mn)</v>
          </cell>
          <cell r="C231" t="str">
            <v>NUM_SH</v>
          </cell>
        </row>
        <row r="232">
          <cell r="B232" t="str">
            <v>Free float</v>
          </cell>
          <cell r="C232" t="str">
            <v>FREE_FLOAT</v>
          </cell>
        </row>
        <row r="233">
          <cell r="B233" t="str">
            <v>Foreign ownership</v>
          </cell>
          <cell r="C233" t="str">
            <v>FOREIGN_HOLDNG</v>
          </cell>
        </row>
        <row r="234">
          <cell r="C234" t="str">
            <v>ACT1</v>
          </cell>
        </row>
        <row r="235">
          <cell r="C235" t="str">
            <v>ACT2</v>
          </cell>
        </row>
        <row r="236">
          <cell r="C236" t="str">
            <v>ACT3</v>
          </cell>
        </row>
        <row r="237">
          <cell r="B237" t="str">
            <v>Catalyst 1 date</v>
          </cell>
          <cell r="C237" t="str">
            <v>CATALYST1_DATE</v>
          </cell>
        </row>
        <row r="238">
          <cell r="B238" t="str">
            <v>Catalyst 1 description</v>
          </cell>
          <cell r="C238" t="str">
            <v>CATALYST1_EVENT</v>
          </cell>
        </row>
        <row r="239">
          <cell r="B239" t="str">
            <v>Catalyst 2 date</v>
          </cell>
          <cell r="C239" t="str">
            <v>CATALYST2_DATE</v>
          </cell>
        </row>
        <row r="240">
          <cell r="B240" t="str">
            <v>Catalyst 2 description</v>
          </cell>
          <cell r="C240" t="str">
            <v>CATALYST2_EVENT</v>
          </cell>
        </row>
        <row r="241">
          <cell r="B241" t="str">
            <v>Catalyst 3 date</v>
          </cell>
          <cell r="C241" t="str">
            <v>CATALYST3_DATE</v>
          </cell>
        </row>
        <row r="242">
          <cell r="B242" t="str">
            <v>Catalyst 3 description</v>
          </cell>
          <cell r="C242" t="str">
            <v>CATALYST3_EVENT</v>
          </cell>
        </row>
        <row r="243">
          <cell r="B243" t="str">
            <v>Catalyst 4 date</v>
          </cell>
          <cell r="C243" t="str">
            <v>CATALYST4_DATE</v>
          </cell>
        </row>
        <row r="244">
          <cell r="B244" t="str">
            <v>Catalyst 4 description</v>
          </cell>
          <cell r="C244" t="str">
            <v>CATALYST4_EVENT</v>
          </cell>
        </row>
        <row r="245">
          <cell r="B245" t="str">
            <v>Catalyst 5 date</v>
          </cell>
          <cell r="C245" t="str">
            <v>CATALYST5_DATE</v>
          </cell>
        </row>
        <row r="246">
          <cell r="B246" t="str">
            <v>Catalyst 5 description</v>
          </cell>
          <cell r="C246" t="str">
            <v>CATALYST5_EVENT</v>
          </cell>
        </row>
        <row r="247">
          <cell r="B247" t="str">
            <v>Target price multiple</v>
          </cell>
          <cell r="C247" t="str">
            <v>PRI_TARG_MULT</v>
          </cell>
        </row>
        <row r="248">
          <cell r="B248" t="str">
            <v>Target price methodology</v>
          </cell>
          <cell r="C248" t="str">
            <v>PRI_TARG_METH</v>
          </cell>
        </row>
        <row r="249">
          <cell r="A249" t="str">
            <v>Publishing Items</v>
          </cell>
        </row>
        <row r="250">
          <cell r="B250" t="str">
            <v>Book value per share, BVPS (Pub)</v>
          </cell>
          <cell r="C250" t="str">
            <v>BVPS_PUB</v>
          </cell>
          <cell r="D250" t="e">
            <v>#NAME?</v>
          </cell>
        </row>
        <row r="251">
          <cell r="B251" t="str">
            <v>DPS, dividend per share (Pub)</v>
          </cell>
          <cell r="C251" t="str">
            <v>DPS_PUB</v>
          </cell>
          <cell r="D251" t="e">
            <v>#NAME?</v>
          </cell>
        </row>
        <row r="252">
          <cell r="B252" t="str">
            <v>Special dividend per share</v>
          </cell>
          <cell r="C252" t="str">
            <v>DPS_SPECIAL_PUB</v>
          </cell>
          <cell r="D252" t="e">
            <v>#NAME?</v>
          </cell>
        </row>
        <row r="253">
          <cell r="B253" t="str">
            <v>EBITDA (Pub)</v>
          </cell>
          <cell r="C253" t="str">
            <v>EBITDA_PUB</v>
          </cell>
          <cell r="D253" t="e">
            <v>#NAME?</v>
          </cell>
        </row>
        <row r="254">
          <cell r="B254" t="str">
            <v>EPS (Pub)</v>
          </cell>
          <cell r="C254" t="str">
            <v>EPS_PUB</v>
          </cell>
          <cell r="D254" t="e">
            <v>#NAME?</v>
          </cell>
        </row>
        <row r="255">
          <cell r="B255" t="str">
            <v>EPS (excl. ESO) (Pub)</v>
          </cell>
          <cell r="C255" t="str">
            <v>EPS_PUB_EX_ESO</v>
          </cell>
          <cell r="D255" t="e">
            <v>#NAME?</v>
          </cell>
        </row>
        <row r="256">
          <cell r="B256" t="str">
            <v>EV adjustment (Pub)</v>
          </cell>
          <cell r="C256" t="str">
            <v>EV_ADJ_PUB</v>
          </cell>
          <cell r="D256" t="e">
            <v>#NAME?</v>
          </cell>
        </row>
        <row r="257">
          <cell r="B257" t="str">
            <v>Net debt (Pub)</v>
          </cell>
          <cell r="C257" t="str">
            <v>NET_DEBT_PUB</v>
          </cell>
          <cell r="D257" t="e">
            <v>#NAME?</v>
          </cell>
        </row>
        <row r="258">
          <cell r="B258" t="str">
            <v>Net income (Pub)</v>
          </cell>
          <cell r="C258" t="str">
            <v>NI_PUB</v>
          </cell>
          <cell r="D258" t="e">
            <v>#NAME?</v>
          </cell>
        </row>
        <row r="259">
          <cell r="B259" t="str">
            <v>EBIT, operating profit (Pub)</v>
          </cell>
          <cell r="C259" t="str">
            <v>EBIT_PUB</v>
          </cell>
          <cell r="D259" t="e">
            <v>#NAME?</v>
          </cell>
        </row>
        <row r="260">
          <cell r="B260" t="str">
            <v>Pre-tax profit (Pub)</v>
          </cell>
          <cell r="C260" t="str">
            <v>PTP_PUB</v>
          </cell>
          <cell r="D260" t="e">
            <v>#NAME?</v>
          </cell>
        </row>
        <row r="261">
          <cell r="B261" t="str">
            <v>Sales, revenue (Pub)</v>
          </cell>
          <cell r="C261" t="str">
            <v>REVS_PUB</v>
          </cell>
          <cell r="D261" t="e">
            <v>#NAME?</v>
          </cell>
        </row>
        <row r="262">
          <cell r="B262" t="str">
            <v>Total shareholders' equity (Pub)</v>
          </cell>
          <cell r="C262" t="str">
            <v>EQ_PUB</v>
          </cell>
          <cell r="D262" t="e">
            <v>#NAME?</v>
          </cell>
        </row>
        <row r="263">
          <cell r="B263" t="str">
            <v>EPS (consensus)</v>
          </cell>
          <cell r="C263" t="str">
            <v>EPS_CONS_PUB</v>
          </cell>
          <cell r="D263" t="e">
            <v>#NAME?</v>
          </cell>
        </row>
        <row r="264">
          <cell r="A264" t="str">
            <v>Income Statement</v>
          </cell>
        </row>
        <row r="265">
          <cell r="B265" t="str">
            <v>Provision for income tax</v>
          </cell>
          <cell r="C265" t="str">
            <v>PROV_INC_TAX</v>
          </cell>
          <cell r="D265" t="e">
            <v>#NAME?</v>
          </cell>
        </row>
        <row r="266">
          <cell r="B266" t="str">
            <v>Minority interest</v>
          </cell>
          <cell r="C266" t="str">
            <v>INC_MINORITY</v>
          </cell>
          <cell r="D266" t="e">
            <v>#NAME?</v>
          </cell>
        </row>
        <row r="267">
          <cell r="B267" t="str">
            <v>Net income (pre-preferred dividends)</v>
          </cell>
          <cell r="C267" t="str">
            <v>NI_PRE_PREF</v>
          </cell>
          <cell r="D267" t="e">
            <v>#NAME?</v>
          </cell>
        </row>
        <row r="268">
          <cell r="B268" t="str">
            <v>Preferred dividends</v>
          </cell>
          <cell r="C268" t="str">
            <v>PREF_DIV</v>
          </cell>
          <cell r="D268" t="e">
            <v>#NAME?</v>
          </cell>
        </row>
        <row r="269">
          <cell r="B269" t="str">
            <v>Net income (pre-exceptionals)</v>
          </cell>
          <cell r="C269" t="str">
            <v>NET_EARNING</v>
          </cell>
          <cell r="D269" t="e">
            <v>#NAME?</v>
          </cell>
        </row>
        <row r="270">
          <cell r="B270" t="str">
            <v>Post-tax exceptionals</v>
          </cell>
          <cell r="C270" t="str">
            <v>TAX_EXC</v>
          </cell>
          <cell r="D270" t="e">
            <v>#NAME?</v>
          </cell>
        </row>
        <row r="271">
          <cell r="B271" t="str">
            <v>Net income (post-exceptionals)</v>
          </cell>
          <cell r="C271" t="str">
            <v>NET_INC</v>
          </cell>
          <cell r="D271" t="e">
            <v>#NAME?</v>
          </cell>
        </row>
        <row r="272">
          <cell r="B272" t="str">
            <v>EPS (pre-exceptionals, basic)</v>
          </cell>
          <cell r="C272" t="str">
            <v>EPS</v>
          </cell>
          <cell r="D272" t="e">
            <v>#NAME?</v>
          </cell>
        </row>
        <row r="273">
          <cell r="B273" t="str">
            <v>EPS (pre-exceptionals, diluted)</v>
          </cell>
          <cell r="C273" t="str">
            <v>EPS_FUL_DIL</v>
          </cell>
          <cell r="D273" t="e">
            <v>#NAME?</v>
          </cell>
        </row>
        <row r="274">
          <cell r="B274" t="str">
            <v>EPS (post-exceptionals, basic)</v>
          </cell>
          <cell r="C274" t="str">
            <v>EPS_POST_BASIC</v>
          </cell>
          <cell r="D274" t="e">
            <v>#NAME?</v>
          </cell>
        </row>
        <row r="275">
          <cell r="B275" t="str">
            <v>EPS (post-exceptionals, diluted)</v>
          </cell>
          <cell r="C275" t="str">
            <v>FULLY_DIL_EPS</v>
          </cell>
          <cell r="D275" t="e">
            <v>#NAME?</v>
          </cell>
        </row>
        <row r="276">
          <cell r="B276" t="str">
            <v>Common dividends paid</v>
          </cell>
          <cell r="C276" t="str">
            <v>COMMON_DIV_PAID</v>
          </cell>
          <cell r="D276" t="e">
            <v>#NAME?</v>
          </cell>
        </row>
        <row r="277">
          <cell r="B277" t="str">
            <v>DPS, dividend per share</v>
          </cell>
          <cell r="C277" t="str">
            <v>DPS</v>
          </cell>
          <cell r="D277" t="e">
            <v>#NAME?</v>
          </cell>
        </row>
        <row r="278">
          <cell r="B278" t="str">
            <v>Weighted average shares outstanding, basic</v>
          </cell>
          <cell r="C278" t="str">
            <v>SH</v>
          </cell>
        </row>
        <row r="279">
          <cell r="B279" t="str">
            <v>Diluted average shares outstanding (mn)</v>
          </cell>
          <cell r="C279" t="str">
            <v>DILUTE_SHARES</v>
          </cell>
        </row>
        <row r="280">
          <cell r="B280" t="str">
            <v>Period-end shares outstanding</v>
          </cell>
          <cell r="C280" t="str">
            <v>NON_OP_ADD</v>
          </cell>
        </row>
        <row r="281">
          <cell r="A281" t="str">
            <v>Additional Income Statement Items</v>
          </cell>
        </row>
        <row r="282">
          <cell r="B282" t="str">
            <v>Marginal tax rate</v>
          </cell>
          <cell r="C282" t="str">
            <v>MARGIN_TAX_RATE</v>
          </cell>
        </row>
        <row r="283">
          <cell r="B283" t="str">
            <v>Net income (consensus) (Pub)</v>
          </cell>
          <cell r="C283" t="str">
            <v>NI_CONS</v>
          </cell>
          <cell r="D283" t="e">
            <v>#NAME?</v>
          </cell>
        </row>
        <row r="284">
          <cell r="A284" t="str">
            <v>ESO</v>
          </cell>
        </row>
        <row r="285">
          <cell r="B285" t="str">
            <v>Fair value of grant</v>
          </cell>
          <cell r="C285" t="str">
            <v>FV_GRANT</v>
          </cell>
          <cell r="D285" t="e">
            <v>#NAME?</v>
          </cell>
        </row>
        <row r="286">
          <cell r="B286" t="str">
            <v>ESO expense (post-tax)</v>
          </cell>
          <cell r="C286" t="str">
            <v>ESO_POST_TAX</v>
          </cell>
          <cell r="D286" t="e">
            <v>#NAME?</v>
          </cell>
        </row>
        <row r="287">
          <cell r="B287" t="str">
            <v>EPS (excl. ESO expense, basic)</v>
          </cell>
          <cell r="C287" t="str">
            <v>EPS_EX_ESO_B</v>
          </cell>
          <cell r="D287" t="e">
            <v>#NAME?</v>
          </cell>
        </row>
        <row r="288">
          <cell r="B288" t="str">
            <v>EPS (excl. ESO expense, diluted)</v>
          </cell>
          <cell r="C288" t="str">
            <v>EPS_EX_ESO_D</v>
          </cell>
          <cell r="D288" t="e">
            <v>#NAME?</v>
          </cell>
        </row>
        <row r="289">
          <cell r="B289" t="str">
            <v>Year that ESO expense takes effect</v>
          </cell>
          <cell r="C289" t="str">
            <v>ESO_YEAR</v>
          </cell>
        </row>
        <row r="290">
          <cell r="A290" t="str">
            <v>Balance Sheet</v>
          </cell>
        </row>
        <row r="291">
          <cell r="B291" t="str">
            <v>BVPS, book value per share</v>
          </cell>
          <cell r="C291" t="str">
            <v>BVPS</v>
          </cell>
          <cell r="D291" t="e">
            <v>#NAME?</v>
          </cell>
        </row>
        <row r="292">
          <cell r="A292" t="str">
            <v>Cash Flow Statement</v>
          </cell>
        </row>
        <row r="293">
          <cell r="B293" t="str">
            <v>Net income (pre-preferred dividends)</v>
          </cell>
          <cell r="C293" t="str">
            <v>CF_NI_PRE_PREF</v>
          </cell>
          <cell r="D293" t="e">
            <v>#NAME?</v>
          </cell>
        </row>
        <row r="294">
          <cell r="A294" t="str">
            <v>Other Items</v>
          </cell>
        </row>
        <row r="295">
          <cell r="B295" t="str">
            <v>Adjusted EPS (fully loaded)</v>
          </cell>
          <cell r="C295" t="str">
            <v>ADJ_EPS_TW</v>
          </cell>
          <cell r="D295" t="e">
            <v>#NAME?</v>
          </cell>
        </row>
        <row r="296">
          <cell r="B296" t="str">
            <v>Adjusted net income (fully loaded)</v>
          </cell>
          <cell r="C296" t="str">
            <v>ADJ_NI_TW</v>
          </cell>
          <cell r="D296" t="e">
            <v>#NAME?</v>
          </cell>
        </row>
        <row r="297">
          <cell r="B297" t="str">
            <v>Beta</v>
          </cell>
          <cell r="C297" t="str">
            <v>BETA_ANALYST</v>
          </cell>
        </row>
        <row r="298">
          <cell r="B298" t="str">
            <v>Market equity risk premium</v>
          </cell>
          <cell r="C298" t="str">
            <v>MKT_EQ_RISK_PREM</v>
          </cell>
        </row>
        <row r="299">
          <cell r="B299" t="str">
            <v>Risk-free rate</v>
          </cell>
          <cell r="C299" t="str">
            <v>RISK_FR_RATE</v>
          </cell>
        </row>
        <row r="300">
          <cell r="A300" t="str">
            <v>Security: United Microelectronics Corp. (ADR)</v>
          </cell>
        </row>
        <row r="301">
          <cell r="A301" t="str">
            <v>Reference Data</v>
          </cell>
        </row>
        <row r="302">
          <cell r="B302" t="str">
            <v>Ticker</v>
          </cell>
          <cell r="C302" t="str">
            <v>Ticker</v>
          </cell>
          <cell r="E302" t="str">
            <v>UMC</v>
          </cell>
        </row>
        <row r="303">
          <cell r="B303" t="str">
            <v>Security Name</v>
          </cell>
          <cell r="C303" t="str">
            <v>Security Name</v>
          </cell>
          <cell r="E303" t="str">
            <v>United Microelectronics Corp. (ADR)</v>
          </cell>
        </row>
        <row r="304">
          <cell r="B304" t="str">
            <v>Interim Type</v>
          </cell>
          <cell r="C304" t="str">
            <v>Interim Type</v>
          </cell>
          <cell r="E304" t="str">
            <v>Q</v>
          </cell>
        </row>
        <row r="305">
          <cell r="B305" t="str">
            <v>Publishing Currency</v>
          </cell>
          <cell r="C305" t="str">
            <v>PUB_CURRENCY_ISO</v>
          </cell>
          <cell r="E305" t="str">
            <v>USD</v>
          </cell>
        </row>
        <row r="306">
          <cell r="B306" t="str">
            <v>Pricing Currency</v>
          </cell>
          <cell r="C306" t="str">
            <v>PRICE_CURRENCY_ISO</v>
          </cell>
          <cell r="E306" t="str">
            <v>USD</v>
          </cell>
        </row>
        <row r="307">
          <cell r="B307" t="str">
            <v>Reporting Currency</v>
          </cell>
          <cell r="C307" t="str">
            <v>CURRENCY_ISO</v>
          </cell>
          <cell r="E307" t="str">
            <v>TWD</v>
          </cell>
        </row>
        <row r="308">
          <cell r="A308" t="str">
            <v>General Information</v>
          </cell>
        </row>
        <row r="309">
          <cell r="B309" t="str">
            <v>Asia ex. Japan Investment List</v>
          </cell>
          <cell r="C309" t="str">
            <v>AEJ_LIST</v>
          </cell>
        </row>
        <row r="310">
          <cell r="B310" t="str">
            <v>Asia ex. Japan Conviction List</v>
          </cell>
          <cell r="C310" t="str">
            <v>AEJ_CONVICTION</v>
          </cell>
        </row>
        <row r="311">
          <cell r="B311" t="str">
            <v>Legal rating</v>
          </cell>
          <cell r="C311" t="str">
            <v>LEGAL_RATING</v>
          </cell>
        </row>
        <row r="312">
          <cell r="B312" t="str">
            <v>Target price</v>
          </cell>
          <cell r="C312" t="str">
            <v>TARGET_PRICE</v>
          </cell>
          <cell r="D312" t="e">
            <v>#NAME?</v>
          </cell>
        </row>
        <row r="313">
          <cell r="B313" t="str">
            <v>Target price period</v>
          </cell>
          <cell r="C313" t="str">
            <v>TP_PERIOD</v>
          </cell>
        </row>
        <row r="314">
          <cell r="B314" t="str">
            <v>Fundamental value</v>
          </cell>
          <cell r="C314" t="str">
            <v>TARGET_PRICE_FUNDAMENTAL</v>
          </cell>
          <cell r="D314" t="e">
            <v>#NAME?</v>
          </cell>
        </row>
        <row r="315">
          <cell r="B315" t="str">
            <v>M&amp;A value</v>
          </cell>
          <cell r="C315" t="str">
            <v>TARGET_PRICE_MA</v>
          </cell>
          <cell r="D315" t="e">
            <v>#NAME?</v>
          </cell>
        </row>
        <row r="316">
          <cell r="B316" t="str">
            <v>Current shares outstanding (mn)</v>
          </cell>
          <cell r="C316" t="str">
            <v>NUM_SH</v>
          </cell>
        </row>
        <row r="317">
          <cell r="B317" t="str">
            <v>Free float</v>
          </cell>
          <cell r="C317" t="str">
            <v>FREE_FLOAT</v>
          </cell>
        </row>
        <row r="318">
          <cell r="B318" t="str">
            <v>Foreign ownership</v>
          </cell>
          <cell r="C318" t="str">
            <v>FOREIGN_HOLDNG</v>
          </cell>
        </row>
        <row r="319">
          <cell r="C319" t="str">
            <v>ACT1</v>
          </cell>
        </row>
        <row r="320">
          <cell r="C320" t="str">
            <v>ACT2</v>
          </cell>
        </row>
        <row r="321">
          <cell r="C321" t="str">
            <v>ACT3</v>
          </cell>
        </row>
        <row r="322">
          <cell r="B322" t="str">
            <v>Catalyst 1 date</v>
          </cell>
          <cell r="C322" t="str">
            <v>CATALYST1_DATE</v>
          </cell>
        </row>
        <row r="323">
          <cell r="B323" t="str">
            <v>Catalyst 1 description</v>
          </cell>
          <cell r="C323" t="str">
            <v>CATALYST1_EVENT</v>
          </cell>
        </row>
        <row r="324">
          <cell r="B324" t="str">
            <v>Catalyst 2 date</v>
          </cell>
          <cell r="C324" t="str">
            <v>CATALYST2_DATE</v>
          </cell>
        </row>
        <row r="325">
          <cell r="B325" t="str">
            <v>Catalyst 2 description</v>
          </cell>
          <cell r="C325" t="str">
            <v>CATALYST2_EVENT</v>
          </cell>
        </row>
        <row r="326">
          <cell r="B326" t="str">
            <v>Catalyst 3 date</v>
          </cell>
          <cell r="C326" t="str">
            <v>CATALYST3_DATE</v>
          </cell>
        </row>
        <row r="327">
          <cell r="B327" t="str">
            <v>Catalyst 3 description</v>
          </cell>
          <cell r="C327" t="str">
            <v>CATALYST3_EVENT</v>
          </cell>
        </row>
        <row r="328">
          <cell r="B328" t="str">
            <v>Catalyst 4 date</v>
          </cell>
          <cell r="C328" t="str">
            <v>CATALYST4_DATE</v>
          </cell>
        </row>
        <row r="329">
          <cell r="B329" t="str">
            <v>Catalyst 4 description</v>
          </cell>
          <cell r="C329" t="str">
            <v>CATALYST4_EVENT</v>
          </cell>
        </row>
        <row r="330">
          <cell r="B330" t="str">
            <v>Catalyst 5 date</v>
          </cell>
          <cell r="C330" t="str">
            <v>CATALYST5_DATE</v>
          </cell>
        </row>
        <row r="331">
          <cell r="B331" t="str">
            <v>Catalyst 5 description</v>
          </cell>
          <cell r="C331" t="str">
            <v>CATALYST5_EVENT</v>
          </cell>
        </row>
        <row r="332">
          <cell r="B332" t="str">
            <v>Target price multiple</v>
          </cell>
          <cell r="C332" t="str">
            <v>PRI_TARG_MULT</v>
          </cell>
        </row>
        <row r="333">
          <cell r="B333" t="str">
            <v>Target price methodology</v>
          </cell>
          <cell r="C333" t="str">
            <v>PRI_TARG_METH</v>
          </cell>
        </row>
        <row r="334">
          <cell r="A334" t="str">
            <v>Publishing Items</v>
          </cell>
        </row>
        <row r="335">
          <cell r="B335" t="str">
            <v>Book value per share, BVPS (Pub)</v>
          </cell>
          <cell r="C335" t="str">
            <v>BVPS_PUB</v>
          </cell>
          <cell r="D335" t="e">
            <v>#NAME?</v>
          </cell>
        </row>
        <row r="336">
          <cell r="B336" t="str">
            <v>DPS, dividend per share (Pub)</v>
          </cell>
          <cell r="C336" t="str">
            <v>DPS_PUB</v>
          </cell>
          <cell r="D336" t="e">
            <v>#NAME?</v>
          </cell>
        </row>
        <row r="337">
          <cell r="B337" t="str">
            <v>Special dividend per share</v>
          </cell>
          <cell r="C337" t="str">
            <v>DPS_SPECIAL_PUB</v>
          </cell>
          <cell r="D337" t="e">
            <v>#NAME?</v>
          </cell>
        </row>
        <row r="338">
          <cell r="B338" t="str">
            <v>EBITDA (Pub)</v>
          </cell>
          <cell r="C338" t="str">
            <v>EBITDA_PUB</v>
          </cell>
          <cell r="D338" t="e">
            <v>#NAME?</v>
          </cell>
        </row>
        <row r="339">
          <cell r="B339" t="str">
            <v>EPS (Pub)</v>
          </cell>
          <cell r="C339" t="str">
            <v>EPS_PUB</v>
          </cell>
          <cell r="D339" t="e">
            <v>#NAME?</v>
          </cell>
        </row>
        <row r="340">
          <cell r="B340" t="str">
            <v>EPS (excl. ESO) (Pub)</v>
          </cell>
          <cell r="C340" t="str">
            <v>EPS_PUB_EX_ESO</v>
          </cell>
          <cell r="D340" t="e">
            <v>#NAME?</v>
          </cell>
        </row>
        <row r="341">
          <cell r="B341" t="str">
            <v>EV adjustment (Pub)</v>
          </cell>
          <cell r="C341" t="str">
            <v>EV_ADJ_PUB</v>
          </cell>
          <cell r="D341" t="e">
            <v>#NAME?</v>
          </cell>
        </row>
        <row r="342">
          <cell r="B342" t="str">
            <v>Net debt (Pub)</v>
          </cell>
          <cell r="C342" t="str">
            <v>NET_DEBT_PUB</v>
          </cell>
          <cell r="D342" t="e">
            <v>#NAME?</v>
          </cell>
        </row>
        <row r="343">
          <cell r="B343" t="str">
            <v>Net income (Pub)</v>
          </cell>
          <cell r="C343" t="str">
            <v>NI_PUB</v>
          </cell>
          <cell r="D343" t="e">
            <v>#NAME?</v>
          </cell>
        </row>
        <row r="344">
          <cell r="B344" t="str">
            <v>EBIT, operating profit (Pub)</v>
          </cell>
          <cell r="C344" t="str">
            <v>EBIT_PUB</v>
          </cell>
          <cell r="D344" t="e">
            <v>#NAME?</v>
          </cell>
        </row>
        <row r="345">
          <cell r="B345" t="str">
            <v>Pre-tax profit (Pub)</v>
          </cell>
          <cell r="C345" t="str">
            <v>PTP_PUB</v>
          </cell>
          <cell r="D345" t="e">
            <v>#NAME?</v>
          </cell>
        </row>
        <row r="346">
          <cell r="B346" t="str">
            <v>Sales, revenue (Pub)</v>
          </cell>
          <cell r="C346" t="str">
            <v>REVS_PUB</v>
          </cell>
          <cell r="D346" t="e">
            <v>#NAME?</v>
          </cell>
        </row>
        <row r="347">
          <cell r="B347" t="str">
            <v>Total shareholders' equity (Pub)</v>
          </cell>
          <cell r="C347" t="str">
            <v>EQ_PUB</v>
          </cell>
          <cell r="D347" t="e">
            <v>#NAME?</v>
          </cell>
        </row>
        <row r="348">
          <cell r="B348" t="str">
            <v>EPS (consensus)</v>
          </cell>
          <cell r="C348" t="str">
            <v>EPS_CONS_PUB</v>
          </cell>
          <cell r="D348" t="e">
            <v>#NAME?</v>
          </cell>
        </row>
        <row r="349">
          <cell r="A349" t="str">
            <v>Income Statement</v>
          </cell>
        </row>
        <row r="350">
          <cell r="B350" t="str">
            <v>Provision for income tax</v>
          </cell>
          <cell r="C350" t="str">
            <v>PROV_INC_TAX</v>
          </cell>
          <cell r="D350" t="e">
            <v>#NAME?</v>
          </cell>
        </row>
        <row r="351">
          <cell r="B351" t="str">
            <v>Minority interest</v>
          </cell>
          <cell r="C351" t="str">
            <v>INC_MINORITY</v>
          </cell>
          <cell r="D351" t="e">
            <v>#NAME?</v>
          </cell>
        </row>
        <row r="352">
          <cell r="B352" t="str">
            <v>Net income (pre-preferred dividends)</v>
          </cell>
          <cell r="C352" t="str">
            <v>NI_PRE_PREF</v>
          </cell>
          <cell r="D352" t="e">
            <v>#NAME?</v>
          </cell>
        </row>
        <row r="353">
          <cell r="B353" t="str">
            <v>Preferred dividends</v>
          </cell>
          <cell r="C353" t="str">
            <v>PREF_DIV</v>
          </cell>
          <cell r="D353" t="e">
            <v>#NAME?</v>
          </cell>
        </row>
        <row r="354">
          <cell r="B354" t="str">
            <v>Net income (pre-exceptionals)</v>
          </cell>
          <cell r="C354" t="str">
            <v>NET_EARNING</v>
          </cell>
          <cell r="D354" t="e">
            <v>#NAME?</v>
          </cell>
        </row>
        <row r="355">
          <cell r="B355" t="str">
            <v>Post-tax exceptionals</v>
          </cell>
          <cell r="C355" t="str">
            <v>TAX_EXC</v>
          </cell>
          <cell r="D355" t="e">
            <v>#NAME?</v>
          </cell>
        </row>
        <row r="356">
          <cell r="B356" t="str">
            <v>Net income (post-exceptionals)</v>
          </cell>
          <cell r="C356" t="str">
            <v>NET_INC</v>
          </cell>
          <cell r="D356" t="e">
            <v>#NAME?</v>
          </cell>
        </row>
        <row r="357">
          <cell r="B357" t="str">
            <v>EPS (pre-exceptionals, basic)</v>
          </cell>
          <cell r="C357" t="str">
            <v>EPS</v>
          </cell>
          <cell r="D357" t="e">
            <v>#NAME?</v>
          </cell>
        </row>
        <row r="358">
          <cell r="B358" t="str">
            <v>EPS (pre-exceptionals, diluted)</v>
          </cell>
          <cell r="C358" t="str">
            <v>EPS_FUL_DIL</v>
          </cell>
          <cell r="D358" t="e">
            <v>#NAME?</v>
          </cell>
        </row>
        <row r="359">
          <cell r="B359" t="str">
            <v>EPS (post-exceptionals, basic)</v>
          </cell>
          <cell r="C359" t="str">
            <v>EPS_POST_BASIC</v>
          </cell>
          <cell r="D359" t="e">
            <v>#NAME?</v>
          </cell>
        </row>
        <row r="360">
          <cell r="B360" t="str">
            <v>EPS (post-exceptionals, diluted)</v>
          </cell>
          <cell r="C360" t="str">
            <v>FULLY_DIL_EPS</v>
          </cell>
          <cell r="D360" t="e">
            <v>#NAME?</v>
          </cell>
        </row>
        <row r="361">
          <cell r="B361" t="str">
            <v>Common dividends paid</v>
          </cell>
          <cell r="C361" t="str">
            <v>COMMON_DIV_PAID</v>
          </cell>
          <cell r="D361" t="e">
            <v>#NAME?</v>
          </cell>
        </row>
        <row r="362">
          <cell r="B362" t="str">
            <v>DPS, dividend per share</v>
          </cell>
          <cell r="C362" t="str">
            <v>DPS</v>
          </cell>
          <cell r="D362" t="e">
            <v>#NAME?</v>
          </cell>
        </row>
        <row r="363">
          <cell r="B363" t="str">
            <v>Weighted average shares outstanding, basic</v>
          </cell>
          <cell r="C363" t="str">
            <v>SH</v>
          </cell>
        </row>
        <row r="364">
          <cell r="B364" t="str">
            <v>Diluted average shares outstanding (mn)</v>
          </cell>
          <cell r="C364" t="str">
            <v>DILUTE_SHARES</v>
          </cell>
        </row>
        <row r="365">
          <cell r="B365" t="str">
            <v>Period-end shares outstanding</v>
          </cell>
          <cell r="C365" t="str">
            <v>NON_OP_ADD</v>
          </cell>
        </row>
        <row r="366">
          <cell r="A366" t="str">
            <v>Additional Income Statement Items</v>
          </cell>
        </row>
        <row r="367">
          <cell r="B367" t="str">
            <v>Marginal tax rate</v>
          </cell>
          <cell r="C367" t="str">
            <v>MARGIN_TAX_RATE</v>
          </cell>
        </row>
        <row r="368">
          <cell r="B368" t="str">
            <v>Net income (consensus) (Pub)</v>
          </cell>
          <cell r="C368" t="str">
            <v>NI_CONS</v>
          </cell>
          <cell r="D368" t="e">
            <v>#NAME?</v>
          </cell>
        </row>
        <row r="369">
          <cell r="A369" t="str">
            <v>ESO</v>
          </cell>
        </row>
        <row r="370">
          <cell r="B370" t="str">
            <v>Fair value of grant</v>
          </cell>
          <cell r="C370" t="str">
            <v>FV_GRANT</v>
          </cell>
          <cell r="D370" t="e">
            <v>#NAME?</v>
          </cell>
        </row>
        <row r="371">
          <cell r="B371" t="str">
            <v>ESO expense (post-tax)</v>
          </cell>
          <cell r="C371" t="str">
            <v>ESO_POST_TAX</v>
          </cell>
          <cell r="D371" t="e">
            <v>#NAME?</v>
          </cell>
        </row>
        <row r="372">
          <cell r="B372" t="str">
            <v>EPS (excl. ESO expense, basic)</v>
          </cell>
          <cell r="C372" t="str">
            <v>EPS_EX_ESO_B</v>
          </cell>
          <cell r="D372" t="e">
            <v>#NAME?</v>
          </cell>
        </row>
        <row r="373">
          <cell r="B373" t="str">
            <v>EPS (excl. ESO expense, diluted)</v>
          </cell>
          <cell r="C373" t="str">
            <v>EPS_EX_ESO_D</v>
          </cell>
          <cell r="D373" t="e">
            <v>#NAME?</v>
          </cell>
        </row>
        <row r="374">
          <cell r="B374" t="str">
            <v>Year that ESO expense takes effect</v>
          </cell>
          <cell r="C374" t="str">
            <v>ESO_YEAR</v>
          </cell>
        </row>
        <row r="375">
          <cell r="A375" t="str">
            <v>Balance Sheet</v>
          </cell>
        </row>
        <row r="376">
          <cell r="B376" t="str">
            <v>BVPS, book value per share</v>
          </cell>
          <cell r="C376" t="str">
            <v>BVPS</v>
          </cell>
          <cell r="D376" t="e">
            <v>#NAME?</v>
          </cell>
        </row>
        <row r="377">
          <cell r="A377" t="str">
            <v>Cash Flow Statement</v>
          </cell>
        </row>
        <row r="378">
          <cell r="B378" t="str">
            <v>Net income (pre-preferred dividends)</v>
          </cell>
          <cell r="C378" t="str">
            <v>CF_NI_PRE_PREF</v>
          </cell>
          <cell r="D378" t="e">
            <v>#NAME?</v>
          </cell>
        </row>
        <row r="379">
          <cell r="A379" t="str">
            <v>Other Items</v>
          </cell>
        </row>
        <row r="380">
          <cell r="B380" t="str">
            <v>Adjusted EPS (fully loaded)</v>
          </cell>
          <cell r="C380" t="str">
            <v>ADJ_EPS_TW</v>
          </cell>
          <cell r="D380" t="e">
            <v>#NAME?</v>
          </cell>
        </row>
        <row r="381">
          <cell r="B381" t="str">
            <v>Adjusted net income (fully loaded)</v>
          </cell>
          <cell r="C381" t="str">
            <v>ADJ_NI_TW</v>
          </cell>
          <cell r="D381" t="e">
            <v>#NAME?</v>
          </cell>
        </row>
        <row r="382">
          <cell r="B382" t="str">
            <v>Beta</v>
          </cell>
          <cell r="C382" t="str">
            <v>BETA_ANALYST</v>
          </cell>
        </row>
        <row r="383">
          <cell r="B383" t="str">
            <v>Market equity risk premium</v>
          </cell>
          <cell r="C383" t="str">
            <v>MKT_EQ_RISK_PREM</v>
          </cell>
        </row>
        <row r="384">
          <cell r="B384" t="str">
            <v>Risk-free rate</v>
          </cell>
          <cell r="C384" t="str">
            <v>RISK_FR_RATE</v>
          </cell>
        </row>
      </sheetData>
      <sheetData sheetId="13">
        <row r="1">
          <cell r="A1" t="str">
            <v>Issuer: United Microelectronics Corp.</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t="str">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cell r="CA1" t="str">
            <v>2021 Q1</v>
          </cell>
          <cell r="CB1" t="str">
            <v>2021 Q2</v>
          </cell>
          <cell r="CC1" t="str">
            <v>2021 Q3</v>
          </cell>
          <cell r="CD1" t="str">
            <v>2021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Actual</v>
          </cell>
          <cell r="AB2" t="str">
            <v>Preliminary</v>
          </cell>
          <cell r="AC2" t="str">
            <v>Preliminary</v>
          </cell>
          <cell r="AD2" t="str">
            <v>Estimate</v>
          </cell>
          <cell r="AE2" t="str">
            <v>Estimate</v>
          </cell>
          <cell r="AF2" t="str">
            <v>Estimate</v>
          </cell>
          <cell r="AG2" t="str">
            <v>Estimate</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Preliminary</v>
          </cell>
          <cell r="BK2" t="str">
            <v>Preliminary</v>
          </cell>
          <cell r="BL2" t="str">
            <v>Preliminary</v>
          </cell>
          <cell r="BM2" t="str">
            <v>Preliminary</v>
          </cell>
          <cell r="BN2" t="str">
            <v>Preliminary</v>
          </cell>
          <cell r="BO2" t="str">
            <v>Preliminary</v>
          </cell>
          <cell r="BP2" t="str">
            <v>Preliminary</v>
          </cell>
          <cell r="BQ2" t="str">
            <v>Estimate</v>
          </cell>
          <cell r="BR2" t="str">
            <v>Estimate</v>
          </cell>
          <cell r="BS2" t="str">
            <v>Estimate</v>
          </cell>
          <cell r="BT2" t="str">
            <v>Estimate</v>
          </cell>
          <cell r="BU2" t="str">
            <v>Estimate</v>
          </cell>
          <cell r="BV2" t="str">
            <v>Estimate</v>
          </cell>
          <cell r="BW2" t="str">
            <v>Estimate</v>
          </cell>
          <cell r="BX2" t="str">
            <v>Estimate</v>
          </cell>
          <cell r="BY2" t="str">
            <v>Estimate</v>
          </cell>
          <cell r="BZ2" t="str">
            <v>Estimate</v>
          </cell>
          <cell r="CA2" t="str">
            <v>Estimate</v>
          </cell>
          <cell r="CB2" t="str">
            <v>Estimate</v>
          </cell>
          <cell r="CC2" t="str">
            <v>Estimate</v>
          </cell>
          <cell r="CD2" t="str">
            <v>Estimate</v>
          </cell>
        </row>
        <row r="3">
          <cell r="F3">
            <v>34699</v>
          </cell>
          <cell r="G3">
            <v>35064</v>
          </cell>
          <cell r="H3">
            <v>35430</v>
          </cell>
          <cell r="I3">
            <v>35795</v>
          </cell>
          <cell r="J3">
            <v>36160</v>
          </cell>
          <cell r="K3">
            <v>36525</v>
          </cell>
          <cell r="L3">
            <v>36891</v>
          </cell>
          <cell r="M3">
            <v>37256</v>
          </cell>
          <cell r="N3">
            <v>37621</v>
          </cell>
          <cell r="O3">
            <v>37986</v>
          </cell>
          <cell r="P3">
            <v>38352</v>
          </cell>
          <cell r="Q3">
            <v>38717</v>
          </cell>
          <cell r="R3">
            <v>39082</v>
          </cell>
          <cell r="S3">
            <v>39447</v>
          </cell>
          <cell r="T3">
            <v>39813</v>
          </cell>
          <cell r="U3">
            <v>40178</v>
          </cell>
          <cell r="V3">
            <v>40543</v>
          </cell>
          <cell r="W3">
            <v>40908</v>
          </cell>
          <cell r="X3">
            <v>41274</v>
          </cell>
          <cell r="Y3">
            <v>41639</v>
          </cell>
          <cell r="Z3">
            <v>42004</v>
          </cell>
          <cell r="AA3">
            <v>42369</v>
          </cell>
          <cell r="AB3">
            <v>42735</v>
          </cell>
          <cell r="AC3">
            <v>43100</v>
          </cell>
          <cell r="AD3">
            <v>43465</v>
          </cell>
          <cell r="AE3">
            <v>43830</v>
          </cell>
          <cell r="AF3">
            <v>44196</v>
          </cell>
          <cell r="AG3">
            <v>44561</v>
          </cell>
          <cell r="AI3">
            <v>40268</v>
          </cell>
          <cell r="AJ3">
            <v>40359</v>
          </cell>
          <cell r="AK3">
            <v>40451</v>
          </cell>
          <cell r="AL3">
            <v>40543</v>
          </cell>
          <cell r="AM3">
            <v>40633</v>
          </cell>
          <cell r="AN3">
            <v>40724</v>
          </cell>
          <cell r="AO3">
            <v>40816</v>
          </cell>
          <cell r="AP3">
            <v>40908</v>
          </cell>
          <cell r="AQ3">
            <v>40999</v>
          </cell>
          <cell r="AR3">
            <v>41090</v>
          </cell>
          <cell r="AS3">
            <v>41182</v>
          </cell>
          <cell r="AT3">
            <v>41274</v>
          </cell>
          <cell r="AU3">
            <v>41364</v>
          </cell>
          <cell r="AV3">
            <v>41455</v>
          </cell>
          <cell r="AW3">
            <v>41547</v>
          </cell>
          <cell r="AX3">
            <v>41639</v>
          </cell>
          <cell r="AY3">
            <v>41729</v>
          </cell>
          <cell r="AZ3">
            <v>41820</v>
          </cell>
          <cell r="BA3">
            <v>41912</v>
          </cell>
          <cell r="BB3">
            <v>42004</v>
          </cell>
          <cell r="BC3">
            <v>42094</v>
          </cell>
          <cell r="BD3">
            <v>42185</v>
          </cell>
          <cell r="BE3">
            <v>42277</v>
          </cell>
          <cell r="BF3">
            <v>42369</v>
          </cell>
          <cell r="BG3">
            <v>42460</v>
          </cell>
          <cell r="BH3">
            <v>42551</v>
          </cell>
          <cell r="BI3">
            <v>42643</v>
          </cell>
          <cell r="BJ3">
            <v>42735</v>
          </cell>
          <cell r="BK3">
            <v>42825</v>
          </cell>
          <cell r="BL3">
            <v>42916</v>
          </cell>
          <cell r="BM3">
            <v>43008</v>
          </cell>
          <cell r="BN3">
            <v>43100</v>
          </cell>
          <cell r="BO3">
            <v>43190</v>
          </cell>
          <cell r="BP3">
            <v>43281</v>
          </cell>
          <cell r="BQ3">
            <v>43373</v>
          </cell>
          <cell r="BR3">
            <v>43465</v>
          </cell>
          <cell r="BS3">
            <v>43555</v>
          </cell>
          <cell r="BT3">
            <v>43646</v>
          </cell>
          <cell r="BU3">
            <v>43738</v>
          </cell>
          <cell r="BV3">
            <v>43830</v>
          </cell>
          <cell r="BW3">
            <v>43921</v>
          </cell>
          <cell r="BX3">
            <v>44012</v>
          </cell>
          <cell r="BY3">
            <v>44104</v>
          </cell>
          <cell r="BZ3">
            <v>44196</v>
          </cell>
          <cell r="CA3">
            <v>44286</v>
          </cell>
          <cell r="CB3">
            <v>44377</v>
          </cell>
          <cell r="CC3">
            <v>44469</v>
          </cell>
          <cell r="CD3">
            <v>44561</v>
          </cell>
        </row>
        <row r="4">
          <cell r="A4" t="str">
            <v>Issuer: United Microelectronics Corp.</v>
          </cell>
        </row>
        <row r="5">
          <cell r="A5" t="str">
            <v>Reference Data</v>
          </cell>
        </row>
        <row r="6">
          <cell r="B6" t="str">
            <v>Issuer Name</v>
          </cell>
          <cell r="C6" t="str">
            <v>Issuer Name</v>
          </cell>
          <cell r="E6" t="str">
            <v>United Microelectronics Corp.</v>
          </cell>
        </row>
        <row r="7">
          <cell r="B7" t="str">
            <v>Reporting Currency</v>
          </cell>
          <cell r="C7" t="str">
            <v>CURRENCY_ISO</v>
          </cell>
          <cell r="E7" t="str">
            <v>TWD</v>
          </cell>
        </row>
        <row r="8">
          <cell r="A8" t="str">
            <v>General Information</v>
          </cell>
        </row>
        <row r="9">
          <cell r="B9" t="str">
            <v>M&amp;A probability (1 = high, 3 = low)</v>
          </cell>
          <cell r="C9" t="str">
            <v>MA_PROB</v>
          </cell>
          <cell r="E9">
            <v>3</v>
          </cell>
        </row>
        <row r="10">
          <cell r="A10" t="str">
            <v>Income Statement</v>
          </cell>
        </row>
        <row r="11">
          <cell r="B11" t="str">
            <v>Sales, net revenue</v>
          </cell>
          <cell r="C11" t="str">
            <v>SALES</v>
          </cell>
          <cell r="D11" t="str">
            <v>TWD</v>
          </cell>
          <cell r="F11">
            <v>15243.157999999999</v>
          </cell>
          <cell r="G11">
            <v>24246.913</v>
          </cell>
          <cell r="H11">
            <v>22605.651999999998</v>
          </cell>
          <cell r="I11">
            <v>25088.994999999999</v>
          </cell>
          <cell r="J11">
            <v>18431.601999999999</v>
          </cell>
          <cell r="K11">
            <v>29147.056</v>
          </cell>
          <cell r="L11">
            <v>105084.72</v>
          </cell>
          <cell r="M11">
            <v>64493.406999999999</v>
          </cell>
          <cell r="N11">
            <v>67425.744999999995</v>
          </cell>
          <cell r="O11">
            <v>84862.07</v>
          </cell>
          <cell r="P11">
            <v>117311.84</v>
          </cell>
          <cell r="Q11">
            <v>90775.438999999998</v>
          </cell>
          <cell r="R11">
            <v>104098.611</v>
          </cell>
          <cell r="S11">
            <v>106771.05100000001</v>
          </cell>
          <cell r="T11">
            <v>96813.546000000002</v>
          </cell>
          <cell r="U11">
            <v>91389.764999999999</v>
          </cell>
          <cell r="V11">
            <v>126441.54399999999</v>
          </cell>
          <cell r="W11">
            <v>116702.723</v>
          </cell>
          <cell r="X11">
            <v>115674.76300000001</v>
          </cell>
          <cell r="Y11">
            <v>123811.636</v>
          </cell>
          <cell r="Z11">
            <v>140012.076</v>
          </cell>
          <cell r="AA11">
            <v>144830.421</v>
          </cell>
          <cell r="AB11">
            <v>147870.12400000001</v>
          </cell>
          <cell r="AC11">
            <v>149284.70600000001</v>
          </cell>
          <cell r="AD11">
            <v>159350.5632649085</v>
          </cell>
          <cell r="AE11">
            <v>191439.91816410152</v>
          </cell>
          <cell r="AF11">
            <v>200294.29950730599</v>
          </cell>
          <cell r="AG11">
            <v>192197.62876616887</v>
          </cell>
          <cell r="AI11">
            <v>27337.792000000001</v>
          </cell>
          <cell r="AJ11">
            <v>30618.287</v>
          </cell>
          <cell r="AK11">
            <v>34049.714999999997</v>
          </cell>
          <cell r="AL11">
            <v>34435.75</v>
          </cell>
          <cell r="AM11">
            <v>31165.675999999999</v>
          </cell>
          <cell r="AN11">
            <v>31679.064999999999</v>
          </cell>
          <cell r="AO11">
            <v>27799.999</v>
          </cell>
          <cell r="AP11">
            <v>26057.983</v>
          </cell>
          <cell r="AQ11">
            <v>26269.434000000001</v>
          </cell>
          <cell r="AR11">
            <v>30377.33</v>
          </cell>
          <cell r="AS11">
            <v>30173.646000000001</v>
          </cell>
          <cell r="AT11">
            <v>28854.352999999999</v>
          </cell>
          <cell r="AU11">
            <v>27781.416000000001</v>
          </cell>
          <cell r="AV11">
            <v>31904.704000000002</v>
          </cell>
          <cell r="AW11">
            <v>33406.771999999997</v>
          </cell>
          <cell r="AX11">
            <v>30718.743999999999</v>
          </cell>
          <cell r="AY11">
            <v>31693.584999999999</v>
          </cell>
          <cell r="AZ11">
            <v>35869.351000000002</v>
          </cell>
          <cell r="BA11">
            <v>35213.85</v>
          </cell>
          <cell r="BB11">
            <v>37235.29</v>
          </cell>
          <cell r="BC11">
            <v>37649.644</v>
          </cell>
          <cell r="BD11">
            <v>38011.553999999996</v>
          </cell>
          <cell r="BE11">
            <v>35319.841</v>
          </cell>
          <cell r="BF11">
            <v>33849.381999999998</v>
          </cell>
          <cell r="BG11">
            <v>34404.078999999998</v>
          </cell>
          <cell r="BH11">
            <v>36996.517</v>
          </cell>
          <cell r="BI11">
            <v>38163.589</v>
          </cell>
          <cell r="BJ11">
            <v>38305.938999999998</v>
          </cell>
          <cell r="BK11">
            <v>37417.949999999997</v>
          </cell>
          <cell r="BL11">
            <v>37537.881000000001</v>
          </cell>
          <cell r="BM11">
            <v>37698.201000000001</v>
          </cell>
          <cell r="BN11">
            <v>36630.673999999999</v>
          </cell>
          <cell r="BO11">
            <v>37497.137000000002</v>
          </cell>
          <cell r="BP11">
            <v>38851.576999999997</v>
          </cell>
          <cell r="BQ11">
            <v>39386.656000000003</v>
          </cell>
          <cell r="BR11">
            <v>43615.193264908492</v>
          </cell>
          <cell r="BS11">
            <v>47034.57381731474</v>
          </cell>
          <cell r="BT11">
            <v>48584.949750955318</v>
          </cell>
          <cell r="BU11">
            <v>47539.539760940868</v>
          </cell>
          <cell r="BV11">
            <v>48280.854834890612</v>
          </cell>
          <cell r="BW11">
            <v>48228.404408151589</v>
          </cell>
          <cell r="BX11">
            <v>51446.946433540121</v>
          </cell>
          <cell r="BY11">
            <v>50726.426587174406</v>
          </cell>
          <cell r="BZ11">
            <v>49892.522078439863</v>
          </cell>
          <cell r="CA11">
            <v>49144.134247263275</v>
          </cell>
          <cell r="CB11">
            <v>48406.972233554319</v>
          </cell>
          <cell r="CC11">
            <v>47680.867650051012</v>
          </cell>
          <cell r="CD11">
            <v>46965.654635300241</v>
          </cell>
        </row>
        <row r="12">
          <cell r="B12" t="str">
            <v>Compensation &amp; benfits expense</v>
          </cell>
          <cell r="C12" t="str">
            <v>PERSONNEL</v>
          </cell>
          <cell r="D12" t="str">
            <v>TWD</v>
          </cell>
        </row>
        <row r="13">
          <cell r="B13" t="str">
            <v>Cost of goods sold, COGS</v>
          </cell>
          <cell r="C13" t="str">
            <v>COST_GD_SD</v>
          </cell>
          <cell r="D13" t="str">
            <v>TWD</v>
          </cell>
          <cell r="F13">
            <v>-6513.98</v>
          </cell>
          <cell r="G13">
            <v>-8501.9150000000009</v>
          </cell>
          <cell r="H13">
            <v>-12971.16</v>
          </cell>
          <cell r="I13">
            <v>-17532.654999999999</v>
          </cell>
          <cell r="J13">
            <v>-14078.701999999999</v>
          </cell>
          <cell r="K13">
            <v>-19315.067999999999</v>
          </cell>
          <cell r="L13">
            <v>-51483.199000000001</v>
          </cell>
          <cell r="M13">
            <v>-55362.411999999997</v>
          </cell>
          <cell r="N13">
            <v>-56230.595000000001</v>
          </cell>
          <cell r="O13">
            <v>-65419.800999999999</v>
          </cell>
          <cell r="P13">
            <v>-81490.895999999993</v>
          </cell>
          <cell r="Q13">
            <v>-79579.888999999996</v>
          </cell>
          <cell r="R13">
            <v>-83405.138999999996</v>
          </cell>
          <cell r="S13">
            <v>-84265.184999999998</v>
          </cell>
          <cell r="T13">
            <v>-84101.684999999998</v>
          </cell>
          <cell r="U13">
            <v>-75974.607000000004</v>
          </cell>
          <cell r="V13">
            <v>-89568</v>
          </cell>
          <cell r="W13">
            <v>-95416.741999999998</v>
          </cell>
          <cell r="X13">
            <v>-96365.491000000009</v>
          </cell>
          <cell r="Y13">
            <v>-100248.66100000001</v>
          </cell>
          <cell r="Z13">
            <v>-108159.68699999999</v>
          </cell>
          <cell r="AA13">
            <v>-113061.894</v>
          </cell>
          <cell r="AB13">
            <v>-117490.69399999999</v>
          </cell>
          <cell r="AC13">
            <v>-122226.948</v>
          </cell>
          <cell r="AD13">
            <v>-133310.77766571403</v>
          </cell>
          <cell r="AE13">
            <v>-155398.63938528459</v>
          </cell>
          <cell r="AF13">
            <v>-140536.85518108256</v>
          </cell>
          <cell r="AG13">
            <v>-155105.76113290212</v>
          </cell>
          <cell r="AI13">
            <v>-20768.298999999999</v>
          </cell>
          <cell r="AJ13">
            <v>-21643.3</v>
          </cell>
          <cell r="AK13">
            <v>-23061.182000000001</v>
          </cell>
          <cell r="AL13">
            <v>-24095.219000000001</v>
          </cell>
          <cell r="AM13">
            <v>-23491.512999999999</v>
          </cell>
          <cell r="AN13">
            <v>-25276.487000000001</v>
          </cell>
          <cell r="AO13">
            <v>-23427.273000000001</v>
          </cell>
          <cell r="AP13">
            <v>-23221.469000000001</v>
          </cell>
          <cell r="AQ13">
            <v>-22247.34</v>
          </cell>
          <cell r="AR13">
            <v>-24038.731</v>
          </cell>
          <cell r="AS13">
            <v>-24449.743999999999</v>
          </cell>
          <cell r="AT13">
            <v>-25629.675999999999</v>
          </cell>
          <cell r="AU13">
            <v>-23289.909</v>
          </cell>
          <cell r="AV13">
            <v>-25727.394</v>
          </cell>
          <cell r="AW13">
            <v>-26069.871999999999</v>
          </cell>
          <cell r="AX13">
            <v>-25161.486000000001</v>
          </cell>
          <cell r="AY13">
            <v>-25792.206999999999</v>
          </cell>
          <cell r="AZ13">
            <v>-27662.541000000001</v>
          </cell>
          <cell r="BA13">
            <v>-27655.333999999999</v>
          </cell>
          <cell r="BB13">
            <v>-27049.605</v>
          </cell>
          <cell r="BC13">
            <v>-28494.535</v>
          </cell>
          <cell r="BD13">
            <v>-29288.072</v>
          </cell>
          <cell r="BE13">
            <v>-28409.238000000001</v>
          </cell>
          <cell r="BF13">
            <v>-26870.048999999999</v>
          </cell>
          <cell r="BG13">
            <v>-29370.085999999999</v>
          </cell>
          <cell r="BH13">
            <v>-28711.575000000001</v>
          </cell>
          <cell r="BI13">
            <v>-29862.151999999998</v>
          </cell>
          <cell r="BJ13">
            <v>-29546.881000000001</v>
          </cell>
          <cell r="BK13">
            <v>-29989.5</v>
          </cell>
          <cell r="BL13">
            <v>-30798.491000000002</v>
          </cell>
          <cell r="BM13">
            <v>-31105.942999999999</v>
          </cell>
          <cell r="BN13">
            <v>-30333.013999999999</v>
          </cell>
          <cell r="BO13">
            <v>-32855.137999999999</v>
          </cell>
          <cell r="BP13">
            <v>-32176.401999999998</v>
          </cell>
          <cell r="BQ13">
            <v>-32465.028999999999</v>
          </cell>
          <cell r="BR13">
            <v>-35814.208665714061</v>
          </cell>
          <cell r="BS13">
            <v>-38061.355101484703</v>
          </cell>
          <cell r="BT13">
            <v>-39497.955390992778</v>
          </cell>
          <cell r="BU13">
            <v>-40086.001181872562</v>
          </cell>
          <cell r="BV13">
            <v>-37753.327710934551</v>
          </cell>
          <cell r="BW13">
            <v>-35455.807722052807</v>
          </cell>
          <cell r="BX13">
            <v>-36153.831640897013</v>
          </cell>
          <cell r="BY13">
            <v>-32609.177529364926</v>
          </cell>
          <cell r="BZ13">
            <v>-36318.038288767799</v>
          </cell>
          <cell r="CA13">
            <v>-35059.120041749993</v>
          </cell>
          <cell r="CB13">
            <v>-37151.815716007346</v>
          </cell>
          <cell r="CC13">
            <v>-39714.356826085248</v>
          </cell>
          <cell r="CD13">
            <v>-43180.468549059515</v>
          </cell>
        </row>
        <row r="14">
          <cell r="B14" t="str">
            <v>SG&amp;A, selling, general and admin. expense</v>
          </cell>
          <cell r="C14" t="str">
            <v>SEL_GL_AD</v>
          </cell>
          <cell r="D14" t="str">
            <v>TWD</v>
          </cell>
          <cell r="F14">
            <v>-1006.689</v>
          </cell>
          <cell r="G14">
            <v>-1824.998</v>
          </cell>
          <cell r="H14">
            <v>-1702.941</v>
          </cell>
          <cell r="I14">
            <v>-2210.326</v>
          </cell>
          <cell r="J14">
            <v>-2026.954</v>
          </cell>
          <cell r="K14">
            <v>-1636.451</v>
          </cell>
          <cell r="L14">
            <v>-4074.4319999999998</v>
          </cell>
          <cell r="M14">
            <v>-6140.3940000000002</v>
          </cell>
          <cell r="N14">
            <v>-4022.2080000000001</v>
          </cell>
          <cell r="O14">
            <v>-3809.1680000000001</v>
          </cell>
          <cell r="P14">
            <v>-4841.7759999999998</v>
          </cell>
          <cell r="Q14">
            <v>-5505.8389999999999</v>
          </cell>
          <cell r="R14">
            <v>-5331.7179999999998</v>
          </cell>
          <cell r="S14">
            <v>-6213.6009999999997</v>
          </cell>
          <cell r="T14">
            <v>-6538.3109999999997</v>
          </cell>
          <cell r="U14">
            <v>-5523.5140000000001</v>
          </cell>
          <cell r="V14">
            <v>-6113.386999999997</v>
          </cell>
          <cell r="W14">
            <v>-6711.0479999999989</v>
          </cell>
          <cell r="X14">
            <v>-8669.747000000003</v>
          </cell>
          <cell r="Y14">
            <v>-7037.8039999999974</v>
          </cell>
          <cell r="Z14">
            <v>-8112.1830000000027</v>
          </cell>
          <cell r="AA14">
            <v>-8758.0459999999948</v>
          </cell>
          <cell r="AB14">
            <v>-10653.497999999996</v>
          </cell>
          <cell r="AC14">
            <v>-6819.8479999999963</v>
          </cell>
          <cell r="AD14">
            <v>-4891.7833943394844</v>
          </cell>
          <cell r="AE14">
            <v>-9873.3810001134807</v>
          </cell>
          <cell r="AF14">
            <v>-10184.780669037191</v>
          </cell>
          <cell r="AG14">
            <v>-9900.0289184126905</v>
          </cell>
          <cell r="AI14">
            <v>-1399.4750000000022</v>
          </cell>
          <cell r="AJ14">
            <v>-1484.7270000000005</v>
          </cell>
          <cell r="AK14">
            <v>-1594.5409999999956</v>
          </cell>
          <cell r="AL14">
            <v>-1634.6439999999986</v>
          </cell>
          <cell r="AM14">
            <v>-1510.3040000000005</v>
          </cell>
          <cell r="AN14">
            <v>-1561.0109999999981</v>
          </cell>
          <cell r="AO14">
            <v>-1835.3020000000001</v>
          </cell>
          <cell r="AP14">
            <v>-1804.4309999999991</v>
          </cell>
          <cell r="AQ14">
            <v>-1457.313000000001</v>
          </cell>
          <cell r="AR14">
            <v>-1612.9170000000017</v>
          </cell>
          <cell r="AS14">
            <v>-4118.1070000000018</v>
          </cell>
          <cell r="AT14">
            <v>-1481.4099999999999</v>
          </cell>
          <cell r="AU14">
            <v>-1801.6030000000012</v>
          </cell>
          <cell r="AV14">
            <v>-1777.5960000000016</v>
          </cell>
          <cell r="AW14">
            <v>-1679.9579999999974</v>
          </cell>
          <cell r="AX14">
            <v>-1778.6469999999977</v>
          </cell>
          <cell r="AY14">
            <v>-1625.8870000000006</v>
          </cell>
          <cell r="AZ14">
            <v>-1964.2750000000015</v>
          </cell>
          <cell r="BA14">
            <v>-2403.6719999999996</v>
          </cell>
          <cell r="BB14">
            <v>-2118.3490000000011</v>
          </cell>
          <cell r="BC14">
            <v>-2140.1140000000005</v>
          </cell>
          <cell r="BD14">
            <v>-1831.6869999999958</v>
          </cell>
          <cell r="BE14">
            <v>-2791.2860000000001</v>
          </cell>
          <cell r="BF14">
            <v>-1994.9589999999994</v>
          </cell>
          <cell r="BG14">
            <v>-1965.8129999999987</v>
          </cell>
          <cell r="BH14">
            <v>-2609.5759999999982</v>
          </cell>
          <cell r="BI14">
            <v>-3419.4210000000012</v>
          </cell>
          <cell r="BJ14">
            <v>-2658.6879999999974</v>
          </cell>
          <cell r="BK14">
            <v>-2066.7109999999971</v>
          </cell>
          <cell r="BL14">
            <v>-1825.8839999999987</v>
          </cell>
          <cell r="BM14">
            <v>-1619.9780000000014</v>
          </cell>
          <cell r="BN14">
            <v>-1307.2749999999996</v>
          </cell>
          <cell r="BO14">
            <v>-948.427000000004</v>
          </cell>
          <cell r="BP14">
            <v>-467.00099999999884</v>
          </cell>
          <cell r="BQ14">
            <v>-1157.2950000000042</v>
          </cell>
          <cell r="BR14">
            <v>-2319.0603943394772</v>
          </cell>
          <cell r="BS14">
            <v>-2439.3165625200677</v>
          </cell>
          <cell r="BT14">
            <v>-2493.8417217299193</v>
          </cell>
          <cell r="BU14">
            <v>-2457.0757058828735</v>
          </cell>
          <cell r="BV14">
            <v>-2483.1470099806211</v>
          </cell>
          <cell r="BW14">
            <v>-2481.3023813286177</v>
          </cell>
          <cell r="BX14">
            <v>-2594.4952609070697</v>
          </cell>
          <cell r="BY14">
            <v>-2569.155304007264</v>
          </cell>
          <cell r="BZ14">
            <v>-2539.8277227942385</v>
          </cell>
          <cell r="CA14">
            <v>-2513.5076769523253</v>
          </cell>
          <cell r="CB14">
            <v>-2487.5824317980405</v>
          </cell>
          <cell r="CC14">
            <v>-2462.0460653210703</v>
          </cell>
          <cell r="CD14">
            <v>-2436.892744341254</v>
          </cell>
        </row>
        <row r="15">
          <cell r="B15" t="str">
            <v>Total operating expense</v>
          </cell>
          <cell r="C15" t="str">
            <v>OP_COST</v>
          </cell>
          <cell r="D15" t="str">
            <v>TWD</v>
          </cell>
          <cell r="F15">
            <v>-7520.6689999999999</v>
          </cell>
          <cell r="G15">
            <v>-10326.913</v>
          </cell>
          <cell r="H15">
            <v>-14674.101000000001</v>
          </cell>
          <cell r="I15">
            <v>-19742.981</v>
          </cell>
          <cell r="J15">
            <v>-16105.656000000001</v>
          </cell>
          <cell r="K15">
            <v>-20951.519</v>
          </cell>
          <cell r="L15">
            <v>-55557.631000000001</v>
          </cell>
          <cell r="M15">
            <v>-61502.805999999997</v>
          </cell>
          <cell r="N15">
            <v>-60252.803</v>
          </cell>
          <cell r="O15">
            <v>-69228.968999999997</v>
          </cell>
          <cell r="P15">
            <v>-86332.672000000006</v>
          </cell>
          <cell r="Q15">
            <v>-85085.728000000003</v>
          </cell>
          <cell r="R15">
            <v>-88736.857000000004</v>
          </cell>
          <cell r="S15">
            <v>-90478.785999999993</v>
          </cell>
          <cell r="T15">
            <v>-90639.995999999999</v>
          </cell>
          <cell r="U15">
            <v>-81498.120999999999</v>
          </cell>
          <cell r="V15">
            <v>-95681.387000000002</v>
          </cell>
          <cell r="W15">
            <v>-102127.79</v>
          </cell>
          <cell r="X15">
            <v>-105035.23800000001</v>
          </cell>
          <cell r="Y15">
            <v>-107286.46500000001</v>
          </cell>
          <cell r="Z15">
            <v>-116271.87</v>
          </cell>
          <cell r="AA15">
            <v>-121819.94</v>
          </cell>
          <cell r="AB15">
            <v>-128144.19199999998</v>
          </cell>
          <cell r="AC15">
            <v>-129046.796</v>
          </cell>
          <cell r="AD15">
            <v>-138202.56106005353</v>
          </cell>
          <cell r="AE15">
            <v>-165272.02038539806</v>
          </cell>
          <cell r="AF15">
            <v>-150721.63585011975</v>
          </cell>
          <cell r="AG15">
            <v>-165005.79005131481</v>
          </cell>
          <cell r="AI15">
            <v>-22167.774000000001</v>
          </cell>
          <cell r="AJ15">
            <v>-23128.026999999998</v>
          </cell>
          <cell r="AK15">
            <v>-24655.722999999998</v>
          </cell>
          <cell r="AL15">
            <v>-25729.863000000001</v>
          </cell>
          <cell r="AM15">
            <v>-25001.816999999999</v>
          </cell>
          <cell r="AN15">
            <v>-26837.498</v>
          </cell>
          <cell r="AO15">
            <v>-25262.575000000001</v>
          </cell>
          <cell r="AP15">
            <v>-25025.9</v>
          </cell>
          <cell r="AQ15">
            <v>-23704.653000000002</v>
          </cell>
          <cell r="AR15">
            <v>-25651.648000000001</v>
          </cell>
          <cell r="AS15">
            <v>-28567.851000000002</v>
          </cell>
          <cell r="AT15">
            <v>-27111.085999999999</v>
          </cell>
          <cell r="AU15">
            <v>-25091.512000000002</v>
          </cell>
          <cell r="AV15">
            <v>-27504.99</v>
          </cell>
          <cell r="AW15">
            <v>-27749.829999999998</v>
          </cell>
          <cell r="AX15">
            <v>-26940.132999999998</v>
          </cell>
          <cell r="AY15">
            <v>-27418.093999999997</v>
          </cell>
          <cell r="AZ15">
            <v>-29626.816000000003</v>
          </cell>
          <cell r="BA15">
            <v>-30059.005999999998</v>
          </cell>
          <cell r="BB15">
            <v>-29167.954000000002</v>
          </cell>
          <cell r="BC15">
            <v>-30634.649000000001</v>
          </cell>
          <cell r="BD15">
            <v>-31119.758999999995</v>
          </cell>
          <cell r="BE15">
            <v>-31200.524000000001</v>
          </cell>
          <cell r="BF15">
            <v>-28865.007999999998</v>
          </cell>
          <cell r="BG15">
            <v>-31335.898999999998</v>
          </cell>
          <cell r="BH15">
            <v>-31321.150999999998</v>
          </cell>
          <cell r="BI15">
            <v>-33281.572999999997</v>
          </cell>
          <cell r="BJ15">
            <v>-32205.569</v>
          </cell>
          <cell r="BK15">
            <v>-32056.210999999996</v>
          </cell>
          <cell r="BL15">
            <v>-32624.375</v>
          </cell>
          <cell r="BM15">
            <v>-32725.921000000002</v>
          </cell>
          <cell r="BN15">
            <v>-31640.288999999997</v>
          </cell>
          <cell r="BO15">
            <v>-33803.565000000002</v>
          </cell>
          <cell r="BP15">
            <v>-32643.402999999998</v>
          </cell>
          <cell r="BQ15">
            <v>-33622.324000000001</v>
          </cell>
          <cell r="BR15">
            <v>-38133.269060053535</v>
          </cell>
          <cell r="BS15">
            <v>-40500.671664004774</v>
          </cell>
          <cell r="BT15">
            <v>-41991.797112722699</v>
          </cell>
          <cell r="BU15">
            <v>-42543.076887755436</v>
          </cell>
          <cell r="BV15">
            <v>-40236.474720915168</v>
          </cell>
          <cell r="BW15">
            <v>-37937.110103381427</v>
          </cell>
          <cell r="BX15">
            <v>-38748.326901804081</v>
          </cell>
          <cell r="BY15">
            <v>-35178.332833372187</v>
          </cell>
          <cell r="BZ15">
            <v>-38857.866011562037</v>
          </cell>
          <cell r="CA15">
            <v>-37572.627718702315</v>
          </cell>
          <cell r="CB15">
            <v>-39639.39814780539</v>
          </cell>
          <cell r="CC15">
            <v>-42176.402891406316</v>
          </cell>
          <cell r="CD15">
            <v>-45617.361293400769</v>
          </cell>
        </row>
        <row r="16">
          <cell r="B16" t="str">
            <v>R&amp;D expense</v>
          </cell>
          <cell r="C16" t="str">
            <v>RD_EXP</v>
          </cell>
          <cell r="D16" t="str">
            <v>TWD</v>
          </cell>
          <cell r="F16">
            <v>-1071</v>
          </cell>
          <cell r="G16">
            <v>-1400</v>
          </cell>
          <cell r="H16">
            <v>-1812.33</v>
          </cell>
          <cell r="I16">
            <v>-1759.62</v>
          </cell>
          <cell r="J16">
            <v>-1933.7149999999999</v>
          </cell>
          <cell r="K16">
            <v>-2674.143</v>
          </cell>
          <cell r="L16">
            <v>-5953.9620000000004</v>
          </cell>
          <cell r="M16">
            <v>-8580.7749999999996</v>
          </cell>
          <cell r="N16">
            <v>-7031.9709999999995</v>
          </cell>
          <cell r="O16">
            <v>-5696.7669999999998</v>
          </cell>
          <cell r="P16">
            <v>-6524.1760000000004</v>
          </cell>
          <cell r="Q16">
            <v>-8358.43</v>
          </cell>
          <cell r="R16">
            <v>-9237.616</v>
          </cell>
          <cell r="S16">
            <v>-9487.5429999999997</v>
          </cell>
          <cell r="T16">
            <v>-8274.07</v>
          </cell>
          <cell r="U16">
            <v>-8044.1549999999997</v>
          </cell>
          <cell r="V16">
            <v>-8740.4790000000012</v>
          </cell>
          <cell r="W16">
            <v>-9395.0660000000007</v>
          </cell>
          <cell r="X16">
            <v>-9786.5059999999994</v>
          </cell>
          <cell r="Y16">
            <v>-12493.050999999999</v>
          </cell>
          <cell r="Z16">
            <v>-13663.874</v>
          </cell>
          <cell r="AA16">
            <v>-12174.824000000001</v>
          </cell>
          <cell r="AB16">
            <v>-13532.356</v>
          </cell>
          <cell r="AC16">
            <v>-13669.589</v>
          </cell>
          <cell r="AD16">
            <v>-12958.753748315765</v>
          </cell>
          <cell r="AE16">
            <v>-15543.462731058205</v>
          </cell>
          <cell r="AF16">
            <v>-15700.675425175637</v>
          </cell>
          <cell r="AG16">
            <v>-14531.617323508272</v>
          </cell>
          <cell r="AI16">
            <v>-2009.752</v>
          </cell>
          <cell r="AJ16">
            <v>-2155.4009999999998</v>
          </cell>
          <cell r="AK16">
            <v>-2239.4050000000002</v>
          </cell>
          <cell r="AL16">
            <v>-2335.9209999999998</v>
          </cell>
          <cell r="AM16">
            <v>-2303.7139999999999</v>
          </cell>
          <cell r="AN16">
            <v>-2328.9140000000002</v>
          </cell>
          <cell r="AO16">
            <v>-2375.1410000000001</v>
          </cell>
          <cell r="AP16">
            <v>-2387.297</v>
          </cell>
          <cell r="AQ16">
            <v>-2299.7959999999998</v>
          </cell>
          <cell r="AR16">
            <v>-2555.4180000000001</v>
          </cell>
          <cell r="AS16">
            <v>-2338.2930000000001</v>
          </cell>
          <cell r="AT16">
            <v>-2592.9989999999998</v>
          </cell>
          <cell r="AU16">
            <v>-2395.9110000000001</v>
          </cell>
          <cell r="AV16">
            <v>-3250.2449999999999</v>
          </cell>
          <cell r="AW16">
            <v>-3262.1640000000002</v>
          </cell>
          <cell r="AX16">
            <v>-3584.7310000000002</v>
          </cell>
          <cell r="AY16">
            <v>-3334.8519999999999</v>
          </cell>
          <cell r="AZ16">
            <v>-3325.7779999999998</v>
          </cell>
          <cell r="BA16">
            <v>-3468.3470000000002</v>
          </cell>
          <cell r="BB16">
            <v>-3534.8969999999999</v>
          </cell>
          <cell r="BC16">
            <v>-2916.3229999999999</v>
          </cell>
          <cell r="BD16">
            <v>-3015.364</v>
          </cell>
          <cell r="BE16">
            <v>-3138.5549999999998</v>
          </cell>
          <cell r="BF16">
            <v>-3104.5819999999999</v>
          </cell>
          <cell r="BG16">
            <v>-3084.6280000000002</v>
          </cell>
          <cell r="BH16">
            <v>-3226.4609999999998</v>
          </cell>
          <cell r="BI16">
            <v>-3397.0320000000002</v>
          </cell>
          <cell r="BJ16">
            <v>-3824.2350000000001</v>
          </cell>
          <cell r="BK16">
            <v>-3990.9160000000002</v>
          </cell>
          <cell r="BL16">
            <v>-3245.9409999999998</v>
          </cell>
          <cell r="BM16">
            <v>-3343.194</v>
          </cell>
          <cell r="BN16">
            <v>-3089.538</v>
          </cell>
          <cell r="BO16">
            <v>-2924.18</v>
          </cell>
          <cell r="BP16">
            <v>-3027.0430000000001</v>
          </cell>
          <cell r="BQ16">
            <v>-3328.8980000000001</v>
          </cell>
          <cell r="BR16">
            <v>-3678.6327483157656</v>
          </cell>
          <cell r="BS16">
            <v>-3667.9483040295954</v>
          </cell>
          <cell r="BT16">
            <v>-3785.3992914877313</v>
          </cell>
          <cell r="BU16">
            <v>-4017.9668675379939</v>
          </cell>
          <cell r="BV16">
            <v>-4072.1482680028844</v>
          </cell>
          <cell r="BW16">
            <v>-3196.8908789461548</v>
          </cell>
          <cell r="BX16">
            <v>-4008.3860449994754</v>
          </cell>
          <cell r="BY16">
            <v>-4287.3175121338481</v>
          </cell>
          <cell r="BZ16">
            <v>-4208.0809890961591</v>
          </cell>
          <cell r="CA16">
            <v>-2768.9526740157453</v>
          </cell>
          <cell r="CB16">
            <v>-3771.5325288024978</v>
          </cell>
          <cell r="CC16">
            <v>-4029.9116776636101</v>
          </cell>
          <cell r="CD16">
            <v>-3961.2204430264169</v>
          </cell>
        </row>
        <row r="17">
          <cell r="B17" t="str">
            <v>ESO expense (pre-tax)</v>
          </cell>
          <cell r="C17" t="str">
            <v>ESO_PRE_TAX</v>
          </cell>
          <cell r="D17" t="str">
            <v>TWD</v>
          </cell>
        </row>
        <row r="18">
          <cell r="B18" t="str">
            <v>Other operating income/(expense) (incl. leases)</v>
          </cell>
          <cell r="C18" t="str">
            <v>OTH_OP_INC_EXP</v>
          </cell>
          <cell r="D18" t="str">
            <v>TWD</v>
          </cell>
          <cell r="F18">
            <v>0</v>
          </cell>
          <cell r="G18">
            <v>0</v>
          </cell>
          <cell r="H18">
            <v>0</v>
          </cell>
          <cell r="I18">
            <v>0</v>
          </cell>
          <cell r="J18">
            <v>0</v>
          </cell>
          <cell r="K18">
            <v>0</v>
          </cell>
          <cell r="L18">
            <v>0</v>
          </cell>
          <cell r="M18">
            <v>0</v>
          </cell>
          <cell r="N18">
            <v>0</v>
          </cell>
          <cell r="O18">
            <v>0</v>
          </cell>
          <cell r="P18">
            <v>0</v>
          </cell>
          <cell r="Q18">
            <v>0</v>
          </cell>
          <cell r="R18">
            <v>0</v>
          </cell>
          <cell r="S18">
            <v>5478.7930000000097</v>
          </cell>
          <cell r="T18">
            <v>0</v>
          </cell>
          <cell r="U18">
            <v>0</v>
          </cell>
        </row>
        <row r="19">
          <cell r="B19" t="str">
            <v>Total operating expense (incl. D&amp;A)</v>
          </cell>
          <cell r="C19" t="str">
            <v>TOT_OPS_EXP_DDA</v>
          </cell>
          <cell r="D19" t="str">
            <v>TWD</v>
          </cell>
          <cell r="F19">
            <v>-8591.6689999999999</v>
          </cell>
          <cell r="G19">
            <v>-11726.913</v>
          </cell>
          <cell r="H19">
            <v>-16486.431</v>
          </cell>
          <cell r="I19">
            <v>-21502.600999999999</v>
          </cell>
          <cell r="J19">
            <v>-18039.370999999999</v>
          </cell>
          <cell r="K19">
            <v>-23625.662</v>
          </cell>
          <cell r="L19">
            <v>-61511.593000000001</v>
          </cell>
          <cell r="M19">
            <v>-70083.581000000006</v>
          </cell>
          <cell r="N19">
            <v>-67284.774000000005</v>
          </cell>
          <cell r="O19">
            <v>-74925.736000000004</v>
          </cell>
          <cell r="P19">
            <v>-92856.847999999998</v>
          </cell>
          <cell r="Q19">
            <v>-93444.157999999996</v>
          </cell>
          <cell r="R19">
            <v>-97974.472999999998</v>
          </cell>
          <cell r="S19">
            <v>-99966.328999999998</v>
          </cell>
          <cell r="T19">
            <v>-98914.066000000006</v>
          </cell>
          <cell r="U19">
            <v>-89542.275999999998</v>
          </cell>
          <cell r="V19">
            <v>-104421.86600000001</v>
          </cell>
          <cell r="W19">
            <v>-111522.856</v>
          </cell>
          <cell r="X19">
            <v>-114821.74400000001</v>
          </cell>
          <cell r="Y19">
            <v>-119779.516</v>
          </cell>
          <cell r="Z19">
            <v>-129935.74399999999</v>
          </cell>
          <cell r="AA19">
            <v>-133994.764</v>
          </cell>
          <cell r="AB19">
            <v>-141676.54799999998</v>
          </cell>
          <cell r="AC19">
            <v>-142716.38500000001</v>
          </cell>
          <cell r="AD19">
            <v>-151161.31480836929</v>
          </cell>
          <cell r="AE19">
            <v>-180815.48311645628</v>
          </cell>
          <cell r="AF19">
            <v>-166422.31127529542</v>
          </cell>
          <cell r="AG19">
            <v>-179537.40737482309</v>
          </cell>
          <cell r="AI19">
            <v>-24177.526000000002</v>
          </cell>
          <cell r="AJ19">
            <v>-25283.428</v>
          </cell>
          <cell r="AK19">
            <v>-26895.127999999997</v>
          </cell>
          <cell r="AL19">
            <v>-28065.783999999996</v>
          </cell>
          <cell r="AM19">
            <v>-27305.531000000003</v>
          </cell>
          <cell r="AN19">
            <v>-29166.412</v>
          </cell>
          <cell r="AO19">
            <v>-27637.716</v>
          </cell>
          <cell r="AP19">
            <v>-27413.197000000004</v>
          </cell>
          <cell r="AQ19">
            <v>-26004.449000000001</v>
          </cell>
          <cell r="AR19">
            <v>-28207.066000000006</v>
          </cell>
          <cell r="AS19">
            <v>-30906.144000000004</v>
          </cell>
          <cell r="AT19">
            <v>-29704.084999999999</v>
          </cell>
          <cell r="AU19">
            <v>-27487.423000000003</v>
          </cell>
          <cell r="AV19">
            <v>-30755.235000000001</v>
          </cell>
          <cell r="AW19">
            <v>-31011.993999999999</v>
          </cell>
          <cell r="AX19">
            <v>-30524.863999999998</v>
          </cell>
          <cell r="AY19">
            <v>-30752.945999999993</v>
          </cell>
          <cell r="AZ19">
            <v>-32952.594000000005</v>
          </cell>
          <cell r="BA19">
            <v>-33527.352999999996</v>
          </cell>
          <cell r="BB19">
            <v>-32702.851000000002</v>
          </cell>
          <cell r="BC19">
            <v>-33550.972000000002</v>
          </cell>
          <cell r="BD19">
            <v>-34135.122999999985</v>
          </cell>
          <cell r="BE19">
            <v>-34339.078999999998</v>
          </cell>
          <cell r="BF19">
            <v>-31969.589999999997</v>
          </cell>
          <cell r="BG19">
            <v>-34420.527000000002</v>
          </cell>
          <cell r="BH19">
            <v>-34547.612000000001</v>
          </cell>
          <cell r="BI19">
            <v>-36678.604999999996</v>
          </cell>
          <cell r="BJ19">
            <v>-36029.803999999989</v>
          </cell>
          <cell r="BK19">
            <v>-36047.126999999993</v>
          </cell>
          <cell r="BL19">
            <v>-35870.316000000006</v>
          </cell>
          <cell r="BM19">
            <v>-36069.115000000013</v>
          </cell>
          <cell r="BN19">
            <v>-34729.82699999999</v>
          </cell>
          <cell r="BO19">
            <v>-36727.745000000003</v>
          </cell>
          <cell r="BP19">
            <v>-35670.445999999996</v>
          </cell>
          <cell r="BQ19">
            <v>-36951.222000000002</v>
          </cell>
          <cell r="BR19">
            <v>-41811.901808369301</v>
          </cell>
          <cell r="BS19">
            <v>-44168.619968034378</v>
          </cell>
          <cell r="BT19">
            <v>-45777.196404210437</v>
          </cell>
          <cell r="BU19">
            <v>-46561.043755293431</v>
          </cell>
          <cell r="BV19">
            <v>-44308.622988918054</v>
          </cell>
          <cell r="BW19">
            <v>-41134.000982327583</v>
          </cell>
          <cell r="BX19">
            <v>-42756.712946803564</v>
          </cell>
          <cell r="BY19">
            <v>-39465.650345506037</v>
          </cell>
          <cell r="BZ19">
            <v>-43065.947000658198</v>
          </cell>
          <cell r="CA19">
            <v>-40341.58039271806</v>
          </cell>
          <cell r="CB19">
            <v>-43410.930676607888</v>
          </cell>
          <cell r="CC19">
            <v>-46206.314569069924</v>
          </cell>
          <cell r="CD19">
            <v>-49578.581736427186</v>
          </cell>
        </row>
        <row r="20">
          <cell r="B20" t="str">
            <v>Total operating expense (excl. D&amp;A)</v>
          </cell>
          <cell r="C20" t="str">
            <v>TOT_OPS_EXP</v>
          </cell>
          <cell r="D20" t="str">
            <v>TWD</v>
          </cell>
          <cell r="F20">
            <v>-7043.2340000000004</v>
          </cell>
          <cell r="G20">
            <v>-9533.8449999999993</v>
          </cell>
          <cell r="H20">
            <v>-13028.895</v>
          </cell>
          <cell r="I20">
            <v>-17456.535</v>
          </cell>
          <cell r="J20">
            <v>-13228.803</v>
          </cell>
          <cell r="K20">
            <v>-18119.303</v>
          </cell>
          <cell r="L20">
            <v>-36994.42</v>
          </cell>
          <cell r="M20">
            <v>-35792.678999999996</v>
          </cell>
          <cell r="N20">
            <v>-31559.761999999999</v>
          </cell>
          <cell r="O20">
            <v>-37514.188999999998</v>
          </cell>
          <cell r="P20">
            <v>-53079.514999999999</v>
          </cell>
          <cell r="Q20">
            <v>-44927.254000000001</v>
          </cell>
          <cell r="R20">
            <v>-53780.483</v>
          </cell>
          <cell r="S20">
            <v>-63231.264000000003</v>
          </cell>
          <cell r="T20">
            <v>-60401.962</v>
          </cell>
          <cell r="U20">
            <v>-55312.481</v>
          </cell>
          <cell r="V20">
            <v>-73926.233000000007</v>
          </cell>
          <cell r="W20">
            <v>-79152.057000000001</v>
          </cell>
          <cell r="X20">
            <v>-78979.576000000001</v>
          </cell>
          <cell r="Y20">
            <v>-81347.203999999998</v>
          </cell>
          <cell r="Z20">
            <v>-89278.389999999985</v>
          </cell>
          <cell r="AA20">
            <v>-88522.654999999999</v>
          </cell>
          <cell r="AB20">
            <v>-89692.946999999986</v>
          </cell>
          <cell r="AC20">
            <v>-89617.539000000019</v>
          </cell>
          <cell r="AD20">
            <v>-99559.227124892146</v>
          </cell>
          <cell r="AE20">
            <v>-139239.23277157155</v>
          </cell>
          <cell r="AF20">
            <v>-133126.66747165416</v>
          </cell>
          <cell r="AG20">
            <v>-152593.8361870537</v>
          </cell>
          <cell r="AI20">
            <v>-16059.947000000002</v>
          </cell>
          <cell r="AJ20">
            <v>-17530.077000000001</v>
          </cell>
          <cell r="AK20">
            <v>-19455.756999999998</v>
          </cell>
          <cell r="AL20">
            <v>-20880.451999999997</v>
          </cell>
          <cell r="AM20">
            <v>-19576.309000000001</v>
          </cell>
          <cell r="AN20">
            <v>-21118.607</v>
          </cell>
          <cell r="AO20">
            <v>-19454.858</v>
          </cell>
          <cell r="AP20">
            <v>-19002.283000000003</v>
          </cell>
          <cell r="AQ20">
            <v>-17538</v>
          </cell>
          <cell r="AR20">
            <v>-19494.113000000005</v>
          </cell>
          <cell r="AS20">
            <v>-21646.588000000003</v>
          </cell>
          <cell r="AT20">
            <v>-20300.875</v>
          </cell>
          <cell r="AU20">
            <v>-17862.418000000005</v>
          </cell>
          <cell r="AV20">
            <v>-21011.647000000001</v>
          </cell>
          <cell r="AW20">
            <v>-21516.162</v>
          </cell>
          <cell r="AX20">
            <v>-20956.976999999999</v>
          </cell>
          <cell r="AY20">
            <v>-20902.632999999994</v>
          </cell>
          <cell r="AZ20">
            <v>-23003.999000000003</v>
          </cell>
          <cell r="BA20">
            <v>-23331.956999999995</v>
          </cell>
          <cell r="BB20">
            <v>-22039.801000000003</v>
          </cell>
          <cell r="BC20">
            <v>-22802.776000000002</v>
          </cell>
          <cell r="BD20">
            <v>-22940.98799999999</v>
          </cell>
          <cell r="BE20">
            <v>-22747.531999999999</v>
          </cell>
          <cell r="BF20">
            <v>-20031.358999999997</v>
          </cell>
          <cell r="BG20">
            <v>-21755.123999999996</v>
          </cell>
          <cell r="BH20">
            <v>-21507.349000000002</v>
          </cell>
          <cell r="BI20">
            <v>-23777.109999999997</v>
          </cell>
          <cell r="BJ20">
            <v>-22653.363999999994</v>
          </cell>
          <cell r="BK20">
            <v>-22754.988999999994</v>
          </cell>
          <cell r="BL20">
            <v>-22777.235000000001</v>
          </cell>
          <cell r="BM20">
            <v>-22582.384000000005</v>
          </cell>
          <cell r="BN20">
            <v>-21502.930999999997</v>
          </cell>
          <cell r="BO20">
            <v>-23439.250000000004</v>
          </cell>
          <cell r="BP20">
            <v>-22297.417999999998</v>
          </cell>
          <cell r="BQ20">
            <v>-23977.976999999999</v>
          </cell>
          <cell r="BR20">
            <v>-29844.582124892157</v>
          </cell>
          <cell r="BS20">
            <v>-32872.273576144988</v>
          </cell>
          <cell r="BT20">
            <v>-35108.790606273629</v>
          </cell>
          <cell r="BU20">
            <v>-36480.305744550416</v>
          </cell>
          <cell r="BV20">
            <v>-34777.862844602532</v>
          </cell>
          <cell r="BW20">
            <v>-32117.946016944035</v>
          </cell>
          <cell r="BX20">
            <v>-34222.352677499781</v>
          </cell>
          <cell r="BY20">
            <v>-31382.091408166423</v>
          </cell>
          <cell r="BZ20">
            <v>-35404.277369043899</v>
          </cell>
          <cell r="CA20">
            <v>-33074.74230587732</v>
          </cell>
          <cell r="CB20">
            <v>-36513.601716053876</v>
          </cell>
          <cell r="CC20">
            <v>-39654.796363042849</v>
          </cell>
          <cell r="CD20">
            <v>-43350.69580207963</v>
          </cell>
        </row>
        <row r="21">
          <cell r="B21" t="str">
            <v>EBITDA</v>
          </cell>
          <cell r="C21" t="str">
            <v>EBITDA_CALC</v>
          </cell>
          <cell r="D21" t="str">
            <v>TWD</v>
          </cell>
          <cell r="F21">
            <v>8199.9240000000009</v>
          </cell>
          <cell r="G21">
            <v>14713.067999999999</v>
          </cell>
          <cell r="H21">
            <v>9576.7569999999996</v>
          </cell>
          <cell r="I21">
            <v>7632.46</v>
          </cell>
          <cell r="J21">
            <v>5202.799</v>
          </cell>
          <cell r="K21">
            <v>11027.753000000001</v>
          </cell>
          <cell r="L21">
            <v>68090.3</v>
          </cell>
          <cell r="M21">
            <v>28700.727999999999</v>
          </cell>
          <cell r="N21">
            <v>35865.983</v>
          </cell>
          <cell r="O21">
            <v>47347.881000000001</v>
          </cell>
          <cell r="P21">
            <v>64232.324999999997</v>
          </cell>
          <cell r="Q21">
            <v>45848.184999999998</v>
          </cell>
          <cell r="R21">
            <v>50318.127999999997</v>
          </cell>
          <cell r="S21">
            <v>38060.993999999999</v>
          </cell>
          <cell r="T21">
            <v>36411.584000000003</v>
          </cell>
          <cell r="U21">
            <v>36077.284</v>
          </cell>
          <cell r="V21">
            <v>52515.311000000002</v>
          </cell>
          <cell r="W21">
            <v>37550.665999999997</v>
          </cell>
          <cell r="X21">
            <v>36695.186999999991</v>
          </cell>
          <cell r="Y21">
            <v>42464.431999999993</v>
          </cell>
          <cell r="Z21">
            <v>50733.686000000009</v>
          </cell>
          <cell r="AA21">
            <v>56307.766000000011</v>
          </cell>
          <cell r="AB21">
            <v>58177.177000000025</v>
          </cell>
          <cell r="AC21">
            <v>59667.167000000001</v>
          </cell>
          <cell r="AD21">
            <v>59791.336140016356</v>
          </cell>
          <cell r="AE21">
            <v>52200.685392529958</v>
          </cell>
          <cell r="AF21">
            <v>67167.632035651826</v>
          </cell>
          <cell r="AG21">
            <v>39603.792579115179</v>
          </cell>
          <cell r="AI21">
            <v>11277.844999999999</v>
          </cell>
          <cell r="AJ21">
            <v>13088.21</v>
          </cell>
          <cell r="AK21">
            <v>14593.957999999999</v>
          </cell>
          <cell r="AL21">
            <v>13555.298000000001</v>
          </cell>
          <cell r="AM21">
            <v>11589.367</v>
          </cell>
          <cell r="AN21">
            <v>10560.457999999999</v>
          </cell>
          <cell r="AO21">
            <v>8345.1409999999996</v>
          </cell>
          <cell r="AP21">
            <v>7055.6999999999989</v>
          </cell>
          <cell r="AQ21">
            <v>8731.4340000000011</v>
          </cell>
          <cell r="AR21">
            <v>10883.217000000001</v>
          </cell>
          <cell r="AS21">
            <v>8527.0579999999991</v>
          </cell>
          <cell r="AT21">
            <v>8553.4779999999992</v>
          </cell>
          <cell r="AU21">
            <v>9918.9979999999996</v>
          </cell>
          <cell r="AV21">
            <v>10893.057000000001</v>
          </cell>
          <cell r="AW21">
            <v>11890.609999999999</v>
          </cell>
          <cell r="AX21">
            <v>9761.7669999999998</v>
          </cell>
          <cell r="AY21">
            <v>10790.952000000001</v>
          </cell>
          <cell r="AZ21">
            <v>12865.352000000001</v>
          </cell>
          <cell r="BA21">
            <v>11881.892999999998</v>
          </cell>
          <cell r="BB21">
            <v>15195.489</v>
          </cell>
          <cell r="BC21">
            <v>14846.868</v>
          </cell>
          <cell r="BD21">
            <v>15070.566000000001</v>
          </cell>
          <cell r="BE21">
            <v>12572.308999999997</v>
          </cell>
          <cell r="BF21">
            <v>13818.022999999999</v>
          </cell>
          <cell r="BG21">
            <v>12648.955</v>
          </cell>
          <cell r="BH21">
            <v>15489.168000000001</v>
          </cell>
          <cell r="BI21">
            <v>14386.478999999999</v>
          </cell>
          <cell r="BJ21">
            <v>15652.575000000001</v>
          </cell>
          <cell r="BK21">
            <v>14662.960999999999</v>
          </cell>
          <cell r="BL21">
            <v>14760.646000000001</v>
          </cell>
          <cell r="BM21">
            <v>15115.816999999999</v>
          </cell>
          <cell r="BN21">
            <v>15127.743</v>
          </cell>
          <cell r="BO21">
            <v>14057.886999999999</v>
          </cell>
          <cell r="BP21">
            <v>16554.159</v>
          </cell>
          <cell r="BQ21">
            <v>15408.679</v>
          </cell>
          <cell r="BR21">
            <v>13770.611140016335</v>
          </cell>
          <cell r="BS21">
            <v>14162.300241169758</v>
          </cell>
          <cell r="BT21">
            <v>13476.159144681695</v>
          </cell>
          <cell r="BU21">
            <v>11059.234016390452</v>
          </cell>
          <cell r="BV21">
            <v>13502.991990288076</v>
          </cell>
          <cell r="BW21">
            <v>16110.45839120756</v>
          </cell>
          <cell r="BX21">
            <v>17224.59375604034</v>
          </cell>
          <cell r="BY21">
            <v>19344.335179007983</v>
          </cell>
          <cell r="BZ21">
            <v>14488.244709395964</v>
          </cell>
          <cell r="CA21">
            <v>16069.391941385953</v>
          </cell>
          <cell r="CB21">
            <v>11893.370517500447</v>
          </cell>
          <cell r="CC21">
            <v>8026.0712870081588</v>
          </cell>
          <cell r="CD21">
            <v>3614.9588332206104</v>
          </cell>
        </row>
        <row r="22">
          <cell r="B22" t="str">
            <v>Depreciation</v>
          </cell>
          <cell r="C22" t="str">
            <v>DEPREC</v>
          </cell>
          <cell r="D22" t="str">
            <v>TWD</v>
          </cell>
          <cell r="F22">
            <v>-1523.098</v>
          </cell>
          <cell r="G22">
            <v>-2157.5859999999998</v>
          </cell>
          <cell r="H22">
            <v>-3189.567</v>
          </cell>
          <cell r="I22">
            <v>-3862.9380000000001</v>
          </cell>
          <cell r="J22">
            <v>-4701.4170000000004</v>
          </cell>
          <cell r="K22">
            <v>-5228.3059999999996</v>
          </cell>
          <cell r="L22">
            <v>-22856.468000000001</v>
          </cell>
          <cell r="M22">
            <v>-31998.131000000001</v>
          </cell>
          <cell r="N22">
            <v>-33531.54</v>
          </cell>
          <cell r="O22">
            <v>-35855.264999999999</v>
          </cell>
          <cell r="P22">
            <v>-38595.953999999998</v>
          </cell>
          <cell r="Q22">
            <v>-46129.224999999999</v>
          </cell>
          <cell r="R22">
            <v>-42512.61</v>
          </cell>
          <cell r="S22">
            <v>-36392.896999999997</v>
          </cell>
          <cell r="T22">
            <v>-37197.218999999997</v>
          </cell>
          <cell r="U22">
            <v>-33530.254000000001</v>
          </cell>
          <cell r="V22">
            <v>-29951.312000000002</v>
          </cell>
          <cell r="W22">
            <v>-31915.067999999999</v>
          </cell>
          <cell r="X22">
            <v>-35118.398000000001</v>
          </cell>
          <cell r="Y22">
            <v>-37241.788</v>
          </cell>
          <cell r="Z22">
            <v>-38785.576000000001</v>
          </cell>
          <cell r="AA22">
            <v>-43473.008000000002</v>
          </cell>
          <cell r="AB22">
            <v>-49691.035000000003</v>
          </cell>
          <cell r="AC22">
            <v>-50965.119999999995</v>
          </cell>
          <cell r="AD22">
            <v>-49518.288036908751</v>
          </cell>
          <cell r="AE22">
            <v>-39554.699758611154</v>
          </cell>
          <cell r="AF22">
            <v>-31274.09321736767</v>
          </cell>
          <cell r="AG22">
            <v>-24922.020601495817</v>
          </cell>
          <cell r="AI22">
            <v>-7976.3429999999998</v>
          </cell>
          <cell r="AJ22">
            <v>-7609.0879999999997</v>
          </cell>
          <cell r="AK22">
            <v>-7304.5810000000001</v>
          </cell>
          <cell r="AL22">
            <v>-7061.3</v>
          </cell>
          <cell r="AM22">
            <v>-7620.9459999999999</v>
          </cell>
          <cell r="AN22">
            <v>-7933.5619999999999</v>
          </cell>
          <cell r="AO22">
            <v>-8073.9840000000004</v>
          </cell>
          <cell r="AP22">
            <v>-8286.5759999999991</v>
          </cell>
          <cell r="AQ22">
            <v>-8317.8060000000005</v>
          </cell>
          <cell r="AR22">
            <v>-8544.0519999999997</v>
          </cell>
          <cell r="AS22">
            <v>-9057.6839999999993</v>
          </cell>
          <cell r="AT22">
            <v>-9198.8559999999998</v>
          </cell>
          <cell r="AU22">
            <v>-9455.6849999999995</v>
          </cell>
          <cell r="AV22">
            <v>-9460.3269999999993</v>
          </cell>
          <cell r="AW22">
            <v>-9154.5849999999991</v>
          </cell>
          <cell r="AX22">
            <v>-9171.1910000000007</v>
          </cell>
          <cell r="AY22">
            <v>-9450.23</v>
          </cell>
          <cell r="AZ22">
            <v>-9521.2980000000007</v>
          </cell>
          <cell r="BA22">
            <v>-9721.9969999999994</v>
          </cell>
          <cell r="BB22">
            <v>-10092.050999999999</v>
          </cell>
          <cell r="BC22">
            <v>-10310.797</v>
          </cell>
          <cell r="BD22">
            <v>-10722.266</v>
          </cell>
          <cell r="BE22">
            <v>-11093.130999999999</v>
          </cell>
          <cell r="BF22">
            <v>-11346.814</v>
          </cell>
          <cell r="BG22">
            <v>-12095.554</v>
          </cell>
          <cell r="BH22">
            <v>-12480.295</v>
          </cell>
          <cell r="BI22">
            <v>-12335.871999999999</v>
          </cell>
          <cell r="BJ22">
            <v>-12779.314</v>
          </cell>
          <cell r="BK22">
            <v>-12724.14</v>
          </cell>
          <cell r="BL22">
            <v>-12554.101000000001</v>
          </cell>
          <cell r="BM22">
            <v>-12988.448</v>
          </cell>
          <cell r="BN22">
            <v>-12698.431</v>
          </cell>
          <cell r="BO22">
            <v>-12750.186</v>
          </cell>
          <cell r="BP22">
            <v>-12835.982</v>
          </cell>
          <cell r="BQ22">
            <v>-12470.188</v>
          </cell>
          <cell r="BR22">
            <v>-11461.932036908755</v>
          </cell>
          <cell r="BS22">
            <v>-10790.958745320993</v>
          </cell>
          <cell r="BT22">
            <v>-10163.018151368413</v>
          </cell>
          <cell r="BU22">
            <v>-9575.3503641746211</v>
          </cell>
          <cell r="BV22">
            <v>-9025.3724977471284</v>
          </cell>
          <cell r="BW22">
            <v>-8510.6673188151581</v>
          </cell>
          <cell r="BX22">
            <v>-8028.9726227353858</v>
          </cell>
          <cell r="BY22">
            <v>-7578.1712907712208</v>
          </cell>
          <cell r="BZ22">
            <v>-7156.2819850459055</v>
          </cell>
          <cell r="CA22">
            <v>-6761.4504402723478</v>
          </cell>
          <cell r="CB22">
            <v>-6391.9413139856206</v>
          </cell>
          <cell r="CC22">
            <v>-6046.1305594586829</v>
          </cell>
          <cell r="CD22">
            <v>-5722.4982877791626</v>
          </cell>
        </row>
        <row r="23">
          <cell r="B23" t="str">
            <v>Amortization</v>
          </cell>
          <cell r="C23" t="str">
            <v>GOODWILL_AMORT</v>
          </cell>
          <cell r="D23" t="str">
            <v>TWD</v>
          </cell>
          <cell r="F23">
            <v>-25.337</v>
          </cell>
          <cell r="G23">
            <v>-35.481999999999999</v>
          </cell>
          <cell r="H23">
            <v>-267.96899999999999</v>
          </cell>
          <cell r="I23">
            <v>-183.12799999999999</v>
          </cell>
          <cell r="J23">
            <v>-109.151</v>
          </cell>
          <cell r="K23">
            <v>-278.053</v>
          </cell>
          <cell r="L23">
            <v>-1660.7049999999999</v>
          </cell>
          <cell r="M23">
            <v>-2292.7710000000002</v>
          </cell>
          <cell r="N23">
            <v>-2193.4720000000002</v>
          </cell>
          <cell r="O23">
            <v>-1556.2819999999999</v>
          </cell>
          <cell r="P23">
            <v>-1181.3789999999999</v>
          </cell>
          <cell r="Q23">
            <v>-2387.6790000000001</v>
          </cell>
          <cell r="R23">
            <v>-1681.38</v>
          </cell>
          <cell r="S23">
            <v>-342.16800000000001</v>
          </cell>
          <cell r="T23">
            <v>-1314.885</v>
          </cell>
          <cell r="U23">
            <v>-699.54100000000005</v>
          </cell>
          <cell r="V23">
            <v>-544.32100000000003</v>
          </cell>
          <cell r="W23">
            <v>-455.73099999999999</v>
          </cell>
          <cell r="X23">
            <v>-723.77</v>
          </cell>
          <cell r="Y23">
            <v>-1190.5239999999999</v>
          </cell>
          <cell r="Z23">
            <v>-1871.778</v>
          </cell>
          <cell r="AA23">
            <v>-1999.1010000000001</v>
          </cell>
          <cell r="AB23">
            <v>-2292.5659999999998</v>
          </cell>
          <cell r="AC23">
            <v>-2133.7260000000001</v>
          </cell>
          <cell r="AD23">
            <v>-2083.7996465683923</v>
          </cell>
          <cell r="AE23">
            <v>-2021.550586273569</v>
          </cell>
          <cell r="AF23">
            <v>-2021.550586273569</v>
          </cell>
          <cell r="AG23">
            <v>-2021.550586273569</v>
          </cell>
          <cell r="AI23">
            <v>-141.23599999999999</v>
          </cell>
          <cell r="AJ23">
            <v>-144.26300000000001</v>
          </cell>
          <cell r="AK23">
            <v>-134.79</v>
          </cell>
          <cell r="AL23">
            <v>-124.032</v>
          </cell>
          <cell r="AM23">
            <v>-108.276</v>
          </cell>
          <cell r="AN23">
            <v>-114.24299999999999</v>
          </cell>
          <cell r="AO23">
            <v>-108.874</v>
          </cell>
          <cell r="AP23">
            <v>-124.33799999999999</v>
          </cell>
          <cell r="AQ23">
            <v>-148.643</v>
          </cell>
          <cell r="AR23">
            <v>-168.90100000000001</v>
          </cell>
          <cell r="AS23">
            <v>-201.87200000000001</v>
          </cell>
          <cell r="AT23">
            <v>-204.35400000000001</v>
          </cell>
          <cell r="AU23">
            <v>-169.32</v>
          </cell>
          <cell r="AV23">
            <v>-283.26100000000002</v>
          </cell>
          <cell r="AW23">
            <v>-341.24700000000001</v>
          </cell>
          <cell r="AX23">
            <v>-396.69600000000003</v>
          </cell>
          <cell r="AY23">
            <v>-400.08300000000003</v>
          </cell>
          <cell r="AZ23">
            <v>-427.29700000000003</v>
          </cell>
          <cell r="BA23">
            <v>-473.399</v>
          </cell>
          <cell r="BB23">
            <v>-570.99900000000002</v>
          </cell>
          <cell r="BC23">
            <v>-437.399</v>
          </cell>
          <cell r="BD23">
            <v>-471.86900000000003</v>
          </cell>
          <cell r="BE23">
            <v>-498.416</v>
          </cell>
          <cell r="BF23">
            <v>-591.41700000000003</v>
          </cell>
          <cell r="BG23">
            <v>-569.84900000000005</v>
          </cell>
          <cell r="BH23">
            <v>-559.96799999999996</v>
          </cell>
          <cell r="BI23">
            <v>-565.62300000000005</v>
          </cell>
          <cell r="BJ23">
            <v>-597.12599999999998</v>
          </cell>
          <cell r="BK23">
            <v>-567.99800000000005</v>
          </cell>
          <cell r="BL23">
            <v>-538.98</v>
          </cell>
          <cell r="BM23">
            <v>-498.28300000000002</v>
          </cell>
          <cell r="BN23">
            <v>-528.46500000000003</v>
          </cell>
          <cell r="BO23">
            <v>-538.30899999999997</v>
          </cell>
          <cell r="BP23">
            <v>-537.04600000000005</v>
          </cell>
          <cell r="BQ23">
            <v>-503.05700000000002</v>
          </cell>
          <cell r="BR23">
            <v>-505.38764656839226</v>
          </cell>
          <cell r="BS23">
            <v>-505.38764656839226</v>
          </cell>
          <cell r="BT23">
            <v>-505.38764656839226</v>
          </cell>
          <cell r="BU23">
            <v>-505.38764656839226</v>
          </cell>
          <cell r="BV23">
            <v>-505.38764656839226</v>
          </cell>
          <cell r="BW23">
            <v>-505.38764656839226</v>
          </cell>
          <cell r="BX23">
            <v>-505.38764656839226</v>
          </cell>
          <cell r="BY23">
            <v>-505.38764656839226</v>
          </cell>
          <cell r="BZ23">
            <v>-505.38764656839226</v>
          </cell>
          <cell r="CA23">
            <v>-505.38764656839226</v>
          </cell>
          <cell r="CB23">
            <v>-505.38764656839226</v>
          </cell>
          <cell r="CC23">
            <v>-505.38764656839226</v>
          </cell>
          <cell r="CD23">
            <v>-505.38764656839226</v>
          </cell>
        </row>
        <row r="24">
          <cell r="B24" t="str">
            <v>EBIT, operating profit</v>
          </cell>
          <cell r="C24" t="str">
            <v>EBIT</v>
          </cell>
          <cell r="D24" t="str">
            <v>TWD</v>
          </cell>
          <cell r="F24">
            <v>6651.4889999999996</v>
          </cell>
          <cell r="G24">
            <v>12520</v>
          </cell>
          <cell r="H24">
            <v>6119.2209999999995</v>
          </cell>
          <cell r="I24">
            <v>3586.3939999999998</v>
          </cell>
          <cell r="J24">
            <v>392.23099999999999</v>
          </cell>
          <cell r="K24">
            <v>5521.3940000000002</v>
          </cell>
          <cell r="L24">
            <v>43573.127</v>
          </cell>
          <cell r="M24">
            <v>-5590.174</v>
          </cell>
          <cell r="N24">
            <v>140.971</v>
          </cell>
          <cell r="O24">
            <v>9936.3340000000007</v>
          </cell>
          <cell r="P24">
            <v>24454.991999999998</v>
          </cell>
          <cell r="Q24">
            <v>-2668.7190000000001</v>
          </cell>
          <cell r="R24">
            <v>6124.1379999999999</v>
          </cell>
          <cell r="S24">
            <v>1325.9290000000001</v>
          </cell>
          <cell r="T24">
            <v>-2100.52</v>
          </cell>
          <cell r="U24">
            <v>1847.48899999999</v>
          </cell>
          <cell r="V24">
            <v>22019.678</v>
          </cell>
          <cell r="W24">
            <v>5179.8669999999984</v>
          </cell>
          <cell r="X24">
            <v>853.01899999998977</v>
          </cell>
          <cell r="Y24">
            <v>4032.1199999999931</v>
          </cell>
          <cell r="Z24">
            <v>10076.332000000008</v>
          </cell>
          <cell r="AA24">
            <v>10835.657000000008</v>
          </cell>
          <cell r="AB24">
            <v>6193.5760000000218</v>
          </cell>
          <cell r="AC24">
            <v>6568.3210000000054</v>
          </cell>
          <cell r="AD24">
            <v>8189.2484565392133</v>
          </cell>
          <cell r="AE24">
            <v>10624.435047645235</v>
          </cell>
          <cell r="AF24">
            <v>33871.98823201059</v>
          </cell>
          <cell r="AG24">
            <v>12660.221391345793</v>
          </cell>
          <cell r="AI24">
            <v>3160.2659999999996</v>
          </cell>
          <cell r="AJ24">
            <v>5334.8589999999995</v>
          </cell>
          <cell r="AK24">
            <v>7154.5869999999986</v>
          </cell>
          <cell r="AL24">
            <v>6369.9660000000003</v>
          </cell>
          <cell r="AM24">
            <v>3860.1450000000004</v>
          </cell>
          <cell r="AN24">
            <v>2512.6529999999989</v>
          </cell>
          <cell r="AO24">
            <v>162.28299999999925</v>
          </cell>
          <cell r="AP24">
            <v>-1355.2140000000002</v>
          </cell>
          <cell r="AQ24">
            <v>264.98500000000058</v>
          </cell>
          <cell r="AR24">
            <v>2170.264000000001</v>
          </cell>
          <cell r="AS24">
            <v>-732.49800000000027</v>
          </cell>
          <cell r="AT24">
            <v>-849.73200000000065</v>
          </cell>
          <cell r="AU24">
            <v>293.99300000000011</v>
          </cell>
          <cell r="AV24">
            <v>1149.4690000000014</v>
          </cell>
          <cell r="AW24">
            <v>2394.7779999999998</v>
          </cell>
          <cell r="AX24">
            <v>193.87999999999909</v>
          </cell>
          <cell r="AY24">
            <v>940.63900000000149</v>
          </cell>
          <cell r="AZ24">
            <v>2916.7570000000001</v>
          </cell>
          <cell r="BA24">
            <v>1686.4969999999989</v>
          </cell>
          <cell r="BB24">
            <v>4532.4390000000003</v>
          </cell>
          <cell r="BC24">
            <v>4098.6719999999996</v>
          </cell>
          <cell r="BD24">
            <v>3876.4310000000009</v>
          </cell>
          <cell r="BE24">
            <v>980.76199999999812</v>
          </cell>
          <cell r="BF24">
            <v>1879.791999999999</v>
          </cell>
          <cell r="BG24">
            <v>-16.448000000000206</v>
          </cell>
          <cell r="BH24">
            <v>2448.9050000000016</v>
          </cell>
          <cell r="BI24">
            <v>1484.9839999999999</v>
          </cell>
          <cell r="BJ24">
            <v>2276.1350000000002</v>
          </cell>
          <cell r="BK24">
            <v>1370.8229999999999</v>
          </cell>
          <cell r="BL24">
            <v>1667.5650000000001</v>
          </cell>
          <cell r="BM24">
            <v>1629.0859999999989</v>
          </cell>
          <cell r="BN24">
            <v>1900.8469999999998</v>
          </cell>
          <cell r="BO24">
            <v>769.39199999999914</v>
          </cell>
          <cell r="BP24">
            <v>3181.1309999999994</v>
          </cell>
          <cell r="BQ24">
            <v>2435.4340000000002</v>
          </cell>
          <cell r="BR24">
            <v>1803.2914565391886</v>
          </cell>
          <cell r="BS24">
            <v>2865.9538492803722</v>
          </cell>
          <cell r="BT24">
            <v>2807.7533467448893</v>
          </cell>
          <cell r="BU24">
            <v>978.49600564743855</v>
          </cell>
          <cell r="BV24">
            <v>3972.2318459725548</v>
          </cell>
          <cell r="BW24">
            <v>7094.403425824009</v>
          </cell>
          <cell r="BX24">
            <v>8690.2334867365626</v>
          </cell>
          <cell r="BY24">
            <v>11260.776241668371</v>
          </cell>
          <cell r="BZ24">
            <v>6826.5750777816656</v>
          </cell>
          <cell r="CA24">
            <v>8802.5538545452127</v>
          </cell>
          <cell r="CB24">
            <v>4996.041556946434</v>
          </cell>
          <cell r="CC24">
            <v>1474.5530809810837</v>
          </cell>
          <cell r="CD24">
            <v>-2612.9271011269448</v>
          </cell>
        </row>
        <row r="25">
          <cell r="B25" t="str">
            <v>Interest income</v>
          </cell>
          <cell r="C25" t="str">
            <v>INT_INC_IND</v>
          </cell>
          <cell r="D25" t="str">
            <v>TWD</v>
          </cell>
          <cell r="F25">
            <v>487.56900000000002</v>
          </cell>
          <cell r="G25">
            <v>695.67899999999997</v>
          </cell>
          <cell r="H25">
            <v>767.65499999999997</v>
          </cell>
          <cell r="I25">
            <v>948.149</v>
          </cell>
          <cell r="J25">
            <v>1863.116</v>
          </cell>
          <cell r="K25">
            <v>778.96600000000001</v>
          </cell>
          <cell r="L25">
            <v>1817.3820000000001</v>
          </cell>
          <cell r="M25">
            <v>2223.8249999999998</v>
          </cell>
          <cell r="N25">
            <v>1332.9069999999999</v>
          </cell>
          <cell r="O25">
            <v>966.97299999999996</v>
          </cell>
          <cell r="P25">
            <v>871.59799999999996</v>
          </cell>
          <cell r="Q25">
            <v>945.61</v>
          </cell>
          <cell r="R25">
            <v>1453.04</v>
          </cell>
          <cell r="S25">
            <v>1185.3699999999999</v>
          </cell>
          <cell r="T25">
            <v>686.26800000000003</v>
          </cell>
          <cell r="U25">
            <v>170.495</v>
          </cell>
          <cell r="V25">
            <v>143.47999999999999</v>
          </cell>
          <cell r="W25">
            <v>229.244</v>
          </cell>
          <cell r="X25">
            <v>211.37099999999998</v>
          </cell>
          <cell r="Y25">
            <v>301.726</v>
          </cell>
          <cell r="Z25">
            <v>495.73</v>
          </cell>
          <cell r="AA25">
            <v>356.08399999999995</v>
          </cell>
          <cell r="AB25">
            <v>293.78999999999996</v>
          </cell>
          <cell r="AC25">
            <v>353.15899999999999</v>
          </cell>
          <cell r="AD25">
            <v>654.23825000000011</v>
          </cell>
          <cell r="AE25">
            <v>550.68205010986321</v>
          </cell>
          <cell r="AF25">
            <v>587.79759076435869</v>
          </cell>
          <cell r="AG25">
            <v>578.21349096800714</v>
          </cell>
          <cell r="AI25">
            <v>34.317</v>
          </cell>
          <cell r="AJ25">
            <v>34.65</v>
          </cell>
          <cell r="AK25">
            <v>38.034999999999997</v>
          </cell>
          <cell r="AL25">
            <v>36.478000000000002</v>
          </cell>
          <cell r="AM25">
            <v>39.170999999999999</v>
          </cell>
          <cell r="AN25">
            <v>53.131999999999998</v>
          </cell>
          <cell r="AO25">
            <v>61.454000000000001</v>
          </cell>
          <cell r="AP25">
            <v>75.486999999999995</v>
          </cell>
          <cell r="AQ25">
            <v>59.906999999999996</v>
          </cell>
          <cell r="AR25">
            <v>58.095999999999997</v>
          </cell>
          <cell r="AS25">
            <v>50.374000000000002</v>
          </cell>
          <cell r="AT25">
            <v>42.994</v>
          </cell>
          <cell r="AU25">
            <v>53.978000000000002</v>
          </cell>
          <cell r="AV25">
            <v>73.201999999999998</v>
          </cell>
          <cell r="AW25">
            <v>78.59</v>
          </cell>
          <cell r="AX25">
            <v>95.956000000000003</v>
          </cell>
          <cell r="AY25">
            <v>124.27800000000001</v>
          </cell>
          <cell r="AZ25">
            <v>135.97999999999999</v>
          </cell>
          <cell r="BA25">
            <v>129.39599999999999</v>
          </cell>
          <cell r="BB25">
            <v>106.07599999999999</v>
          </cell>
          <cell r="BC25">
            <v>74.094999999999999</v>
          </cell>
          <cell r="BD25">
            <v>89.427000000000007</v>
          </cell>
          <cell r="BE25">
            <v>105.378</v>
          </cell>
          <cell r="BF25">
            <v>87.183999999999997</v>
          </cell>
          <cell r="BG25">
            <v>99.47</v>
          </cell>
          <cell r="BH25">
            <v>76.213999999999999</v>
          </cell>
          <cell r="BI25">
            <v>50.658000000000001</v>
          </cell>
          <cell r="BJ25">
            <v>67.447999999999993</v>
          </cell>
          <cell r="BK25">
            <v>54.332000000000001</v>
          </cell>
          <cell r="BL25">
            <v>78.831999999999994</v>
          </cell>
          <cell r="BM25">
            <v>92.873000000000005</v>
          </cell>
          <cell r="BN25">
            <v>127.122</v>
          </cell>
          <cell r="BO25">
            <v>139.453</v>
          </cell>
          <cell r="BP25">
            <v>204.85400000000001</v>
          </cell>
          <cell r="BQ25">
            <v>190.50399999999999</v>
          </cell>
          <cell r="BR25">
            <v>119.42725000000002</v>
          </cell>
          <cell r="BS25">
            <v>125.92465625</v>
          </cell>
          <cell r="BT25">
            <v>134.87373828125001</v>
          </cell>
          <cell r="BU25">
            <v>141.87895556640626</v>
          </cell>
          <cell r="BV25">
            <v>148.00470001220702</v>
          </cell>
          <cell r="BW25">
            <v>150.61503751373291</v>
          </cell>
          <cell r="BX25">
            <v>152.01029220294953</v>
          </cell>
          <cell r="BY25">
            <v>145.40482872831822</v>
          </cell>
          <cell r="BZ25">
            <v>139.76743231935802</v>
          </cell>
          <cell r="CA25">
            <v>142.30995510927772</v>
          </cell>
          <cell r="CB25">
            <v>144.35811746668745</v>
          </cell>
          <cell r="CC25">
            <v>145.54366486486714</v>
          </cell>
          <cell r="CD25">
            <v>146.00175352717477</v>
          </cell>
        </row>
        <row r="26">
          <cell r="B26" t="str">
            <v>Interest expense</v>
          </cell>
          <cell r="C26" t="str">
            <v>INT_EXP_IND</v>
          </cell>
          <cell r="D26" t="str">
            <v>TWD</v>
          </cell>
          <cell r="F26">
            <v>-367.48899999999998</v>
          </cell>
          <cell r="G26">
            <v>-297.57900000000001</v>
          </cell>
          <cell r="H26">
            <v>-901.39800000000002</v>
          </cell>
          <cell r="I26">
            <v>-951.19600000000003</v>
          </cell>
          <cell r="J26">
            <v>-1647.1780000000001</v>
          </cell>
          <cell r="K26">
            <v>-989.35699999999997</v>
          </cell>
          <cell r="L26">
            <v>-2343.0129999999999</v>
          </cell>
          <cell r="M26">
            <v>-2488.239</v>
          </cell>
          <cell r="N26">
            <v>-1418.1420000000001</v>
          </cell>
          <cell r="O26">
            <v>-1234.134</v>
          </cell>
          <cell r="P26">
            <v>-1179.145</v>
          </cell>
          <cell r="Q26">
            <v>-918.173</v>
          </cell>
          <cell r="R26">
            <v>-630.73800000000006</v>
          </cell>
          <cell r="S26">
            <v>-184.458</v>
          </cell>
          <cell r="T26">
            <v>-71.161000000000001</v>
          </cell>
          <cell r="U26">
            <v>-58.255000000000003</v>
          </cell>
          <cell r="V26">
            <v>-351.82800000000003</v>
          </cell>
          <cell r="W26">
            <v>-553.69799999999998</v>
          </cell>
          <cell r="X26">
            <v>-754.66599999999994</v>
          </cell>
          <cell r="Y26">
            <v>-802.66700000000003</v>
          </cell>
          <cell r="Z26">
            <v>-992.21500000000003</v>
          </cell>
          <cell r="AA26">
            <v>-470.30999999999995</v>
          </cell>
          <cell r="AB26">
            <v>-1406.7930000000001</v>
          </cell>
          <cell r="AC26">
            <v>-2406.8720000000003</v>
          </cell>
          <cell r="AD26">
            <v>-2697.4456249999998</v>
          </cell>
          <cell r="AE26">
            <v>-2615.4798773498542</v>
          </cell>
          <cell r="AF26">
            <v>-2638.0618426006813</v>
          </cell>
          <cell r="AG26">
            <v>-2635.4132077155937</v>
          </cell>
          <cell r="AI26">
            <v>-108.59</v>
          </cell>
          <cell r="AJ26">
            <v>-96.478999999999999</v>
          </cell>
          <cell r="AK26">
            <v>-66.23</v>
          </cell>
          <cell r="AL26">
            <v>-80.528999999999996</v>
          </cell>
          <cell r="AM26">
            <v>-111.286</v>
          </cell>
          <cell r="AN26">
            <v>-122.964</v>
          </cell>
          <cell r="AO26">
            <v>-150.82</v>
          </cell>
          <cell r="AP26">
            <v>-168.62799999999999</v>
          </cell>
          <cell r="AQ26">
            <v>-119.527</v>
          </cell>
          <cell r="AR26">
            <v>-78.408000000000001</v>
          </cell>
          <cell r="AS26">
            <v>-357.16699999999997</v>
          </cell>
          <cell r="AT26">
            <v>-199.56399999999999</v>
          </cell>
          <cell r="AU26">
            <v>-192.578</v>
          </cell>
          <cell r="AV26">
            <v>-207.14500000000001</v>
          </cell>
          <cell r="AW26">
            <v>-201.804</v>
          </cell>
          <cell r="AX26">
            <v>-201.14</v>
          </cell>
          <cell r="AY26">
            <v>-198.65600000000001</v>
          </cell>
          <cell r="AZ26">
            <v>-391.52800000000002</v>
          </cell>
          <cell r="BA26">
            <v>-206.023</v>
          </cell>
          <cell r="BB26">
            <v>-196.00800000000001</v>
          </cell>
          <cell r="BC26">
            <v>-176.375</v>
          </cell>
          <cell r="BD26">
            <v>-212.155</v>
          </cell>
          <cell r="BE26">
            <v>-235.28399999999999</v>
          </cell>
          <cell r="BF26">
            <v>153.50399999999999</v>
          </cell>
          <cell r="BG26">
            <v>-252.87100000000001</v>
          </cell>
          <cell r="BH26">
            <v>-277.59800000000001</v>
          </cell>
          <cell r="BI26">
            <v>-389.98899999999998</v>
          </cell>
          <cell r="BJ26">
            <v>-486.33499999999998</v>
          </cell>
          <cell r="BK26">
            <v>-526.68299999999999</v>
          </cell>
          <cell r="BL26">
            <v>-580.77099999999996</v>
          </cell>
          <cell r="BM26">
            <v>-630.73599999999999</v>
          </cell>
          <cell r="BN26">
            <v>-668.68200000000002</v>
          </cell>
          <cell r="BO26">
            <v>-668.97900000000004</v>
          </cell>
          <cell r="BP26">
            <v>-710.04100000000005</v>
          </cell>
          <cell r="BQ26">
            <v>-697.24199999999996</v>
          </cell>
          <cell r="BR26">
            <v>-621.18362500000012</v>
          </cell>
          <cell r="BS26">
            <v>-638.03970312500019</v>
          </cell>
          <cell r="BT26">
            <v>-651.95929101562513</v>
          </cell>
          <cell r="BU26">
            <v>-660.8578273925782</v>
          </cell>
          <cell r="BV26">
            <v>-664.62305581665055</v>
          </cell>
          <cell r="BW26">
            <v>-664.11568779373181</v>
          </cell>
          <cell r="BX26">
            <v>-663.50777376794827</v>
          </cell>
          <cell r="BY26">
            <v>-657.69112048894181</v>
          </cell>
          <cell r="BZ26">
            <v>-652.74726055005954</v>
          </cell>
          <cell r="CA26">
            <v>-656.69271499381705</v>
          </cell>
          <cell r="CB26">
            <v>-659.02434147741917</v>
          </cell>
          <cell r="CC26">
            <v>-659.90747278514345</v>
          </cell>
          <cell r="CD26">
            <v>-659.788678459214</v>
          </cell>
        </row>
        <row r="27">
          <cell r="B27" t="str">
            <v>Net interest income/(expense)</v>
          </cell>
          <cell r="C27" t="str">
            <v>NET_INT_EXP</v>
          </cell>
          <cell r="D27" t="str">
            <v>TWD</v>
          </cell>
          <cell r="F27">
            <v>120.08</v>
          </cell>
          <cell r="G27">
            <v>398.1</v>
          </cell>
          <cell r="H27">
            <v>-133.74299999999999</v>
          </cell>
          <cell r="I27">
            <v>-3.0470000000000002</v>
          </cell>
          <cell r="J27">
            <v>215.93799999999999</v>
          </cell>
          <cell r="K27">
            <v>-210.39099999999999</v>
          </cell>
          <cell r="L27">
            <v>-525.63099999999997</v>
          </cell>
          <cell r="M27">
            <v>-264.41399999999999</v>
          </cell>
          <cell r="N27">
            <v>-85.234999999999999</v>
          </cell>
          <cell r="O27">
            <v>-267.161</v>
          </cell>
          <cell r="P27">
            <v>-307.54700000000003</v>
          </cell>
          <cell r="Q27">
            <v>27.437000000000001</v>
          </cell>
          <cell r="R27">
            <v>822.30200000000002</v>
          </cell>
          <cell r="S27">
            <v>1000.912</v>
          </cell>
          <cell r="T27">
            <v>615.10699999999997</v>
          </cell>
          <cell r="U27">
            <v>112.24</v>
          </cell>
          <cell r="V27">
            <v>-208.34800000000004</v>
          </cell>
          <cell r="W27">
            <v>-324.45399999999995</v>
          </cell>
          <cell r="X27">
            <v>-543.29499999999996</v>
          </cell>
          <cell r="Y27">
            <v>-500.94100000000003</v>
          </cell>
          <cell r="Z27">
            <v>-496.48500000000001</v>
          </cell>
          <cell r="AA27">
            <v>-114.226</v>
          </cell>
          <cell r="AB27">
            <v>-1113.0030000000002</v>
          </cell>
          <cell r="AC27">
            <v>-2053.7130000000002</v>
          </cell>
          <cell r="AD27">
            <v>-2043.2073749999997</v>
          </cell>
          <cell r="AE27">
            <v>-2064.797827239991</v>
          </cell>
          <cell r="AF27">
            <v>-2050.2642518363227</v>
          </cell>
          <cell r="AG27">
            <v>-2057.1997167475865</v>
          </cell>
          <cell r="AI27">
            <v>-74.272999999999996</v>
          </cell>
          <cell r="AJ27">
            <v>-61.829000000000001</v>
          </cell>
          <cell r="AK27">
            <v>-28.195000000000007</v>
          </cell>
          <cell r="AL27">
            <v>-44.050999999999995</v>
          </cell>
          <cell r="AM27">
            <v>-72.115000000000009</v>
          </cell>
          <cell r="AN27">
            <v>-69.831999999999994</v>
          </cell>
          <cell r="AO27">
            <v>-89.365999999999985</v>
          </cell>
          <cell r="AP27">
            <v>-93.140999999999991</v>
          </cell>
          <cell r="AQ27">
            <v>-59.620000000000005</v>
          </cell>
          <cell r="AR27">
            <v>-20.312000000000005</v>
          </cell>
          <cell r="AS27">
            <v>-306.79299999999995</v>
          </cell>
          <cell r="AT27">
            <v>-156.57</v>
          </cell>
          <cell r="AU27">
            <v>-138.6</v>
          </cell>
          <cell r="AV27">
            <v>-133.94300000000001</v>
          </cell>
          <cell r="AW27">
            <v>-123.214</v>
          </cell>
          <cell r="AX27">
            <v>-105.18399999999998</v>
          </cell>
          <cell r="AY27">
            <v>-74.378</v>
          </cell>
          <cell r="AZ27">
            <v>-255.54800000000003</v>
          </cell>
          <cell r="BA27">
            <v>-76.62700000000001</v>
          </cell>
          <cell r="BB27">
            <v>-89.932000000000016</v>
          </cell>
          <cell r="BC27">
            <v>-102.28</v>
          </cell>
          <cell r="BD27">
            <v>-122.72799999999999</v>
          </cell>
          <cell r="BE27">
            <v>-129.90600000000001</v>
          </cell>
          <cell r="BF27">
            <v>240.68799999999999</v>
          </cell>
          <cell r="BG27">
            <v>-153.40100000000001</v>
          </cell>
          <cell r="BH27">
            <v>-201.38400000000001</v>
          </cell>
          <cell r="BI27">
            <v>-339.33099999999996</v>
          </cell>
          <cell r="BJ27">
            <v>-418.887</v>
          </cell>
          <cell r="BK27">
            <v>-472.351</v>
          </cell>
          <cell r="BL27">
            <v>-501.93899999999996</v>
          </cell>
          <cell r="BM27">
            <v>-537.86299999999994</v>
          </cell>
          <cell r="BN27">
            <v>-541.56000000000006</v>
          </cell>
          <cell r="BO27">
            <v>-529.52600000000007</v>
          </cell>
          <cell r="BP27">
            <v>-505.18700000000001</v>
          </cell>
          <cell r="BQ27">
            <v>-506.73799999999994</v>
          </cell>
          <cell r="BR27">
            <v>-501.75637500000011</v>
          </cell>
          <cell r="BS27">
            <v>-512.11504687500019</v>
          </cell>
          <cell r="BT27">
            <v>-517.08555273437514</v>
          </cell>
          <cell r="BU27">
            <v>-518.97887182617194</v>
          </cell>
          <cell r="BV27">
            <v>-516.61835580444358</v>
          </cell>
          <cell r="BW27">
            <v>-513.50065027999892</v>
          </cell>
          <cell r="BX27">
            <v>-511.49748156499874</v>
          </cell>
          <cell r="BY27">
            <v>-512.28629176062361</v>
          </cell>
          <cell r="BZ27">
            <v>-512.97982823070151</v>
          </cell>
          <cell r="CA27">
            <v>-514.38275988453938</v>
          </cell>
          <cell r="CB27">
            <v>-514.66622401073175</v>
          </cell>
          <cell r="CC27">
            <v>-514.36380792027626</v>
          </cell>
          <cell r="CD27">
            <v>-513.78692493203926</v>
          </cell>
        </row>
        <row r="28">
          <cell r="B28" t="str">
            <v>Income/(loss) from unconsolidated subs &amp; associates</v>
          </cell>
          <cell r="C28" t="str">
            <v>ASSOCIATE</v>
          </cell>
          <cell r="D28" t="str">
            <v>TWD</v>
          </cell>
          <cell r="F28">
            <v>68.703999999999994</v>
          </cell>
          <cell r="G28">
            <v>184.44300000000001</v>
          </cell>
          <cell r="H28">
            <v>501.34699999999998</v>
          </cell>
          <cell r="I28">
            <v>2292.3330000000001</v>
          </cell>
          <cell r="J28">
            <v>2458.029</v>
          </cell>
          <cell r="K28">
            <v>4748.076</v>
          </cell>
          <cell r="L28">
            <v>5024.1189999999997</v>
          </cell>
          <cell r="M28">
            <v>-1730.4469999999999</v>
          </cell>
          <cell r="N28">
            <v>490.34699999999998</v>
          </cell>
          <cell r="O28">
            <v>-629.404</v>
          </cell>
          <cell r="P28">
            <v>-1467.8720000000001</v>
          </cell>
          <cell r="Q28">
            <v>-1754.701</v>
          </cell>
          <cell r="R28">
            <v>1630.942</v>
          </cell>
          <cell r="S28">
            <v>4439.2820000000002</v>
          </cell>
          <cell r="T28">
            <v>-8371.3209999999999</v>
          </cell>
          <cell r="U28">
            <v>1121.433</v>
          </cell>
          <cell r="V28">
            <v>114.608</v>
          </cell>
          <cell r="W28">
            <v>-312.26099999999997</v>
          </cell>
          <cell r="X28">
            <v>715.52800000000002</v>
          </cell>
          <cell r="Y28">
            <v>748.601</v>
          </cell>
          <cell r="Z28">
            <v>45.520999999999987</v>
          </cell>
          <cell r="AA28">
            <v>69.457000000000022</v>
          </cell>
          <cell r="AB28">
            <v>-190.11399999999998</v>
          </cell>
          <cell r="AC28">
            <v>276.96199999999999</v>
          </cell>
          <cell r="AD28">
            <v>364.33299999999997</v>
          </cell>
          <cell r="AE28">
            <v>354.67266772460937</v>
          </cell>
          <cell r="AF28">
            <v>299.49809056180715</v>
          </cell>
          <cell r="AG28">
            <v>324.6993735781291</v>
          </cell>
          <cell r="AI28">
            <v>-156.036</v>
          </cell>
          <cell r="AJ28">
            <v>-157.69399999999999</v>
          </cell>
          <cell r="AK28">
            <v>300.71300000000002</v>
          </cell>
          <cell r="AL28">
            <v>127.625</v>
          </cell>
          <cell r="AM28">
            <v>-70.997</v>
          </cell>
          <cell r="AN28">
            <v>79.986000000000004</v>
          </cell>
          <cell r="AO28">
            <v>-282.36599999999999</v>
          </cell>
          <cell r="AP28">
            <v>-38.884</v>
          </cell>
          <cell r="AQ28">
            <v>258.36900000000003</v>
          </cell>
          <cell r="AR28">
            <v>68.742000000000004</v>
          </cell>
          <cell r="AS28">
            <v>273.73599999999999</v>
          </cell>
          <cell r="AT28">
            <v>114.681</v>
          </cell>
          <cell r="AU28">
            <v>181.37700000000001</v>
          </cell>
          <cell r="AV28">
            <v>129.63300000000001</v>
          </cell>
          <cell r="AW28">
            <v>215.50399999999999</v>
          </cell>
          <cell r="AX28">
            <v>222.08699999999999</v>
          </cell>
          <cell r="AY28">
            <v>-35.381</v>
          </cell>
          <cell r="AZ28">
            <v>131.62899999999999</v>
          </cell>
          <cell r="BA28">
            <v>-54.459000000000003</v>
          </cell>
          <cell r="BB28">
            <v>3.7320000000000002</v>
          </cell>
          <cell r="BC28">
            <v>41.805999999999997</v>
          </cell>
          <cell r="BD28">
            <v>-8.5370000000000008</v>
          </cell>
          <cell r="BE28">
            <v>-158.70699999999999</v>
          </cell>
          <cell r="BF28">
            <v>194.89500000000001</v>
          </cell>
          <cell r="BG28">
            <v>-100.425</v>
          </cell>
          <cell r="BH28">
            <v>-225.321</v>
          </cell>
          <cell r="BI28">
            <v>232.84100000000001</v>
          </cell>
          <cell r="BJ28">
            <v>-97.209000000000003</v>
          </cell>
          <cell r="BK28">
            <v>50.04</v>
          </cell>
          <cell r="BL28">
            <v>-58.54</v>
          </cell>
          <cell r="BM28">
            <v>204.834</v>
          </cell>
          <cell r="BN28">
            <v>80.628</v>
          </cell>
          <cell r="BO28">
            <v>207.215</v>
          </cell>
          <cell r="BP28">
            <v>79.936000000000007</v>
          </cell>
          <cell r="BQ28">
            <v>193.18199999999999</v>
          </cell>
          <cell r="BR28">
            <v>-116</v>
          </cell>
          <cell r="BS28">
            <v>80.161875000000009</v>
          </cell>
          <cell r="BT28">
            <v>83.927109375000015</v>
          </cell>
          <cell r="BU28">
            <v>101.73549804687501</v>
          </cell>
          <cell r="BV28">
            <v>88.848185302734379</v>
          </cell>
          <cell r="BW28">
            <v>89.875708465576167</v>
          </cell>
          <cell r="BX28">
            <v>75.208297023773198</v>
          </cell>
          <cell r="BY28">
            <v>74.617334151744842</v>
          </cell>
          <cell r="BZ28">
            <v>59.796750920712945</v>
          </cell>
          <cell r="CA28">
            <v>81.771344785802071</v>
          </cell>
          <cell r="CB28">
            <v>81.972528509027327</v>
          </cell>
          <cell r="CC28">
            <v>81.72820590078075</v>
          </cell>
          <cell r="CD28">
            <v>79.227294382518963</v>
          </cell>
        </row>
        <row r="29">
          <cell r="B29" t="str">
            <v>Profit/(loss) on disposals of assets, pre-tax</v>
          </cell>
          <cell r="C29" t="str">
            <v>PROFIT_ON_DISP</v>
          </cell>
          <cell r="D29" t="str">
            <v>TWD</v>
          </cell>
          <cell r="F29">
            <v>-128.38399999999999</v>
          </cell>
          <cell r="G29">
            <v>461.51799999999997</v>
          </cell>
          <cell r="H29">
            <v>745.29100000000005</v>
          </cell>
          <cell r="I29">
            <v>2884.308</v>
          </cell>
          <cell r="J29">
            <v>881.08600000000001</v>
          </cell>
          <cell r="K29">
            <v>349.85</v>
          </cell>
          <cell r="L29">
            <v>173.58</v>
          </cell>
          <cell r="M29">
            <v>2193.66</v>
          </cell>
          <cell r="N29">
            <v>7915.0709999999999</v>
          </cell>
          <cell r="O29">
            <v>6628.6350000000002</v>
          </cell>
          <cell r="P29">
            <v>12427.151</v>
          </cell>
          <cell r="Q29">
            <v>10077.715</v>
          </cell>
          <cell r="R29">
            <v>27602.375</v>
          </cell>
          <cell r="S29">
            <v>9788.2999999999993</v>
          </cell>
          <cell r="T29">
            <v>3441.375</v>
          </cell>
          <cell r="U29">
            <v>1975.66</v>
          </cell>
          <cell r="V29">
            <v>2061.9209999999998</v>
          </cell>
          <cell r="W29">
            <v>1709.797</v>
          </cell>
          <cell r="X29">
            <v>4830.4189999999999</v>
          </cell>
          <cell r="Y29">
            <v>2195.0700000000002</v>
          </cell>
          <cell r="Z29">
            <v>2377.91</v>
          </cell>
          <cell r="AA29">
            <v>2495.9209999999998</v>
          </cell>
          <cell r="AB29">
            <v>2097.8180000000002</v>
          </cell>
          <cell r="AC29">
            <v>1276.9559999999999</v>
          </cell>
          <cell r="AD29">
            <v>12.57</v>
          </cell>
          <cell r="AE29">
            <v>0</v>
          </cell>
          <cell r="AF29">
            <v>0</v>
          </cell>
          <cell r="AG29">
            <v>0</v>
          </cell>
          <cell r="AI29">
            <v>275.91899999999998</v>
          </cell>
          <cell r="AJ29">
            <v>311.99099999999999</v>
          </cell>
          <cell r="AK29">
            <v>641.96399999999994</v>
          </cell>
          <cell r="AL29">
            <v>832.04700000000003</v>
          </cell>
          <cell r="AM29">
            <v>433.71199999999999</v>
          </cell>
          <cell r="AN29">
            <v>604.38599999999997</v>
          </cell>
          <cell r="AO29">
            <v>372.11699999999996</v>
          </cell>
          <cell r="AP29">
            <v>299.58199999999994</v>
          </cell>
          <cell r="AQ29">
            <v>757.93299999999999</v>
          </cell>
          <cell r="AR29">
            <v>465.88599999999997</v>
          </cell>
          <cell r="AS29">
            <v>2001.0740000000001</v>
          </cell>
          <cell r="AT29">
            <v>1605.5260000000001</v>
          </cell>
          <cell r="AU29">
            <v>33.116</v>
          </cell>
          <cell r="AV29">
            <v>671.01900000000001</v>
          </cell>
          <cell r="AW29">
            <v>505.61099999999999</v>
          </cell>
          <cell r="AX29">
            <v>985.32399999999996</v>
          </cell>
          <cell r="AY29">
            <v>367.00299999999999</v>
          </cell>
          <cell r="AZ29">
            <v>792.02700000000004</v>
          </cell>
          <cell r="BA29">
            <v>579.798</v>
          </cell>
          <cell r="BB29">
            <v>639.08199999999999</v>
          </cell>
          <cell r="BC29">
            <v>189.697</v>
          </cell>
          <cell r="BD29">
            <v>1318.691</v>
          </cell>
          <cell r="BE29">
            <v>611.94399999999996</v>
          </cell>
          <cell r="BF29">
            <v>375.589</v>
          </cell>
          <cell r="BG29">
            <v>222.62100000000001</v>
          </cell>
          <cell r="BH29">
            <v>547.58000000000004</v>
          </cell>
          <cell r="BI29">
            <v>304.197</v>
          </cell>
          <cell r="BJ29">
            <v>1023.42</v>
          </cell>
          <cell r="BK29">
            <v>488.14</v>
          </cell>
          <cell r="BL29">
            <v>272.447</v>
          </cell>
          <cell r="BM29">
            <v>537.96600000000001</v>
          </cell>
          <cell r="BN29">
            <v>-21.597000000000001</v>
          </cell>
          <cell r="BO29">
            <v>-2.609</v>
          </cell>
          <cell r="BP29">
            <v>15.179</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Other non-ops income/(expense)</v>
          </cell>
          <cell r="C30" t="str">
            <v>OTH_COST_INC</v>
          </cell>
          <cell r="D30" t="str">
            <v>TWD</v>
          </cell>
          <cell r="F30">
            <v>-47.335999999999999</v>
          </cell>
          <cell r="G30">
            <v>-816.88</v>
          </cell>
          <cell r="H30">
            <v>-41.905000000000001</v>
          </cell>
          <cell r="I30">
            <v>1098.2860000000001</v>
          </cell>
          <cell r="J30">
            <v>7.9779999999999998</v>
          </cell>
          <cell r="K30">
            <v>116.735</v>
          </cell>
          <cell r="L30">
            <v>2312.875</v>
          </cell>
          <cell r="M30">
            <v>-961.37199999999996</v>
          </cell>
          <cell r="N30">
            <v>-1377.06</v>
          </cell>
          <cell r="O30">
            <v>-853.03499999999997</v>
          </cell>
          <cell r="P30">
            <v>-3229.4340000000002</v>
          </cell>
          <cell r="Q30">
            <v>1345.798</v>
          </cell>
          <cell r="R30">
            <v>836.28200000000004</v>
          </cell>
          <cell r="S30">
            <v>3011.9259999999999</v>
          </cell>
          <cell r="T30">
            <v>-15570.812</v>
          </cell>
          <cell r="U30">
            <v>-3383.8220000000001</v>
          </cell>
          <cell r="V30">
            <v>1395.7619999999993</v>
          </cell>
          <cell r="W30">
            <v>3127.4020000000005</v>
          </cell>
          <cell r="X30">
            <v>521.91300000000047</v>
          </cell>
          <cell r="Y30">
            <v>7886.9440000000013</v>
          </cell>
          <cell r="Z30">
            <v>1510.018</v>
          </cell>
          <cell r="AA30">
            <v>425.33599999999979</v>
          </cell>
          <cell r="AB30">
            <v>-2141.6390000000001</v>
          </cell>
          <cell r="AC30">
            <v>1729.896</v>
          </cell>
          <cell r="AD30">
            <v>-566.23900000000049</v>
          </cell>
          <cell r="AE30">
            <v>600.0000000000008</v>
          </cell>
          <cell r="AF30">
            <v>600.00000000000136</v>
          </cell>
          <cell r="AG30">
            <v>600.00000000000068</v>
          </cell>
          <cell r="AI30">
            <v>405.51300000000003</v>
          </cell>
          <cell r="AJ30">
            <v>128.26900000000012</v>
          </cell>
          <cell r="AK30">
            <v>1055.8869999999997</v>
          </cell>
          <cell r="AL30">
            <v>-193.90700000000004</v>
          </cell>
          <cell r="AM30">
            <v>707.904</v>
          </cell>
          <cell r="AN30">
            <v>144.18200000000024</v>
          </cell>
          <cell r="AO30">
            <v>868.18200000000002</v>
          </cell>
          <cell r="AP30">
            <v>1407.1340000000005</v>
          </cell>
          <cell r="AQ30">
            <v>51.732000000000085</v>
          </cell>
          <cell r="AR30">
            <v>140.75200000000029</v>
          </cell>
          <cell r="AS30">
            <v>513.1820000000007</v>
          </cell>
          <cell r="AT30">
            <v>-183.75300000000016</v>
          </cell>
          <cell r="AU30">
            <v>7172.8090000000002</v>
          </cell>
          <cell r="AV30">
            <v>-36.004000000000133</v>
          </cell>
          <cell r="AW30">
            <v>963.73899999999992</v>
          </cell>
          <cell r="AX30">
            <v>-213.59999999999991</v>
          </cell>
          <cell r="AY30">
            <v>93.699999999999989</v>
          </cell>
          <cell r="AZ30">
            <v>269.19800000000009</v>
          </cell>
          <cell r="BA30">
            <v>857.11700000000019</v>
          </cell>
          <cell r="BB30">
            <v>290.00300000000027</v>
          </cell>
          <cell r="BC30">
            <v>126.21500000000009</v>
          </cell>
          <cell r="BD30">
            <v>116.53899999999976</v>
          </cell>
          <cell r="BE30">
            <v>87.09800000000007</v>
          </cell>
          <cell r="BF30">
            <v>95.48399999999998</v>
          </cell>
          <cell r="BG30">
            <v>77.74199999999999</v>
          </cell>
          <cell r="BH30">
            <v>-770.36500000000001</v>
          </cell>
          <cell r="BI30">
            <v>267.95099999999979</v>
          </cell>
          <cell r="BJ30">
            <v>-1716.9670000000001</v>
          </cell>
          <cell r="BK30">
            <v>-369.20699999999988</v>
          </cell>
          <cell r="BL30">
            <v>736.81899999999973</v>
          </cell>
          <cell r="BM30">
            <v>1031.4429999999998</v>
          </cell>
          <cell r="BN30">
            <v>330.84099999999995</v>
          </cell>
          <cell r="BO30">
            <v>1412.164</v>
          </cell>
          <cell r="BP30">
            <v>-685.04799999999989</v>
          </cell>
          <cell r="BQ30">
            <v>-1293.3550000000002</v>
          </cell>
          <cell r="BR30">
            <v>-5.6843418860808015E-14</v>
          </cell>
          <cell r="BS30">
            <v>99.999999999999773</v>
          </cell>
          <cell r="BT30">
            <v>99.999999999999858</v>
          </cell>
          <cell r="BU30">
            <v>200</v>
          </cell>
          <cell r="BV30">
            <v>199.99999999999986</v>
          </cell>
          <cell r="BW30">
            <v>100.00000000000023</v>
          </cell>
          <cell r="BX30">
            <v>100.0000000000005</v>
          </cell>
          <cell r="BY30">
            <v>199.99999999999949</v>
          </cell>
          <cell r="BZ30">
            <v>200.00000000000034</v>
          </cell>
          <cell r="CA30">
            <v>99.999999999999531</v>
          </cell>
          <cell r="CB30">
            <v>99.999999999999929</v>
          </cell>
          <cell r="CC30">
            <v>199.99999999999997</v>
          </cell>
          <cell r="CD30">
            <v>200.00000000000023</v>
          </cell>
        </row>
        <row r="31">
          <cell r="B31" t="str">
            <v>Pre-tax profit</v>
          </cell>
          <cell r="C31" t="str">
            <v>PT_PROF</v>
          </cell>
          <cell r="D31" t="str">
            <v>TWD</v>
          </cell>
          <cell r="F31">
            <v>6664.5529999999999</v>
          </cell>
          <cell r="G31">
            <v>12747.181</v>
          </cell>
          <cell r="H31">
            <v>7190.2110000000002</v>
          </cell>
          <cell r="I31">
            <v>9858.2739999999994</v>
          </cell>
          <cell r="J31">
            <v>3955.2620000000002</v>
          </cell>
          <cell r="K31">
            <v>10525.664000000001</v>
          </cell>
          <cell r="L31">
            <v>50558.07</v>
          </cell>
          <cell r="M31">
            <v>-6352.7470000000003</v>
          </cell>
          <cell r="N31">
            <v>7084.0940000000001</v>
          </cell>
          <cell r="O31">
            <v>14815.369000000001</v>
          </cell>
          <cell r="P31">
            <v>31877.29</v>
          </cell>
          <cell r="Q31">
            <v>7027.53</v>
          </cell>
          <cell r="R31">
            <v>37016.038999999997</v>
          </cell>
          <cell r="S31">
            <v>19566.348999999998</v>
          </cell>
          <cell r="T31">
            <v>-21986.170999999998</v>
          </cell>
          <cell r="U31">
            <v>1673</v>
          </cell>
          <cell r="V31">
            <v>25383.620999999999</v>
          </cell>
          <cell r="W31">
            <v>9380.3509999999987</v>
          </cell>
          <cell r="X31">
            <v>6377.5839999999898</v>
          </cell>
          <cell r="Y31">
            <v>14361.793999999994</v>
          </cell>
          <cell r="Z31">
            <v>13513.296000000008</v>
          </cell>
          <cell r="AA31">
            <v>13712.145000000008</v>
          </cell>
          <cell r="AB31">
            <v>4846.6380000000217</v>
          </cell>
          <cell r="AC31">
            <v>7798.422000000005</v>
          </cell>
          <cell r="AD31">
            <v>5956.7050815392131</v>
          </cell>
          <cell r="AE31">
            <v>9514.3098881298538</v>
          </cell>
          <cell r="AF31">
            <v>32721.222070736076</v>
          </cell>
          <cell r="AG31">
            <v>11527.721048176336</v>
          </cell>
          <cell r="AI31">
            <v>3611.3889999999997</v>
          </cell>
          <cell r="AJ31">
            <v>5555.5959999999995</v>
          </cell>
          <cell r="AK31">
            <v>9124.9559999999983</v>
          </cell>
          <cell r="AL31">
            <v>7091.68</v>
          </cell>
          <cell r="AM31">
            <v>4858.6490000000003</v>
          </cell>
          <cell r="AN31">
            <v>3271.3749999999991</v>
          </cell>
          <cell r="AO31">
            <v>1030.8499999999992</v>
          </cell>
          <cell r="AP31">
            <v>219.47700000000009</v>
          </cell>
          <cell r="AQ31">
            <v>1273.3990000000006</v>
          </cell>
          <cell r="AR31">
            <v>2825.3320000000012</v>
          </cell>
          <cell r="AS31">
            <v>1748.7010000000002</v>
          </cell>
          <cell r="AT31">
            <v>530.15199999999936</v>
          </cell>
          <cell r="AU31">
            <v>7542.6950000000006</v>
          </cell>
          <cell r="AV31">
            <v>1780.1740000000013</v>
          </cell>
          <cell r="AW31">
            <v>3956.4179999999997</v>
          </cell>
          <cell r="AX31">
            <v>1082.5069999999992</v>
          </cell>
          <cell r="AY31">
            <v>1291.5830000000014</v>
          </cell>
          <cell r="AZ31">
            <v>3854.0630000000001</v>
          </cell>
          <cell r="BA31">
            <v>2992.3259999999991</v>
          </cell>
          <cell r="BB31">
            <v>5375.3240000000005</v>
          </cell>
          <cell r="BC31">
            <v>4354.1099999999997</v>
          </cell>
          <cell r="BD31">
            <v>5180.3960000000006</v>
          </cell>
          <cell r="BE31">
            <v>1391.1909999999982</v>
          </cell>
          <cell r="BF31">
            <v>2786.447999999999</v>
          </cell>
          <cell r="BG31">
            <v>30.088999999999771</v>
          </cell>
          <cell r="BH31">
            <v>1799.4150000000016</v>
          </cell>
          <cell r="BI31">
            <v>1950.6419999999998</v>
          </cell>
          <cell r="BJ31">
            <v>1066.4920000000002</v>
          </cell>
          <cell r="BK31">
            <v>1067.4449999999999</v>
          </cell>
          <cell r="BL31">
            <v>2116.3519999999999</v>
          </cell>
          <cell r="BM31">
            <v>2865.465999999999</v>
          </cell>
          <cell r="BN31">
            <v>1749.1589999999997</v>
          </cell>
          <cell r="BO31">
            <v>1856.6359999999991</v>
          </cell>
          <cell r="BP31">
            <v>2086.0109999999995</v>
          </cell>
          <cell r="BQ31">
            <v>828.52300000000014</v>
          </cell>
          <cell r="BR31">
            <v>1185.5350815391885</v>
          </cell>
          <cell r="BS31">
            <v>2534.0006774053718</v>
          </cell>
          <cell r="BT31">
            <v>2474.594903385514</v>
          </cell>
          <cell r="BU31">
            <v>761.25263186814163</v>
          </cell>
          <cell r="BV31">
            <v>3744.4616754708454</v>
          </cell>
          <cell r="BW31">
            <v>6770.7784840095865</v>
          </cell>
          <cell r="BX31">
            <v>8353.9443021953375</v>
          </cell>
          <cell r="BY31">
            <v>11023.107284059492</v>
          </cell>
          <cell r="BZ31">
            <v>6573.3920004716774</v>
          </cell>
          <cell r="CA31">
            <v>8469.942439446475</v>
          </cell>
          <cell r="CB31">
            <v>4663.3478614447295</v>
          </cell>
          <cell r="CC31">
            <v>1241.9174789615881</v>
          </cell>
          <cell r="CD31">
            <v>-2847.4867316764648</v>
          </cell>
        </row>
        <row r="32">
          <cell r="A32" t="str">
            <v>Additional Income Statement Items</v>
          </cell>
        </row>
        <row r="33">
          <cell r="B33" t="str">
            <v>Contribution margin ratio</v>
          </cell>
          <cell r="C33" t="str">
            <v>CONTRIB_MARGIN_RATIO</v>
          </cell>
          <cell r="D33" t="str">
            <v>TWD</v>
          </cell>
        </row>
        <row r="34">
          <cell r="B34" t="str">
            <v>Lease payments</v>
          </cell>
          <cell r="C34" t="str">
            <v>LEASE_PAY</v>
          </cell>
          <cell r="D34" t="str">
            <v>TWD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row>
        <row r="35">
          <cell r="B35" t="str">
            <v>Lease payments (deemed interest portion)</v>
          </cell>
          <cell r="C35" t="str">
            <v>LEASE_DEEM_INT</v>
          </cell>
          <cell r="D35" t="str">
            <v>TWD</v>
          </cell>
        </row>
        <row r="36">
          <cell r="B36" t="str">
            <v>Lease payments (deemed depreciation portion)</v>
          </cell>
          <cell r="C36" t="str">
            <v>LEASE_DEEM_DEPR</v>
          </cell>
          <cell r="D36" t="str">
            <v>TWD</v>
          </cell>
        </row>
        <row r="37">
          <cell r="B37" t="str">
            <v>Gross interest charge</v>
          </cell>
          <cell r="C37" t="str">
            <v>NET_INT_CH</v>
          </cell>
          <cell r="D37" t="str">
            <v>TWD</v>
          </cell>
          <cell r="F37">
            <v>-367.48899999999998</v>
          </cell>
          <cell r="G37">
            <v>-297.57900000000001</v>
          </cell>
          <cell r="H37">
            <v>-901.39800000000002</v>
          </cell>
          <cell r="I37">
            <v>-951.19600000000003</v>
          </cell>
          <cell r="J37">
            <v>-1647.1780000000001</v>
          </cell>
          <cell r="K37">
            <v>-989.35699999999997</v>
          </cell>
          <cell r="L37">
            <v>-2343.0129999999999</v>
          </cell>
          <cell r="M37">
            <v>-2488.239</v>
          </cell>
          <cell r="N37">
            <v>-1418.1420000000001</v>
          </cell>
          <cell r="O37">
            <v>-1234.134</v>
          </cell>
          <cell r="P37">
            <v>-1179.145</v>
          </cell>
          <cell r="Q37">
            <v>-918.173</v>
          </cell>
          <cell r="R37">
            <v>-630.73800000000006</v>
          </cell>
          <cell r="S37">
            <v>-184.458</v>
          </cell>
          <cell r="T37">
            <v>-71.161000000000001</v>
          </cell>
          <cell r="U37">
            <v>-58.255000000000003</v>
          </cell>
          <cell r="V37">
            <v>-351.82800000000003</v>
          </cell>
          <cell r="W37">
            <v>-553.69799999999998</v>
          </cell>
          <cell r="X37">
            <v>-754.66599999999994</v>
          </cell>
          <cell r="Y37">
            <v>-802.66700000000003</v>
          </cell>
          <cell r="Z37">
            <v>-992.21500000000003</v>
          </cell>
          <cell r="AA37">
            <v>-470.30999999999995</v>
          </cell>
          <cell r="AB37">
            <v>-1406.7930000000001</v>
          </cell>
          <cell r="AC37">
            <v>-2406.8720000000003</v>
          </cell>
          <cell r="AD37">
            <v>-2697.4456249999998</v>
          </cell>
          <cell r="AE37">
            <v>-2615.4798773498542</v>
          </cell>
          <cell r="AF37">
            <v>-2638.0618426006813</v>
          </cell>
          <cell r="AG37">
            <v>-2635.4132077155937</v>
          </cell>
          <cell r="AI37">
            <v>-108.59</v>
          </cell>
          <cell r="AJ37">
            <v>-96.478999999999999</v>
          </cell>
          <cell r="AK37">
            <v>-66.23</v>
          </cell>
          <cell r="AL37">
            <v>-80.528999999999996</v>
          </cell>
          <cell r="AM37">
            <v>-111.286</v>
          </cell>
          <cell r="AN37">
            <v>-122.964</v>
          </cell>
          <cell r="AO37">
            <v>-150.82</v>
          </cell>
          <cell r="AP37">
            <v>-168.62799999999999</v>
          </cell>
          <cell r="AQ37">
            <v>-119.527</v>
          </cell>
          <cell r="AR37">
            <v>-78.408000000000001</v>
          </cell>
          <cell r="AS37">
            <v>-357.16699999999997</v>
          </cell>
          <cell r="AT37">
            <v>-199.56399999999999</v>
          </cell>
          <cell r="AU37">
            <v>-192.578</v>
          </cell>
          <cell r="AV37">
            <v>-207.14500000000001</v>
          </cell>
          <cell r="AW37">
            <v>-201.804</v>
          </cell>
          <cell r="AX37">
            <v>-201.14</v>
          </cell>
          <cell r="AY37">
            <v>-198.65600000000001</v>
          </cell>
          <cell r="AZ37">
            <v>-391.52800000000002</v>
          </cell>
          <cell r="BA37">
            <v>-206.023</v>
          </cell>
          <cell r="BB37">
            <v>-196.00800000000001</v>
          </cell>
          <cell r="BC37">
            <v>-176.375</v>
          </cell>
          <cell r="BD37">
            <v>-212.155</v>
          </cell>
          <cell r="BE37">
            <v>-235.28399999999999</v>
          </cell>
          <cell r="BF37">
            <v>153.50399999999999</v>
          </cell>
          <cell r="BG37">
            <v>-252.87100000000001</v>
          </cell>
          <cell r="BH37">
            <v>-277.59800000000001</v>
          </cell>
          <cell r="BI37">
            <v>-389.98899999999998</v>
          </cell>
          <cell r="BJ37">
            <v>-486.33499999999998</v>
          </cell>
          <cell r="BK37">
            <v>-526.68299999999999</v>
          </cell>
          <cell r="BL37">
            <v>-580.77099999999996</v>
          </cell>
          <cell r="BM37">
            <v>-630.73599999999999</v>
          </cell>
          <cell r="BN37">
            <v>-668.68200000000002</v>
          </cell>
          <cell r="BO37">
            <v>-668.97900000000004</v>
          </cell>
          <cell r="BP37">
            <v>-710.04100000000005</v>
          </cell>
          <cell r="BQ37">
            <v>-697.24199999999996</v>
          </cell>
          <cell r="BR37">
            <v>-621.18362500000012</v>
          </cell>
          <cell r="BS37">
            <v>-638.03970312500019</v>
          </cell>
          <cell r="BT37">
            <v>-651.95929101562513</v>
          </cell>
          <cell r="BU37">
            <v>-660.8578273925782</v>
          </cell>
          <cell r="BV37">
            <v>-664.62305581665055</v>
          </cell>
          <cell r="BW37">
            <v>-664.11568779373181</v>
          </cell>
          <cell r="BX37">
            <v>-663.50777376794827</v>
          </cell>
          <cell r="BY37">
            <v>-657.69112048894181</v>
          </cell>
          <cell r="BZ37">
            <v>-652.74726055005954</v>
          </cell>
          <cell r="CA37">
            <v>-656.69271499381705</v>
          </cell>
          <cell r="CB37">
            <v>-659.02434147741917</v>
          </cell>
          <cell r="CC37">
            <v>-659.90747278514345</v>
          </cell>
          <cell r="CD37">
            <v>-659.788678459214</v>
          </cell>
        </row>
        <row r="38">
          <cell r="B38" t="str">
            <v>Income from associates (operating)</v>
          </cell>
          <cell r="C38" t="str">
            <v>ASSOCIATE_OP</v>
          </cell>
          <cell r="D38" t="str">
            <v>TWD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t="str">
            <v>Balance Sheet</v>
          </cell>
        </row>
        <row r="40">
          <cell r="B40" t="str">
            <v>Cash &amp; cash equivalents</v>
          </cell>
          <cell r="C40" t="str">
            <v>CASH_EQ</v>
          </cell>
          <cell r="D40" t="str">
            <v>TWD</v>
          </cell>
          <cell r="F40">
            <v>12536.397000000001</v>
          </cell>
          <cell r="G40">
            <v>11836.216</v>
          </cell>
          <cell r="H40">
            <v>17835.399000000001</v>
          </cell>
          <cell r="I40">
            <v>22039.345000000001</v>
          </cell>
          <cell r="J40">
            <v>26131.554</v>
          </cell>
          <cell r="K40">
            <v>11422.976000000001</v>
          </cell>
          <cell r="L40">
            <v>54107.646999999997</v>
          </cell>
          <cell r="M40">
            <v>59603.62</v>
          </cell>
          <cell r="N40">
            <v>59694.207000000002</v>
          </cell>
          <cell r="O40">
            <v>94321.959000000003</v>
          </cell>
          <cell r="P40">
            <v>86405.907999999996</v>
          </cell>
          <cell r="Q40">
            <v>101479.74400000001</v>
          </cell>
          <cell r="R40">
            <v>92907.081000000006</v>
          </cell>
          <cell r="S40">
            <v>42253.014000000003</v>
          </cell>
          <cell r="T40">
            <v>50660.349000000002</v>
          </cell>
          <cell r="U40">
            <v>74499.744999999995</v>
          </cell>
          <cell r="V40">
            <v>51271.105000000003</v>
          </cell>
          <cell r="W40">
            <v>49070.127999999997</v>
          </cell>
          <cell r="X40">
            <v>42488.49</v>
          </cell>
          <cell r="Y40">
            <v>50830.678</v>
          </cell>
          <cell r="Z40">
            <v>45701.334999999999</v>
          </cell>
          <cell r="AA40">
            <v>53290.432999999997</v>
          </cell>
          <cell r="AB40">
            <v>57578.981</v>
          </cell>
          <cell r="AC40">
            <v>81674.572</v>
          </cell>
          <cell r="AD40">
            <v>97765.561204778438</v>
          </cell>
          <cell r="AE40">
            <v>125879.42829166044</v>
          </cell>
          <cell r="AF40">
            <v>159072.4756637082</v>
          </cell>
          <cell r="AG40">
            <v>184637.09488467933</v>
          </cell>
        </row>
        <row r="41">
          <cell r="B41" t="str">
            <v>Accounts receivable</v>
          </cell>
          <cell r="C41" t="str">
            <v>DEBTORS</v>
          </cell>
          <cell r="D41" t="str">
            <v>TWD</v>
          </cell>
          <cell r="F41">
            <v>2784.607</v>
          </cell>
          <cell r="G41">
            <v>3713.2460000000001</v>
          </cell>
          <cell r="H41">
            <v>3593.56</v>
          </cell>
          <cell r="I41">
            <v>4724.2110000000002</v>
          </cell>
          <cell r="J41">
            <v>3848.348</v>
          </cell>
          <cell r="K41">
            <v>6183.1540000000005</v>
          </cell>
          <cell r="L41">
            <v>17236.591</v>
          </cell>
          <cell r="M41">
            <v>7916.0370000000003</v>
          </cell>
          <cell r="N41">
            <v>10357.183999999999</v>
          </cell>
          <cell r="O41">
            <v>14646.705</v>
          </cell>
          <cell r="P41">
            <v>11201.919</v>
          </cell>
          <cell r="Q41">
            <v>12359.9</v>
          </cell>
          <cell r="R41">
            <v>12365.742</v>
          </cell>
          <cell r="S41">
            <v>13620.705</v>
          </cell>
          <cell r="T41">
            <v>8555.2749999999996</v>
          </cell>
          <cell r="U41">
            <v>17088.271000000001</v>
          </cell>
          <cell r="V41">
            <v>19555.557000000001</v>
          </cell>
          <cell r="W41">
            <v>15320.228999999999</v>
          </cell>
          <cell r="X41">
            <v>17096.871999999999</v>
          </cell>
          <cell r="Y41">
            <v>17547.227999999999</v>
          </cell>
          <cell r="Z41">
            <v>23027.843000000001</v>
          </cell>
          <cell r="AA41">
            <v>19964.706999999999</v>
          </cell>
          <cell r="AB41">
            <v>23965.052000000003</v>
          </cell>
          <cell r="AC41">
            <v>22149.072</v>
          </cell>
          <cell r="AD41">
            <v>33964.838224725041</v>
          </cell>
          <cell r="AE41">
            <v>37162.01639279224</v>
          </cell>
          <cell r="AF41">
            <v>40488.865859735306</v>
          </cell>
          <cell r="AG41">
            <v>38462.632079763374</v>
          </cell>
        </row>
        <row r="42">
          <cell r="B42" t="str">
            <v>Inventory</v>
          </cell>
          <cell r="C42" t="str">
            <v>STOCKS</v>
          </cell>
          <cell r="D42" t="str">
            <v>TWD</v>
          </cell>
          <cell r="F42">
            <v>1164.547</v>
          </cell>
          <cell r="G42">
            <v>3033.3670000000002</v>
          </cell>
          <cell r="H42">
            <v>4032.5439999999999</v>
          </cell>
          <cell r="I42">
            <v>2609.6860000000001</v>
          </cell>
          <cell r="J42">
            <v>3119.9769999999999</v>
          </cell>
          <cell r="K42">
            <v>2369.3760000000002</v>
          </cell>
          <cell r="L42">
            <v>10090.495000000001</v>
          </cell>
          <cell r="M42">
            <v>5190.134</v>
          </cell>
          <cell r="N42">
            <v>7692.2780000000002</v>
          </cell>
          <cell r="O42">
            <v>7367.759</v>
          </cell>
          <cell r="P42">
            <v>8543.4619999999995</v>
          </cell>
          <cell r="Q42">
            <v>9963.2530000000006</v>
          </cell>
          <cell r="R42">
            <v>10119.521000000001</v>
          </cell>
          <cell r="S42">
            <v>11334.058999999999</v>
          </cell>
          <cell r="T42">
            <v>8117.6030000000001</v>
          </cell>
          <cell r="U42">
            <v>9141.3850000000002</v>
          </cell>
          <cell r="V42">
            <v>13032.623</v>
          </cell>
          <cell r="W42">
            <v>12709.276</v>
          </cell>
          <cell r="X42">
            <v>13023.71</v>
          </cell>
          <cell r="Y42">
            <v>13993.259</v>
          </cell>
          <cell r="Z42">
            <v>15242.232</v>
          </cell>
          <cell r="AA42">
            <v>17641.384999999998</v>
          </cell>
          <cell r="AB42">
            <v>16997.814999999999</v>
          </cell>
          <cell r="AC42">
            <v>18257.5</v>
          </cell>
          <cell r="AD42">
            <v>21292.428391605292</v>
          </cell>
          <cell r="AE42">
            <v>20319.624337602359</v>
          </cell>
          <cell r="AF42">
            <v>25103.871170747156</v>
          </cell>
          <cell r="AG42">
            <v>31138.680027339647</v>
          </cell>
        </row>
        <row r="43">
          <cell r="B43" t="str">
            <v>Other current assets</v>
          </cell>
          <cell r="C43" t="str">
            <v>OTH_CUR_ASS</v>
          </cell>
          <cell r="D43" t="str">
            <v>TWD</v>
          </cell>
          <cell r="F43">
            <v>171.65300000000207</v>
          </cell>
          <cell r="G43">
            <v>1089.6370000000024</v>
          </cell>
          <cell r="H43">
            <v>617.93399999999747</v>
          </cell>
          <cell r="I43">
            <v>447.69399999999951</v>
          </cell>
          <cell r="J43">
            <v>864.47400000000198</v>
          </cell>
          <cell r="K43">
            <v>573.60099999999875</v>
          </cell>
          <cell r="L43">
            <v>1350.7030000000086</v>
          </cell>
          <cell r="M43">
            <v>4541.9889999999868</v>
          </cell>
          <cell r="N43">
            <v>8914.6679999999906</v>
          </cell>
          <cell r="O43">
            <v>5970.4109999999928</v>
          </cell>
          <cell r="P43">
            <v>4222.3640000000159</v>
          </cell>
          <cell r="Q43">
            <v>4464.849000000002</v>
          </cell>
          <cell r="R43">
            <v>3037.8719999999885</v>
          </cell>
          <cell r="S43">
            <v>1044.9809999999998</v>
          </cell>
          <cell r="T43">
            <v>1554.3350000000064</v>
          </cell>
          <cell r="U43">
            <v>1633.2149999999965</v>
          </cell>
          <cell r="V43">
            <v>9910.0120000000024</v>
          </cell>
          <cell r="W43">
            <v>6957.8809999999939</v>
          </cell>
          <cell r="X43">
            <v>7418.0589999999938</v>
          </cell>
          <cell r="Y43">
            <v>6425.0590000000084</v>
          </cell>
          <cell r="Z43">
            <v>12891.739000000001</v>
          </cell>
          <cell r="AA43">
            <v>3919.9959999999992</v>
          </cell>
          <cell r="AB43">
            <v>11927.745999999985</v>
          </cell>
          <cell r="AC43">
            <v>17079.342000000004</v>
          </cell>
          <cell r="AD43">
            <v>14161.387000000017</v>
          </cell>
          <cell r="AE43">
            <v>14161.387000000017</v>
          </cell>
          <cell r="AF43">
            <v>14161.387000000017</v>
          </cell>
          <cell r="AG43">
            <v>14161.387000000017</v>
          </cell>
        </row>
        <row r="44">
          <cell r="B44" t="str">
            <v>Total current assets</v>
          </cell>
          <cell r="C44" t="str">
            <v>CUR_ASS</v>
          </cell>
          <cell r="D44" t="str">
            <v>TWD</v>
          </cell>
          <cell r="F44">
            <v>16657.204000000002</v>
          </cell>
          <cell r="G44">
            <v>19672.466</v>
          </cell>
          <cell r="H44">
            <v>26079.437000000002</v>
          </cell>
          <cell r="I44">
            <v>29820.936000000002</v>
          </cell>
          <cell r="J44">
            <v>33964.353000000003</v>
          </cell>
          <cell r="K44">
            <v>20549.107</v>
          </cell>
          <cell r="L44">
            <v>82785.436000000002</v>
          </cell>
          <cell r="M44">
            <v>77251.78</v>
          </cell>
          <cell r="N44">
            <v>86658.337</v>
          </cell>
          <cell r="O44">
            <v>122306.834</v>
          </cell>
          <cell r="P44">
            <v>110373.65300000001</v>
          </cell>
          <cell r="Q44">
            <v>128267.746</v>
          </cell>
          <cell r="R44">
            <v>118430.216</v>
          </cell>
          <cell r="S44">
            <v>68252.759000000005</v>
          </cell>
          <cell r="T44">
            <v>68887.562000000005</v>
          </cell>
          <cell r="U44">
            <v>102362.61599999999</v>
          </cell>
          <cell r="V44">
            <v>93769.297000000006</v>
          </cell>
          <cell r="W44">
            <v>84057.513999999996</v>
          </cell>
          <cell r="X44">
            <v>80027.130999999979</v>
          </cell>
          <cell r="Y44">
            <v>88796.224000000017</v>
          </cell>
          <cell r="Z44">
            <v>96863.149000000005</v>
          </cell>
          <cell r="AA44">
            <v>94816.520999999993</v>
          </cell>
          <cell r="AB44">
            <v>110469.59399999998</v>
          </cell>
          <cell r="AC44">
            <v>139160.486</v>
          </cell>
          <cell r="AD44">
            <v>167184.21482110879</v>
          </cell>
          <cell r="AE44">
            <v>197522.45602205503</v>
          </cell>
          <cell r="AF44">
            <v>238826.59969419069</v>
          </cell>
          <cell r="AG44">
            <v>268399.79399178235</v>
          </cell>
        </row>
        <row r="45">
          <cell r="B45" t="str">
            <v>Gross fixed assets, PP&amp;E</v>
          </cell>
          <cell r="C45" t="str">
            <v>GR_FIX_ASS</v>
          </cell>
          <cell r="D45" t="str">
            <v>TWD</v>
          </cell>
          <cell r="F45">
            <v>13785.563</v>
          </cell>
          <cell r="G45">
            <v>23934.7</v>
          </cell>
          <cell r="H45">
            <v>31607.136999999999</v>
          </cell>
          <cell r="I45">
            <v>34929.046999999999</v>
          </cell>
          <cell r="J45">
            <v>41027.908000000003</v>
          </cell>
          <cell r="K45">
            <v>56030.307000000001</v>
          </cell>
          <cell r="L45">
            <v>208770.019</v>
          </cell>
          <cell r="M45">
            <v>243451.929</v>
          </cell>
          <cell r="N45">
            <v>267118.67499999999</v>
          </cell>
          <cell r="O45">
            <v>270549.65500000003</v>
          </cell>
          <cell r="P45">
            <v>339728</v>
          </cell>
          <cell r="Q45">
            <v>398311.84100000001</v>
          </cell>
          <cell r="R45">
            <v>433662.27</v>
          </cell>
          <cell r="S45">
            <v>457222.38400000002</v>
          </cell>
          <cell r="T45">
            <v>473014.94099999999</v>
          </cell>
          <cell r="U45">
            <v>487731.565</v>
          </cell>
          <cell r="V45">
            <v>561254.26500000001</v>
          </cell>
          <cell r="W45">
            <v>612947.14</v>
          </cell>
          <cell r="X45">
            <v>660709.63599999994</v>
          </cell>
          <cell r="Y45">
            <v>685260.65500000003</v>
          </cell>
          <cell r="Z45">
            <v>727519.22900000005</v>
          </cell>
          <cell r="AA45">
            <v>793375.28200000001</v>
          </cell>
          <cell r="AB45">
            <v>875816.89799999993</v>
          </cell>
          <cell r="AC45">
            <v>907540.29499999993</v>
          </cell>
          <cell r="AD45">
            <v>918571.40399999986</v>
          </cell>
          <cell r="AE45">
            <v>922571.40399999986</v>
          </cell>
          <cell r="AF45">
            <v>926571.40399999986</v>
          </cell>
          <cell r="AG45">
            <v>930571.40399999986</v>
          </cell>
        </row>
        <row r="46">
          <cell r="B46" t="str">
            <v>Accumulated depreciation</v>
          </cell>
          <cell r="C46" t="str">
            <v>ACC_DDA</v>
          </cell>
          <cell r="D46" t="str">
            <v>TWD</v>
          </cell>
          <cell r="F46">
            <v>-5948.7529999999997</v>
          </cell>
          <cell r="G46">
            <v>-7153.6589999999997</v>
          </cell>
          <cell r="H46">
            <v>-9549.7170000000006</v>
          </cell>
          <cell r="I46">
            <v>-11425.099</v>
          </cell>
          <cell r="J46">
            <v>-15641.368</v>
          </cell>
          <cell r="K46">
            <v>-19302.254000000001</v>
          </cell>
          <cell r="L46">
            <v>-56588.857000000004</v>
          </cell>
          <cell r="M46">
            <v>-88240.091</v>
          </cell>
          <cell r="N46">
            <v>-121042.789</v>
          </cell>
          <cell r="O46">
            <v>-153364.90599999999</v>
          </cell>
          <cell r="P46">
            <v>-202373</v>
          </cell>
          <cell r="Q46">
            <v>-248502.22500000001</v>
          </cell>
          <cell r="R46">
            <v>-291014.83500000002</v>
          </cell>
          <cell r="S46">
            <v>-327407.73200000002</v>
          </cell>
          <cell r="T46">
            <v>-364604.951</v>
          </cell>
          <cell r="U46">
            <v>-398135.20500000002</v>
          </cell>
          <cell r="V46">
            <v>-428492.26500000001</v>
          </cell>
          <cell r="W46">
            <v>-463622.84</v>
          </cell>
          <cell r="X46">
            <v>-500765.83100000001</v>
          </cell>
          <cell r="Y46">
            <v>-522907.755</v>
          </cell>
          <cell r="Z46">
            <v>-560828.98600000003</v>
          </cell>
          <cell r="AA46">
            <v>-606941.88699999999</v>
          </cell>
          <cell r="AB46">
            <v>-650833.49399999995</v>
          </cell>
          <cell r="AC46">
            <v>-701798.61399999994</v>
          </cell>
          <cell r="AD46">
            <v>-751316.90203690866</v>
          </cell>
          <cell r="AE46">
            <v>-790871.6017955197</v>
          </cell>
          <cell r="AF46">
            <v>-822145.69501288736</v>
          </cell>
          <cell r="AG46">
            <v>-847067.71561438311</v>
          </cell>
        </row>
        <row r="47">
          <cell r="B47" t="str">
            <v>Net PP&amp;E</v>
          </cell>
          <cell r="C47" t="str">
            <v>NET_FIX_ASS</v>
          </cell>
          <cell r="D47" t="str">
            <v>TWD</v>
          </cell>
          <cell r="F47">
            <v>7836.81</v>
          </cell>
          <cell r="G47">
            <v>16781.041000000001</v>
          </cell>
          <cell r="H47">
            <v>22057.42</v>
          </cell>
          <cell r="I47">
            <v>23503.948</v>
          </cell>
          <cell r="J47">
            <v>25386.54</v>
          </cell>
          <cell r="K47">
            <v>36728.053</v>
          </cell>
          <cell r="L47">
            <v>152181.16200000001</v>
          </cell>
          <cell r="M47">
            <v>155211.83799999999</v>
          </cell>
          <cell r="N47">
            <v>146075.886</v>
          </cell>
          <cell r="O47">
            <v>117184.749</v>
          </cell>
          <cell r="P47">
            <v>137355</v>
          </cell>
          <cell r="Q47">
            <v>149809.61600000001</v>
          </cell>
          <cell r="R47">
            <v>142647.435</v>
          </cell>
          <cell r="S47">
            <v>129814.652</v>
          </cell>
          <cell r="T47">
            <v>108409.99</v>
          </cell>
          <cell r="U47">
            <v>89596.36</v>
          </cell>
          <cell r="V47">
            <v>132762</v>
          </cell>
          <cell r="W47">
            <v>149324.29999999999</v>
          </cell>
          <cell r="X47">
            <v>159943.80499999993</v>
          </cell>
          <cell r="Y47">
            <v>162352.90000000002</v>
          </cell>
          <cell r="Z47">
            <v>166690.24300000002</v>
          </cell>
          <cell r="AA47">
            <v>186433.39500000002</v>
          </cell>
          <cell r="AB47">
            <v>224983.40399999998</v>
          </cell>
          <cell r="AC47">
            <v>205741.68099999998</v>
          </cell>
          <cell r="AD47">
            <v>167254.5019630912</v>
          </cell>
          <cell r="AE47">
            <v>131699.80220448016</v>
          </cell>
          <cell r="AF47">
            <v>104425.70898711251</v>
          </cell>
          <cell r="AG47">
            <v>83503.688385616755</v>
          </cell>
        </row>
        <row r="48">
          <cell r="B48" t="str">
            <v>Gross intangibles</v>
          </cell>
          <cell r="C48" t="str">
            <v>GR_INTANG</v>
          </cell>
          <cell r="D48" t="str">
            <v>TWD</v>
          </cell>
          <cell r="F48">
            <v>0</v>
          </cell>
          <cell r="G48">
            <v>0</v>
          </cell>
          <cell r="H48">
            <v>0</v>
          </cell>
          <cell r="I48">
            <v>0</v>
          </cell>
          <cell r="J48">
            <v>0</v>
          </cell>
          <cell r="K48">
            <v>0</v>
          </cell>
          <cell r="L48">
            <v>0</v>
          </cell>
          <cell r="M48">
            <v>30.805</v>
          </cell>
          <cell r="N48">
            <v>18.88</v>
          </cell>
          <cell r="O48">
            <v>6.9560000000000004</v>
          </cell>
          <cell r="P48">
            <v>1215</v>
          </cell>
          <cell r="Q48">
            <v>4104.6779999999999</v>
          </cell>
          <cell r="R48">
            <v>3745.1219999999998</v>
          </cell>
          <cell r="S48">
            <v>3745.1219999999998</v>
          </cell>
          <cell r="T48">
            <v>7.9669999999999996</v>
          </cell>
          <cell r="U48">
            <v>7.6150000000000002</v>
          </cell>
          <cell r="V48">
            <v>304.72800000000001</v>
          </cell>
          <cell r="W48">
            <v>350.86</v>
          </cell>
          <cell r="X48">
            <v>15482.026</v>
          </cell>
          <cell r="Y48">
            <v>19437.565369558139</v>
          </cell>
          <cell r="Z48">
            <v>21102.634369558138</v>
          </cell>
          <cell r="AA48">
            <v>23072.885369558142</v>
          </cell>
          <cell r="AB48">
            <v>24949.666369558141</v>
          </cell>
          <cell r="AC48">
            <v>26782.598369558138</v>
          </cell>
          <cell r="AD48">
            <v>27780.152369558142</v>
          </cell>
          <cell r="AE48">
            <v>27780.152369558142</v>
          </cell>
          <cell r="AF48">
            <v>27780.152369558142</v>
          </cell>
          <cell r="AG48">
            <v>27780.152369558142</v>
          </cell>
        </row>
        <row r="49">
          <cell r="B49" t="str">
            <v>Accumulated amortization</v>
          </cell>
          <cell r="C49" t="str">
            <v>ACC_AMORT</v>
          </cell>
          <cell r="D49" t="str">
            <v>TWD</v>
          </cell>
          <cell r="V49">
            <v>0</v>
          </cell>
          <cell r="W49">
            <v>0</v>
          </cell>
          <cell r="X49">
            <v>-12683.867</v>
          </cell>
          <cell r="Y49">
            <v>-14697.91836955814</v>
          </cell>
          <cell r="Z49">
            <v>-16569.69636955814</v>
          </cell>
          <cell r="AA49">
            <v>-18568.797369558142</v>
          </cell>
          <cell r="AB49">
            <v>-20861.363369558141</v>
          </cell>
          <cell r="AC49">
            <v>-22995.08936955814</v>
          </cell>
          <cell r="AD49">
            <v>-25078.889016126534</v>
          </cell>
          <cell r="AE49">
            <v>-27100.439602400107</v>
          </cell>
          <cell r="AF49">
            <v>-29121.990188673681</v>
          </cell>
          <cell r="AG49">
            <v>-31143.540774947254</v>
          </cell>
        </row>
        <row r="50">
          <cell r="B50" t="str">
            <v>Net intangible assets</v>
          </cell>
          <cell r="C50" t="str">
            <v>NET_INTANG</v>
          </cell>
          <cell r="D50" t="str">
            <v>TWD</v>
          </cell>
          <cell r="F50">
            <v>14.19</v>
          </cell>
          <cell r="G50">
            <v>10.919</v>
          </cell>
          <cell r="H50">
            <v>7.6479999999999997</v>
          </cell>
          <cell r="I50">
            <v>20.957999999999998</v>
          </cell>
          <cell r="J50">
            <v>12.403</v>
          </cell>
          <cell r="K50">
            <v>0</v>
          </cell>
          <cell r="L50">
            <v>0</v>
          </cell>
          <cell r="M50">
            <v>30.805</v>
          </cell>
          <cell r="N50">
            <v>18.88</v>
          </cell>
          <cell r="O50">
            <v>6.9560000000000004</v>
          </cell>
          <cell r="P50">
            <v>1215</v>
          </cell>
          <cell r="Q50">
            <v>4104.6779999999999</v>
          </cell>
          <cell r="R50">
            <v>3745.1219999999998</v>
          </cell>
          <cell r="S50">
            <v>3745.1219999999998</v>
          </cell>
          <cell r="T50">
            <v>7.9669999999999996</v>
          </cell>
          <cell r="U50">
            <v>7.6150000000000002</v>
          </cell>
          <cell r="V50">
            <v>304.72800000000001</v>
          </cell>
          <cell r="W50">
            <v>350.86</v>
          </cell>
          <cell r="X50">
            <v>2798.1589999999997</v>
          </cell>
          <cell r="Y50">
            <v>4739.646999999999</v>
          </cell>
          <cell r="Z50">
            <v>4532.9379999999983</v>
          </cell>
          <cell r="AA50">
            <v>4504.0879999999997</v>
          </cell>
          <cell r="AB50">
            <v>4088.3029999999999</v>
          </cell>
          <cell r="AC50">
            <v>3787.5089999999982</v>
          </cell>
          <cell r="AD50">
            <v>2701.2633534316083</v>
          </cell>
          <cell r="AE50">
            <v>679.71276715803469</v>
          </cell>
          <cell r="AF50">
            <v>-1341.8378191155389</v>
          </cell>
          <cell r="AG50">
            <v>-3363.3884053891124</v>
          </cell>
        </row>
        <row r="51">
          <cell r="B51" t="str">
            <v>Equity method investments</v>
          </cell>
          <cell r="C51" t="str">
            <v>FIX_ASS_INV</v>
          </cell>
          <cell r="D51" t="str">
            <v>TWD</v>
          </cell>
        </row>
        <row r="52">
          <cell r="B52" t="str">
            <v>Investments in securities</v>
          </cell>
          <cell r="C52" t="str">
            <v>INV_SECUR</v>
          </cell>
          <cell r="D52" t="str">
            <v>TWD</v>
          </cell>
          <cell r="F52">
            <v>2543.721</v>
          </cell>
          <cell r="G52">
            <v>3911.93</v>
          </cell>
          <cell r="H52">
            <v>4604.576</v>
          </cell>
          <cell r="I52">
            <v>6871.598</v>
          </cell>
          <cell r="J52">
            <v>5183.3980000000001</v>
          </cell>
          <cell r="K52">
            <v>6094.7569999999996</v>
          </cell>
          <cell r="L52">
            <v>7597.3329999999996</v>
          </cell>
          <cell r="M52">
            <v>17996.151000000002</v>
          </cell>
          <cell r="N52">
            <v>16569.294999999998</v>
          </cell>
          <cell r="O52">
            <v>12334.647999999999</v>
          </cell>
          <cell r="P52">
            <v>7317</v>
          </cell>
          <cell r="Q52">
            <v>7317</v>
          </cell>
          <cell r="R52">
            <v>7317</v>
          </cell>
          <cell r="S52">
            <v>7317</v>
          </cell>
          <cell r="T52">
            <v>7317</v>
          </cell>
          <cell r="U52">
            <v>7317</v>
          </cell>
          <cell r="V52">
            <v>39527.223999999995</v>
          </cell>
          <cell r="W52">
            <v>30230.828999999998</v>
          </cell>
          <cell r="X52">
            <v>31818.190999999999</v>
          </cell>
          <cell r="Y52">
            <v>28058.417999999998</v>
          </cell>
          <cell r="Z52">
            <v>33645.048999999999</v>
          </cell>
          <cell r="AA52">
            <v>36262.477999999996</v>
          </cell>
          <cell r="AB52">
            <v>32005.884000000002</v>
          </cell>
          <cell r="AC52">
            <v>31804.276999999998</v>
          </cell>
          <cell r="AD52">
            <v>23635.932999999997</v>
          </cell>
          <cell r="AE52">
            <v>23990.605667724605</v>
          </cell>
          <cell r="AF52">
            <v>24290.103758286412</v>
          </cell>
          <cell r="AG52">
            <v>24614.803131864541</v>
          </cell>
        </row>
        <row r="53">
          <cell r="B53" t="str">
            <v>Other long-term assets</v>
          </cell>
          <cell r="C53" t="str">
            <v>OTH_LT_ASS</v>
          </cell>
          <cell r="D53" t="str">
            <v>TWD</v>
          </cell>
          <cell r="F53">
            <v>1099.8939999999975</v>
          </cell>
          <cell r="G53">
            <v>7499.1649999999991</v>
          </cell>
          <cell r="H53">
            <v>13889.262999999992</v>
          </cell>
          <cell r="I53">
            <v>27167.764999999999</v>
          </cell>
          <cell r="J53">
            <v>39490.754000000001</v>
          </cell>
          <cell r="K53">
            <v>82767.123999999996</v>
          </cell>
          <cell r="L53">
            <v>68564.33199999998</v>
          </cell>
          <cell r="M53">
            <v>66894.371000000028</v>
          </cell>
          <cell r="N53">
            <v>48010.248000000014</v>
          </cell>
          <cell r="O53">
            <v>68280.650999999983</v>
          </cell>
          <cell r="P53">
            <v>73303.084000000032</v>
          </cell>
          <cell r="Q53">
            <v>36722.197000000029</v>
          </cell>
          <cell r="R53">
            <v>83089.01999999999</v>
          </cell>
          <cell r="S53">
            <v>81633.033999999956</v>
          </cell>
          <cell r="T53">
            <v>31775.988999999994</v>
          </cell>
          <cell r="U53">
            <v>54354.860000000022</v>
          </cell>
          <cell r="V53">
            <v>14523.746999999967</v>
          </cell>
          <cell r="W53">
            <v>15868.243000000002</v>
          </cell>
          <cell r="X53">
            <v>8451.4189999999726</v>
          </cell>
          <cell r="Y53">
            <v>11955.639999999992</v>
          </cell>
          <cell r="Z53">
            <v>11514.269000000029</v>
          </cell>
          <cell r="AA53">
            <v>15350.327999999972</v>
          </cell>
          <cell r="AB53">
            <v>15107.997000000007</v>
          </cell>
          <cell r="AC53">
            <v>13605.209000000028</v>
          </cell>
          <cell r="AD53">
            <v>27840.630000000012</v>
          </cell>
          <cell r="AE53">
            <v>27840.630000000008</v>
          </cell>
          <cell r="AF53">
            <v>27840.629999999943</v>
          </cell>
          <cell r="AG53">
            <v>27840.63</v>
          </cell>
        </row>
        <row r="54">
          <cell r="B54" t="str">
            <v>Total assets</v>
          </cell>
          <cell r="C54" t="str">
            <v>TOT_ASSET</v>
          </cell>
          <cell r="D54" t="str">
            <v>TWD</v>
          </cell>
          <cell r="F54">
            <v>28151.819</v>
          </cell>
          <cell r="G54">
            <v>47875.521000000001</v>
          </cell>
          <cell r="H54">
            <v>66638.343999999997</v>
          </cell>
          <cell r="I54">
            <v>87385.205000000002</v>
          </cell>
          <cell r="J54">
            <v>104037.448</v>
          </cell>
          <cell r="K54">
            <v>146139.041</v>
          </cell>
          <cell r="L54">
            <v>311128.26299999998</v>
          </cell>
          <cell r="M54">
            <v>317384.94500000001</v>
          </cell>
          <cell r="N54">
            <v>297332.64600000001</v>
          </cell>
          <cell r="O54">
            <v>320113.83799999999</v>
          </cell>
          <cell r="P54">
            <v>329563.73700000002</v>
          </cell>
          <cell r="Q54">
            <v>326221.23700000002</v>
          </cell>
          <cell r="R54">
            <v>355228.79300000001</v>
          </cell>
          <cell r="S54">
            <v>290762.56699999998</v>
          </cell>
          <cell r="T54">
            <v>216398.508</v>
          </cell>
          <cell r="U54">
            <v>253638.451</v>
          </cell>
          <cell r="V54">
            <v>280886.99599999998</v>
          </cell>
          <cell r="W54">
            <v>279831.74599999998</v>
          </cell>
          <cell r="X54">
            <v>283038.7049999999</v>
          </cell>
          <cell r="Y54">
            <v>295902.82900000003</v>
          </cell>
          <cell r="Z54">
            <v>313245.64800000004</v>
          </cell>
          <cell r="AA54">
            <v>337366.81</v>
          </cell>
          <cell r="AB54">
            <v>386655.18199999997</v>
          </cell>
          <cell r="AC54">
            <v>394099.16200000001</v>
          </cell>
          <cell r="AD54">
            <v>388616.54313763161</v>
          </cell>
          <cell r="AE54">
            <v>381733.20666141785</v>
          </cell>
          <cell r="AF54">
            <v>394041.20462047402</v>
          </cell>
          <cell r="AG54">
            <v>400995.52710387454</v>
          </cell>
        </row>
        <row r="55">
          <cell r="B55" t="str">
            <v>Accounts payable</v>
          </cell>
          <cell r="C55" t="str">
            <v>ACC_PAY_GQ</v>
          </cell>
          <cell r="D55" t="str">
            <v>TWD</v>
          </cell>
          <cell r="F55">
            <v>1000.396</v>
          </cell>
          <cell r="G55">
            <v>1754.317</v>
          </cell>
          <cell r="H55">
            <v>3205.88</v>
          </cell>
          <cell r="I55">
            <v>2125.828</v>
          </cell>
          <cell r="J55">
            <v>2708.0479999999998</v>
          </cell>
          <cell r="K55">
            <v>2485.5650000000001</v>
          </cell>
          <cell r="L55">
            <v>5750.8609999999999</v>
          </cell>
          <cell r="M55">
            <v>2351.5439999999999</v>
          </cell>
          <cell r="N55">
            <v>2661.5410000000002</v>
          </cell>
          <cell r="O55">
            <v>4115.6769999999997</v>
          </cell>
          <cell r="P55">
            <v>4443</v>
          </cell>
          <cell r="Q55">
            <v>4100.7079999999996</v>
          </cell>
          <cell r="R55">
            <v>4018.3679999999999</v>
          </cell>
          <cell r="S55">
            <v>4796.8</v>
          </cell>
          <cell r="T55">
            <v>2591.578</v>
          </cell>
          <cell r="U55">
            <v>5505.8950000000004</v>
          </cell>
          <cell r="V55">
            <v>30906.920000000002</v>
          </cell>
          <cell r="W55">
            <v>23284.495000000003</v>
          </cell>
          <cell r="X55">
            <v>22609.985000000001</v>
          </cell>
          <cell r="Y55">
            <v>25167.911999999997</v>
          </cell>
          <cell r="Z55">
            <v>29067.205000000002</v>
          </cell>
          <cell r="AA55">
            <v>33134.639999999999</v>
          </cell>
          <cell r="AB55">
            <v>34292.190999999999</v>
          </cell>
          <cell r="AC55">
            <v>24169.657999999999</v>
          </cell>
          <cell r="AD55">
            <v>37672.935625733699</v>
          </cell>
          <cell r="AE55">
            <v>36189.494851097457</v>
          </cell>
          <cell r="AF55">
            <v>43485.051236792722</v>
          </cell>
          <cell r="AG55">
            <v>52687.604914656273</v>
          </cell>
        </row>
        <row r="56">
          <cell r="B56" t="str">
            <v>Short-term debt</v>
          </cell>
          <cell r="C56" t="str">
            <v>SHORT_T_DEBT</v>
          </cell>
          <cell r="D56" t="str">
            <v>TWD</v>
          </cell>
          <cell r="F56">
            <v>1059.067</v>
          </cell>
          <cell r="G56">
            <v>1527.8920000000001</v>
          </cell>
          <cell r="H56">
            <v>2262.8020000000001</v>
          </cell>
          <cell r="I56">
            <v>4311.3950000000004</v>
          </cell>
          <cell r="J56">
            <v>3512.3510000000001</v>
          </cell>
          <cell r="K56">
            <v>8995.32</v>
          </cell>
          <cell r="L56">
            <v>12280.066000000001</v>
          </cell>
          <cell r="M56">
            <v>7002.7250000000004</v>
          </cell>
          <cell r="N56">
            <v>5669.098</v>
          </cell>
          <cell r="O56">
            <v>18524.077000000001</v>
          </cell>
          <cell r="P56">
            <v>4724</v>
          </cell>
          <cell r="Q56">
            <v>10250</v>
          </cell>
          <cell r="R56">
            <v>5355.8829999999998</v>
          </cell>
          <cell r="S56">
            <v>22889.475999999999</v>
          </cell>
          <cell r="T56">
            <v>199.27699999999999</v>
          </cell>
          <cell r="U56">
            <v>12929.269</v>
          </cell>
          <cell r="V56">
            <v>4124.1149999999998</v>
          </cell>
          <cell r="W56">
            <v>9411.8770000000004</v>
          </cell>
          <cell r="X56">
            <v>5772.6149999999998</v>
          </cell>
          <cell r="Y56">
            <v>4643.5730000000003</v>
          </cell>
          <cell r="Z56">
            <v>6250.7539999999999</v>
          </cell>
          <cell r="AA56">
            <v>5505.049</v>
          </cell>
          <cell r="AB56">
            <v>20550.800999999999</v>
          </cell>
          <cell r="AC56">
            <v>25445.54</v>
          </cell>
          <cell r="AD56">
            <v>14817.804</v>
          </cell>
          <cell r="AE56">
            <v>14817.804</v>
          </cell>
          <cell r="AF56">
            <v>14817.804</v>
          </cell>
          <cell r="AG56">
            <v>14817.804</v>
          </cell>
        </row>
        <row r="57">
          <cell r="B57" t="str">
            <v>Other current liabilities</v>
          </cell>
          <cell r="C57" t="str">
            <v>OTH_CUR_LIABS</v>
          </cell>
          <cell r="D57" t="str">
            <v>TWD</v>
          </cell>
          <cell r="F57">
            <v>838.89800000000002</v>
          </cell>
          <cell r="G57">
            <v>2643.9490000000001</v>
          </cell>
          <cell r="H57">
            <v>1527.627</v>
          </cell>
          <cell r="I57">
            <v>2381.6819999999998</v>
          </cell>
          <cell r="J57">
            <v>2163.636</v>
          </cell>
          <cell r="K57">
            <v>5709.6360000000004</v>
          </cell>
          <cell r="L57">
            <v>17822.419999999998</v>
          </cell>
          <cell r="M57">
            <v>17582.136999999999</v>
          </cell>
          <cell r="N57">
            <v>12618.779</v>
          </cell>
          <cell r="O57">
            <v>10111.609</v>
          </cell>
          <cell r="P57">
            <v>14110</v>
          </cell>
          <cell r="Q57">
            <v>13953.254000000001</v>
          </cell>
          <cell r="R57">
            <v>20686.294999999998</v>
          </cell>
          <cell r="S57">
            <v>15466.531000000001</v>
          </cell>
          <cell r="T57">
            <v>10242.397999999999</v>
          </cell>
          <cell r="U57">
            <v>16810.712</v>
          </cell>
          <cell r="V57">
            <v>10413.589999999998</v>
          </cell>
          <cell r="W57">
            <v>10209.581999999995</v>
          </cell>
          <cell r="X57">
            <v>11737.912000000002</v>
          </cell>
          <cell r="Y57">
            <v>18392.485000000004</v>
          </cell>
          <cell r="Z57">
            <v>12788.116999999998</v>
          </cell>
          <cell r="AA57">
            <v>9605.8289999999979</v>
          </cell>
          <cell r="AB57">
            <v>17135.47</v>
          </cell>
          <cell r="AC57">
            <v>38445.87200000001</v>
          </cell>
          <cell r="AD57">
            <v>14998.550999999989</v>
          </cell>
          <cell r="AE57">
            <v>14998.550999999989</v>
          </cell>
          <cell r="AF57">
            <v>14998.550999999989</v>
          </cell>
          <cell r="AG57">
            <v>14998.550999999996</v>
          </cell>
        </row>
        <row r="58">
          <cell r="B58" t="str">
            <v>Total current liabilities</v>
          </cell>
          <cell r="C58" t="str">
            <v>SHORT_TERM_LIABS</v>
          </cell>
          <cell r="D58" t="str">
            <v>TWD</v>
          </cell>
          <cell r="F58">
            <v>2898.3609999999999</v>
          </cell>
          <cell r="G58">
            <v>5926.1580000000004</v>
          </cell>
          <cell r="H58">
            <v>6996.3090000000002</v>
          </cell>
          <cell r="I58">
            <v>8818.9050000000007</v>
          </cell>
          <cell r="J58">
            <v>8384.0349999999999</v>
          </cell>
          <cell r="K58">
            <v>17190.521000000001</v>
          </cell>
          <cell r="L58">
            <v>35853.347000000002</v>
          </cell>
          <cell r="M58">
            <v>26936.405999999999</v>
          </cell>
          <cell r="N58">
            <v>20949.418000000001</v>
          </cell>
          <cell r="O58">
            <v>32751.363000000001</v>
          </cell>
          <cell r="P58">
            <v>23277</v>
          </cell>
          <cell r="Q58">
            <v>28303.962</v>
          </cell>
          <cell r="R58">
            <v>30060.545999999998</v>
          </cell>
          <cell r="S58">
            <v>43152.807000000001</v>
          </cell>
          <cell r="T58">
            <v>13033.253000000001</v>
          </cell>
          <cell r="U58">
            <v>35245.875999999997</v>
          </cell>
          <cell r="V58">
            <v>45444.625</v>
          </cell>
          <cell r="W58">
            <v>42905.953999999998</v>
          </cell>
          <cell r="X58">
            <v>40120.512000000002</v>
          </cell>
          <cell r="Y58">
            <v>48203.97</v>
          </cell>
          <cell r="Z58">
            <v>48106.076000000001</v>
          </cell>
          <cell r="AA58">
            <v>48245.517999999996</v>
          </cell>
          <cell r="AB58">
            <v>71978.462</v>
          </cell>
          <cell r="AC58">
            <v>88061.07</v>
          </cell>
          <cell r="AD58">
            <v>67489.290625733687</v>
          </cell>
          <cell r="AE58">
            <v>66005.849851097446</v>
          </cell>
          <cell r="AF58">
            <v>73301.406236792711</v>
          </cell>
          <cell r="AG58">
            <v>82503.959914656269</v>
          </cell>
        </row>
        <row r="59">
          <cell r="B59" t="str">
            <v>Long-term  debt</v>
          </cell>
          <cell r="C59" t="str">
            <v>LT_DEBT</v>
          </cell>
          <cell r="D59" t="str">
            <v>TWD</v>
          </cell>
          <cell r="F59">
            <v>6103.933</v>
          </cell>
          <cell r="G59">
            <v>10082.662</v>
          </cell>
          <cell r="H59">
            <v>13010.993</v>
          </cell>
          <cell r="I59">
            <v>11461.861000000001</v>
          </cell>
          <cell r="J59">
            <v>18765.061000000002</v>
          </cell>
          <cell r="K59">
            <v>9147.6849999999995</v>
          </cell>
          <cell r="L59">
            <v>34357.021000000001</v>
          </cell>
          <cell r="M59">
            <v>52462.436999999998</v>
          </cell>
          <cell r="N59">
            <v>55066.423999999999</v>
          </cell>
          <cell r="O59">
            <v>48552.355000000003</v>
          </cell>
          <cell r="P59">
            <v>33607.705999999998</v>
          </cell>
          <cell r="Q59">
            <v>36009.055</v>
          </cell>
          <cell r="R59">
            <v>30383.076000000001</v>
          </cell>
          <cell r="S59">
            <v>7495.3040000000001</v>
          </cell>
          <cell r="T59">
            <v>8130.4430000000002</v>
          </cell>
          <cell r="U59">
            <v>766.55</v>
          </cell>
          <cell r="V59">
            <v>6799.39</v>
          </cell>
          <cell r="W59">
            <v>21095.385999999999</v>
          </cell>
          <cell r="X59">
            <v>32154.813000000002</v>
          </cell>
          <cell r="Y59">
            <v>28415.205000000002</v>
          </cell>
          <cell r="Z59">
            <v>33401.29</v>
          </cell>
          <cell r="AA59">
            <v>47524.406999999999</v>
          </cell>
          <cell r="AB59">
            <v>60728.691999999995</v>
          </cell>
          <cell r="AC59">
            <v>53319.145000000004</v>
          </cell>
          <cell r="AD59">
            <v>67458.987999999998</v>
          </cell>
          <cell r="AE59">
            <v>67458.987999999998</v>
          </cell>
          <cell r="AF59">
            <v>67458.987999999998</v>
          </cell>
          <cell r="AG59">
            <v>67458.987999999998</v>
          </cell>
        </row>
        <row r="60">
          <cell r="B60" t="str">
            <v>Other long-term liabilities</v>
          </cell>
          <cell r="C60" t="str">
            <v>OTH_LT_CRED_GQ</v>
          </cell>
          <cell r="D60" t="str">
            <v>TWD</v>
          </cell>
          <cell r="F60">
            <v>10.117000000000001</v>
          </cell>
          <cell r="G60">
            <v>0.53900000000000003</v>
          </cell>
          <cell r="H60">
            <v>123.342</v>
          </cell>
          <cell r="I60">
            <v>341.57</v>
          </cell>
          <cell r="J60">
            <v>351.60300000000001</v>
          </cell>
          <cell r="K60">
            <v>489.18700000000001</v>
          </cell>
          <cell r="L60">
            <v>2916.2420000000002</v>
          </cell>
          <cell r="M60">
            <v>4520.4030000000002</v>
          </cell>
          <cell r="N60">
            <v>3883.4409999999998</v>
          </cell>
          <cell r="O60">
            <v>6568.1959999999999</v>
          </cell>
          <cell r="P60">
            <v>6296.0309999999999</v>
          </cell>
          <cell r="Q60">
            <v>3624.6669999999999</v>
          </cell>
          <cell r="R60">
            <v>3620.3</v>
          </cell>
          <cell r="S60">
            <v>3647.567</v>
          </cell>
          <cell r="T60">
            <v>3576.518</v>
          </cell>
          <cell r="U60">
            <v>3529.7689999999998</v>
          </cell>
          <cell r="V60">
            <v>3506.9520000000002</v>
          </cell>
          <cell r="W60">
            <v>3705.4430000000029</v>
          </cell>
          <cell r="X60">
            <v>6232.3399999999965</v>
          </cell>
          <cell r="Y60">
            <v>6842.4779999999955</v>
          </cell>
          <cell r="Z60">
            <v>6729.4309999999969</v>
          </cell>
          <cell r="AA60">
            <v>12779.482000000004</v>
          </cell>
          <cell r="AB60">
            <v>35206.40400000001</v>
          </cell>
          <cell r="AC60">
            <v>38681.362999999998</v>
          </cell>
          <cell r="AD60">
            <v>41218.767999999996</v>
          </cell>
          <cell r="AE60">
            <v>41218.767999999996</v>
          </cell>
          <cell r="AF60">
            <v>41218.767999999996</v>
          </cell>
          <cell r="AG60">
            <v>41218.767999999996</v>
          </cell>
        </row>
        <row r="61">
          <cell r="B61" t="str">
            <v>Total long-term liabilities</v>
          </cell>
          <cell r="C61" t="str">
            <v>TOT_LT_LIAB</v>
          </cell>
          <cell r="D61" t="str">
            <v>TWD</v>
          </cell>
          <cell r="F61">
            <v>6614.05</v>
          </cell>
          <cell r="G61">
            <v>10583.200999999999</v>
          </cell>
          <cell r="H61">
            <v>13634.334999999999</v>
          </cell>
          <cell r="I61">
            <v>11803.431</v>
          </cell>
          <cell r="J61">
            <v>19116.664000000001</v>
          </cell>
          <cell r="K61">
            <v>9636.8719999999994</v>
          </cell>
          <cell r="L61">
            <v>37273.262999999999</v>
          </cell>
          <cell r="M61">
            <v>56982.84</v>
          </cell>
          <cell r="N61">
            <v>58949.864999999998</v>
          </cell>
          <cell r="O61">
            <v>55120.550999999999</v>
          </cell>
          <cell r="P61">
            <v>39903.737000000001</v>
          </cell>
          <cell r="Q61">
            <v>39633.722000000002</v>
          </cell>
          <cell r="R61">
            <v>34003.375999999997</v>
          </cell>
          <cell r="S61">
            <v>11142.870999999999</v>
          </cell>
          <cell r="T61">
            <v>11706.960999999999</v>
          </cell>
          <cell r="U61">
            <v>4296.3190000000004</v>
          </cell>
          <cell r="V61">
            <v>10306.342000000001</v>
          </cell>
          <cell r="W61">
            <v>24800.829000000002</v>
          </cell>
          <cell r="X61">
            <v>38387.152999999998</v>
          </cell>
          <cell r="Y61">
            <v>35257.682999999997</v>
          </cell>
          <cell r="Z61">
            <v>40130.720999999998</v>
          </cell>
          <cell r="AA61">
            <v>60303.889000000003</v>
          </cell>
          <cell r="AB61">
            <v>95935.096000000005</v>
          </cell>
          <cell r="AC61">
            <v>92000.508000000002</v>
          </cell>
          <cell r="AD61">
            <v>108677.75599999999</v>
          </cell>
          <cell r="AE61">
            <v>108677.75599999999</v>
          </cell>
          <cell r="AF61">
            <v>108677.75599999999</v>
          </cell>
          <cell r="AG61">
            <v>108677.75599999999</v>
          </cell>
        </row>
        <row r="62">
          <cell r="B62" t="str">
            <v>Total liabilities</v>
          </cell>
          <cell r="C62" t="str">
            <v>TOT_LIAB</v>
          </cell>
          <cell r="D62" t="str">
            <v>TWD</v>
          </cell>
          <cell r="F62">
            <v>9512.4110000000001</v>
          </cell>
          <cell r="G62">
            <v>16509.359</v>
          </cell>
          <cell r="H62">
            <v>20630.644</v>
          </cell>
          <cell r="I62">
            <v>20622.335999999999</v>
          </cell>
          <cell r="J62">
            <v>27500.699000000001</v>
          </cell>
          <cell r="K62">
            <v>26827.393</v>
          </cell>
          <cell r="L62">
            <v>73126.61</v>
          </cell>
          <cell r="M62">
            <v>83919.245999999999</v>
          </cell>
          <cell r="N62">
            <v>79899.282999999996</v>
          </cell>
          <cell r="O62">
            <v>87871.914000000004</v>
          </cell>
          <cell r="P62">
            <v>63180.737000000001</v>
          </cell>
          <cell r="Q62">
            <v>67937.683999999994</v>
          </cell>
          <cell r="R62">
            <v>64063.921999999999</v>
          </cell>
          <cell r="S62">
            <v>54295.678</v>
          </cell>
          <cell r="T62">
            <v>24740.214</v>
          </cell>
          <cell r="U62">
            <v>39542.195</v>
          </cell>
          <cell r="V62">
            <v>55750.967000000004</v>
          </cell>
          <cell r="W62">
            <v>67706.782999999996</v>
          </cell>
          <cell r="X62">
            <v>78507.665000000008</v>
          </cell>
          <cell r="Y62">
            <v>83461.652999999991</v>
          </cell>
          <cell r="Z62">
            <v>88236.796999999991</v>
          </cell>
          <cell r="AA62">
            <v>108549.40700000001</v>
          </cell>
          <cell r="AB62">
            <v>167913.55800000002</v>
          </cell>
          <cell r="AC62">
            <v>180061.57800000001</v>
          </cell>
          <cell r="AD62">
            <v>176167.04662573367</v>
          </cell>
          <cell r="AE62">
            <v>174683.60585109744</v>
          </cell>
          <cell r="AF62">
            <v>181979.1622367927</v>
          </cell>
          <cell r="AG62">
            <v>191181.71591465626</v>
          </cell>
        </row>
        <row r="63">
          <cell r="B63" t="str">
            <v>Preferred shares</v>
          </cell>
          <cell r="C63" t="str">
            <v>PREF_SH</v>
          </cell>
          <cell r="D63" t="str">
            <v>TWD</v>
          </cell>
          <cell r="F63">
            <v>500</v>
          </cell>
          <cell r="G63">
            <v>500</v>
          </cell>
          <cell r="H63">
            <v>500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B64" t="str">
            <v>Total common equity</v>
          </cell>
          <cell r="C64" t="str">
            <v>ORD_SH_FUND</v>
          </cell>
          <cell r="D64" t="str">
            <v>TWD</v>
          </cell>
          <cell r="F64">
            <v>18639.407999999999</v>
          </cell>
          <cell r="G64">
            <v>31366.162</v>
          </cell>
          <cell r="H64">
            <v>46007.7</v>
          </cell>
          <cell r="I64">
            <v>66762.869000000006</v>
          </cell>
          <cell r="J64">
            <v>76536.748999999996</v>
          </cell>
          <cell r="K64">
            <v>119311.648</v>
          </cell>
          <cell r="L64">
            <v>238001.65299999999</v>
          </cell>
          <cell r="M64">
            <v>233465.69899999999</v>
          </cell>
          <cell r="N64">
            <v>217433.36300000001</v>
          </cell>
          <cell r="O64">
            <v>232241.924</v>
          </cell>
          <cell r="P64">
            <v>266383</v>
          </cell>
          <cell r="Q64">
            <v>258283.55300000001</v>
          </cell>
          <cell r="R64">
            <v>291164.87099999998</v>
          </cell>
          <cell r="S64">
            <v>236466.889</v>
          </cell>
          <cell r="T64">
            <v>191658.29399999999</v>
          </cell>
          <cell r="U64">
            <v>214096.25599999999</v>
          </cell>
          <cell r="V64">
            <v>219337.283</v>
          </cell>
          <cell r="W64">
            <v>207737.087</v>
          </cell>
          <cell r="X64">
            <v>201959.90100000001</v>
          </cell>
          <cell r="Y64">
            <v>208121.18799999999</v>
          </cell>
          <cell r="Z64">
            <v>221159.05300000004</v>
          </cell>
          <cell r="AA64">
            <v>226790.33799999999</v>
          </cell>
          <cell r="AB64">
            <v>216579.89499999999</v>
          </cell>
          <cell r="AC64">
            <v>213080.77600000001</v>
          </cell>
          <cell r="AD64">
            <v>211956.25551189794</v>
          </cell>
          <cell r="AE64">
            <v>206556.35981032034</v>
          </cell>
          <cell r="AF64">
            <v>211568.80138368128</v>
          </cell>
          <cell r="AG64">
            <v>209320.57018921815</v>
          </cell>
        </row>
        <row r="65">
          <cell r="B65" t="str">
            <v>Minority interest</v>
          </cell>
          <cell r="C65" t="str">
            <v>MINORITIES</v>
          </cell>
          <cell r="D65" t="str">
            <v>TWD</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5798.7460000000001</v>
          </cell>
          <cell r="W65">
            <v>4387.8760000000002</v>
          </cell>
          <cell r="X65">
            <v>2571.1390000000001</v>
          </cell>
          <cell r="Y65">
            <v>4319.9880000000003</v>
          </cell>
          <cell r="Z65">
            <v>3849.7979999999998</v>
          </cell>
          <cell r="AA65">
            <v>2027.0650000000001</v>
          </cell>
          <cell r="AB65">
            <v>2161.7289999999998</v>
          </cell>
          <cell r="AC65">
            <v>956.80799999999999</v>
          </cell>
          <cell r="AD65">
            <v>493.24099999999999</v>
          </cell>
          <cell r="AE65">
            <v>493.24099999999999</v>
          </cell>
          <cell r="AF65">
            <v>493.24099999999999</v>
          </cell>
          <cell r="AG65">
            <v>493.24099999999999</v>
          </cell>
        </row>
        <row r="66">
          <cell r="B66" t="str">
            <v>Total shareholders' equity</v>
          </cell>
          <cell r="C66" t="str">
            <v>EQ</v>
          </cell>
          <cell r="D66" t="str">
            <v>TWD</v>
          </cell>
          <cell r="F66">
            <v>18639.407999999999</v>
          </cell>
          <cell r="G66">
            <v>31366.162</v>
          </cell>
          <cell r="H66">
            <v>46007.7</v>
          </cell>
          <cell r="I66">
            <v>66762.869000000006</v>
          </cell>
          <cell r="J66">
            <v>76536.748999999996</v>
          </cell>
          <cell r="K66">
            <v>119311.648</v>
          </cell>
          <cell r="L66">
            <v>238001.65299999999</v>
          </cell>
          <cell r="M66">
            <v>233465.69899999999</v>
          </cell>
          <cell r="N66">
            <v>217433.36300000001</v>
          </cell>
          <cell r="O66">
            <v>232241.924</v>
          </cell>
          <cell r="P66">
            <v>266383</v>
          </cell>
          <cell r="Q66">
            <v>258283.55300000001</v>
          </cell>
          <cell r="R66">
            <v>291164.87099999998</v>
          </cell>
          <cell r="S66">
            <v>236466.889</v>
          </cell>
          <cell r="T66">
            <v>191658.29399999999</v>
          </cell>
          <cell r="U66">
            <v>214096.25599999999</v>
          </cell>
          <cell r="V66">
            <v>225136.02900000001</v>
          </cell>
          <cell r="W66">
            <v>212124.96299999999</v>
          </cell>
          <cell r="X66">
            <v>204531.04</v>
          </cell>
          <cell r="Y66">
            <v>212441.17600000001</v>
          </cell>
          <cell r="Z66">
            <v>225008.85100000005</v>
          </cell>
          <cell r="AA66">
            <v>228817.40299999999</v>
          </cell>
          <cell r="AB66">
            <v>218741.62399999998</v>
          </cell>
          <cell r="AC66">
            <v>214037.584</v>
          </cell>
          <cell r="AD66">
            <v>212449.49651189795</v>
          </cell>
          <cell r="AE66">
            <v>207049.60081032035</v>
          </cell>
          <cell r="AF66">
            <v>212062.04238368128</v>
          </cell>
          <cell r="AG66">
            <v>209813.81118921816</v>
          </cell>
        </row>
        <row r="67">
          <cell r="B67" t="str">
            <v>Total liabilities and equity</v>
          </cell>
          <cell r="C67" t="str">
            <v>TOT_LIAB_EQ</v>
          </cell>
          <cell r="D67" t="str">
            <v>TWD</v>
          </cell>
          <cell r="F67">
            <v>28151.819</v>
          </cell>
          <cell r="G67">
            <v>47875.521000000001</v>
          </cell>
          <cell r="H67">
            <v>66638.343999999997</v>
          </cell>
          <cell r="I67">
            <v>87385.205000000002</v>
          </cell>
          <cell r="J67">
            <v>104037.448</v>
          </cell>
          <cell r="K67">
            <v>146139.041</v>
          </cell>
          <cell r="L67">
            <v>311128.26299999998</v>
          </cell>
          <cell r="M67">
            <v>317384.94500000001</v>
          </cell>
          <cell r="N67">
            <v>297332.64600000001</v>
          </cell>
          <cell r="O67">
            <v>320113.83799999999</v>
          </cell>
          <cell r="P67">
            <v>329563.73700000002</v>
          </cell>
          <cell r="Q67">
            <v>326221.23700000002</v>
          </cell>
          <cell r="R67">
            <v>355228.79300000001</v>
          </cell>
          <cell r="S67">
            <v>290762.56699999998</v>
          </cell>
          <cell r="T67">
            <v>216398.508</v>
          </cell>
          <cell r="U67">
            <v>253638.451</v>
          </cell>
          <cell r="V67">
            <v>280886.99600000004</v>
          </cell>
          <cell r="W67">
            <v>279831.74599999998</v>
          </cell>
          <cell r="X67">
            <v>283038.70500000002</v>
          </cell>
          <cell r="Y67">
            <v>295902.82900000003</v>
          </cell>
          <cell r="Z67">
            <v>313245.64800000004</v>
          </cell>
          <cell r="AA67">
            <v>337366.81</v>
          </cell>
          <cell r="AB67">
            <v>386655.18200000003</v>
          </cell>
          <cell r="AC67">
            <v>394099.16200000001</v>
          </cell>
          <cell r="AD67">
            <v>388616.54313763161</v>
          </cell>
          <cell r="AE67">
            <v>381733.20666141779</v>
          </cell>
          <cell r="AF67">
            <v>394041.20462047402</v>
          </cell>
          <cell r="AG67">
            <v>400995.52710387442</v>
          </cell>
        </row>
        <row r="68">
          <cell r="A68" t="str">
            <v>Additional Balance Sheet Items</v>
          </cell>
        </row>
        <row r="69">
          <cell r="B69" t="str">
            <v>Total US$ debt (in US$)</v>
          </cell>
          <cell r="C69" t="str">
            <v>TOT_USD_DEBT</v>
          </cell>
          <cell r="V69">
            <v>0</v>
          </cell>
          <cell r="W69">
            <v>0</v>
          </cell>
          <cell r="X69">
            <v>0</v>
          </cell>
          <cell r="Y69">
            <v>0</v>
          </cell>
          <cell r="Z69">
            <v>0</v>
          </cell>
          <cell r="AA69">
            <v>0</v>
          </cell>
          <cell r="AB69">
            <v>0</v>
          </cell>
          <cell r="AC69">
            <v>0</v>
          </cell>
          <cell r="AD69">
            <v>0</v>
          </cell>
          <cell r="AE69">
            <v>0</v>
          </cell>
          <cell r="AF69">
            <v>0</v>
          </cell>
          <cell r="AG69">
            <v>0</v>
          </cell>
        </row>
        <row r="70">
          <cell r="B70" t="str">
            <v>% US$ debt hedged (principal)</v>
          </cell>
          <cell r="C70" t="str">
            <v>TOT_PCT_USD_DEBT_HEDGED</v>
          </cell>
          <cell r="V70">
            <v>0</v>
          </cell>
          <cell r="W70">
            <v>0</v>
          </cell>
          <cell r="X70">
            <v>0</v>
          </cell>
          <cell r="Y70">
            <v>0</v>
          </cell>
          <cell r="Z70">
            <v>0</v>
          </cell>
          <cell r="AA70">
            <v>0</v>
          </cell>
          <cell r="AB70">
            <v>0</v>
          </cell>
          <cell r="AC70">
            <v>0</v>
          </cell>
          <cell r="AD70">
            <v>0</v>
          </cell>
          <cell r="AE70">
            <v>0</v>
          </cell>
          <cell r="AF70">
            <v>0</v>
          </cell>
          <cell r="AG70">
            <v>0</v>
          </cell>
        </row>
        <row r="71">
          <cell r="B71" t="str">
            <v>% Floating debt (local currency debt)</v>
          </cell>
          <cell r="C71" t="str">
            <v>FLOATING_PCT_LOCAL_DEBT</v>
          </cell>
          <cell r="V71">
            <v>0</v>
          </cell>
          <cell r="W71">
            <v>0</v>
          </cell>
          <cell r="X71">
            <v>0</v>
          </cell>
          <cell r="Y71">
            <v>0</v>
          </cell>
          <cell r="Z71">
            <v>0</v>
          </cell>
          <cell r="AA71">
            <v>0</v>
          </cell>
          <cell r="AB71">
            <v>0</v>
          </cell>
          <cell r="AC71">
            <v>0</v>
          </cell>
          <cell r="AD71">
            <v>0</v>
          </cell>
          <cell r="AE71">
            <v>0</v>
          </cell>
          <cell r="AF71">
            <v>0</v>
          </cell>
          <cell r="AG71">
            <v>0</v>
          </cell>
        </row>
        <row r="72">
          <cell r="B72" t="str">
            <v>% floating debt hedged (rates)</v>
          </cell>
          <cell r="C72" t="str">
            <v>FLOATING_PCT_LOCAL_DEBT_HEDGED</v>
          </cell>
          <cell r="V72">
            <v>0</v>
          </cell>
          <cell r="W72">
            <v>0</v>
          </cell>
          <cell r="X72">
            <v>0</v>
          </cell>
          <cell r="Y72">
            <v>0</v>
          </cell>
          <cell r="Z72">
            <v>0</v>
          </cell>
          <cell r="AA72">
            <v>0</v>
          </cell>
          <cell r="AB72">
            <v>0</v>
          </cell>
          <cell r="AC72">
            <v>0</v>
          </cell>
          <cell r="AD72">
            <v>0</v>
          </cell>
          <cell r="AE72">
            <v>0</v>
          </cell>
          <cell r="AF72">
            <v>0</v>
          </cell>
          <cell r="AG72">
            <v>0</v>
          </cell>
        </row>
        <row r="73">
          <cell r="B73" t="str">
            <v>Net debt</v>
          </cell>
          <cell r="C73" t="str">
            <v>NET_DEBT</v>
          </cell>
          <cell r="D73" t="str">
            <v>TWD</v>
          </cell>
          <cell r="F73">
            <v>-5373.3969999999999</v>
          </cell>
          <cell r="G73">
            <v>-225.66200000000001</v>
          </cell>
          <cell r="H73">
            <v>-2561.6039999999998</v>
          </cell>
          <cell r="I73">
            <v>-6266.0889999999999</v>
          </cell>
          <cell r="J73">
            <v>-3854.1419999999998</v>
          </cell>
          <cell r="K73">
            <v>6720.0290000000005</v>
          </cell>
          <cell r="L73">
            <v>-7470.56</v>
          </cell>
          <cell r="M73">
            <v>-138.458</v>
          </cell>
          <cell r="N73">
            <v>1041.3150000000001</v>
          </cell>
          <cell r="O73">
            <v>-27245.526999999998</v>
          </cell>
          <cell r="P73">
            <v>-48074.201999999997</v>
          </cell>
          <cell r="Q73">
            <v>-55220.688999999998</v>
          </cell>
          <cell r="R73">
            <v>-57168.122000000003</v>
          </cell>
          <cell r="S73">
            <v>-11868.234</v>
          </cell>
          <cell r="T73">
            <v>-42330.629000000001</v>
          </cell>
          <cell r="U73">
            <v>-60803.925999999999</v>
          </cell>
          <cell r="V73">
            <v>-40347.600000000006</v>
          </cell>
          <cell r="W73">
            <v>-18562.864999999998</v>
          </cell>
          <cell r="X73">
            <v>-4561.0619999999981</v>
          </cell>
          <cell r="Y73">
            <v>-17771.899999999994</v>
          </cell>
          <cell r="Z73">
            <v>-6049.2909999999974</v>
          </cell>
          <cell r="AA73">
            <v>-260.97699999999895</v>
          </cell>
          <cell r="AB73">
            <v>23700.511999999988</v>
          </cell>
          <cell r="AC73">
            <v>-2909.8870000000024</v>
          </cell>
          <cell r="AD73">
            <v>-15488.769204778437</v>
          </cell>
          <cell r="AE73">
            <v>-43602.636291660441</v>
          </cell>
          <cell r="AF73">
            <v>-76795.683663708201</v>
          </cell>
          <cell r="AG73">
            <v>-102360.30288467933</v>
          </cell>
        </row>
        <row r="74">
          <cell r="B74" t="str">
            <v>Capitalized leases</v>
          </cell>
          <cell r="C74" t="str">
            <v>CAP_LEASES</v>
          </cell>
          <cell r="D74" t="str">
            <v>TWD</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B75" t="str">
            <v>Deferred income taxes</v>
          </cell>
          <cell r="C75" t="str">
            <v>DEF_INC_TAX</v>
          </cell>
          <cell r="D75" t="str">
            <v>TWD</v>
          </cell>
        </row>
        <row r="76">
          <cell r="B76" t="str">
            <v>Associates (mkt value) used in EV calculation</v>
          </cell>
          <cell r="C76" t="str">
            <v>MV_ASSOCIATES</v>
          </cell>
          <cell r="D76" t="str">
            <v>TWD</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B77" t="str">
            <v>Net debt adjustment</v>
          </cell>
          <cell r="C77" t="str">
            <v>NET_DEBT_ADJ</v>
          </cell>
          <cell r="D77" t="str">
            <v>TWD</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Company borrowing margin</v>
          </cell>
          <cell r="C78" t="str">
            <v>CO_BOR_MARGIN</v>
          </cell>
          <cell r="F78">
            <v>5.1304000000000002E-2</v>
          </cell>
          <cell r="G78">
            <v>2.563E-2</v>
          </cell>
          <cell r="H78">
            <v>5.9015999999999999E-2</v>
          </cell>
          <cell r="I78">
            <v>6.0304000000000003E-2</v>
          </cell>
          <cell r="J78">
            <v>7.3939000000000005E-2</v>
          </cell>
          <cell r="K78">
            <v>5.4531000000000003E-2</v>
          </cell>
          <cell r="L78">
            <v>5.0238999999999999E-2</v>
          </cell>
          <cell r="M78">
            <v>4.1843999999999999E-2</v>
          </cell>
          <cell r="N78">
            <v>2.3349000000000002E-2</v>
          </cell>
          <cell r="O78">
            <v>1.8398999999999999E-2</v>
          </cell>
          <cell r="P78">
            <v>3.0762000000000001E-2</v>
          </cell>
          <cell r="Q78">
            <v>1.9848999999999999E-2</v>
          </cell>
          <cell r="R78">
            <v>1.7648E-2</v>
          </cell>
          <cell r="S78">
            <v>6.0707367310000003E-3</v>
          </cell>
          <cell r="T78">
            <v>8.543024255E-3</v>
          </cell>
          <cell r="U78">
            <v>4.2534878709999998E-3</v>
          </cell>
          <cell r="V78">
            <v>3.2208343384289198E-2</v>
          </cell>
          <cell r="W78">
            <v>1.8149710775430757E-2</v>
          </cell>
          <cell r="X78">
            <v>1.9897631866837899E-2</v>
          </cell>
          <cell r="Y78">
            <v>2.4279996072450103E-2</v>
          </cell>
          <cell r="Z78">
            <v>2.5023047992179168E-2</v>
          </cell>
          <cell r="AA78">
            <v>8.8688445153953677E-3</v>
          </cell>
          <cell r="AB78">
            <v>1.7308092706729856E-2</v>
          </cell>
          <cell r="AC78">
            <v>3.055775567438631E-2</v>
          </cell>
          <cell r="AD78">
            <v>3.2785012145344704E-2</v>
          </cell>
          <cell r="AE78">
            <v>3.1788792608125192E-2</v>
          </cell>
          <cell r="AF78">
            <v>3.2063255973819219E-2</v>
          </cell>
          <cell r="AG78">
            <v>3.2031064212075668E-2</v>
          </cell>
        </row>
        <row r="79">
          <cell r="B79" t="str">
            <v>Unfunded pensions &amp; other provisions</v>
          </cell>
          <cell r="C79" t="str">
            <v>UNF_PENS</v>
          </cell>
          <cell r="D79" t="str">
            <v>TWD</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row>
        <row r="80">
          <cell r="B80" t="str">
            <v>Unfunded pension liabilities (off balance sheet)</v>
          </cell>
          <cell r="C80" t="str">
            <v>UNF_PENS_OFF</v>
          </cell>
          <cell r="D80" t="str">
            <v>TWD</v>
          </cell>
          <cell r="F80">
            <v>0</v>
          </cell>
          <cell r="G80">
            <v>422.50900000000001</v>
          </cell>
          <cell r="H80">
            <v>303.245</v>
          </cell>
          <cell r="I80">
            <v>99.942999999999998</v>
          </cell>
          <cell r="J80">
            <v>112.81100000000001</v>
          </cell>
          <cell r="K80">
            <v>428.988</v>
          </cell>
          <cell r="L80">
            <v>695.20100000000002</v>
          </cell>
          <cell r="M80">
            <v>137.595</v>
          </cell>
          <cell r="N80">
            <v>157.666</v>
          </cell>
          <cell r="O80">
            <v>-107.96899999999999</v>
          </cell>
          <cell r="P80">
            <v>-140.46299999999999</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B81" t="str">
            <v>Unfunded pension liabilities &amp; other, used in EV</v>
          </cell>
          <cell r="C81" t="str">
            <v>UNF_PENS_LIAB_OTH</v>
          </cell>
          <cell r="D81" t="str">
            <v>TWD</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row>
        <row r="82">
          <cell r="B82" t="str">
            <v>Adjustment for unfunded pensions &amp; goodwill</v>
          </cell>
          <cell r="C82" t="str">
            <v>ADJ_UNF_PENS_GOOD</v>
          </cell>
          <cell r="D82" t="str">
            <v>TWD</v>
          </cell>
          <cell r="F82">
            <v>-14.19</v>
          </cell>
          <cell r="G82">
            <v>411.59</v>
          </cell>
          <cell r="H82">
            <v>295.59699999999998</v>
          </cell>
          <cell r="I82">
            <v>78.984999999999999</v>
          </cell>
          <cell r="J82">
            <v>100.408</v>
          </cell>
          <cell r="K82">
            <v>428.988</v>
          </cell>
          <cell r="L82">
            <v>695.20100000000002</v>
          </cell>
          <cell r="M82">
            <v>106.79</v>
          </cell>
          <cell r="N82">
            <v>138.786</v>
          </cell>
          <cell r="O82">
            <v>-114.925</v>
          </cell>
          <cell r="P82">
            <v>-1355.463</v>
          </cell>
          <cell r="Q82">
            <v>-4104.6779999999999</v>
          </cell>
          <cell r="R82">
            <v>-3745.1219999999998</v>
          </cell>
          <cell r="S82">
            <v>-3745.1219999999998</v>
          </cell>
          <cell r="T82">
            <v>-7.9669999999999996</v>
          </cell>
          <cell r="U82">
            <v>-7.6150000000000002</v>
          </cell>
          <cell r="V82">
            <v>-304.72800000000001</v>
          </cell>
          <cell r="W82">
            <v>-350.86</v>
          </cell>
          <cell r="X82">
            <v>-2798.1589999999997</v>
          </cell>
          <cell r="Y82">
            <v>-4739.646999999999</v>
          </cell>
          <cell r="Z82">
            <v>-4532.9379999999983</v>
          </cell>
          <cell r="AA82">
            <v>-4504.0879999999997</v>
          </cell>
          <cell r="AB82">
            <v>-4088.3029999999999</v>
          </cell>
          <cell r="AC82">
            <v>-3787.5089999999982</v>
          </cell>
          <cell r="AD82">
            <v>-2701.2633534316083</v>
          </cell>
          <cell r="AE82">
            <v>-679.71276715803469</v>
          </cell>
          <cell r="AF82">
            <v>1341.8378191155389</v>
          </cell>
          <cell r="AG82">
            <v>3363.3884053891124</v>
          </cell>
        </row>
        <row r="83">
          <cell r="B83" t="str">
            <v>Other GCI adjustments</v>
          </cell>
          <cell r="C83" t="str">
            <v>OTH_GCI_ADJ</v>
          </cell>
          <cell r="D83" t="str">
            <v>TWD</v>
          </cell>
        </row>
        <row r="84">
          <cell r="B84" t="str">
            <v>GCI inflator</v>
          </cell>
          <cell r="C84" t="str">
            <v>GCI_INFL</v>
          </cell>
          <cell r="F84">
            <v>1</v>
          </cell>
          <cell r="G84">
            <v>1</v>
          </cell>
          <cell r="H84">
            <v>1</v>
          </cell>
          <cell r="I84">
            <v>1</v>
          </cell>
          <cell r="J84">
            <v>1</v>
          </cell>
          <cell r="K84">
            <v>1</v>
          </cell>
          <cell r="L84">
            <v>1</v>
          </cell>
          <cell r="M84">
            <v>1</v>
          </cell>
          <cell r="N84">
            <v>1</v>
          </cell>
          <cell r="O84">
            <v>1</v>
          </cell>
          <cell r="P84">
            <v>1</v>
          </cell>
          <cell r="Q84">
            <v>1</v>
          </cell>
          <cell r="R84">
            <v>1</v>
          </cell>
          <cell r="S84">
            <v>1</v>
          </cell>
          <cell r="T84">
            <v>1</v>
          </cell>
          <cell r="U84">
            <v>1</v>
          </cell>
          <cell r="V84">
            <v>1</v>
          </cell>
          <cell r="W84">
            <v>1</v>
          </cell>
          <cell r="X84">
            <v>1</v>
          </cell>
          <cell r="Y84">
            <v>1</v>
          </cell>
          <cell r="Z84">
            <v>1</v>
          </cell>
          <cell r="AA84">
            <v>1</v>
          </cell>
          <cell r="AB84">
            <v>1</v>
          </cell>
          <cell r="AC84">
            <v>1</v>
          </cell>
          <cell r="AD84">
            <v>1</v>
          </cell>
          <cell r="AE84">
            <v>1</v>
          </cell>
          <cell r="AF84">
            <v>1</v>
          </cell>
          <cell r="AG84">
            <v>1</v>
          </cell>
        </row>
        <row r="85">
          <cell r="B85" t="str">
            <v>Minority interest</v>
          </cell>
          <cell r="C85" t="str">
            <v>BAL_MINO_INT</v>
          </cell>
          <cell r="D85" t="str">
            <v>TWD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5798.7460000000001</v>
          </cell>
          <cell r="W85">
            <v>4387.8760000000002</v>
          </cell>
          <cell r="X85">
            <v>2571.1390000000001</v>
          </cell>
          <cell r="Y85">
            <v>4319.9880000000003</v>
          </cell>
          <cell r="Z85">
            <v>3849.7979999999998</v>
          </cell>
          <cell r="AA85">
            <v>2027.0650000000001</v>
          </cell>
          <cell r="AB85">
            <v>2161.7289999999998</v>
          </cell>
          <cell r="AC85">
            <v>956.80799999999999</v>
          </cell>
          <cell r="AD85">
            <v>493.24099999999999</v>
          </cell>
          <cell r="AE85">
            <v>493.24099999999999</v>
          </cell>
          <cell r="AF85">
            <v>493.24099999999999</v>
          </cell>
          <cell r="AG85">
            <v>493.24099999999999</v>
          </cell>
        </row>
        <row r="86">
          <cell r="A86" t="str">
            <v>Cash Flow Statement</v>
          </cell>
        </row>
        <row r="87">
          <cell r="B87" t="str">
            <v>Minority interest add-back</v>
          </cell>
          <cell r="C87" t="str">
            <v>CF_INC_MINORITY</v>
          </cell>
          <cell r="D87" t="str">
            <v>TWD</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-52.948999999999998</v>
          </cell>
          <cell r="W87">
            <v>-2142.779</v>
          </cell>
          <cell r="X87">
            <v>-1945.5260000000001</v>
          </cell>
          <cell r="Y87">
            <v>-525.24300000000005</v>
          </cell>
          <cell r="Z87">
            <v>-661.75200000000007</v>
          </cell>
          <cell r="AA87">
            <v>-612.97299999999996</v>
          </cell>
          <cell r="AB87">
            <v>-4452.5849999999991</v>
          </cell>
          <cell r="AC87">
            <v>-2997.4690000000005</v>
          </cell>
          <cell r="AD87">
            <v>-3136.4110000000001</v>
          </cell>
          <cell r="AE87">
            <v>0</v>
          </cell>
          <cell r="AF87">
            <v>0</v>
          </cell>
          <cell r="AG87">
            <v>0</v>
          </cell>
        </row>
        <row r="88">
          <cell r="B88" t="str">
            <v>Depreciation &amp; amortization add-back</v>
          </cell>
          <cell r="C88" t="str">
            <v>DEPR_AMORT</v>
          </cell>
          <cell r="D88" t="str">
            <v>TWD</v>
          </cell>
          <cell r="F88">
            <v>1548.4349999999999</v>
          </cell>
          <cell r="G88">
            <v>2193.0680000000002</v>
          </cell>
          <cell r="H88">
            <v>3457.5360000000001</v>
          </cell>
          <cell r="I88">
            <v>4046.0659999999998</v>
          </cell>
          <cell r="J88">
            <v>4810.5680000000002</v>
          </cell>
          <cell r="K88">
            <v>5506.3590000000004</v>
          </cell>
          <cell r="L88">
            <v>24517.172999999999</v>
          </cell>
          <cell r="M88">
            <v>34290.902000000002</v>
          </cell>
          <cell r="N88">
            <v>35725.012000000002</v>
          </cell>
          <cell r="O88">
            <v>37411.546999999999</v>
          </cell>
          <cell r="P88">
            <v>39777.332999999999</v>
          </cell>
          <cell r="Q88">
            <v>48516.904000000002</v>
          </cell>
          <cell r="R88">
            <v>44193.99</v>
          </cell>
          <cell r="S88">
            <v>36735.065000000002</v>
          </cell>
          <cell r="T88">
            <v>38512.103999999999</v>
          </cell>
          <cell r="U88">
            <v>34229.794999999998</v>
          </cell>
          <cell r="V88">
            <v>30495.633000000002</v>
          </cell>
          <cell r="W88">
            <v>32370.798999999999</v>
          </cell>
          <cell r="X88">
            <v>35842.167999999998</v>
          </cell>
          <cell r="Y88">
            <v>38432.311999999998</v>
          </cell>
          <cell r="Z88">
            <v>40657.353999999999</v>
          </cell>
          <cell r="AA88">
            <v>45472.109000000004</v>
          </cell>
          <cell r="AB88">
            <v>51983.601000000002</v>
          </cell>
          <cell r="AC88">
            <v>53098.845999999998</v>
          </cell>
          <cell r="AD88">
            <v>51602.087683477148</v>
          </cell>
          <cell r="AE88">
            <v>41576.250344884727</v>
          </cell>
          <cell r="AF88">
            <v>33295.643803641236</v>
          </cell>
          <cell r="AG88">
            <v>26943.571187769383</v>
          </cell>
        </row>
        <row r="89">
          <cell r="B89" t="str">
            <v>(Increase)/decrease in working capital</v>
          </cell>
          <cell r="C89" t="str">
            <v>WORK_CAP</v>
          </cell>
          <cell r="D89" t="str">
            <v>TWD</v>
          </cell>
          <cell r="F89">
            <v>268.791</v>
          </cell>
          <cell r="G89">
            <v>-2023.21</v>
          </cell>
          <cell r="H89">
            <v>691.62099999999998</v>
          </cell>
          <cell r="I89">
            <v>-704.66399999999999</v>
          </cell>
          <cell r="J89">
            <v>1092.9269999999999</v>
          </cell>
          <cell r="K89">
            <v>-1285.6489999999999</v>
          </cell>
          <cell r="L89">
            <v>-15395.262000000001</v>
          </cell>
          <cell r="M89">
            <v>10423.029</v>
          </cell>
          <cell r="N89">
            <v>-4536.1450000000004</v>
          </cell>
          <cell r="O89">
            <v>-2977.623</v>
          </cell>
          <cell r="P89">
            <v>2579.248</v>
          </cell>
          <cell r="Q89">
            <v>-3426.4850000000001</v>
          </cell>
          <cell r="R89">
            <v>-244.45</v>
          </cell>
          <cell r="S89">
            <v>-1691.069</v>
          </cell>
          <cell r="T89">
            <v>7490.1989999999996</v>
          </cell>
          <cell r="U89">
            <v>-6642.4610000000002</v>
          </cell>
          <cell r="V89">
            <v>-1681.2599999999984</v>
          </cell>
          <cell r="W89">
            <v>-3063.7499999999982</v>
          </cell>
          <cell r="X89">
            <v>-2765.5870000000014</v>
          </cell>
          <cell r="Y89">
            <v>1138.0219999999954</v>
          </cell>
          <cell r="Z89">
            <v>-2830.2949999999964</v>
          </cell>
          <cell r="AA89">
            <v>4731.4180000000015</v>
          </cell>
          <cell r="AB89">
            <v>-2199.2240000000056</v>
          </cell>
          <cell r="AC89">
            <v>-9566.2379999999976</v>
          </cell>
          <cell r="AD89">
            <v>-1347.4169905966337</v>
          </cell>
          <cell r="AE89">
            <v>-3707.8148887005082</v>
          </cell>
          <cell r="AF89">
            <v>-815.53991439259698</v>
          </cell>
          <cell r="AG89">
            <v>5193.9786012429904</v>
          </cell>
        </row>
        <row r="90">
          <cell r="B90" t="str">
            <v>Other operating cash flow items</v>
          </cell>
          <cell r="C90" t="str">
            <v>OTH_OP_CF</v>
          </cell>
          <cell r="D90" t="str">
            <v>TWD</v>
          </cell>
          <cell r="F90">
            <v>247.639000000001</v>
          </cell>
          <cell r="G90">
            <v>-989.21</v>
          </cell>
          <cell r="H90">
            <v>-1833.2360000000001</v>
          </cell>
          <cell r="I90">
            <v>-471.063999999999</v>
          </cell>
          <cell r="J90">
            <v>557.44099999999798</v>
          </cell>
          <cell r="K90">
            <v>1535.3050000000001</v>
          </cell>
          <cell r="L90">
            <v>-3189.364</v>
          </cell>
          <cell r="M90">
            <v>-2992.7890000000002</v>
          </cell>
          <cell r="N90">
            <v>-11040.825000000001</v>
          </cell>
          <cell r="O90">
            <v>-2856.7289999999998</v>
          </cell>
          <cell r="P90">
            <v>-5184.99</v>
          </cell>
          <cell r="Q90">
            <v>-6160.3109999999997</v>
          </cell>
          <cell r="R90">
            <v>-30604.812000000002</v>
          </cell>
          <cell r="S90">
            <v>-5369.884</v>
          </cell>
          <cell r="T90">
            <v>23008.927</v>
          </cell>
          <cell r="U90">
            <v>415.37599999999901</v>
          </cell>
          <cell r="V90">
            <v>903.13299999999799</v>
          </cell>
          <cell r="W90">
            <v>3879.8350000000046</v>
          </cell>
          <cell r="X90">
            <v>3089.7670000000162</v>
          </cell>
          <cell r="Y90">
            <v>-8202.832999999986</v>
          </cell>
          <cell r="Z90">
            <v>-4518.3960000000097</v>
          </cell>
          <cell r="AA90">
            <v>-3250.9440000000213</v>
          </cell>
          <cell r="AB90">
            <v>-7196.9550000000272</v>
          </cell>
          <cell r="AC90">
            <v>2310.5219999999899</v>
          </cell>
          <cell r="AD90">
            <v>268.36700000000565</v>
          </cell>
          <cell r="AE90">
            <v>-354.6726677246188</v>
          </cell>
          <cell r="AF90">
            <v>-299.49809056180675</v>
          </cell>
          <cell r="AG90">
            <v>-324.69937357812887</v>
          </cell>
        </row>
        <row r="91">
          <cell r="B91" t="str">
            <v>Cash flow from operating activities</v>
          </cell>
          <cell r="C91" t="str">
            <v>CF_OPS</v>
          </cell>
          <cell r="D91" t="str">
            <v>TWD</v>
          </cell>
          <cell r="F91">
            <v>8557.5730000000003</v>
          </cell>
          <cell r="G91">
            <v>12621.33</v>
          </cell>
          <cell r="H91">
            <v>9962.8169999999991</v>
          </cell>
          <cell r="I91">
            <v>10171.973</v>
          </cell>
          <cell r="J91">
            <v>7648.1289999999999</v>
          </cell>
          <cell r="K91">
            <v>10297.554</v>
          </cell>
          <cell r="L91">
            <v>66921.982999999993</v>
          </cell>
          <cell r="M91">
            <v>39278.313999999998</v>
          </cell>
          <cell r="N91">
            <v>28049.524000000001</v>
          </cell>
          <cell r="O91">
            <v>45597.451999999997</v>
          </cell>
          <cell r="P91">
            <v>69014.971999999994</v>
          </cell>
          <cell r="Q91">
            <v>45956.800000000003</v>
          </cell>
          <cell r="R91">
            <v>45964.040999999997</v>
          </cell>
          <cell r="S91">
            <v>46635.874000000003</v>
          </cell>
          <cell r="T91">
            <v>46691.154999999999</v>
          </cell>
          <cell r="U91">
            <v>31876.738000000001</v>
          </cell>
          <cell r="V91">
            <v>53495.012999999999</v>
          </cell>
          <cell r="W91">
            <v>41653.800000000003</v>
          </cell>
          <cell r="X91">
            <v>40397.949000000001</v>
          </cell>
          <cell r="Y91">
            <v>43472.461000000003</v>
          </cell>
          <cell r="Z91">
            <v>44788.252</v>
          </cell>
          <cell r="AA91">
            <v>59788.233999999997</v>
          </cell>
          <cell r="AB91">
            <v>46450.496999999996</v>
          </cell>
          <cell r="AC91">
            <v>52474.394999999997</v>
          </cell>
          <cell r="AD91">
            <v>56057.760204778438</v>
          </cell>
          <cell r="AE91">
            <v>39820.134063928672</v>
          </cell>
          <cell r="AF91">
            <v>39242.780866817346</v>
          </cell>
          <cell r="AG91">
            <v>35840.962035780823</v>
          </cell>
        </row>
        <row r="92">
          <cell r="B92" t="str">
            <v>Capital expenditures, Capex</v>
          </cell>
          <cell r="C92" t="str">
            <v>CAPEX</v>
          </cell>
          <cell r="D92" t="str">
            <v>TWD</v>
          </cell>
          <cell r="F92">
            <v>-4096.3149999999996</v>
          </cell>
          <cell r="G92">
            <v>-9851.0460000000003</v>
          </cell>
          <cell r="H92">
            <v>-9269.4830000000002</v>
          </cell>
          <cell r="I92">
            <v>-5500.1360000000004</v>
          </cell>
          <cell r="J92">
            <v>-6620.7510000000002</v>
          </cell>
          <cell r="K92">
            <v>-13725.696</v>
          </cell>
          <cell r="L92">
            <v>-75296.634999999995</v>
          </cell>
          <cell r="M92">
            <v>-37216.339</v>
          </cell>
          <cell r="N92">
            <v>-27295.862000000001</v>
          </cell>
          <cell r="O92">
            <v>-11255.95</v>
          </cell>
          <cell r="P92">
            <v>-48219.584999999999</v>
          </cell>
          <cell r="Q92">
            <v>-18457.118999999999</v>
          </cell>
          <cell r="R92">
            <v>-30955.456999999999</v>
          </cell>
          <cell r="S92">
            <v>-27866.901000000002</v>
          </cell>
          <cell r="T92">
            <v>-11252.965</v>
          </cell>
          <cell r="U92">
            <v>-17117.02</v>
          </cell>
          <cell r="V92">
            <v>-61322.819000000003</v>
          </cell>
          <cell r="W92">
            <v>-53326.114999999998</v>
          </cell>
          <cell r="X92">
            <v>-52185.909999999989</v>
          </cell>
          <cell r="Y92">
            <v>-32911.351999999999</v>
          </cell>
          <cell r="Z92">
            <v>-43237.006999999998</v>
          </cell>
          <cell r="AA92">
            <v>-60504.149000000005</v>
          </cell>
          <cell r="AB92">
            <v>-91560.638999999996</v>
          </cell>
          <cell r="AC92">
            <v>-44236.276000000005</v>
          </cell>
          <cell r="AD92">
            <v>-16229.219000000001</v>
          </cell>
          <cell r="AE92">
            <v>-4000</v>
          </cell>
          <cell r="AF92">
            <v>-4000</v>
          </cell>
          <cell r="AG92">
            <v>-4000</v>
          </cell>
        </row>
        <row r="93">
          <cell r="B93" t="str">
            <v>Acquisitions</v>
          </cell>
          <cell r="C93" t="str">
            <v>ACQ</v>
          </cell>
          <cell r="D93" t="str">
            <v>TWD</v>
          </cell>
          <cell r="F93">
            <v>-2441.0529999999999</v>
          </cell>
          <cell r="G93">
            <v>-6701.4889999999996</v>
          </cell>
          <cell r="H93">
            <v>-7372.3909999999996</v>
          </cell>
          <cell r="I93">
            <v>-8489.0740000000005</v>
          </cell>
          <cell r="J93">
            <v>-6135.6509999999998</v>
          </cell>
          <cell r="K93">
            <v>-15569.111000000001</v>
          </cell>
          <cell r="L93">
            <v>-5206.6450000000004</v>
          </cell>
          <cell r="M93">
            <v>-5410.4440000000004</v>
          </cell>
          <cell r="N93">
            <v>0</v>
          </cell>
          <cell r="O93">
            <v>-8121.77</v>
          </cell>
          <cell r="P93">
            <v>-6817.5129999999999</v>
          </cell>
          <cell r="Q93">
            <v>0</v>
          </cell>
          <cell r="R93">
            <v>0</v>
          </cell>
          <cell r="S93">
            <v>0</v>
          </cell>
          <cell r="U93">
            <v>-925.63699999999994</v>
          </cell>
          <cell r="V93">
            <v>-773.67599999999993</v>
          </cell>
          <cell r="W93">
            <v>-3462.8609999999999</v>
          </cell>
          <cell r="X93">
            <v>-283.22000000000003</v>
          </cell>
          <cell r="Y93">
            <v>2632.7539999999999</v>
          </cell>
          <cell r="Z93">
            <v>-182.184</v>
          </cell>
          <cell r="AA93">
            <v>-2058.31</v>
          </cell>
          <cell r="AB93">
            <v>-840</v>
          </cell>
          <cell r="AC93">
            <v>-221.48000000000002</v>
          </cell>
          <cell r="AD93">
            <v>-840</v>
          </cell>
          <cell r="AE93">
            <v>0</v>
          </cell>
          <cell r="AF93">
            <v>0</v>
          </cell>
          <cell r="AG93">
            <v>0</v>
          </cell>
        </row>
        <row r="94">
          <cell r="B94" t="str">
            <v>Divestitures</v>
          </cell>
          <cell r="C94" t="str">
            <v>DIVEST</v>
          </cell>
          <cell r="D94" t="str">
            <v>TWD</v>
          </cell>
          <cell r="F94">
            <v>0</v>
          </cell>
          <cell r="G94">
            <v>0</v>
          </cell>
          <cell r="H94">
            <v>0</v>
          </cell>
          <cell r="I94">
            <v>0</v>
          </cell>
          <cell r="J94">
            <v>0</v>
          </cell>
          <cell r="K94">
            <v>0</v>
          </cell>
          <cell r="L94">
            <v>0</v>
          </cell>
          <cell r="M94">
            <v>0</v>
          </cell>
          <cell r="N94">
            <v>6486.8159999999998</v>
          </cell>
          <cell r="O94">
            <v>0</v>
          </cell>
          <cell r="P94">
            <v>0</v>
          </cell>
          <cell r="Q94">
            <v>15678.884</v>
          </cell>
          <cell r="R94">
            <v>16174.512000000001</v>
          </cell>
          <cell r="S94">
            <v>5354.3620000000001</v>
          </cell>
          <cell r="T94">
            <v>598.923</v>
          </cell>
          <cell r="V94">
            <v>0</v>
          </cell>
          <cell r="W94">
            <v>0</v>
          </cell>
          <cell r="X94">
            <v>0</v>
          </cell>
          <cell r="Y94">
            <v>0</v>
          </cell>
          <cell r="Z94">
            <v>0</v>
          </cell>
          <cell r="AA94">
            <v>0</v>
          </cell>
          <cell r="AB94">
            <v>0</v>
          </cell>
          <cell r="AC94">
            <v>0</v>
          </cell>
          <cell r="AD94">
            <v>0</v>
          </cell>
          <cell r="AE94">
            <v>0</v>
          </cell>
          <cell r="AF94">
            <v>0</v>
          </cell>
          <cell r="AG94">
            <v>0</v>
          </cell>
        </row>
        <row r="95">
          <cell r="B95" t="str">
            <v>Other investing cash flow items</v>
          </cell>
          <cell r="C95" t="str">
            <v>OTH_INV_CF</v>
          </cell>
          <cell r="D95" t="str">
            <v>TWD</v>
          </cell>
          <cell r="F95">
            <v>844.78599999999994</v>
          </cell>
          <cell r="G95">
            <v>-304.11900000000003</v>
          </cell>
          <cell r="H95">
            <v>2895.8069999999998</v>
          </cell>
          <cell r="I95">
            <v>-1093.18</v>
          </cell>
          <cell r="J95">
            <v>-2276.9749999999999</v>
          </cell>
          <cell r="K95">
            <v>-808.99900000000002</v>
          </cell>
          <cell r="L95">
            <v>20980.010999999999</v>
          </cell>
          <cell r="M95">
            <v>1053.1030000000001</v>
          </cell>
          <cell r="N95">
            <v>-4085.0349999999999</v>
          </cell>
          <cell r="O95">
            <v>306.70999999999998</v>
          </cell>
          <cell r="P95">
            <v>3263.277</v>
          </cell>
          <cell r="Q95">
            <v>-3181.5340000000001</v>
          </cell>
          <cell r="R95">
            <v>3529.1190000000001</v>
          </cell>
          <cell r="S95">
            <v>-5898.4269999999997</v>
          </cell>
          <cell r="T95">
            <v>-3475.6460000000002</v>
          </cell>
          <cell r="U95">
            <v>5061.527</v>
          </cell>
          <cell r="V95">
            <v>4317.5420000000086</v>
          </cell>
          <cell r="W95">
            <v>1668.9159999999929</v>
          </cell>
          <cell r="X95">
            <v>3345.8399999999956</v>
          </cell>
          <cell r="Y95">
            <v>-1237.565999999998</v>
          </cell>
          <cell r="Z95">
            <v>813.37699999999927</v>
          </cell>
          <cell r="AA95">
            <v>-5918.6900000000005</v>
          </cell>
          <cell r="AB95">
            <v>12314.766999999993</v>
          </cell>
          <cell r="AC95">
            <v>9042.1640000000079</v>
          </cell>
          <cell r="AD95">
            <v>5182.9639999999999</v>
          </cell>
          <cell r="AE95">
            <v>0</v>
          </cell>
          <cell r="AF95">
            <v>0</v>
          </cell>
          <cell r="AG95">
            <v>0</v>
          </cell>
        </row>
        <row r="96">
          <cell r="B96" t="str">
            <v>Cash flow from investing</v>
          </cell>
          <cell r="C96" t="str">
            <v>CF_INV</v>
          </cell>
          <cell r="D96" t="str">
            <v>TWD</v>
          </cell>
          <cell r="F96">
            <v>-5692.5820000000003</v>
          </cell>
          <cell r="G96">
            <v>-16856.653999999999</v>
          </cell>
          <cell r="H96">
            <v>-13746.066999999999</v>
          </cell>
          <cell r="I96">
            <v>-15082.39</v>
          </cell>
          <cell r="J96">
            <v>-15033.377</v>
          </cell>
          <cell r="K96">
            <v>-30103.806</v>
          </cell>
          <cell r="L96">
            <v>-59523.269</v>
          </cell>
          <cell r="M96">
            <v>-41573.68</v>
          </cell>
          <cell r="N96">
            <v>-24894.080999999998</v>
          </cell>
          <cell r="O96">
            <v>-19071.009999999998</v>
          </cell>
          <cell r="P96">
            <v>-51773.821000000004</v>
          </cell>
          <cell r="Q96">
            <v>-5959.7690000000002</v>
          </cell>
          <cell r="R96">
            <v>-11251.825999999999</v>
          </cell>
          <cell r="S96">
            <v>-28410.966</v>
          </cell>
          <cell r="T96">
            <v>-14129.688</v>
          </cell>
          <cell r="U96">
            <v>-12981.13</v>
          </cell>
          <cell r="V96">
            <v>-57778.952999999994</v>
          </cell>
          <cell r="W96">
            <v>-55120.060000000005</v>
          </cell>
          <cell r="X96">
            <v>-49123.289999999994</v>
          </cell>
          <cell r="Y96">
            <v>-31516.163999999997</v>
          </cell>
          <cell r="Z96">
            <v>-42605.813999999998</v>
          </cell>
          <cell r="AA96">
            <v>-68481.149000000005</v>
          </cell>
          <cell r="AB96">
            <v>-80085.872000000003</v>
          </cell>
          <cell r="AC96">
            <v>-35415.591999999997</v>
          </cell>
          <cell r="AD96">
            <v>-11886.255000000001</v>
          </cell>
          <cell r="AE96">
            <v>-4000</v>
          </cell>
          <cell r="AF96">
            <v>-4000</v>
          </cell>
          <cell r="AG96">
            <v>-4000</v>
          </cell>
        </row>
        <row r="97">
          <cell r="B97" t="str">
            <v>Dividends paid</v>
          </cell>
          <cell r="C97" t="str">
            <v>DIV_PAID</v>
          </cell>
          <cell r="D97" t="str">
            <v>TWD</v>
          </cell>
          <cell r="F97">
            <v>-394.28399999999999</v>
          </cell>
          <cell r="G97">
            <v>-439.96</v>
          </cell>
          <cell r="H97">
            <v>-35</v>
          </cell>
          <cell r="I97">
            <v>-35</v>
          </cell>
          <cell r="J97">
            <v>0</v>
          </cell>
          <cell r="K97">
            <v>0</v>
          </cell>
          <cell r="L97">
            <v>0</v>
          </cell>
          <cell r="M97">
            <v>0</v>
          </cell>
          <cell r="N97">
            <v>0</v>
          </cell>
          <cell r="O97">
            <v>0</v>
          </cell>
          <cell r="P97">
            <v>0</v>
          </cell>
          <cell r="Q97">
            <v>-1758.7360000000001</v>
          </cell>
          <cell r="R97">
            <v>-7155.8649999999998</v>
          </cell>
          <cell r="S97">
            <v>-12461.529</v>
          </cell>
          <cell r="T97">
            <v>-9371.107</v>
          </cell>
          <cell r="U97">
            <v>0</v>
          </cell>
          <cell r="V97">
            <v>-6224.9629999999997</v>
          </cell>
          <cell r="W97">
            <v>-14015.700999999999</v>
          </cell>
          <cell r="X97">
            <v>-6316.42</v>
          </cell>
          <cell r="Y97">
            <v>-5061.3029999999999</v>
          </cell>
          <cell r="Z97">
            <v>-6253.15</v>
          </cell>
          <cell r="AA97">
            <v>-6939.0159999999996</v>
          </cell>
          <cell r="AB97">
            <v>-6906.7259999999997</v>
          </cell>
          <cell r="AC97">
            <v>-6103.1949999999997</v>
          </cell>
          <cell r="AD97">
            <v>-8557.3119999999999</v>
          </cell>
          <cell r="AE97">
            <v>-7706.2669770466619</v>
          </cell>
          <cell r="AF97">
            <v>-2049.7334947695745</v>
          </cell>
          <cell r="AG97">
            <v>-6276.3428148096973</v>
          </cell>
        </row>
        <row r="98">
          <cell r="B98" t="str">
            <v>Common stock issuance/(repurchase)</v>
          </cell>
          <cell r="C98" t="str">
            <v>SH_REPUR</v>
          </cell>
          <cell r="D98" t="str">
            <v>TWD</v>
          </cell>
          <cell r="F98">
            <v>1000</v>
          </cell>
          <cell r="G98">
            <v>0</v>
          </cell>
          <cell r="H98">
            <v>0</v>
          </cell>
          <cell r="I98">
            <v>0</v>
          </cell>
          <cell r="J98">
            <v>0</v>
          </cell>
          <cell r="K98">
            <v>0</v>
          </cell>
          <cell r="L98">
            <v>37035.709000000003</v>
          </cell>
          <cell r="M98">
            <v>-4599.643</v>
          </cell>
          <cell r="N98">
            <v>-2739.9180000000001</v>
          </cell>
          <cell r="O98">
            <v>1151.527</v>
          </cell>
          <cell r="P98">
            <v>-5198.0200000000004</v>
          </cell>
          <cell r="Q98">
            <v>-16378.691999999999</v>
          </cell>
          <cell r="R98">
            <v>-27286.339</v>
          </cell>
          <cell r="S98">
            <v>-52044.968999999997</v>
          </cell>
          <cell r="T98">
            <v>-2278.4560000000001</v>
          </cell>
          <cell r="U98">
            <v>-1770.171</v>
          </cell>
          <cell r="V98">
            <v>-4303.3179999999993</v>
          </cell>
          <cell r="W98">
            <v>1019.1209999999999</v>
          </cell>
          <cell r="X98">
            <v>270.32300000000004</v>
          </cell>
          <cell r="Y98">
            <v>-1802.0549999999998</v>
          </cell>
          <cell r="Z98">
            <v>432.46400000000006</v>
          </cell>
          <cell r="AA98">
            <v>-1232.4150000000002</v>
          </cell>
          <cell r="AB98">
            <v>-2395.7930000000001</v>
          </cell>
          <cell r="AC98">
            <v>0</v>
          </cell>
          <cell r="AD98">
            <v>-925.18199999999979</v>
          </cell>
          <cell r="AE98">
            <v>0</v>
          </cell>
          <cell r="AF98">
            <v>0</v>
          </cell>
          <cell r="AG98">
            <v>0</v>
          </cell>
        </row>
        <row r="99">
          <cell r="B99" t="str">
            <v>Increase/(decrease) in total debt</v>
          </cell>
          <cell r="C99" t="str">
            <v>CHG_LT_DEBT</v>
          </cell>
          <cell r="D99" t="str">
            <v>TWD</v>
          </cell>
          <cell r="F99">
            <v>7163</v>
          </cell>
          <cell r="G99">
            <v>4447.5540000000001</v>
          </cell>
          <cell r="H99">
            <v>3663.241</v>
          </cell>
          <cell r="I99">
            <v>499.46100000000001</v>
          </cell>
          <cell r="J99">
            <v>6504.1559999999999</v>
          </cell>
          <cell r="K99">
            <v>-4134.4070000000002</v>
          </cell>
          <cell r="L99">
            <v>28494.081999999999</v>
          </cell>
          <cell r="M99">
            <v>12828.075000000001</v>
          </cell>
          <cell r="N99">
            <v>1270.3599999999999</v>
          </cell>
          <cell r="O99">
            <v>6950.2860000000001</v>
          </cell>
          <cell r="P99">
            <v>-20746.151999999998</v>
          </cell>
          <cell r="Q99">
            <v>-7398.6940000000004</v>
          </cell>
          <cell r="R99">
            <v>-9276.4650000000001</v>
          </cell>
          <cell r="S99">
            <v>-2259.9920000000002</v>
          </cell>
          <cell r="T99">
            <v>-22243.084999999999</v>
          </cell>
          <cell r="U99">
            <v>5426.549</v>
          </cell>
          <cell r="V99">
            <v>-1985.7900000000002</v>
          </cell>
          <cell r="W99">
            <v>22328.621999999996</v>
          </cell>
          <cell r="X99">
            <v>9423.4830000000002</v>
          </cell>
          <cell r="Y99">
            <v>3150.2739999999985</v>
          </cell>
          <cell r="Z99">
            <v>-2582.5860000000002</v>
          </cell>
          <cell r="AA99">
            <v>18020.504999999997</v>
          </cell>
          <cell r="AB99">
            <v>32133.998999999996</v>
          </cell>
          <cell r="AC99">
            <v>16461.044000000002</v>
          </cell>
          <cell r="AD99">
            <v>-18805.694000000003</v>
          </cell>
          <cell r="AE99">
            <v>0</v>
          </cell>
          <cell r="AF99">
            <v>0</v>
          </cell>
          <cell r="AG99">
            <v>0</v>
          </cell>
        </row>
        <row r="100">
          <cell r="B100" t="str">
            <v>Other financing cash flow items</v>
          </cell>
          <cell r="C100" t="str">
            <v>OTH_FIN_CF</v>
          </cell>
          <cell r="D100" t="str">
            <v>TWD</v>
          </cell>
          <cell r="F100">
            <v>-1779.9459999999999</v>
          </cell>
          <cell r="G100">
            <v>-472.45100000000099</v>
          </cell>
          <cell r="H100">
            <v>6154.192</v>
          </cell>
          <cell r="I100">
            <v>8649.902</v>
          </cell>
          <cell r="J100">
            <v>4973.3010000000004</v>
          </cell>
          <cell r="K100">
            <v>9232.0810000000092</v>
          </cell>
          <cell r="L100">
            <v>-30243.833999999999</v>
          </cell>
          <cell r="M100">
            <v>-437.09299999999598</v>
          </cell>
          <cell r="N100">
            <v>67.845999999998995</v>
          </cell>
          <cell r="O100">
            <v>-0.50300000000099998</v>
          </cell>
          <cell r="P100">
            <v>786.96999999999696</v>
          </cell>
          <cell r="Q100">
            <v>612.92699999999604</v>
          </cell>
          <cell r="R100">
            <v>433.791</v>
          </cell>
          <cell r="S100">
            <v>-2112.4850000000101</v>
          </cell>
          <cell r="T100">
            <v>-487.00200000000001</v>
          </cell>
          <cell r="U100">
            <v>1287.4100000000001</v>
          </cell>
          <cell r="V100">
            <v>1916.1560000000002</v>
          </cell>
          <cell r="W100">
            <v>1933.2410000000018</v>
          </cell>
          <cell r="X100">
            <v>-1225.6830000000009</v>
          </cell>
          <cell r="Y100">
            <v>98.975000000001273</v>
          </cell>
          <cell r="Z100">
            <v>1602.5790000000006</v>
          </cell>
          <cell r="AA100">
            <v>5921.8510000000024</v>
          </cell>
          <cell r="AB100">
            <v>15092.443000000007</v>
          </cell>
          <cell r="AC100">
            <v>-3321.0610000000015</v>
          </cell>
          <cell r="AD100">
            <v>207.67200000000594</v>
          </cell>
          <cell r="AE100">
            <v>0</v>
          </cell>
          <cell r="AF100">
            <v>0</v>
          </cell>
          <cell r="AG100">
            <v>0</v>
          </cell>
        </row>
        <row r="101">
          <cell r="B101" t="str">
            <v>Cash flow from financing</v>
          </cell>
          <cell r="C101" t="str">
            <v>CF_FIN</v>
          </cell>
          <cell r="D101" t="str">
            <v>TWD</v>
          </cell>
          <cell r="F101">
            <v>5988.77</v>
          </cell>
          <cell r="G101">
            <v>3535.143</v>
          </cell>
          <cell r="H101">
            <v>9782.4330000000009</v>
          </cell>
          <cell r="I101">
            <v>9114.3629999999994</v>
          </cell>
          <cell r="J101">
            <v>11477.457</v>
          </cell>
          <cell r="K101">
            <v>5097.674</v>
          </cell>
          <cell r="L101">
            <v>35285.957000000002</v>
          </cell>
          <cell r="M101">
            <v>7791.3389999999999</v>
          </cell>
          <cell r="N101">
            <v>-1401.712</v>
          </cell>
          <cell r="O101">
            <v>8101.31</v>
          </cell>
          <cell r="P101">
            <v>-25157.202000000001</v>
          </cell>
          <cell r="Q101">
            <v>-24923.195</v>
          </cell>
          <cell r="R101">
            <v>-43284.877999999997</v>
          </cell>
          <cell r="S101">
            <v>-68878.975000000006</v>
          </cell>
          <cell r="T101">
            <v>-34379.65</v>
          </cell>
          <cell r="U101">
            <v>4943.7879999999996</v>
          </cell>
          <cell r="V101">
            <v>-10597.914999999999</v>
          </cell>
          <cell r="W101">
            <v>11265.282999999998</v>
          </cell>
          <cell r="X101">
            <v>2151.7030000000004</v>
          </cell>
          <cell r="Y101">
            <v>-3614.1089999999999</v>
          </cell>
          <cell r="Z101">
            <v>-6800.6929999999993</v>
          </cell>
          <cell r="AA101">
            <v>15770.925000000001</v>
          </cell>
          <cell r="AB101">
            <v>37923.923000000003</v>
          </cell>
          <cell r="AC101">
            <v>7036.7880000000005</v>
          </cell>
          <cell r="AD101">
            <v>-28080.516</v>
          </cell>
          <cell r="AE101">
            <v>-7706.2669770466619</v>
          </cell>
          <cell r="AF101">
            <v>-2049.7334947695745</v>
          </cell>
          <cell r="AG101">
            <v>-6276.3428148096973</v>
          </cell>
        </row>
        <row r="102">
          <cell r="B102" t="str">
            <v>Total cash flow</v>
          </cell>
          <cell r="C102" t="str">
            <v>TOT_CF</v>
          </cell>
          <cell r="D102" t="str">
            <v>TWD</v>
          </cell>
          <cell r="F102">
            <v>8853.7610000000004</v>
          </cell>
          <cell r="G102">
            <v>-700.18100000000004</v>
          </cell>
          <cell r="H102">
            <v>5999.183</v>
          </cell>
          <cell r="I102">
            <v>4203.9459999999999</v>
          </cell>
          <cell r="J102">
            <v>4092.2089999999998</v>
          </cell>
          <cell r="K102">
            <v>-14708.578</v>
          </cell>
          <cell r="L102">
            <v>42684.671000000002</v>
          </cell>
          <cell r="M102">
            <v>5495.973</v>
          </cell>
          <cell r="N102">
            <v>1753.731</v>
          </cell>
          <cell r="O102">
            <v>34627.752</v>
          </cell>
          <cell r="P102">
            <v>-7916.0510000000004</v>
          </cell>
          <cell r="Q102">
            <v>15073.835999999999</v>
          </cell>
          <cell r="R102">
            <v>-8572.6630000000005</v>
          </cell>
          <cell r="S102">
            <v>-50654.067000000003</v>
          </cell>
          <cell r="T102">
            <v>-1818.183</v>
          </cell>
          <cell r="U102">
            <v>23839.396000000001</v>
          </cell>
          <cell r="V102">
            <v>-14881.854999999994</v>
          </cell>
          <cell r="W102">
            <v>-2200.9770000000044</v>
          </cell>
          <cell r="X102">
            <v>-6573.6379999999926</v>
          </cell>
          <cell r="Y102">
            <v>8342.1880000000056</v>
          </cell>
          <cell r="Z102">
            <v>-4618.2549999999974</v>
          </cell>
          <cell r="AA102">
            <v>7078.0099999999929</v>
          </cell>
          <cell r="AB102">
            <v>4288.5479999999952</v>
          </cell>
          <cell r="AC102">
            <v>24095.591</v>
          </cell>
          <cell r="AD102">
            <v>16090.989204778441</v>
          </cell>
          <cell r="AE102">
            <v>28113.867086882012</v>
          </cell>
          <cell r="AF102">
            <v>33193.047372047775</v>
          </cell>
          <cell r="AG102">
            <v>25564.619220971126</v>
          </cell>
        </row>
        <row r="103">
          <cell r="A103" t="str">
            <v>Additional Cash Flow Items</v>
          </cell>
        </row>
        <row r="104">
          <cell r="B104" t="str">
            <v>Associate and JV add-back</v>
          </cell>
          <cell r="C104" t="str">
            <v>ASSOC_JV_ADDBK</v>
          </cell>
          <cell r="D104" t="str">
            <v>TWD</v>
          </cell>
        </row>
        <row r="105">
          <cell r="B105" t="str">
            <v>Profit/(loss) on sale of assets</v>
          </cell>
          <cell r="C105" t="str">
            <v>PL_SALE_ASSETS</v>
          </cell>
          <cell r="D105" t="str">
            <v>TWD</v>
          </cell>
        </row>
        <row r="106">
          <cell r="B106" t="str">
            <v>Other non-cash adjustments</v>
          </cell>
          <cell r="C106" t="str">
            <v>OTH_NONCASH_ADJ</v>
          </cell>
          <cell r="D106" t="str">
            <v>TWD</v>
          </cell>
        </row>
        <row r="107">
          <cell r="B107" t="str">
            <v>Other DACF adjustments</v>
          </cell>
          <cell r="C107" t="str">
            <v>OTH_DACF_ADJ</v>
          </cell>
          <cell r="D107" t="str">
            <v>TWD</v>
          </cell>
        </row>
        <row r="108">
          <cell r="B108" t="str">
            <v>Cash interest expense</v>
          </cell>
          <cell r="C108" t="str">
            <v>CASH_INT_EXP</v>
          </cell>
          <cell r="D108" t="str">
            <v>TWD</v>
          </cell>
        </row>
        <row r="109">
          <cell r="B109" t="str">
            <v>Cash tax expense</v>
          </cell>
          <cell r="C109" t="str">
            <v>CASH_TAX_EXP</v>
          </cell>
          <cell r="D109" t="str">
            <v>TWD</v>
          </cell>
        </row>
        <row r="110">
          <cell r="B110" t="str">
            <v>Dividends received from associates/JVs</v>
          </cell>
          <cell r="C110" t="str">
            <v>DIVDS_ASSOC_JV</v>
          </cell>
          <cell r="D110" t="str">
            <v>TWD</v>
          </cell>
        </row>
        <row r="111">
          <cell r="B111" t="str">
            <v>Capex maintenance</v>
          </cell>
          <cell r="C111" t="str">
            <v>CAPEX_MAINTENANCE</v>
          </cell>
          <cell r="D111" t="str">
            <v>TWD</v>
          </cell>
        </row>
        <row r="112">
          <cell r="B112" t="str">
            <v>Capex expansion</v>
          </cell>
          <cell r="C112" t="str">
            <v>CAPEX_EXPANSION</v>
          </cell>
          <cell r="D112" t="str">
            <v>TWD</v>
          </cell>
        </row>
        <row r="113">
          <cell r="B113" t="str">
            <v>Non-PP&amp;E capex</v>
          </cell>
          <cell r="C113" t="str">
            <v>NONPPE_CAPEX</v>
          </cell>
          <cell r="D113" t="str">
            <v>TWD</v>
          </cell>
        </row>
        <row r="114">
          <cell r="B114" t="str">
            <v>Dividends paid to minorities</v>
          </cell>
          <cell r="C114" t="str">
            <v>DIVDS_PD_MINORITIES</v>
          </cell>
          <cell r="D114" t="str">
            <v>TWD</v>
          </cell>
        </row>
        <row r="115">
          <cell r="A115" t="str">
            <v>Other Items</v>
          </cell>
        </row>
        <row r="116">
          <cell r="B116" t="str">
            <v>Number of employees</v>
          </cell>
          <cell r="C116" t="str">
            <v>EMPLOYEES</v>
          </cell>
          <cell r="N116">
            <v>9.1340000000000003</v>
          </cell>
          <cell r="O116">
            <v>8.66</v>
          </cell>
          <cell r="P116">
            <v>11</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A117" t="str">
            <v>Geographical Breakdown</v>
          </cell>
        </row>
        <row r="118">
          <cell r="B118" t="str">
            <v>Sales - % Canada</v>
          </cell>
          <cell r="C118" t="str">
            <v>SALES_CANADA</v>
          </cell>
        </row>
        <row r="119">
          <cell r="B119" t="str">
            <v>Sales - % United States</v>
          </cell>
          <cell r="C119" t="str">
            <v>SALES_US</v>
          </cell>
          <cell r="R119">
            <v>0.52738442792499995</v>
          </cell>
          <cell r="S119">
            <v>0.48615974727099998</v>
          </cell>
          <cell r="T119">
            <v>0.56116497509600005</v>
          </cell>
          <cell r="U119">
            <v>0.49305561328399999</v>
          </cell>
          <cell r="Y119">
            <v>0.1</v>
          </cell>
          <cell r="Z119">
            <v>0.1</v>
          </cell>
          <cell r="AA119">
            <v>0.1</v>
          </cell>
          <cell r="AB119">
            <v>0.1</v>
          </cell>
          <cell r="AC119">
            <v>0.1</v>
          </cell>
          <cell r="AD119">
            <v>0.1</v>
          </cell>
        </row>
        <row r="120">
          <cell r="B120" t="str">
            <v>Sales - % Other North Americas</v>
          </cell>
          <cell r="C120" t="str">
            <v>SALES_OTH_NO_AMER</v>
          </cell>
        </row>
        <row r="121">
          <cell r="B121" t="str">
            <v>Sales - % Argentina</v>
          </cell>
          <cell r="C121" t="str">
            <v>SALES_ARGENTINA</v>
          </cell>
        </row>
        <row r="122">
          <cell r="B122" t="str">
            <v>Sales - % Brazil</v>
          </cell>
          <cell r="C122" t="str">
            <v>SALES_BRAZIL</v>
          </cell>
        </row>
        <row r="123">
          <cell r="B123" t="str">
            <v>Sales - % Chile</v>
          </cell>
          <cell r="C123" t="str">
            <v>SALES_CHILE</v>
          </cell>
        </row>
        <row r="124">
          <cell r="B124" t="str">
            <v>Sales - % Colombia</v>
          </cell>
          <cell r="C124" t="str">
            <v>SALES_COLOMBIA</v>
          </cell>
        </row>
        <row r="125">
          <cell r="B125" t="str">
            <v>Sales - % Mexico</v>
          </cell>
          <cell r="C125" t="str">
            <v>SALES_MEXICO</v>
          </cell>
        </row>
        <row r="126">
          <cell r="B126" t="str">
            <v>Sales - % Venezuela</v>
          </cell>
          <cell r="C126" t="str">
            <v>SALES_VENEZUELA</v>
          </cell>
        </row>
        <row r="127">
          <cell r="B127" t="str">
            <v>Sales - % Other Latin Americas</v>
          </cell>
          <cell r="C127" t="str">
            <v>SALES_OTH_LATAM</v>
          </cell>
        </row>
        <row r="128">
          <cell r="B128" t="str">
            <v>Sales - % Austria</v>
          </cell>
          <cell r="C128" t="str">
            <v>SALES_AUSTRIA</v>
          </cell>
        </row>
        <row r="129">
          <cell r="B129" t="str">
            <v>Sales - % Belgium</v>
          </cell>
          <cell r="C129" t="str">
            <v>SALES_BEL</v>
          </cell>
        </row>
        <row r="130">
          <cell r="B130" t="str">
            <v>Sales - % France</v>
          </cell>
          <cell r="C130" t="str">
            <v>SALES_FRA</v>
          </cell>
        </row>
        <row r="131">
          <cell r="B131" t="str">
            <v>Sales - % Germany</v>
          </cell>
          <cell r="C131" t="str">
            <v>SALES_GER</v>
          </cell>
        </row>
        <row r="132">
          <cell r="B132" t="str">
            <v>Sales - % Greece</v>
          </cell>
          <cell r="C132" t="str">
            <v>SALES_GRE</v>
          </cell>
        </row>
        <row r="133">
          <cell r="B133" t="str">
            <v>Sales - % Ireland</v>
          </cell>
          <cell r="C133" t="str">
            <v>SALES_IRE</v>
          </cell>
        </row>
        <row r="134">
          <cell r="B134" t="str">
            <v>Sales - % Italy</v>
          </cell>
          <cell r="C134" t="str">
            <v>SALES_ITA</v>
          </cell>
        </row>
        <row r="135">
          <cell r="B135" t="str">
            <v>Sales - % Netherlands</v>
          </cell>
          <cell r="C135" t="str">
            <v>SALES_NETH</v>
          </cell>
        </row>
        <row r="136">
          <cell r="B136" t="str">
            <v>Sales - % Norway</v>
          </cell>
          <cell r="C136" t="str">
            <v>SALES_NOR</v>
          </cell>
        </row>
        <row r="137">
          <cell r="B137" t="str">
            <v>Sales - % Portugal</v>
          </cell>
          <cell r="C137" t="str">
            <v>SALES_POR</v>
          </cell>
        </row>
        <row r="138">
          <cell r="B138" t="str">
            <v>Sales - % Spain</v>
          </cell>
          <cell r="C138" t="str">
            <v>SALES_SPA</v>
          </cell>
        </row>
        <row r="139">
          <cell r="B139" t="str">
            <v>Sales - % Sweden</v>
          </cell>
          <cell r="C139" t="str">
            <v>SALES_SWE</v>
          </cell>
        </row>
        <row r="140">
          <cell r="B140" t="str">
            <v>Sales - % Switzerland</v>
          </cell>
          <cell r="C140" t="str">
            <v>SALES_SWIT</v>
          </cell>
        </row>
        <row r="141">
          <cell r="B141" t="str">
            <v>Sales - % UK</v>
          </cell>
          <cell r="C141" t="str">
            <v>SALES_UK</v>
          </cell>
          <cell r="Y141">
            <v>0.1</v>
          </cell>
          <cell r="Z141">
            <v>0.1</v>
          </cell>
          <cell r="AA141">
            <v>0.1</v>
          </cell>
          <cell r="AB141">
            <v>0.1</v>
          </cell>
          <cell r="AC141">
            <v>0.1</v>
          </cell>
          <cell r="AD141">
            <v>0.1</v>
          </cell>
        </row>
        <row r="142">
          <cell r="B142" t="str">
            <v>Sales - % Other Western Europe</v>
          </cell>
          <cell r="C142" t="str">
            <v>SALES_OTH_WEST_EURO</v>
          </cell>
          <cell r="Y142">
            <v>0.1</v>
          </cell>
          <cell r="Z142">
            <v>0.1</v>
          </cell>
          <cell r="AA142">
            <v>0.1</v>
          </cell>
          <cell r="AB142">
            <v>0.1</v>
          </cell>
          <cell r="AC142">
            <v>0.1</v>
          </cell>
          <cell r="AD142">
            <v>0.1</v>
          </cell>
        </row>
        <row r="143">
          <cell r="B143" t="str">
            <v>Sales - % Poland</v>
          </cell>
          <cell r="C143" t="str">
            <v>SALES_POLAND</v>
          </cell>
        </row>
        <row r="144">
          <cell r="B144" t="str">
            <v>Sales - % Russia</v>
          </cell>
          <cell r="C144" t="str">
            <v>SALES_RUSSIA</v>
          </cell>
        </row>
        <row r="145">
          <cell r="B145" t="str">
            <v>Sales - % Turkey</v>
          </cell>
          <cell r="C145" t="str">
            <v>SALES_TURKEY</v>
          </cell>
        </row>
        <row r="146">
          <cell r="B146" t="str">
            <v>Sales - % Other CEE</v>
          </cell>
          <cell r="C146" t="str">
            <v>SALES_OTH_CEE</v>
          </cell>
        </row>
        <row r="147">
          <cell r="B147" t="str">
            <v>Sales - % Saudi Arabia</v>
          </cell>
          <cell r="C147" t="str">
            <v>SALES_SAUDI_ARABIA</v>
          </cell>
        </row>
        <row r="148">
          <cell r="B148" t="str">
            <v>Sales - % United Arab Emirates</v>
          </cell>
          <cell r="C148" t="str">
            <v>SALES_UAE</v>
          </cell>
        </row>
        <row r="149">
          <cell r="B149" t="str">
            <v>Sales - % Other Middle East</v>
          </cell>
          <cell r="C149" t="str">
            <v>SALES_OTH_ME</v>
          </cell>
        </row>
        <row r="150">
          <cell r="B150" t="str">
            <v>Sales - % Nigeria</v>
          </cell>
          <cell r="C150" t="str">
            <v>SALES_NIGERIA</v>
          </cell>
        </row>
        <row r="151">
          <cell r="B151" t="str">
            <v>Sales - % South Africa</v>
          </cell>
          <cell r="C151" t="str">
            <v>SALES_SO_AFRICA</v>
          </cell>
        </row>
        <row r="152">
          <cell r="B152" t="str">
            <v>Sales - % Other Africa</v>
          </cell>
          <cell r="C152" t="str">
            <v>SALES_OTH_AFRICA</v>
          </cell>
        </row>
        <row r="153">
          <cell r="B153" t="str">
            <v>Sales - % Hong Kong</v>
          </cell>
          <cell r="C153" t="str">
            <v>SALES_HONG_KONG</v>
          </cell>
        </row>
        <row r="154">
          <cell r="B154" t="str">
            <v>Sales - % Japan</v>
          </cell>
          <cell r="C154" t="str">
            <v>SALES_JAPAN</v>
          </cell>
          <cell r="R154">
            <v>2.7657589686999998E-2</v>
          </cell>
          <cell r="S154">
            <v>2.2156505044000002E-2</v>
          </cell>
          <cell r="T154">
            <v>0.02</v>
          </cell>
          <cell r="U154">
            <v>0.01</v>
          </cell>
          <cell r="Y154">
            <v>0.1</v>
          </cell>
          <cell r="Z154">
            <v>0.1</v>
          </cell>
          <cell r="AA154">
            <v>0.1</v>
          </cell>
          <cell r="AB154">
            <v>0.1</v>
          </cell>
          <cell r="AC154">
            <v>0.1</v>
          </cell>
          <cell r="AD154">
            <v>0.1</v>
          </cell>
        </row>
        <row r="155">
          <cell r="B155" t="str">
            <v>Sales - % Singapore</v>
          </cell>
          <cell r="C155" t="str">
            <v>SALES_SINGAPORE</v>
          </cell>
        </row>
        <row r="156">
          <cell r="B156" t="str">
            <v>Sales - % South Korea</v>
          </cell>
          <cell r="C156" t="str">
            <v>SALES_SK</v>
          </cell>
        </row>
        <row r="157">
          <cell r="B157" t="str">
            <v>Sales - % Taiwan</v>
          </cell>
          <cell r="C157" t="str">
            <v>SALES_TAIWAN</v>
          </cell>
          <cell r="Y157">
            <v>0.2</v>
          </cell>
          <cell r="Z157">
            <v>0.2</v>
          </cell>
          <cell r="AA157">
            <v>0.2</v>
          </cell>
          <cell r="AB157">
            <v>0.2</v>
          </cell>
          <cell r="AC157">
            <v>0.2</v>
          </cell>
          <cell r="AD157">
            <v>0.2</v>
          </cell>
        </row>
        <row r="158">
          <cell r="B158" t="str">
            <v>Sales - % Other Developed Asia</v>
          </cell>
          <cell r="C158" t="str">
            <v>SALES_OTH_DEV_ASIA</v>
          </cell>
        </row>
        <row r="159">
          <cell r="B159" t="str">
            <v>Sales - % China</v>
          </cell>
          <cell r="C159" t="str">
            <v>SALES_CHINA</v>
          </cell>
          <cell r="R159">
            <v>0.4</v>
          </cell>
          <cell r="S159">
            <v>0.4</v>
          </cell>
          <cell r="T159">
            <v>0.4</v>
          </cell>
          <cell r="U159">
            <v>0.4</v>
          </cell>
          <cell r="Y159">
            <v>0.3</v>
          </cell>
          <cell r="Z159">
            <v>0.3</v>
          </cell>
          <cell r="AA159">
            <v>0.3</v>
          </cell>
          <cell r="AB159">
            <v>0.3</v>
          </cell>
          <cell r="AC159">
            <v>0.3</v>
          </cell>
          <cell r="AD159">
            <v>0.3</v>
          </cell>
          <cell r="AI159">
            <v>0.4</v>
          </cell>
          <cell r="AJ159">
            <v>0.4</v>
          </cell>
          <cell r="AK159">
            <v>0.4</v>
          </cell>
          <cell r="AL159">
            <v>0.4</v>
          </cell>
          <cell r="AM159">
            <v>0.4</v>
          </cell>
          <cell r="AN159">
            <v>0.4</v>
          </cell>
          <cell r="AO159">
            <v>0.4</v>
          </cell>
          <cell r="AP159">
            <v>0.4</v>
          </cell>
          <cell r="AQ159">
            <v>0.4</v>
          </cell>
          <cell r="AR159">
            <v>0.4</v>
          </cell>
          <cell r="AS159">
            <v>0.4</v>
          </cell>
          <cell r="AT159">
            <v>0.4</v>
          </cell>
          <cell r="AU159">
            <v>0.4</v>
          </cell>
          <cell r="AV159">
            <v>0.4</v>
          </cell>
          <cell r="AW159">
            <v>0.4</v>
          </cell>
          <cell r="AX159">
            <v>0.4</v>
          </cell>
          <cell r="AY159">
            <v>0.4</v>
          </cell>
          <cell r="AZ159">
            <v>0.4</v>
          </cell>
          <cell r="BA159">
            <v>0.4</v>
          </cell>
          <cell r="BB159">
            <v>0.4</v>
          </cell>
          <cell r="BC159">
            <v>0.4</v>
          </cell>
          <cell r="BD159">
            <v>0.4</v>
          </cell>
          <cell r="BE159">
            <v>0.4</v>
          </cell>
          <cell r="BF159">
            <v>0.4</v>
          </cell>
          <cell r="BG159">
            <v>0.4</v>
          </cell>
          <cell r="BH159">
            <v>0.4</v>
          </cell>
          <cell r="BI159">
            <v>0.4</v>
          </cell>
          <cell r="BJ159">
            <v>0.4</v>
          </cell>
          <cell r="BK159">
            <v>0.4</v>
          </cell>
          <cell r="BL159">
            <v>0.4</v>
          </cell>
          <cell r="BM159">
            <v>0.4</v>
          </cell>
          <cell r="BN159">
            <v>0.4</v>
          </cell>
          <cell r="BO159">
            <v>0.4</v>
          </cell>
          <cell r="BP159">
            <v>0.4</v>
          </cell>
        </row>
        <row r="160">
          <cell r="B160" t="str">
            <v>Sales - % India</v>
          </cell>
          <cell r="C160" t="str">
            <v>SALES_INDIA</v>
          </cell>
        </row>
        <row r="161">
          <cell r="B161" t="str">
            <v>Sales - % Indonesia</v>
          </cell>
          <cell r="C161" t="str">
            <v>SALES_INDONESIA</v>
          </cell>
        </row>
        <row r="162">
          <cell r="B162" t="str">
            <v>Sales - % Thailand</v>
          </cell>
          <cell r="C162" t="str">
            <v>SALES_THAILAND</v>
          </cell>
        </row>
        <row r="163">
          <cell r="B163" t="str">
            <v>Sales - % Other Emerging Asia</v>
          </cell>
          <cell r="C163" t="str">
            <v>SALES_OTH_EMERG_ASIA</v>
          </cell>
        </row>
        <row r="164">
          <cell r="B164" t="str">
            <v>Sales - % Australia</v>
          </cell>
          <cell r="C164" t="str">
            <v>SALES_AUSTRA</v>
          </cell>
        </row>
        <row r="165">
          <cell r="B165" t="str">
            <v>Sales - % New Zealand</v>
          </cell>
          <cell r="C165" t="str">
            <v>SALES_NZ</v>
          </cell>
        </row>
        <row r="166">
          <cell r="B166" t="str">
            <v>Sales - % Others</v>
          </cell>
          <cell r="C166" t="str">
            <v>SALES_OTHER</v>
          </cell>
          <cell r="R166">
            <v>4.4957982388000001E-2</v>
          </cell>
          <cell r="S166">
            <v>9.1683747686000003E-2</v>
          </cell>
          <cell r="T166">
            <v>1.8835024903999999E-2</v>
          </cell>
          <cell r="U166">
            <v>9.6944386716000003E-2</v>
          </cell>
          <cell r="Y166">
            <v>0.1</v>
          </cell>
          <cell r="Z166">
            <v>0.1</v>
          </cell>
          <cell r="AA166">
            <v>0.1</v>
          </cell>
          <cell r="AB166">
            <v>0.1</v>
          </cell>
          <cell r="AC166">
            <v>0.1</v>
          </cell>
          <cell r="AD166">
            <v>0.1</v>
          </cell>
          <cell r="AI166">
            <v>0.6</v>
          </cell>
          <cell r="AJ166">
            <v>0.6</v>
          </cell>
          <cell r="AK166">
            <v>0.6</v>
          </cell>
          <cell r="AL166">
            <v>0.6</v>
          </cell>
          <cell r="AM166">
            <v>0.6</v>
          </cell>
          <cell r="AN166">
            <v>0.6</v>
          </cell>
          <cell r="AO166">
            <v>0.6</v>
          </cell>
          <cell r="AP166">
            <v>0.6</v>
          </cell>
          <cell r="AQ166">
            <v>0.6</v>
          </cell>
          <cell r="AR166">
            <v>0.6</v>
          </cell>
          <cell r="AS166">
            <v>0.6</v>
          </cell>
          <cell r="AT166">
            <v>0.6</v>
          </cell>
          <cell r="AU166">
            <v>0.6</v>
          </cell>
          <cell r="AV166">
            <v>0.6</v>
          </cell>
          <cell r="AW166">
            <v>0.6</v>
          </cell>
          <cell r="AX166">
            <v>0.6</v>
          </cell>
          <cell r="AY166">
            <v>0.6</v>
          </cell>
          <cell r="AZ166">
            <v>0.6</v>
          </cell>
          <cell r="BA166">
            <v>0.6</v>
          </cell>
          <cell r="BB166">
            <v>0.6</v>
          </cell>
          <cell r="BC166">
            <v>0.6</v>
          </cell>
          <cell r="BD166">
            <v>0.6</v>
          </cell>
          <cell r="BE166">
            <v>0.6</v>
          </cell>
          <cell r="BF166">
            <v>0.6</v>
          </cell>
          <cell r="BG166">
            <v>0.6</v>
          </cell>
          <cell r="BH166">
            <v>0.6</v>
          </cell>
          <cell r="BI166">
            <v>0.6</v>
          </cell>
          <cell r="BJ166">
            <v>0.6</v>
          </cell>
          <cell r="BK166">
            <v>0.6</v>
          </cell>
          <cell r="BL166">
            <v>0.6</v>
          </cell>
          <cell r="BM166">
            <v>0.6</v>
          </cell>
          <cell r="BN166">
            <v>0.6</v>
          </cell>
          <cell r="BO166">
            <v>0.6</v>
          </cell>
          <cell r="BP166">
            <v>0.6</v>
          </cell>
        </row>
        <row r="167">
          <cell r="B167" t="str">
            <v>% of CoGS from U.S. (GS estimate)</v>
          </cell>
          <cell r="C167" t="str">
            <v>COGS_PCT_US</v>
          </cell>
          <cell r="Y167">
            <v>0</v>
          </cell>
          <cell r="Z167">
            <v>0</v>
          </cell>
          <cell r="AA167">
            <v>0</v>
          </cell>
          <cell r="AB167">
            <v>0</v>
          </cell>
          <cell r="AC167">
            <v>0</v>
          </cell>
          <cell r="AD167">
            <v>0</v>
          </cell>
        </row>
        <row r="168">
          <cell r="B168" t="str">
            <v>% of CoGS from non-U.S. (GS estimate)</v>
          </cell>
          <cell r="C168" t="str">
            <v>COGS_PCT_ROW</v>
          </cell>
          <cell r="Y168">
            <v>1</v>
          </cell>
          <cell r="Z168">
            <v>1</v>
          </cell>
          <cell r="AA168">
            <v>1</v>
          </cell>
          <cell r="AB168">
            <v>1</v>
          </cell>
          <cell r="AC168">
            <v>1</v>
          </cell>
          <cell r="AD168">
            <v>1</v>
          </cell>
        </row>
        <row r="169">
          <cell r="B169" t="str">
            <v>% of SG&amp;A from U.S. (GS estimate)</v>
          </cell>
          <cell r="C169" t="str">
            <v>SGA_PCT_US</v>
          </cell>
          <cell r="Y169">
            <v>0</v>
          </cell>
          <cell r="Z169">
            <v>0</v>
          </cell>
          <cell r="AA169">
            <v>0</v>
          </cell>
          <cell r="AB169">
            <v>0</v>
          </cell>
          <cell r="AC169">
            <v>0</v>
          </cell>
          <cell r="AD169">
            <v>0</v>
          </cell>
        </row>
        <row r="170">
          <cell r="B170" t="str">
            <v>% of SG&amp;A from non-U.S. (GS estimate)</v>
          </cell>
          <cell r="C170" t="str">
            <v>SGA_PCT_ROW</v>
          </cell>
          <cell r="Y170">
            <v>1</v>
          </cell>
          <cell r="Z170">
            <v>1</v>
          </cell>
          <cell r="AA170">
            <v>1</v>
          </cell>
          <cell r="AB170">
            <v>1</v>
          </cell>
          <cell r="AC170">
            <v>1</v>
          </cell>
          <cell r="AD170">
            <v>1</v>
          </cell>
        </row>
        <row r="171">
          <cell r="B171" t="str">
            <v>Sales -% Consumer (C)</v>
          </cell>
          <cell r="C171" t="str">
            <v>SALES_CONS</v>
          </cell>
          <cell r="Y171">
            <v>0</v>
          </cell>
          <cell r="Z171">
            <v>0</v>
          </cell>
          <cell r="AA171">
            <v>0</v>
          </cell>
          <cell r="AB171">
            <v>0</v>
          </cell>
          <cell r="AC171">
            <v>0</v>
          </cell>
          <cell r="AD171">
            <v>0</v>
          </cell>
        </row>
        <row r="172">
          <cell r="B172" t="str">
            <v>Sales -% Industry (I)</v>
          </cell>
          <cell r="C172" t="str">
            <v>SALES_IND</v>
          </cell>
          <cell r="R172">
            <v>1</v>
          </cell>
          <cell r="S172">
            <v>1</v>
          </cell>
          <cell r="T172">
            <v>1</v>
          </cell>
          <cell r="U172">
            <v>1</v>
          </cell>
          <cell r="Y172">
            <v>1</v>
          </cell>
          <cell r="Z172">
            <v>1</v>
          </cell>
          <cell r="AA172">
            <v>1</v>
          </cell>
          <cell r="AB172">
            <v>1</v>
          </cell>
          <cell r="AC172">
            <v>1</v>
          </cell>
          <cell r="AD172">
            <v>1</v>
          </cell>
        </row>
        <row r="173">
          <cell r="B173" t="str">
            <v>Sales -% Government (G)</v>
          </cell>
          <cell r="C173" t="str">
            <v>SALES_GOV</v>
          </cell>
          <cell r="Y173">
            <v>0</v>
          </cell>
          <cell r="Z173">
            <v>0</v>
          </cell>
          <cell r="AA173">
            <v>0</v>
          </cell>
          <cell r="AB173">
            <v>0</v>
          </cell>
          <cell r="AC173">
            <v>0</v>
          </cell>
          <cell r="AD173">
            <v>0</v>
          </cell>
        </row>
        <row r="174">
          <cell r="B174" t="str">
            <v>Sales - % Industry Sub-Segment: Financial Services</v>
          </cell>
          <cell r="C174" t="str">
            <v>SALES_FINAN</v>
          </cell>
          <cell r="Y174">
            <v>0</v>
          </cell>
          <cell r="Z174">
            <v>0</v>
          </cell>
          <cell r="AA174">
            <v>0</v>
          </cell>
          <cell r="AB174">
            <v>0</v>
          </cell>
          <cell r="AC174">
            <v>0</v>
          </cell>
          <cell r="AD174">
            <v>0</v>
          </cell>
        </row>
        <row r="175">
          <cell r="B175" t="str">
            <v>Sales - % Industry Sub-Segment: Oil &amp; Gas</v>
          </cell>
          <cell r="C175" t="str">
            <v>SALES_OIL_GAS</v>
          </cell>
          <cell r="Y175">
            <v>0</v>
          </cell>
          <cell r="Z175">
            <v>0</v>
          </cell>
          <cell r="AA175">
            <v>0</v>
          </cell>
          <cell r="AB175">
            <v>0</v>
          </cell>
          <cell r="AC175">
            <v>0</v>
          </cell>
          <cell r="AD175">
            <v>0</v>
          </cell>
        </row>
        <row r="176">
          <cell r="A176" t="str">
            <v>Commodities Exposure - Expense</v>
          </cell>
        </row>
        <row r="177">
          <cell r="B177" t="str">
            <v>Expense - % Oil/Petrol/Fuel</v>
          </cell>
          <cell r="C177" t="str">
            <v>EXP_OIL_PETRO_FUEL</v>
          </cell>
          <cell r="R177">
            <v>0</v>
          </cell>
          <cell r="S177">
            <v>0</v>
          </cell>
          <cell r="T177">
            <v>0</v>
          </cell>
          <cell r="U177">
            <v>0</v>
          </cell>
          <cell r="V177">
            <v>1E-3</v>
          </cell>
          <cell r="W177">
            <v>1E-3</v>
          </cell>
          <cell r="X177">
            <v>1E-3</v>
          </cell>
          <cell r="Y177">
            <v>1E-3</v>
          </cell>
          <cell r="Z177">
            <v>1E-3</v>
          </cell>
          <cell r="AA177">
            <v>1E-3</v>
          </cell>
          <cell r="AB177">
            <v>1E-3</v>
          </cell>
          <cell r="AC177">
            <v>1E-3</v>
          </cell>
          <cell r="AD177">
            <v>1E-3</v>
          </cell>
          <cell r="AE177">
            <v>1E-3</v>
          </cell>
          <cell r="AF177">
            <v>1E-3</v>
          </cell>
          <cell r="AG177">
            <v>1E-3</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row>
        <row r="178">
          <cell r="B178" t="str">
            <v>Expense - % Oil derivatives/NGLs/plastics</v>
          </cell>
          <cell r="C178" t="str">
            <v>EXP_OIL_DERIV_NGLS_PLASTICS</v>
          </cell>
          <cell r="R178">
            <v>0</v>
          </cell>
          <cell r="S178">
            <v>0</v>
          </cell>
          <cell r="T178">
            <v>0</v>
          </cell>
          <cell r="U178">
            <v>0</v>
          </cell>
          <cell r="V178">
            <v>1E-3</v>
          </cell>
          <cell r="W178">
            <v>1E-3</v>
          </cell>
          <cell r="X178">
            <v>1E-3</v>
          </cell>
          <cell r="Y178">
            <v>1E-3</v>
          </cell>
          <cell r="Z178">
            <v>1E-3</v>
          </cell>
          <cell r="AA178">
            <v>1E-3</v>
          </cell>
          <cell r="AB178">
            <v>1E-3</v>
          </cell>
          <cell r="AC178">
            <v>1E-3</v>
          </cell>
          <cell r="AD178">
            <v>1E-3</v>
          </cell>
          <cell r="AE178">
            <v>1E-3</v>
          </cell>
          <cell r="AF178">
            <v>1E-3</v>
          </cell>
          <cell r="AG178">
            <v>1E-3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row>
        <row r="179">
          <cell r="B179" t="str">
            <v>Expense - % Gold</v>
          </cell>
          <cell r="C179" t="str">
            <v>EXP_GOLD</v>
          </cell>
          <cell r="R179">
            <v>0</v>
          </cell>
          <cell r="S179">
            <v>0</v>
          </cell>
          <cell r="T179">
            <v>0</v>
          </cell>
          <cell r="U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row>
        <row r="180">
          <cell r="B180" t="str">
            <v>Expense - % Copper</v>
          </cell>
          <cell r="C180" t="str">
            <v>EXP_COPPER</v>
          </cell>
          <cell r="R180">
            <v>0</v>
          </cell>
          <cell r="S180">
            <v>0</v>
          </cell>
          <cell r="T180">
            <v>0</v>
          </cell>
          <cell r="U180">
            <v>0</v>
          </cell>
          <cell r="V180">
            <v>0</v>
          </cell>
          <cell r="W180">
            <v>0</v>
          </cell>
          <cell r="X180">
            <v>0</v>
          </cell>
          <cell r="Y180">
            <v>0</v>
          </cell>
          <cell r="Z180">
            <v>0</v>
          </cell>
          <cell r="AA180">
            <v>0</v>
          </cell>
          <cell r="AB180">
            <v>0</v>
          </cell>
          <cell r="AC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row>
        <row r="181">
          <cell r="B181" t="str">
            <v>Expense - % Silver</v>
          </cell>
          <cell r="C181" t="str">
            <v>EXP_SILVER</v>
          </cell>
          <cell r="R181">
            <v>0</v>
          </cell>
          <cell r="S181">
            <v>0</v>
          </cell>
          <cell r="T181">
            <v>0</v>
          </cell>
          <cell r="U181">
            <v>0</v>
          </cell>
          <cell r="V181">
            <v>0</v>
          </cell>
          <cell r="W181">
            <v>0</v>
          </cell>
          <cell r="X181">
            <v>0</v>
          </cell>
          <cell r="Y181">
            <v>0</v>
          </cell>
          <cell r="Z181">
            <v>0</v>
          </cell>
          <cell r="AA181">
            <v>0</v>
          </cell>
          <cell r="AB181">
            <v>0</v>
          </cell>
          <cell r="AC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row>
        <row r="182">
          <cell r="B182" t="str">
            <v>Expense - % Platinum</v>
          </cell>
          <cell r="C182" t="str">
            <v>EXP_PLATINUM</v>
          </cell>
          <cell r="R182">
            <v>0</v>
          </cell>
          <cell r="S182">
            <v>0</v>
          </cell>
          <cell r="T182">
            <v>0</v>
          </cell>
          <cell r="U182">
            <v>0</v>
          </cell>
          <cell r="V182">
            <v>0</v>
          </cell>
          <cell r="W182">
            <v>0</v>
          </cell>
          <cell r="X182">
            <v>0</v>
          </cell>
          <cell r="Y182">
            <v>0</v>
          </cell>
          <cell r="Z182">
            <v>0</v>
          </cell>
          <cell r="AA182">
            <v>0</v>
          </cell>
          <cell r="AB182">
            <v>0</v>
          </cell>
          <cell r="AC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row>
        <row r="183">
          <cell r="B183" t="str">
            <v>Expense - % Palladium</v>
          </cell>
          <cell r="C183" t="str">
            <v>EXP_PALLADIUM</v>
          </cell>
          <cell r="R183">
            <v>0</v>
          </cell>
          <cell r="S183">
            <v>0</v>
          </cell>
          <cell r="T183">
            <v>0</v>
          </cell>
          <cell r="U183">
            <v>0</v>
          </cell>
          <cell r="V183">
            <v>0</v>
          </cell>
          <cell r="W183">
            <v>0</v>
          </cell>
          <cell r="X183">
            <v>0</v>
          </cell>
          <cell r="Y183">
            <v>0</v>
          </cell>
          <cell r="Z183">
            <v>0</v>
          </cell>
          <cell r="AA183">
            <v>0</v>
          </cell>
          <cell r="AB183">
            <v>0</v>
          </cell>
          <cell r="AC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row>
        <row r="184">
          <cell r="B184" t="str">
            <v>Expense - % Aluminium</v>
          </cell>
          <cell r="C184" t="str">
            <v>EXP_ALUMINIUM</v>
          </cell>
          <cell r="R184">
            <v>0</v>
          </cell>
          <cell r="S184">
            <v>0</v>
          </cell>
          <cell r="T184">
            <v>0</v>
          </cell>
          <cell r="U184">
            <v>0</v>
          </cell>
          <cell r="V184">
            <v>0</v>
          </cell>
          <cell r="W184">
            <v>0</v>
          </cell>
          <cell r="X184">
            <v>0</v>
          </cell>
          <cell r="Y184">
            <v>0</v>
          </cell>
          <cell r="Z184">
            <v>0</v>
          </cell>
          <cell r="AA184">
            <v>0</v>
          </cell>
          <cell r="AB184">
            <v>0</v>
          </cell>
          <cell r="AC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row>
        <row r="185">
          <cell r="B185" t="str">
            <v>Expense - % Nickel</v>
          </cell>
          <cell r="C185" t="str">
            <v>EXP_NICKEL</v>
          </cell>
          <cell r="R185">
            <v>0</v>
          </cell>
          <cell r="S185">
            <v>0</v>
          </cell>
          <cell r="T185">
            <v>0</v>
          </cell>
          <cell r="U185">
            <v>0</v>
          </cell>
          <cell r="V185">
            <v>0</v>
          </cell>
          <cell r="W185">
            <v>0</v>
          </cell>
          <cell r="X185">
            <v>0</v>
          </cell>
          <cell r="Y185">
            <v>0</v>
          </cell>
          <cell r="Z185">
            <v>0</v>
          </cell>
          <cell r="AA185">
            <v>0</v>
          </cell>
          <cell r="AB185">
            <v>0</v>
          </cell>
          <cell r="AC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row>
        <row r="186">
          <cell r="B186" t="str">
            <v>Expense - % Zinc</v>
          </cell>
          <cell r="C186" t="str">
            <v>EXP_ZINC</v>
          </cell>
          <cell r="R186">
            <v>0</v>
          </cell>
          <cell r="S186">
            <v>0</v>
          </cell>
          <cell r="T186">
            <v>0</v>
          </cell>
          <cell r="U186">
            <v>0</v>
          </cell>
          <cell r="V186">
            <v>0</v>
          </cell>
          <cell r="W186">
            <v>0</v>
          </cell>
          <cell r="X186">
            <v>0</v>
          </cell>
          <cell r="Y186">
            <v>0</v>
          </cell>
          <cell r="Z186">
            <v>0</v>
          </cell>
          <cell r="AA186">
            <v>0</v>
          </cell>
          <cell r="AB186">
            <v>0</v>
          </cell>
          <cell r="AC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row>
        <row r="187">
          <cell r="B187" t="str">
            <v>Expense - % Paper/pulp</v>
          </cell>
          <cell r="C187" t="str">
            <v>EXP_PAPER_PULP</v>
          </cell>
          <cell r="R187">
            <v>0</v>
          </cell>
          <cell r="S187">
            <v>0</v>
          </cell>
          <cell r="T187">
            <v>0</v>
          </cell>
          <cell r="U187">
            <v>0</v>
          </cell>
          <cell r="V187">
            <v>0</v>
          </cell>
          <cell r="W187">
            <v>0</v>
          </cell>
          <cell r="X187">
            <v>0</v>
          </cell>
          <cell r="Y187">
            <v>0</v>
          </cell>
          <cell r="Z187">
            <v>0</v>
          </cell>
          <cell r="AA187">
            <v>0</v>
          </cell>
          <cell r="AB187">
            <v>0</v>
          </cell>
          <cell r="AC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row>
        <row r="188">
          <cell r="B188" t="str">
            <v>Expense - % Glass</v>
          </cell>
          <cell r="C188" t="str">
            <v>EXP_GLASS</v>
          </cell>
          <cell r="R188">
            <v>0</v>
          </cell>
          <cell r="S188">
            <v>0</v>
          </cell>
          <cell r="T188">
            <v>0</v>
          </cell>
          <cell r="U188">
            <v>0</v>
          </cell>
          <cell r="V188">
            <v>0</v>
          </cell>
          <cell r="W188">
            <v>0</v>
          </cell>
          <cell r="X188">
            <v>0</v>
          </cell>
          <cell r="Y188">
            <v>0</v>
          </cell>
          <cell r="Z188">
            <v>0</v>
          </cell>
          <cell r="AA188">
            <v>0</v>
          </cell>
          <cell r="AB188">
            <v>0</v>
          </cell>
          <cell r="AC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row>
        <row r="189">
          <cell r="B189" t="str">
            <v>Expense - % Water</v>
          </cell>
          <cell r="C189" t="str">
            <v>EXP_WATER</v>
          </cell>
          <cell r="R189">
            <v>1</v>
          </cell>
          <cell r="S189">
            <v>1</v>
          </cell>
          <cell r="T189">
            <v>1</v>
          </cell>
          <cell r="U189">
            <v>1</v>
          </cell>
          <cell r="V189">
            <v>1</v>
          </cell>
          <cell r="W189">
            <v>1</v>
          </cell>
          <cell r="X189">
            <v>1</v>
          </cell>
          <cell r="Y189">
            <v>1</v>
          </cell>
          <cell r="Z189">
            <v>1</v>
          </cell>
          <cell r="AA189">
            <v>1</v>
          </cell>
          <cell r="AB189">
            <v>1</v>
          </cell>
          <cell r="AC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row>
        <row r="190">
          <cell r="B190" t="str">
            <v>Expense - % Other commodity</v>
          </cell>
          <cell r="C190" t="str">
            <v>EXP_OTH_COMMODITY</v>
          </cell>
          <cell r="R190">
            <v>0</v>
          </cell>
          <cell r="S190">
            <v>0</v>
          </cell>
          <cell r="T190">
            <v>0</v>
          </cell>
          <cell r="U190">
            <v>0</v>
          </cell>
          <cell r="V190">
            <v>0</v>
          </cell>
          <cell r="W190">
            <v>0</v>
          </cell>
          <cell r="X190">
            <v>0</v>
          </cell>
          <cell r="Y190">
            <v>0</v>
          </cell>
          <cell r="Z190">
            <v>0</v>
          </cell>
          <cell r="AA190">
            <v>0</v>
          </cell>
          <cell r="AB190">
            <v>0</v>
          </cell>
          <cell r="AC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row>
        <row r="191">
          <cell r="B191" t="str">
            <v>Expense - % Other (Non-Commodity) cost</v>
          </cell>
          <cell r="C191" t="str">
            <v>EXP_OTH_COST</v>
          </cell>
          <cell r="R191">
            <v>0</v>
          </cell>
          <cell r="S191">
            <v>0</v>
          </cell>
          <cell r="T191">
            <v>0</v>
          </cell>
          <cell r="U191">
            <v>0</v>
          </cell>
          <cell r="V191">
            <v>0</v>
          </cell>
          <cell r="W191">
            <v>0</v>
          </cell>
          <cell r="X191">
            <v>0</v>
          </cell>
          <cell r="Y191">
            <v>0</v>
          </cell>
          <cell r="Z191">
            <v>0</v>
          </cell>
          <cell r="AA191">
            <v>0</v>
          </cell>
          <cell r="AB191">
            <v>0</v>
          </cell>
          <cell r="AC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row>
        <row r="192">
          <cell r="A192" t="str">
            <v>FX Exposure - Sales</v>
          </cell>
        </row>
        <row r="193">
          <cell r="B193" t="str">
            <v>Sales - % FX: British Pounds/Pence</v>
          </cell>
          <cell r="C193" t="str">
            <v>SALES_FX_GPB</v>
          </cell>
        </row>
        <row r="194">
          <cell r="B194" t="str">
            <v>Sales - % FX: Euro</v>
          </cell>
          <cell r="C194" t="str">
            <v>SALES_FX_EUR</v>
          </cell>
        </row>
        <row r="195">
          <cell r="B195" t="str">
            <v>Sales - % FX: New Russian Ruble</v>
          </cell>
          <cell r="C195" t="str">
            <v>SALES_FX_RUB</v>
          </cell>
        </row>
        <row r="196">
          <cell r="B196" t="str">
            <v>Sales - % FX: U.S. Dollar</v>
          </cell>
          <cell r="C196" t="str">
            <v>SALES_FX_USD</v>
          </cell>
        </row>
        <row r="197">
          <cell r="B197" t="str">
            <v>Sales - % FX: Brazilian Real</v>
          </cell>
          <cell r="C197" t="str">
            <v>SALES_FX_BRL</v>
          </cell>
        </row>
        <row r="198">
          <cell r="B198" t="str">
            <v>Sales - % FX: Japanese Yen</v>
          </cell>
          <cell r="C198" t="str">
            <v>SALES_FX_YEN</v>
          </cell>
        </row>
        <row r="199">
          <cell r="B199" t="str">
            <v>Sales - % FX: Chinese Renminbi</v>
          </cell>
          <cell r="C199" t="str">
            <v>SALES_FX_CNY</v>
          </cell>
        </row>
        <row r="200">
          <cell r="B200" t="str">
            <v>Sales - % FX: Indian Rupee</v>
          </cell>
          <cell r="C200" t="str">
            <v>SALES_FX_INR</v>
          </cell>
        </row>
        <row r="201">
          <cell r="B201" t="str">
            <v>Sales - % FX: South Korean Won</v>
          </cell>
          <cell r="C201" t="str">
            <v>SALES_FX_KRW</v>
          </cell>
        </row>
        <row r="202">
          <cell r="B202" t="str">
            <v>Sales - % FX: Taiwan Dollar</v>
          </cell>
          <cell r="C202" t="str">
            <v>SALES_FX_TWD</v>
          </cell>
        </row>
        <row r="203">
          <cell r="B203" t="str">
            <v>Sales - % FX: Other Currency</v>
          </cell>
          <cell r="C203" t="str">
            <v>SALES_FX_OTH</v>
          </cell>
        </row>
        <row r="204">
          <cell r="A204" t="str">
            <v>Items to be removed</v>
          </cell>
        </row>
        <row r="205">
          <cell r="B205" t="str">
            <v>Sales - Total % Americas</v>
          </cell>
          <cell r="C205" t="str">
            <v>SALES_TOT_AM</v>
          </cell>
          <cell r="R205">
            <v>0.52738442792499995</v>
          </cell>
          <cell r="S205">
            <v>0.48615974727099998</v>
          </cell>
          <cell r="T205">
            <v>0.56116497509600005</v>
          </cell>
          <cell r="U205">
            <v>0.49305561328399999</v>
          </cell>
          <cell r="V205">
            <v>0.48122625471899999</v>
          </cell>
          <cell r="W205">
            <v>0.48849321313600003</v>
          </cell>
          <cell r="X205">
            <v>0.46304244988999999</v>
          </cell>
          <cell r="Y205">
            <v>0.46304244988999999</v>
          </cell>
          <cell r="Z205">
            <v>0.46304244988999999</v>
          </cell>
          <cell r="AA205">
            <v>0.46304244988999999</v>
          </cell>
          <cell r="AB205">
            <v>0.46304244988999999</v>
          </cell>
          <cell r="AC205">
            <v>0.46304244988999999</v>
          </cell>
        </row>
        <row r="206">
          <cell r="B206" t="str">
            <v>Sales - % Other Americas</v>
          </cell>
          <cell r="C206" t="str">
            <v>SALES_OTH_AM</v>
          </cell>
        </row>
        <row r="207">
          <cell r="B207" t="str">
            <v>Sales - Total % EMEA</v>
          </cell>
          <cell r="C207" t="str">
            <v>SALES_TOT_EMEA</v>
          </cell>
          <cell r="R207">
            <v>9.2606172141999996E-2</v>
          </cell>
          <cell r="S207">
            <v>8.5923368592000005E-2</v>
          </cell>
          <cell r="T207">
            <v>0.100459428064</v>
          </cell>
          <cell r="U207">
            <v>9.2504624889000006E-2</v>
          </cell>
          <cell r="V207">
            <v>0.126841014532</v>
          </cell>
          <cell r="W207">
            <v>0.110875333989</v>
          </cell>
          <cell r="X207">
            <v>8.5102928026000002E-2</v>
          </cell>
          <cell r="Y207">
            <v>8.5102928026000002E-2</v>
          </cell>
          <cell r="Z207">
            <v>8.5102928026000002E-2</v>
          </cell>
          <cell r="AA207">
            <v>8.5102928026000002E-2</v>
          </cell>
          <cell r="AB207">
            <v>8.5102928026000002E-2</v>
          </cell>
          <cell r="AC207">
            <v>8.5102928026000002E-2</v>
          </cell>
        </row>
        <row r="208">
          <cell r="B208" t="str">
            <v>Sales - % Western Europe-Ex UK</v>
          </cell>
          <cell r="C208" t="str">
            <v>SALES_EU_EX_UK</v>
          </cell>
        </row>
        <row r="209">
          <cell r="B209" t="str">
            <v>Sales - % Central &amp; Eastern Europe</v>
          </cell>
          <cell r="C209" t="str">
            <v>SALES_CEE</v>
          </cell>
        </row>
        <row r="210">
          <cell r="B210" t="str">
            <v>Sales - % Middle East</v>
          </cell>
          <cell r="C210" t="str">
            <v>SALES_ME</v>
          </cell>
        </row>
        <row r="211">
          <cell r="B211" t="str">
            <v>Sales - % Total Africa</v>
          </cell>
          <cell r="C211" t="str">
            <v>SALES_TOT_AFRICA</v>
          </cell>
        </row>
        <row r="212">
          <cell r="B212" t="str">
            <v>Sales - % Other EMEA</v>
          </cell>
          <cell r="C212" t="str">
            <v>SALES_OTH_EMEA</v>
          </cell>
          <cell r="R212">
            <v>9.2606172141999996E-2</v>
          </cell>
          <cell r="S212">
            <v>8.5923368592000005E-2</v>
          </cell>
          <cell r="T212">
            <v>0.100459428064</v>
          </cell>
          <cell r="U212">
            <v>9.2504624889000006E-2</v>
          </cell>
          <cell r="V212">
            <v>0.126841014532</v>
          </cell>
          <cell r="W212">
            <v>0.110875333989</v>
          </cell>
          <cell r="X212">
            <v>8.5102928026000002E-2</v>
          </cell>
          <cell r="Y212">
            <v>8.5102928026000002E-2</v>
          </cell>
          <cell r="Z212">
            <v>8.5102928026000002E-2</v>
          </cell>
          <cell r="AA212">
            <v>8.5102928026000002E-2</v>
          </cell>
          <cell r="AB212">
            <v>8.5102928026000002E-2</v>
          </cell>
          <cell r="AC212">
            <v>8.5102928026000002E-2</v>
          </cell>
        </row>
        <row r="213">
          <cell r="B213" t="str">
            <v>Sales - Total % Asia (incl Australia &amp; New Zealand)</v>
          </cell>
          <cell r="C213" t="str">
            <v>SALES_TOT_ASIA</v>
          </cell>
          <cell r="R213">
            <v>0.38000939993299998</v>
          </cell>
          <cell r="S213">
            <v>0.42791688413700002</v>
          </cell>
          <cell r="T213">
            <v>0.33837559684099999</v>
          </cell>
          <cell r="U213">
            <v>0.41443976182699999</v>
          </cell>
          <cell r="V213">
            <v>0.39193273074899998</v>
          </cell>
          <cell r="W213">
            <v>0.40063145287500002</v>
          </cell>
          <cell r="X213">
            <v>0.45185462208400001</v>
          </cell>
          <cell r="Y213">
            <v>0.45185462208400001</v>
          </cell>
          <cell r="Z213">
            <v>0.45185462208400001</v>
          </cell>
          <cell r="AA213">
            <v>0.45185462208400001</v>
          </cell>
          <cell r="AB213">
            <v>0.45185462208400001</v>
          </cell>
          <cell r="AC213">
            <v>0.45185462208400001</v>
          </cell>
        </row>
        <row r="214">
          <cell r="B214" t="str">
            <v>Sales - % Other Asia</v>
          </cell>
          <cell r="C214" t="str">
            <v>SALES_OTH_AEJ</v>
          </cell>
          <cell r="R214">
            <v>0.35235181024700002</v>
          </cell>
          <cell r="S214">
            <v>0.40576037909399998</v>
          </cell>
          <cell r="T214">
            <v>0.31837559684099997</v>
          </cell>
          <cell r="U214">
            <v>0.40443976182699998</v>
          </cell>
          <cell r="V214">
            <v>0.38193273074900003</v>
          </cell>
          <cell r="W214">
            <v>0.39063145287500001</v>
          </cell>
          <cell r="X214">
            <v>0.441854622084</v>
          </cell>
          <cell r="Y214">
            <v>0.441854622084</v>
          </cell>
          <cell r="Z214">
            <v>0.441854622084</v>
          </cell>
          <cell r="AA214">
            <v>0.441854622084</v>
          </cell>
          <cell r="AB214">
            <v>0.441854622084</v>
          </cell>
          <cell r="AC214">
            <v>0.441854622084</v>
          </cell>
        </row>
        <row r="215">
          <cell r="A215" t="str">
            <v>Security: United Microelectronics Corp.</v>
          </cell>
        </row>
        <row r="216">
          <cell r="A216" t="str">
            <v>Reference Data</v>
          </cell>
        </row>
        <row r="217">
          <cell r="B217" t="str">
            <v>Ticker</v>
          </cell>
          <cell r="C217" t="str">
            <v>Ticker</v>
          </cell>
          <cell r="E217" t="str">
            <v>2303.TW</v>
          </cell>
        </row>
        <row r="218">
          <cell r="B218" t="str">
            <v>Security Name</v>
          </cell>
          <cell r="C218" t="str">
            <v>Security Name</v>
          </cell>
          <cell r="E218" t="str">
            <v>United Microelectronics Corp.</v>
          </cell>
        </row>
        <row r="219">
          <cell r="B219" t="str">
            <v>Interim Type</v>
          </cell>
          <cell r="C219" t="str">
            <v>Interim Type</v>
          </cell>
          <cell r="E219" t="str">
            <v>Q</v>
          </cell>
        </row>
        <row r="220">
          <cell r="B220" t="str">
            <v>Publishing Currency</v>
          </cell>
          <cell r="C220" t="str">
            <v>PUB_CURRENCY_ISO</v>
          </cell>
          <cell r="E220" t="str">
            <v>TWD</v>
          </cell>
        </row>
        <row r="221">
          <cell r="B221" t="str">
            <v>Pricing Currency</v>
          </cell>
          <cell r="C221" t="str">
            <v>PRICE_CURRENCY_ISO</v>
          </cell>
          <cell r="E221" t="str">
            <v>TWD</v>
          </cell>
        </row>
        <row r="222">
          <cell r="B222" t="str">
            <v>Reporting Currency</v>
          </cell>
          <cell r="C222" t="str">
            <v>CURRENCY_ISO</v>
          </cell>
          <cell r="E222" t="str">
            <v>TWD</v>
          </cell>
        </row>
        <row r="223">
          <cell r="A223" t="str">
            <v>General Information</v>
          </cell>
        </row>
        <row r="224">
          <cell r="B224" t="str">
            <v>Asia ex. Japan Investment List</v>
          </cell>
          <cell r="C224" t="str">
            <v>AEJ_LIST</v>
          </cell>
        </row>
        <row r="225">
          <cell r="B225" t="str">
            <v>Asia ex. Japan Conviction List</v>
          </cell>
          <cell r="C225" t="str">
            <v>AEJ_CONVICTION</v>
          </cell>
        </row>
        <row r="226">
          <cell r="B226" t="str">
            <v>Legal rating</v>
          </cell>
          <cell r="C226" t="str">
            <v>LEGAL_RATING</v>
          </cell>
        </row>
        <row r="227">
          <cell r="B227" t="str">
            <v>Target price</v>
          </cell>
          <cell r="C227" t="str">
            <v>TARGET_PRICE</v>
          </cell>
          <cell r="D227" t="str">
            <v>TWD</v>
          </cell>
          <cell r="E227">
            <v>500</v>
          </cell>
        </row>
        <row r="228">
          <cell r="B228" t="str">
            <v>Target price period</v>
          </cell>
          <cell r="C228" t="str">
            <v>TP_PERIOD</v>
          </cell>
          <cell r="E228" t="str">
            <v>12 months</v>
          </cell>
        </row>
        <row r="229">
          <cell r="B229" t="str">
            <v>Fundamental value</v>
          </cell>
          <cell r="C229" t="str">
            <v>TARGET_PRICE_FUNDAMENTAL</v>
          </cell>
          <cell r="D229" t="str">
            <v>TWD</v>
          </cell>
        </row>
        <row r="230">
          <cell r="B230" t="str">
            <v>M&amp;A value</v>
          </cell>
          <cell r="C230" t="str">
            <v>TARGET_PRICE_MA</v>
          </cell>
          <cell r="D230" t="str">
            <v>TWD</v>
          </cell>
        </row>
        <row r="231">
          <cell r="B231" t="str">
            <v>Current shares outstanding (mn)</v>
          </cell>
          <cell r="C231" t="str">
            <v>NUM_SH</v>
          </cell>
          <cell r="E231">
            <v>12424.3187</v>
          </cell>
        </row>
        <row r="232">
          <cell r="B232" t="str">
            <v>Free float</v>
          </cell>
          <cell r="C232" t="str">
            <v>FREE_FLOAT</v>
          </cell>
          <cell r="E232">
            <v>0.93630000000000002</v>
          </cell>
        </row>
        <row r="233">
          <cell r="B233" t="str">
            <v>Foreign ownership</v>
          </cell>
          <cell r="C233" t="str">
            <v>FOREIGN_HOLDNG</v>
          </cell>
        </row>
        <row r="234">
          <cell r="B234" t="str">
            <v xml:space="preserve">Silicon Integrated Systems </v>
          </cell>
          <cell r="C234" t="str">
            <v>ACT1</v>
          </cell>
          <cell r="E234">
            <v>0.01</v>
          </cell>
        </row>
        <row r="235">
          <cell r="B235" t="str">
            <v>Xunjie Venture Capital</v>
          </cell>
          <cell r="C235" t="str">
            <v>ACT2</v>
          </cell>
          <cell r="E235">
            <v>0.01</v>
          </cell>
        </row>
        <row r="236">
          <cell r="B236" t="str">
            <v>Other directors &amp; supervisors</v>
          </cell>
          <cell r="C236" t="str">
            <v>ACT3</v>
          </cell>
          <cell r="E236">
            <v>0.01</v>
          </cell>
        </row>
        <row r="237">
          <cell r="B237" t="str">
            <v>Catalyst 1 date</v>
          </cell>
          <cell r="C237" t="str">
            <v>CATALYST1_DATE</v>
          </cell>
        </row>
        <row r="238">
          <cell r="B238" t="str">
            <v>Catalyst 1 description</v>
          </cell>
          <cell r="C238" t="str">
            <v>CATALYST1_EVENT</v>
          </cell>
        </row>
        <row r="239">
          <cell r="B239" t="str">
            <v>Catalyst 2 date</v>
          </cell>
          <cell r="C239" t="str">
            <v>CATALYST2_DATE</v>
          </cell>
        </row>
        <row r="240">
          <cell r="B240" t="str">
            <v>Catalyst 2 description</v>
          </cell>
          <cell r="C240" t="str">
            <v>CATALYST2_EVENT</v>
          </cell>
        </row>
        <row r="241">
          <cell r="B241" t="str">
            <v>Catalyst 3 date</v>
          </cell>
          <cell r="C241" t="str">
            <v>CATALYST3_DATE</v>
          </cell>
        </row>
        <row r="242">
          <cell r="B242" t="str">
            <v>Catalyst 3 description</v>
          </cell>
          <cell r="C242" t="str">
            <v>CATALYST3_EVENT</v>
          </cell>
        </row>
        <row r="243">
          <cell r="B243" t="str">
            <v>Catalyst 4 date</v>
          </cell>
          <cell r="C243" t="str">
            <v>CATALYST4_DATE</v>
          </cell>
        </row>
        <row r="244">
          <cell r="B244" t="str">
            <v>Catalyst 4 description</v>
          </cell>
          <cell r="C244" t="str">
            <v>CATALYST4_EVENT</v>
          </cell>
        </row>
        <row r="245">
          <cell r="B245" t="str">
            <v>Catalyst 5 date</v>
          </cell>
          <cell r="C245" t="str">
            <v>CATALYST5_DATE</v>
          </cell>
        </row>
        <row r="246">
          <cell r="B246" t="str">
            <v>Catalyst 5 description</v>
          </cell>
          <cell r="C246" t="str">
            <v>CATALYST5_EVENT</v>
          </cell>
        </row>
        <row r="247">
          <cell r="B247" t="str">
            <v>Target price multiple</v>
          </cell>
          <cell r="C247" t="str">
            <v>PRI_TARG_MULT</v>
          </cell>
        </row>
        <row r="248">
          <cell r="B248" t="str">
            <v>Target price methodology</v>
          </cell>
          <cell r="C248" t="str">
            <v>PRI_TARG_METH</v>
          </cell>
          <cell r="E248" t="str">
            <v>PB/ROE</v>
          </cell>
        </row>
        <row r="249">
          <cell r="A249" t="str">
            <v>Publishing Items</v>
          </cell>
        </row>
        <row r="250">
          <cell r="B250" t="str">
            <v>Book value per share, BVPS (Pub)</v>
          </cell>
          <cell r="C250" t="str">
            <v>BVPS_PUB</v>
          </cell>
          <cell r="D250" t="str">
            <v>TWD</v>
          </cell>
          <cell r="F250">
            <v>2.4980028744029998</v>
          </cell>
          <cell r="G250">
            <v>3.9334651274680001</v>
          </cell>
          <cell r="H250">
            <v>5.3037639201779996</v>
          </cell>
          <cell r="I250">
            <v>6.8469332920139996</v>
          </cell>
          <cell r="J250">
            <v>7.1708064201959996</v>
          </cell>
          <cell r="K250">
            <v>11.219193649108</v>
          </cell>
          <cell r="L250">
            <v>15.785947553212001</v>
          </cell>
          <cell r="M250">
            <v>14.817087062002001</v>
          </cell>
          <cell r="N250">
            <v>13.706197515966</v>
          </cell>
          <cell r="O250">
            <v>14.493498603552</v>
          </cell>
          <cell r="P250">
            <v>16.461320626986002</v>
          </cell>
          <cell r="Q250">
            <v>16.323522565865002</v>
          </cell>
          <cell r="R250">
            <v>18.945075880539001</v>
          </cell>
          <cell r="S250">
            <v>18.110248343504001</v>
          </cell>
          <cell r="T250">
            <v>14.715269100987999</v>
          </cell>
          <cell r="U250">
            <v>16.858700787791999</v>
          </cell>
          <cell r="V250">
            <v>16.887801359730464</v>
          </cell>
          <cell r="W250">
            <v>15.876770368025243</v>
          </cell>
          <cell r="X250">
            <v>15.593185135462388</v>
          </cell>
          <cell r="Y250">
            <v>16.397718902171892</v>
          </cell>
          <cell r="Z250">
            <v>17.379602476904154</v>
          </cell>
          <cell r="AA250">
            <v>17.776138544535776</v>
          </cell>
          <cell r="AB250">
            <v>17.155768968348365</v>
          </cell>
          <cell r="AC250">
            <v>16.878596070297245</v>
          </cell>
          <cell r="AD250">
            <v>17.059789001701795</v>
          </cell>
          <cell r="AE250">
            <v>16.625165918379118</v>
          </cell>
          <cell r="AF250">
            <v>17.028603860884644</v>
          </cell>
          <cell r="AG250">
            <v>16.847649778109616</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row>
        <row r="251">
          <cell r="B251" t="str">
            <v>DPS, dividend per share (Pub)</v>
          </cell>
          <cell r="C251" t="str">
            <v>DPS_PUB</v>
          </cell>
          <cell r="D251" t="str">
            <v>TWD</v>
          </cell>
          <cell r="F251">
            <v>0</v>
          </cell>
          <cell r="G251">
            <v>0</v>
          </cell>
          <cell r="H251">
            <v>0</v>
          </cell>
          <cell r="I251">
            <v>0.10044458027399999</v>
          </cell>
          <cell r="J251">
            <v>0.11082261562700001</v>
          </cell>
          <cell r="K251">
            <v>8.2741233075000004E-2</v>
          </cell>
          <cell r="L251">
            <v>6.9643402560000001E-3</v>
          </cell>
          <cell r="M251">
            <v>6.6639088659999996E-3</v>
          </cell>
          <cell r="N251">
            <v>0</v>
          </cell>
          <cell r="O251">
            <v>0</v>
          </cell>
          <cell r="P251">
            <v>0</v>
          </cell>
          <cell r="Q251">
            <v>0</v>
          </cell>
          <cell r="R251">
            <v>0.46595850228399999</v>
          </cell>
          <cell r="S251">
            <v>0.954388967561</v>
          </cell>
          <cell r="T251">
            <v>0.72038716328200003</v>
          </cell>
          <cell r="U251">
            <v>0</v>
          </cell>
          <cell r="V251">
            <v>1.0791342500826711</v>
          </cell>
          <cell r="W251">
            <v>0.48274649142452841</v>
          </cell>
          <cell r="X251">
            <v>0.39077972565292152</v>
          </cell>
          <cell r="Y251">
            <v>0.49268119665507665</v>
          </cell>
          <cell r="Z251">
            <v>0.54529687130138649</v>
          </cell>
          <cell r="AA251">
            <v>0.54135868109666729</v>
          </cell>
          <cell r="AB251">
            <v>0.48344747507047647</v>
          </cell>
          <cell r="AC251">
            <v>0.67784347047575721</v>
          </cell>
          <cell r="AD251">
            <v>0.62025670486436102</v>
          </cell>
          <cell r="AE251">
            <v>0.16497753673765422</v>
          </cell>
          <cell r="AF251">
            <v>0.50516595447681956</v>
          </cell>
          <cell r="AG251">
            <v>0.28813571340284316</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row>
        <row r="252">
          <cell r="B252" t="str">
            <v>Special dividend per share</v>
          </cell>
          <cell r="C252" t="str">
            <v>DPS_SPECIAL_PUB</v>
          </cell>
          <cell r="D252" t="str">
            <v>TWD</v>
          </cell>
        </row>
        <row r="253">
          <cell r="B253" t="str">
            <v>EBITDA (Pub)</v>
          </cell>
          <cell r="C253" t="str">
            <v>EBITDA_PUB</v>
          </cell>
          <cell r="D253" t="str">
            <v>TWD</v>
          </cell>
          <cell r="F253">
            <v>8199.9240000000009</v>
          </cell>
          <cell r="G253">
            <v>14713.067999999999</v>
          </cell>
          <cell r="H253">
            <v>9576.7569999999996</v>
          </cell>
          <cell r="I253">
            <v>7632.46</v>
          </cell>
          <cell r="J253">
            <v>5202.799</v>
          </cell>
          <cell r="K253">
            <v>11027.753000000001</v>
          </cell>
          <cell r="L253">
            <v>68090.3</v>
          </cell>
          <cell r="M253">
            <v>28700.727999999999</v>
          </cell>
          <cell r="N253">
            <v>35865.983</v>
          </cell>
          <cell r="O253">
            <v>47347.881000000001</v>
          </cell>
          <cell r="P253">
            <v>64232.324999999997</v>
          </cell>
          <cell r="Q253">
            <v>45848.184999999998</v>
          </cell>
          <cell r="R253">
            <v>50318.127999999997</v>
          </cell>
          <cell r="S253">
            <v>38060.993999999999</v>
          </cell>
          <cell r="T253">
            <v>36411.584000000003</v>
          </cell>
          <cell r="U253">
            <v>36077.284</v>
          </cell>
          <cell r="V253">
            <v>52515.311000000002</v>
          </cell>
          <cell r="W253">
            <v>37550.665999999997</v>
          </cell>
          <cell r="X253">
            <v>36695.186999999991</v>
          </cell>
          <cell r="Y253">
            <v>42464.431999999993</v>
          </cell>
          <cell r="Z253">
            <v>50733.686000000009</v>
          </cell>
          <cell r="AA253">
            <v>56307.766000000011</v>
          </cell>
          <cell r="AB253">
            <v>58177.177000000025</v>
          </cell>
          <cell r="AC253">
            <v>59667.167000000001</v>
          </cell>
          <cell r="AD253">
            <v>59791.336140016356</v>
          </cell>
          <cell r="AE253">
            <v>52200.685392529958</v>
          </cell>
          <cell r="AF253">
            <v>67167.632035651826</v>
          </cell>
          <cell r="AG253">
            <v>39603.792579115179</v>
          </cell>
          <cell r="AI253">
            <v>11277.844999999999</v>
          </cell>
          <cell r="AJ253">
            <v>13088.21</v>
          </cell>
          <cell r="AK253">
            <v>14593.957999999999</v>
          </cell>
          <cell r="AL253">
            <v>13555.298000000001</v>
          </cell>
          <cell r="AM253">
            <v>11589.367</v>
          </cell>
          <cell r="AN253">
            <v>10560.457999999999</v>
          </cell>
          <cell r="AO253">
            <v>8345.1409999999996</v>
          </cell>
          <cell r="AP253">
            <v>7055.6999999999989</v>
          </cell>
          <cell r="AQ253">
            <v>8731.4340000000011</v>
          </cell>
          <cell r="AR253">
            <v>10883.217000000001</v>
          </cell>
          <cell r="AS253">
            <v>8527.0579999999991</v>
          </cell>
          <cell r="AT253">
            <v>8553.4779999999992</v>
          </cell>
          <cell r="AU253">
            <v>9918.9979999999996</v>
          </cell>
          <cell r="AV253">
            <v>10893.057000000001</v>
          </cell>
          <cell r="AW253">
            <v>11890.609999999999</v>
          </cell>
          <cell r="AX253">
            <v>9761.7669999999998</v>
          </cell>
          <cell r="AY253">
            <v>10790.952000000001</v>
          </cell>
          <cell r="AZ253">
            <v>12865.352000000001</v>
          </cell>
          <cell r="BA253">
            <v>11881.892999999998</v>
          </cell>
          <cell r="BB253">
            <v>15195.489</v>
          </cell>
          <cell r="BC253">
            <v>14846.868</v>
          </cell>
          <cell r="BD253">
            <v>15070.566000000001</v>
          </cell>
          <cell r="BE253">
            <v>12572.308999999997</v>
          </cell>
          <cell r="BF253">
            <v>13818.022999999999</v>
          </cell>
          <cell r="BG253">
            <v>12648.955</v>
          </cell>
          <cell r="BH253">
            <v>15489.168000000001</v>
          </cell>
          <cell r="BI253">
            <v>14386.478999999999</v>
          </cell>
          <cell r="BJ253">
            <v>15652.575000000001</v>
          </cell>
          <cell r="BK253">
            <v>14662.960999999999</v>
          </cell>
          <cell r="BL253">
            <v>14760.646000000001</v>
          </cell>
          <cell r="BM253">
            <v>15115.816999999999</v>
          </cell>
          <cell r="BN253">
            <v>15127.743</v>
          </cell>
          <cell r="BO253">
            <v>14057.886999999999</v>
          </cell>
          <cell r="BP253">
            <v>16554.159</v>
          </cell>
          <cell r="BQ253">
            <v>15408.679</v>
          </cell>
          <cell r="BR253">
            <v>13770.611140016335</v>
          </cell>
          <cell r="BS253">
            <v>14162.300241169758</v>
          </cell>
          <cell r="BT253">
            <v>13476.159144681695</v>
          </cell>
          <cell r="BU253">
            <v>11059.234016390452</v>
          </cell>
          <cell r="BV253">
            <v>13502.991990288076</v>
          </cell>
          <cell r="BW253">
            <v>16110.45839120756</v>
          </cell>
          <cell r="BX253">
            <v>17224.59375604034</v>
          </cell>
          <cell r="BY253">
            <v>19344.335179007983</v>
          </cell>
          <cell r="BZ253">
            <v>14488.244709395964</v>
          </cell>
          <cell r="CA253">
            <v>16069.391941385953</v>
          </cell>
          <cell r="CB253">
            <v>11893.370517500447</v>
          </cell>
          <cell r="CC253">
            <v>8026.0712870081588</v>
          </cell>
          <cell r="CD253">
            <v>3614.9588332206104</v>
          </cell>
        </row>
        <row r="254">
          <cell r="B254" t="str">
            <v>EPS (Pub)</v>
          </cell>
          <cell r="C254" t="str">
            <v>EPS_PUB</v>
          </cell>
          <cell r="D254" t="str">
            <v>TWD</v>
          </cell>
          <cell r="F254">
            <v>0.86544450049300004</v>
          </cell>
          <cell r="G254">
            <v>1.681135953354</v>
          </cell>
          <cell r="H254">
            <v>0.877498752795</v>
          </cell>
          <cell r="I254">
            <v>0.99884956768599997</v>
          </cell>
          <cell r="J254">
            <v>0.412898341354</v>
          </cell>
          <cell r="K254">
            <v>0.98714485516600003</v>
          </cell>
          <cell r="L254">
            <v>3.3681130455439998</v>
          </cell>
          <cell r="M254">
            <v>-0.20038067537000001</v>
          </cell>
          <cell r="N254">
            <v>0.44579478579699999</v>
          </cell>
          <cell r="O254">
            <v>0.87496078120200005</v>
          </cell>
          <cell r="P254">
            <v>1.9677836216589999</v>
          </cell>
          <cell r="Q254">
            <v>0.444086989253</v>
          </cell>
          <cell r="R254">
            <v>2.1224241709989999</v>
          </cell>
          <cell r="S254">
            <v>1.2990475049700001</v>
          </cell>
          <cell r="T254">
            <v>-1.7137056953000001</v>
          </cell>
          <cell r="U254">
            <v>0.30505474554200002</v>
          </cell>
          <cell r="V254">
            <v>1.8992221327908232</v>
          </cell>
          <cell r="W254">
            <v>0.84650564432440556</v>
          </cell>
          <cell r="X254">
            <v>0.48950308098490319</v>
          </cell>
          <cell r="Y254">
            <v>1.0091305471351166</v>
          </cell>
          <cell r="Z254">
            <v>0.97199156205969062</v>
          </cell>
          <cell r="AA254">
            <v>1.0730833135168301</v>
          </cell>
          <cell r="AB254">
            <v>0.67550941064674475</v>
          </cell>
          <cell r="AC254">
            <v>0.78870779080358888</v>
          </cell>
          <cell r="AD254">
            <v>0.69791621748224697</v>
          </cell>
          <cell r="AE254">
            <v>0.18563362154168286</v>
          </cell>
          <cell r="AF254">
            <v>0.56841547924317903</v>
          </cell>
          <cell r="AG254">
            <v>0.324211871701793</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row>
        <row r="255">
          <cell r="B255" t="str">
            <v>EPS (excl. ESO) (Pub)</v>
          </cell>
          <cell r="C255" t="str">
            <v>EPS_PUB_EX_ESO</v>
          </cell>
          <cell r="D255" t="str">
            <v>TWD</v>
          </cell>
        </row>
        <row r="256">
          <cell r="B256" t="str">
            <v>EV adjustment (Pub)</v>
          </cell>
          <cell r="C256" t="str">
            <v>EV_ADJ_PUB</v>
          </cell>
          <cell r="D256" t="str">
            <v>TWD</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B257" t="str">
            <v>Net debt (Pub)</v>
          </cell>
          <cell r="C257" t="str">
            <v>NET_DEBT_PUB</v>
          </cell>
          <cell r="D257" t="str">
            <v>TWD</v>
          </cell>
          <cell r="F257">
            <v>-5373.3969999999999</v>
          </cell>
          <cell r="G257">
            <v>-225.66200000000001</v>
          </cell>
          <cell r="H257">
            <v>-2561.6039999999998</v>
          </cell>
          <cell r="I257">
            <v>-6266.0889999999999</v>
          </cell>
          <cell r="J257">
            <v>-3854.1419999999998</v>
          </cell>
          <cell r="K257">
            <v>6720.0290000000005</v>
          </cell>
          <cell r="L257">
            <v>-7470.56</v>
          </cell>
          <cell r="M257">
            <v>-138.458</v>
          </cell>
          <cell r="N257">
            <v>1041.3150000000001</v>
          </cell>
          <cell r="O257">
            <v>-27245.526999999998</v>
          </cell>
          <cell r="P257">
            <v>-48074.201999999997</v>
          </cell>
          <cell r="Q257">
            <v>-55220.688999999998</v>
          </cell>
          <cell r="R257">
            <v>-57168.122000000003</v>
          </cell>
          <cell r="S257">
            <v>-11868.234</v>
          </cell>
          <cell r="T257">
            <v>-42330.629000000001</v>
          </cell>
          <cell r="U257">
            <v>-60803.925999999999</v>
          </cell>
          <cell r="V257">
            <v>-40347.600000000006</v>
          </cell>
          <cell r="W257">
            <v>-18562.864999999998</v>
          </cell>
          <cell r="X257">
            <v>-4561.0619999999981</v>
          </cell>
          <cell r="Y257">
            <v>-17771.899999999994</v>
          </cell>
          <cell r="Z257">
            <v>-6049.2909999999974</v>
          </cell>
          <cell r="AA257">
            <v>-260.97699999999895</v>
          </cell>
          <cell r="AB257">
            <v>23700.511999999988</v>
          </cell>
          <cell r="AC257">
            <v>-2909.8870000000024</v>
          </cell>
          <cell r="AD257">
            <v>-15488.769204778437</v>
          </cell>
          <cell r="AE257">
            <v>-43602.636291660441</v>
          </cell>
          <cell r="AF257">
            <v>-76795.683663708201</v>
          </cell>
          <cell r="AG257">
            <v>-102360.30288467933</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row>
        <row r="258">
          <cell r="B258" t="str">
            <v>Net income (Pub)</v>
          </cell>
          <cell r="C258" t="str">
            <v>NI_PUB</v>
          </cell>
          <cell r="D258" t="str">
            <v>TWD</v>
          </cell>
          <cell r="F258">
            <v>6457.7079999999996</v>
          </cell>
          <cell r="G258">
            <v>13405.682000000001</v>
          </cell>
          <cell r="H258">
            <v>7611.8959999999997</v>
          </cell>
          <cell r="I258">
            <v>9739.5519999999997</v>
          </cell>
          <cell r="J258">
            <v>4407.0209999999997</v>
          </cell>
          <cell r="K258">
            <v>10497.892</v>
          </cell>
          <cell r="L258">
            <v>50780.377999999997</v>
          </cell>
          <cell r="M258">
            <v>-3157.3020000000001</v>
          </cell>
          <cell r="N258">
            <v>7072.0320000000002</v>
          </cell>
          <cell r="O258">
            <v>14020.257</v>
          </cell>
          <cell r="P258">
            <v>31843.381000000001</v>
          </cell>
          <cell r="Q258">
            <v>7026.692</v>
          </cell>
          <cell r="R258">
            <v>32619.312999999998</v>
          </cell>
          <cell r="S258">
            <v>16961.761999999999</v>
          </cell>
          <cell r="T258">
            <v>-22320.075000000001</v>
          </cell>
          <cell r="U258">
            <v>3874.0279999999898</v>
          </cell>
          <cell r="V258">
            <v>23830.455999999998</v>
          </cell>
          <cell r="W258">
            <v>10609.695</v>
          </cell>
          <cell r="X258">
            <v>6177.1269999999895</v>
          </cell>
          <cell r="Y258">
            <v>12630.202999999996</v>
          </cell>
          <cell r="Z258">
            <v>12141.341000000008</v>
          </cell>
          <cell r="AA258">
            <v>13448.624000000007</v>
          </cell>
          <cell r="AB258">
            <v>8315.6600000000217</v>
          </cell>
          <cell r="AC258">
            <v>9628.7340000000058</v>
          </cell>
          <cell r="AD258">
            <v>8671.1335118979478</v>
          </cell>
          <cell r="AE258">
            <v>2306.3712754690532</v>
          </cell>
          <cell r="AF258">
            <v>7062.1750681304911</v>
          </cell>
          <cell r="AG258">
            <v>4028.1116203465872</v>
          </cell>
          <cell r="AI258">
            <v>3482.1649999999995</v>
          </cell>
          <cell r="AJ258">
            <v>5203.9789999999994</v>
          </cell>
          <cell r="AK258">
            <v>8720.4469999999983</v>
          </cell>
          <cell r="AL258">
            <v>6423.8650000000007</v>
          </cell>
          <cell r="AM258">
            <v>4483.4930000000004</v>
          </cell>
          <cell r="AN258">
            <v>3191.7709999999993</v>
          </cell>
          <cell r="AO258">
            <v>1954.233999999999</v>
          </cell>
          <cell r="AP258">
            <v>980.19700000000012</v>
          </cell>
          <cell r="AQ258">
            <v>1294.3910000000005</v>
          </cell>
          <cell r="AR258">
            <v>2651.0260000000017</v>
          </cell>
          <cell r="AS258">
            <v>1492.5040000000004</v>
          </cell>
          <cell r="AT258">
            <v>739.20599999999934</v>
          </cell>
          <cell r="AU258">
            <v>6592.7050000000008</v>
          </cell>
          <cell r="AV258">
            <v>1812.0000000000014</v>
          </cell>
          <cell r="AW258">
            <v>3476.0949999999998</v>
          </cell>
          <cell r="AX258">
            <v>749.40299999999911</v>
          </cell>
          <cell r="AY258">
            <v>1179.6980000000015</v>
          </cell>
          <cell r="AZ258">
            <v>3482.4210000000003</v>
          </cell>
          <cell r="BA258">
            <v>2915.9439999999991</v>
          </cell>
          <cell r="BB258">
            <v>4563.2780000000002</v>
          </cell>
          <cell r="BC258">
            <v>3979.91</v>
          </cell>
          <cell r="BD258">
            <v>4600.3750000000009</v>
          </cell>
          <cell r="BE258">
            <v>1708.4789999999982</v>
          </cell>
          <cell r="BF258">
            <v>3159.8599999999992</v>
          </cell>
          <cell r="BG258">
            <v>209.63199999999978</v>
          </cell>
          <cell r="BH258">
            <v>2583.2700000000018</v>
          </cell>
          <cell r="BI258">
            <v>2974.7699999999995</v>
          </cell>
          <cell r="BJ258">
            <v>2547.9879999999998</v>
          </cell>
          <cell r="BK258">
            <v>2286.02</v>
          </cell>
          <cell r="BL258">
            <v>2099.0069999999996</v>
          </cell>
          <cell r="BM258">
            <v>3472.655999999999</v>
          </cell>
          <cell r="BN258">
            <v>1771.0509999999999</v>
          </cell>
          <cell r="BO258">
            <v>3400.3979999999988</v>
          </cell>
          <cell r="BP258">
            <v>3658.7789999999995</v>
          </cell>
          <cell r="BQ258">
            <v>1720.4260000000002</v>
          </cell>
          <cell r="BR258">
            <v>-108.46948810207709</v>
          </cell>
          <cell r="BS258">
            <v>94.35946564446067</v>
          </cell>
          <cell r="BT258">
            <v>1996.4613445834111</v>
          </cell>
          <cell r="BU258">
            <v>105.55137799784166</v>
          </cell>
          <cell r="BV258">
            <v>109.9990872433591</v>
          </cell>
          <cell r="BW258">
            <v>128.53053886830639</v>
          </cell>
          <cell r="BX258">
            <v>6698.1971011610249</v>
          </cell>
          <cell r="BY258">
            <v>137.96386625948253</v>
          </cell>
          <cell r="BZ258">
            <v>97.483561841699157</v>
          </cell>
          <cell r="CA258">
            <v>130.30420657809009</v>
          </cell>
          <cell r="CB258">
            <v>3747.0727948575891</v>
          </cell>
          <cell r="CC258">
            <v>88.440909421837432</v>
          </cell>
          <cell r="CD258">
            <v>62.293709489063076</v>
          </cell>
        </row>
        <row r="259">
          <cell r="B259" t="str">
            <v>EBIT, operating profit (Pub)</v>
          </cell>
          <cell r="C259" t="str">
            <v>EBIT_PUB</v>
          </cell>
          <cell r="D259" t="str">
            <v>TWD</v>
          </cell>
          <cell r="F259">
            <v>6651.4889999999996</v>
          </cell>
          <cell r="G259">
            <v>12520</v>
          </cell>
          <cell r="H259">
            <v>6119.2209999999995</v>
          </cell>
          <cell r="I259">
            <v>3586.3939999999998</v>
          </cell>
          <cell r="J259">
            <v>392.23099999999999</v>
          </cell>
          <cell r="K259">
            <v>5521.3940000000002</v>
          </cell>
          <cell r="L259">
            <v>43573.127</v>
          </cell>
          <cell r="M259">
            <v>-5590.174</v>
          </cell>
          <cell r="N259">
            <v>140.971</v>
          </cell>
          <cell r="O259">
            <v>9936.3340000000007</v>
          </cell>
          <cell r="P259">
            <v>24454.991999999998</v>
          </cell>
          <cell r="Q259">
            <v>-2668.7190000000001</v>
          </cell>
          <cell r="R259">
            <v>6124.1379999999999</v>
          </cell>
          <cell r="S259">
            <v>1325.9290000000001</v>
          </cell>
          <cell r="T259">
            <v>-2100.52</v>
          </cell>
          <cell r="U259">
            <v>1847.48899999999</v>
          </cell>
          <cell r="V259">
            <v>22019.678</v>
          </cell>
          <cell r="W259">
            <v>5179.8669999999984</v>
          </cell>
          <cell r="X259">
            <v>853.01899999998977</v>
          </cell>
          <cell r="Y259">
            <v>4032.1199999999931</v>
          </cell>
          <cell r="Z259">
            <v>10076.332000000008</v>
          </cell>
          <cell r="AA259">
            <v>10835.657000000008</v>
          </cell>
          <cell r="AB259">
            <v>6193.5760000000218</v>
          </cell>
          <cell r="AC259">
            <v>6568.3210000000054</v>
          </cell>
          <cell r="AD259">
            <v>8189.2484565392133</v>
          </cell>
          <cell r="AE259">
            <v>10624.435047645235</v>
          </cell>
          <cell r="AF259">
            <v>33871.98823201059</v>
          </cell>
          <cell r="AG259">
            <v>12660.221391345793</v>
          </cell>
          <cell r="AI259">
            <v>3160.2659999999996</v>
          </cell>
          <cell r="AJ259">
            <v>5334.8589999999995</v>
          </cell>
          <cell r="AK259">
            <v>7154.5869999999986</v>
          </cell>
          <cell r="AL259">
            <v>6369.9660000000003</v>
          </cell>
          <cell r="AM259">
            <v>3860.1450000000004</v>
          </cell>
          <cell r="AN259">
            <v>2512.6529999999989</v>
          </cell>
          <cell r="AO259">
            <v>162.28299999999925</v>
          </cell>
          <cell r="AP259">
            <v>-1355.2140000000002</v>
          </cell>
          <cell r="AQ259">
            <v>264.98500000000058</v>
          </cell>
          <cell r="AR259">
            <v>2170.264000000001</v>
          </cell>
          <cell r="AS259">
            <v>-732.49800000000027</v>
          </cell>
          <cell r="AT259">
            <v>-849.73200000000065</v>
          </cell>
          <cell r="AU259">
            <v>293.99300000000011</v>
          </cell>
          <cell r="AV259">
            <v>1149.4690000000014</v>
          </cell>
          <cell r="AW259">
            <v>2394.7779999999998</v>
          </cell>
          <cell r="AX259">
            <v>193.87999999999909</v>
          </cell>
          <cell r="AY259">
            <v>940.63900000000149</v>
          </cell>
          <cell r="AZ259">
            <v>2916.7570000000001</v>
          </cell>
          <cell r="BA259">
            <v>1686.4969999999989</v>
          </cell>
          <cell r="BB259">
            <v>4532.4390000000003</v>
          </cell>
          <cell r="BC259">
            <v>4098.6719999999996</v>
          </cell>
          <cell r="BD259">
            <v>3876.4310000000009</v>
          </cell>
          <cell r="BE259">
            <v>980.76199999999812</v>
          </cell>
          <cell r="BF259">
            <v>1879.791999999999</v>
          </cell>
          <cell r="BG259">
            <v>-16.448000000000206</v>
          </cell>
          <cell r="BH259">
            <v>2448.9050000000016</v>
          </cell>
          <cell r="BI259">
            <v>1484.9839999999999</v>
          </cell>
          <cell r="BJ259">
            <v>2276.1350000000002</v>
          </cell>
          <cell r="BK259">
            <v>1370.8229999999999</v>
          </cell>
          <cell r="BL259">
            <v>1667.5650000000001</v>
          </cell>
          <cell r="BM259">
            <v>1629.0859999999989</v>
          </cell>
          <cell r="BN259">
            <v>1900.8469999999998</v>
          </cell>
          <cell r="BO259">
            <v>769.39199999999914</v>
          </cell>
          <cell r="BP259">
            <v>3181.1309999999994</v>
          </cell>
          <cell r="BQ259">
            <v>2435.4340000000002</v>
          </cell>
          <cell r="BR259">
            <v>1803.2914565391886</v>
          </cell>
          <cell r="BS259">
            <v>2865.9538492803722</v>
          </cell>
          <cell r="BT259">
            <v>2807.7533467448893</v>
          </cell>
          <cell r="BU259">
            <v>978.49600564743855</v>
          </cell>
          <cell r="BV259">
            <v>3972.2318459725548</v>
          </cell>
          <cell r="BW259">
            <v>7094.403425824009</v>
          </cell>
          <cell r="BX259">
            <v>8690.2334867365626</v>
          </cell>
          <cell r="BY259">
            <v>11260.776241668371</v>
          </cell>
          <cell r="BZ259">
            <v>6826.5750777816656</v>
          </cell>
          <cell r="CA259">
            <v>8802.5538545452127</v>
          </cell>
          <cell r="CB259">
            <v>4996.041556946434</v>
          </cell>
          <cell r="CC259">
            <v>1474.5530809810837</v>
          </cell>
          <cell r="CD259">
            <v>-2612.9271011269448</v>
          </cell>
        </row>
        <row r="260">
          <cell r="B260" t="str">
            <v>Pre-tax profit (Pub)</v>
          </cell>
          <cell r="C260" t="str">
            <v>PTP_PUB</v>
          </cell>
          <cell r="D260" t="str">
            <v>TWD</v>
          </cell>
          <cell r="F260">
            <v>6664.5529999999999</v>
          </cell>
          <cell r="G260">
            <v>12747.181</v>
          </cell>
          <cell r="H260">
            <v>7190.2110000000002</v>
          </cell>
          <cell r="I260">
            <v>9858.2739999999994</v>
          </cell>
          <cell r="J260">
            <v>3955.2620000000002</v>
          </cell>
          <cell r="K260">
            <v>10525.664000000001</v>
          </cell>
          <cell r="L260">
            <v>50558.07</v>
          </cell>
          <cell r="M260">
            <v>-6352.7470000000003</v>
          </cell>
          <cell r="N260">
            <v>7084.0940000000001</v>
          </cell>
          <cell r="O260">
            <v>14815.369000000001</v>
          </cell>
          <cell r="P260">
            <v>31877.29</v>
          </cell>
          <cell r="Q260">
            <v>7027.53</v>
          </cell>
          <cell r="R260">
            <v>37016.038999999997</v>
          </cell>
          <cell r="S260">
            <v>19566.348999999998</v>
          </cell>
          <cell r="T260">
            <v>-21986.170999999998</v>
          </cell>
          <cell r="U260">
            <v>1673</v>
          </cell>
          <cell r="V260">
            <v>25383.620999999999</v>
          </cell>
          <cell r="W260">
            <v>9380.3509999999987</v>
          </cell>
          <cell r="X260">
            <v>6377.5839999999898</v>
          </cell>
          <cell r="Y260">
            <v>14361.793999999994</v>
          </cell>
          <cell r="Z260">
            <v>13513.296000000008</v>
          </cell>
          <cell r="AA260">
            <v>13712.145000000008</v>
          </cell>
          <cell r="AB260">
            <v>4846.6380000000217</v>
          </cell>
          <cell r="AC260">
            <v>7798.422000000005</v>
          </cell>
          <cell r="AD260">
            <v>5956.7050815392131</v>
          </cell>
          <cell r="AE260">
            <v>9514.3098881298538</v>
          </cell>
          <cell r="AF260">
            <v>32721.222070736076</v>
          </cell>
          <cell r="AG260">
            <v>11527.721048176336</v>
          </cell>
          <cell r="AI260">
            <v>3611.3889999999997</v>
          </cell>
          <cell r="AJ260">
            <v>5555.5959999999995</v>
          </cell>
          <cell r="AK260">
            <v>9124.9559999999983</v>
          </cell>
          <cell r="AL260">
            <v>7091.68</v>
          </cell>
          <cell r="AM260">
            <v>4858.6490000000003</v>
          </cell>
          <cell r="AN260">
            <v>3271.3749999999991</v>
          </cell>
          <cell r="AO260">
            <v>1030.8499999999992</v>
          </cell>
          <cell r="AP260">
            <v>219.47700000000009</v>
          </cell>
          <cell r="AQ260">
            <v>1273.3990000000006</v>
          </cell>
          <cell r="AR260">
            <v>2825.3320000000012</v>
          </cell>
          <cell r="AS260">
            <v>1748.7010000000002</v>
          </cell>
          <cell r="AT260">
            <v>530.15199999999936</v>
          </cell>
          <cell r="AU260">
            <v>7542.6950000000006</v>
          </cell>
          <cell r="AV260">
            <v>1780.1740000000013</v>
          </cell>
          <cell r="AW260">
            <v>3956.4179999999997</v>
          </cell>
          <cell r="AX260">
            <v>1082.5069999999992</v>
          </cell>
          <cell r="AY260">
            <v>1291.5830000000014</v>
          </cell>
          <cell r="AZ260">
            <v>3854.0630000000001</v>
          </cell>
          <cell r="BA260">
            <v>2992.3259999999991</v>
          </cell>
          <cell r="BB260">
            <v>5375.3240000000005</v>
          </cell>
          <cell r="BC260">
            <v>4354.1099999999997</v>
          </cell>
          <cell r="BD260">
            <v>5180.3960000000006</v>
          </cell>
          <cell r="BE260">
            <v>1391.1909999999982</v>
          </cell>
          <cell r="BF260">
            <v>2786.447999999999</v>
          </cell>
          <cell r="BG260">
            <v>30.088999999999771</v>
          </cell>
          <cell r="BH260">
            <v>1799.4150000000016</v>
          </cell>
          <cell r="BI260">
            <v>1950.6419999999998</v>
          </cell>
          <cell r="BJ260">
            <v>1066.4920000000002</v>
          </cell>
          <cell r="BK260">
            <v>1067.4449999999999</v>
          </cell>
          <cell r="BL260">
            <v>2116.3519999999999</v>
          </cell>
          <cell r="BM260">
            <v>2865.465999999999</v>
          </cell>
          <cell r="BN260">
            <v>1749.1589999999997</v>
          </cell>
          <cell r="BO260">
            <v>1856.6359999999991</v>
          </cell>
          <cell r="BP260">
            <v>2086.0109999999995</v>
          </cell>
          <cell r="BQ260">
            <v>828.52300000000014</v>
          </cell>
          <cell r="BR260">
            <v>1185.5350815391885</v>
          </cell>
          <cell r="BS260">
            <v>2534.0006774053718</v>
          </cell>
          <cell r="BT260">
            <v>2474.594903385514</v>
          </cell>
          <cell r="BU260">
            <v>761.25263186814163</v>
          </cell>
          <cell r="BV260">
            <v>3744.4616754708454</v>
          </cell>
          <cell r="BW260">
            <v>6770.7784840095865</v>
          </cell>
          <cell r="BX260">
            <v>8353.9443021953375</v>
          </cell>
          <cell r="BY260">
            <v>11023.107284059492</v>
          </cell>
          <cell r="BZ260">
            <v>6573.3920004716774</v>
          </cell>
          <cell r="CA260">
            <v>8469.942439446475</v>
          </cell>
          <cell r="CB260">
            <v>4663.3478614447295</v>
          </cell>
          <cell r="CC260">
            <v>1241.9174789615881</v>
          </cell>
          <cell r="CD260">
            <v>-2847.4867316764648</v>
          </cell>
        </row>
        <row r="261">
          <cell r="B261" t="str">
            <v>Sales, revenue (Pub)</v>
          </cell>
          <cell r="C261" t="str">
            <v>REVS_PUB</v>
          </cell>
          <cell r="D261" t="str">
            <v>TWD</v>
          </cell>
          <cell r="F261">
            <v>15243.157999999999</v>
          </cell>
          <cell r="G261">
            <v>24246.913</v>
          </cell>
          <cell r="H261">
            <v>22605.651999999998</v>
          </cell>
          <cell r="I261">
            <v>25088.994999999999</v>
          </cell>
          <cell r="J261">
            <v>18431.601999999999</v>
          </cell>
          <cell r="K261">
            <v>29147.056</v>
          </cell>
          <cell r="L261">
            <v>105084.72</v>
          </cell>
          <cell r="M261">
            <v>64493.406999999999</v>
          </cell>
          <cell r="N261">
            <v>67425.744999999995</v>
          </cell>
          <cell r="O261">
            <v>84862.07</v>
          </cell>
          <cell r="P261">
            <v>117311.84</v>
          </cell>
          <cell r="Q261">
            <v>90775.438999999998</v>
          </cell>
          <cell r="R261">
            <v>104098.611</v>
          </cell>
          <cell r="S261">
            <v>106771.05100000001</v>
          </cell>
          <cell r="T261">
            <v>96813.546000000002</v>
          </cell>
          <cell r="U261">
            <v>91389.764999999999</v>
          </cell>
          <cell r="V261">
            <v>126441.54399999999</v>
          </cell>
          <cell r="W261">
            <v>116702.723</v>
          </cell>
          <cell r="X261">
            <v>115674.76300000001</v>
          </cell>
          <cell r="Y261">
            <v>123811.636</v>
          </cell>
          <cell r="Z261">
            <v>140012.076</v>
          </cell>
          <cell r="AA261">
            <v>144830.421</v>
          </cell>
          <cell r="AB261">
            <v>147870.12400000001</v>
          </cell>
          <cell r="AC261">
            <v>149284.70600000001</v>
          </cell>
          <cell r="AD261">
            <v>159350.5632649085</v>
          </cell>
          <cell r="AE261">
            <v>191439.91816410152</v>
          </cell>
          <cell r="AF261">
            <v>200294.29950730599</v>
          </cell>
          <cell r="AG261">
            <v>192197.62876616887</v>
          </cell>
          <cell r="AI261">
            <v>27337.792000000001</v>
          </cell>
          <cell r="AJ261">
            <v>30618.287</v>
          </cell>
          <cell r="AK261">
            <v>34049.714999999997</v>
          </cell>
          <cell r="AL261">
            <v>34435.75</v>
          </cell>
          <cell r="AM261">
            <v>31165.675999999999</v>
          </cell>
          <cell r="AN261">
            <v>31679.064999999999</v>
          </cell>
          <cell r="AO261">
            <v>27799.999</v>
          </cell>
          <cell r="AP261">
            <v>26057.983</v>
          </cell>
          <cell r="AQ261">
            <v>26269.434000000001</v>
          </cell>
          <cell r="AR261">
            <v>30377.33</v>
          </cell>
          <cell r="AS261">
            <v>30173.646000000001</v>
          </cell>
          <cell r="AT261">
            <v>28854.352999999999</v>
          </cell>
          <cell r="AU261">
            <v>27781.416000000001</v>
          </cell>
          <cell r="AV261">
            <v>31904.704000000002</v>
          </cell>
          <cell r="AW261">
            <v>33406.771999999997</v>
          </cell>
          <cell r="AX261">
            <v>30718.743999999999</v>
          </cell>
          <cell r="AY261">
            <v>31693.584999999999</v>
          </cell>
          <cell r="AZ261">
            <v>35869.351000000002</v>
          </cell>
          <cell r="BA261">
            <v>35213.85</v>
          </cell>
          <cell r="BB261">
            <v>37235.29</v>
          </cell>
          <cell r="BC261">
            <v>37649.644</v>
          </cell>
          <cell r="BD261">
            <v>38011.553999999996</v>
          </cell>
          <cell r="BE261">
            <v>35319.841</v>
          </cell>
          <cell r="BF261">
            <v>33849.381999999998</v>
          </cell>
          <cell r="BG261">
            <v>34404.078999999998</v>
          </cell>
          <cell r="BH261">
            <v>36996.517</v>
          </cell>
          <cell r="BI261">
            <v>38163.589</v>
          </cell>
          <cell r="BJ261">
            <v>38305.938999999998</v>
          </cell>
          <cell r="BK261">
            <v>37417.949999999997</v>
          </cell>
          <cell r="BL261">
            <v>37537.881000000001</v>
          </cell>
          <cell r="BM261">
            <v>37698.201000000001</v>
          </cell>
          <cell r="BN261">
            <v>36630.673999999999</v>
          </cell>
          <cell r="BO261">
            <v>37497.137000000002</v>
          </cell>
          <cell r="BP261">
            <v>38851.576999999997</v>
          </cell>
          <cell r="BQ261">
            <v>39386.656000000003</v>
          </cell>
          <cell r="BR261">
            <v>43615.193264908492</v>
          </cell>
          <cell r="BS261">
            <v>47034.57381731474</v>
          </cell>
          <cell r="BT261">
            <v>48584.949750955318</v>
          </cell>
          <cell r="BU261">
            <v>47539.539760940868</v>
          </cell>
          <cell r="BV261">
            <v>48280.854834890612</v>
          </cell>
          <cell r="BW261">
            <v>48228.404408151589</v>
          </cell>
          <cell r="BX261">
            <v>51446.946433540121</v>
          </cell>
          <cell r="BY261">
            <v>50726.426587174406</v>
          </cell>
          <cell r="BZ261">
            <v>49892.522078439863</v>
          </cell>
          <cell r="CA261">
            <v>49144.134247263275</v>
          </cell>
          <cell r="CB261">
            <v>48406.972233554319</v>
          </cell>
          <cell r="CC261">
            <v>47680.867650051012</v>
          </cell>
          <cell r="CD261">
            <v>46965.654635300241</v>
          </cell>
        </row>
        <row r="262">
          <cell r="B262" t="str">
            <v>Total shareholders' equity (Pub)</v>
          </cell>
          <cell r="C262" t="str">
            <v>EQ_PUB</v>
          </cell>
          <cell r="D262" t="str">
            <v>TWD</v>
          </cell>
          <cell r="F262">
            <v>18639.407999999999</v>
          </cell>
          <cell r="G262">
            <v>31366.162</v>
          </cell>
          <cell r="H262">
            <v>46007.7</v>
          </cell>
          <cell r="I262">
            <v>66762.869000000006</v>
          </cell>
          <cell r="J262">
            <v>76536.748999999996</v>
          </cell>
          <cell r="K262">
            <v>119311.648</v>
          </cell>
          <cell r="L262">
            <v>238001.65299999999</v>
          </cell>
          <cell r="M262">
            <v>233465.69899999999</v>
          </cell>
          <cell r="N262">
            <v>217433.36300000001</v>
          </cell>
          <cell r="O262">
            <v>232241.924</v>
          </cell>
          <cell r="P262">
            <v>266383</v>
          </cell>
          <cell r="Q262">
            <v>258283.55300000001</v>
          </cell>
          <cell r="R262">
            <v>291164.87099999998</v>
          </cell>
          <cell r="S262">
            <v>236466.889</v>
          </cell>
          <cell r="T262">
            <v>191658.29399999999</v>
          </cell>
          <cell r="U262">
            <v>214096.25599999999</v>
          </cell>
          <cell r="V262">
            <v>225136.02900000001</v>
          </cell>
          <cell r="W262">
            <v>212124.96299999999</v>
          </cell>
          <cell r="X262">
            <v>204531.04</v>
          </cell>
          <cell r="Y262">
            <v>212441.17600000001</v>
          </cell>
          <cell r="Z262">
            <v>225008.85100000005</v>
          </cell>
          <cell r="AA262">
            <v>228817.40299999999</v>
          </cell>
          <cell r="AB262">
            <v>218741.62399999998</v>
          </cell>
          <cell r="AC262">
            <v>214037.584</v>
          </cell>
          <cell r="AD262">
            <v>212449.49651189795</v>
          </cell>
          <cell r="AE262">
            <v>207049.60081032035</v>
          </cell>
          <cell r="AF262">
            <v>212062.04238368128</v>
          </cell>
          <cell r="AG262">
            <v>209813.81118921816</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row>
        <row r="263">
          <cell r="B263" t="str">
            <v>EPS (consensus)</v>
          </cell>
          <cell r="C263" t="str">
            <v>EPS_CONS_PUB</v>
          </cell>
          <cell r="D263" t="str">
            <v>TWD</v>
          </cell>
        </row>
        <row r="264">
          <cell r="A264" t="str">
            <v>Income Statement</v>
          </cell>
        </row>
        <row r="265">
          <cell r="B265" t="str">
            <v>Provision for income tax</v>
          </cell>
          <cell r="C265" t="str">
            <v>PROV_INC_TAX</v>
          </cell>
          <cell r="D265" t="str">
            <v>TWD</v>
          </cell>
          <cell r="F265">
            <v>-171.845</v>
          </cell>
          <cell r="G265">
            <v>693.50099999999998</v>
          </cell>
          <cell r="H265">
            <v>456.685</v>
          </cell>
          <cell r="I265">
            <v>-118.72199999999999</v>
          </cell>
          <cell r="J265">
            <v>451.75900000000001</v>
          </cell>
          <cell r="K265">
            <v>-27.771999999999998</v>
          </cell>
          <cell r="L265">
            <v>222.30799999999999</v>
          </cell>
          <cell r="M265">
            <v>3195.4450000000002</v>
          </cell>
          <cell r="N265">
            <v>-12.061999999999999</v>
          </cell>
          <cell r="O265">
            <v>-795.11199999999997</v>
          </cell>
          <cell r="P265">
            <v>-33.908999999999999</v>
          </cell>
          <cell r="Q265">
            <v>-1.994</v>
          </cell>
          <cell r="R265">
            <v>-3208.2109999999998</v>
          </cell>
          <cell r="S265">
            <v>-1063.742</v>
          </cell>
          <cell r="T265">
            <v>-996.92100000000005</v>
          </cell>
          <cell r="U265">
            <v>-651.06799999999998</v>
          </cell>
          <cell r="V265">
            <v>-1606.114</v>
          </cell>
          <cell r="W265">
            <v>-913.43499999999995</v>
          </cell>
          <cell r="X265">
            <v>-2145.9829999999997</v>
          </cell>
          <cell r="Y265">
            <v>-2256.8339999999998</v>
          </cell>
          <cell r="Z265">
            <v>-2033.7070000000001</v>
          </cell>
          <cell r="AA265">
            <v>-876.49399999999991</v>
          </cell>
          <cell r="AB265">
            <v>-983.56299999999999</v>
          </cell>
          <cell r="AC265">
            <v>-1167.1570000000002</v>
          </cell>
          <cell r="AD265">
            <v>-421.9825696412654</v>
          </cell>
          <cell r="AE265">
            <v>-7207.9386126608006</v>
          </cell>
          <cell r="AF265">
            <v>-25659.047002605585</v>
          </cell>
          <cell r="AG265">
            <v>-7499.6094278297487</v>
          </cell>
          <cell r="AI265">
            <v>-145.887</v>
          </cell>
          <cell r="AJ265">
            <v>-364.44400000000002</v>
          </cell>
          <cell r="AK265">
            <v>-433.61399999999998</v>
          </cell>
          <cell r="AL265">
            <v>-662.16899999999998</v>
          </cell>
          <cell r="AM265">
            <v>-445.839</v>
          </cell>
          <cell r="AN265">
            <v>-377.33699999999999</v>
          </cell>
          <cell r="AO265">
            <v>-53.503</v>
          </cell>
          <cell r="AP265">
            <v>-36.756</v>
          </cell>
          <cell r="AQ265">
            <v>-206.62100000000001</v>
          </cell>
          <cell r="AR265">
            <v>-484.69099999999997</v>
          </cell>
          <cell r="AS265">
            <v>-1330.2339999999999</v>
          </cell>
          <cell r="AT265">
            <v>-124.437</v>
          </cell>
          <cell r="AU265">
            <v>-1129.001</v>
          </cell>
          <cell r="AV265">
            <v>-42.000999999999998</v>
          </cell>
          <cell r="AW265">
            <v>-590.85699999999997</v>
          </cell>
          <cell r="AX265">
            <v>-494.97500000000002</v>
          </cell>
          <cell r="AY265">
            <v>-180.77600000000001</v>
          </cell>
          <cell r="AZ265">
            <v>-528.33699999999999</v>
          </cell>
          <cell r="BA265">
            <v>-412.98700000000002</v>
          </cell>
          <cell r="BB265">
            <v>-911.60699999999997</v>
          </cell>
          <cell r="BC265">
            <v>-441.63799999999998</v>
          </cell>
          <cell r="BD265">
            <v>-635.35599999999999</v>
          </cell>
          <cell r="BE265">
            <v>-84.146000000000001</v>
          </cell>
          <cell r="BF265">
            <v>284.64600000000002</v>
          </cell>
          <cell r="BG265">
            <v>49.091000000000001</v>
          </cell>
          <cell r="BH265">
            <v>-220.56299999999999</v>
          </cell>
          <cell r="BI265">
            <v>-194.44300000000001</v>
          </cell>
          <cell r="BJ265">
            <v>-617.64800000000002</v>
          </cell>
          <cell r="BK265">
            <v>429.58</v>
          </cell>
          <cell r="BL265">
            <v>-638.721</v>
          </cell>
          <cell r="BM265">
            <v>-401.548</v>
          </cell>
          <cell r="BN265">
            <v>-556.46799999999996</v>
          </cell>
          <cell r="BO265">
            <v>1172.9480000000001</v>
          </cell>
          <cell r="BP265">
            <v>330.73899999999998</v>
          </cell>
          <cell r="BQ265">
            <v>-631.66499999999996</v>
          </cell>
          <cell r="BR265">
            <v>-1294.0045696412656</v>
          </cell>
          <cell r="BS265">
            <v>-2439.6412117609111</v>
          </cell>
          <cell r="BT265">
            <v>-478.13355880210287</v>
          </cell>
          <cell r="BU265">
            <v>-655.70125387029998</v>
          </cell>
          <cell r="BV265">
            <v>-3634.4625882274863</v>
          </cell>
          <cell r="BW265">
            <v>-6642.2479451412801</v>
          </cell>
          <cell r="BX265">
            <v>-1655.7472010343129</v>
          </cell>
          <cell r="BY265">
            <v>-10885.143417800009</v>
          </cell>
          <cell r="BZ265">
            <v>-6475.9084386299783</v>
          </cell>
          <cell r="CA265">
            <v>-8339.6382328683849</v>
          </cell>
          <cell r="CB265">
            <v>-916.27506658714049</v>
          </cell>
          <cell r="CC265">
            <v>-1153.4765695397507</v>
          </cell>
          <cell r="CD265">
            <v>2909.7804411655279</v>
          </cell>
        </row>
        <row r="266">
          <cell r="B266" t="str">
            <v>Minority interest</v>
          </cell>
          <cell r="C266" t="str">
            <v>INC_MINORITY</v>
          </cell>
          <cell r="D266" t="str">
            <v>TWD</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663.01700000000005</v>
          </cell>
          <cell r="U266">
            <v>2203.1379999999999</v>
          </cell>
          <cell r="V266">
            <v>52.948999999999998</v>
          </cell>
          <cell r="W266">
            <v>2142.779</v>
          </cell>
          <cell r="X266">
            <v>1945.5260000000001</v>
          </cell>
          <cell r="Y266">
            <v>525.24300000000005</v>
          </cell>
          <cell r="Z266">
            <v>661.75200000000007</v>
          </cell>
          <cell r="AA266">
            <v>612.97299999999996</v>
          </cell>
          <cell r="AB266">
            <v>4452.5849999999991</v>
          </cell>
          <cell r="AC266">
            <v>2997.4690000000005</v>
          </cell>
          <cell r="AD266">
            <v>3136.4110000000001</v>
          </cell>
          <cell r="AE266">
            <v>0</v>
          </cell>
          <cell r="AF266">
            <v>0</v>
          </cell>
          <cell r="AG266">
            <v>0</v>
          </cell>
          <cell r="AI266">
            <v>16.663</v>
          </cell>
          <cell r="AJ266">
            <v>12.827</v>
          </cell>
          <cell r="AK266">
            <v>29.105</v>
          </cell>
          <cell r="AL266">
            <v>-5.6459999999999999</v>
          </cell>
          <cell r="AM266">
            <v>70.683000000000007</v>
          </cell>
          <cell r="AN266">
            <v>297.733</v>
          </cell>
          <cell r="AO266">
            <v>976.88699999999994</v>
          </cell>
          <cell r="AP266">
            <v>797.476</v>
          </cell>
          <cell r="AQ266">
            <v>227.613</v>
          </cell>
          <cell r="AR266">
            <v>310.38499999999999</v>
          </cell>
          <cell r="AS266">
            <v>1074.037</v>
          </cell>
          <cell r="AT266">
            <v>333.49099999999999</v>
          </cell>
          <cell r="AU266">
            <v>179.011</v>
          </cell>
          <cell r="AV266">
            <v>73.826999999999998</v>
          </cell>
          <cell r="AW266">
            <v>110.53400000000001</v>
          </cell>
          <cell r="AX266">
            <v>161.87100000000001</v>
          </cell>
          <cell r="AY266">
            <v>68.891000000000005</v>
          </cell>
          <cell r="AZ266">
            <v>156.69499999999999</v>
          </cell>
          <cell r="BA266">
            <v>336.60500000000002</v>
          </cell>
          <cell r="BB266">
            <v>99.561000000000007</v>
          </cell>
          <cell r="BC266">
            <v>67.438000000000002</v>
          </cell>
          <cell r="BD266">
            <v>55.335000000000001</v>
          </cell>
          <cell r="BE266">
            <v>401.43400000000003</v>
          </cell>
          <cell r="BF266">
            <v>88.766000000000005</v>
          </cell>
          <cell r="BG266">
            <v>130.452</v>
          </cell>
          <cell r="BH266">
            <v>1004.418</v>
          </cell>
          <cell r="BI266">
            <v>1218.5709999999999</v>
          </cell>
          <cell r="BJ266">
            <v>2099.1439999999998</v>
          </cell>
          <cell r="BK266">
            <v>788.995</v>
          </cell>
          <cell r="BL266">
            <v>621.37599999999998</v>
          </cell>
          <cell r="BM266">
            <v>1008.7380000000001</v>
          </cell>
          <cell r="BN266">
            <v>578.36</v>
          </cell>
          <cell r="BO266">
            <v>370.81400000000002</v>
          </cell>
          <cell r="BP266">
            <v>1242.029</v>
          </cell>
          <cell r="BQ266">
            <v>1523.568</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row>
        <row r="267">
          <cell r="B267" t="str">
            <v>Net income (pre-preferred dividends)</v>
          </cell>
          <cell r="C267" t="str">
            <v>NI_PRE_PREF</v>
          </cell>
          <cell r="D267" t="str">
            <v>TWD</v>
          </cell>
          <cell r="F267">
            <v>6492.7079999999996</v>
          </cell>
          <cell r="G267">
            <v>13440.682000000001</v>
          </cell>
          <cell r="H267">
            <v>7646.8959999999997</v>
          </cell>
          <cell r="I267">
            <v>9739.5519999999997</v>
          </cell>
          <cell r="J267">
            <v>4407.0209999999997</v>
          </cell>
          <cell r="K267">
            <v>10497.892</v>
          </cell>
          <cell r="L267">
            <v>50780.377999999997</v>
          </cell>
          <cell r="M267">
            <v>-3157.3020000000001</v>
          </cell>
          <cell r="N267">
            <v>7072.0320000000002</v>
          </cell>
          <cell r="O267">
            <v>14020.257</v>
          </cell>
          <cell r="P267">
            <v>31843.381000000001</v>
          </cell>
          <cell r="Q267">
            <v>7025.5360000000001</v>
          </cell>
          <cell r="R267">
            <v>33807.828000000001</v>
          </cell>
          <cell r="S267">
            <v>18502.607</v>
          </cell>
          <cell r="T267">
            <v>-22320.075000000001</v>
          </cell>
          <cell r="U267">
            <v>3225.0699999999902</v>
          </cell>
          <cell r="V267">
            <v>23830.455999999998</v>
          </cell>
          <cell r="W267">
            <v>10609.695</v>
          </cell>
          <cell r="X267">
            <v>6177.1269999999895</v>
          </cell>
          <cell r="Y267">
            <v>12630.202999999996</v>
          </cell>
          <cell r="Z267">
            <v>12141.341000000008</v>
          </cell>
          <cell r="AA267">
            <v>13448.624000000007</v>
          </cell>
          <cell r="AB267">
            <v>8315.6600000000217</v>
          </cell>
          <cell r="AC267">
            <v>9628.7340000000058</v>
          </cell>
          <cell r="AD267">
            <v>8671.1335118979478</v>
          </cell>
          <cell r="AE267">
            <v>2306.3712754690532</v>
          </cell>
          <cell r="AF267">
            <v>7062.1750681304911</v>
          </cell>
          <cell r="AG267">
            <v>4028.1116203465872</v>
          </cell>
          <cell r="AI267">
            <v>3482.1649999999995</v>
          </cell>
          <cell r="AJ267">
            <v>5203.9789999999994</v>
          </cell>
          <cell r="AK267">
            <v>8720.4469999999983</v>
          </cell>
          <cell r="AL267">
            <v>6423.8650000000007</v>
          </cell>
          <cell r="AM267">
            <v>4483.4930000000004</v>
          </cell>
          <cell r="AN267">
            <v>3191.7709999999993</v>
          </cell>
          <cell r="AO267">
            <v>1954.233999999999</v>
          </cell>
          <cell r="AP267">
            <v>980.19700000000012</v>
          </cell>
          <cell r="AQ267">
            <v>1294.3910000000005</v>
          </cell>
          <cell r="AR267">
            <v>2651.0260000000017</v>
          </cell>
          <cell r="AS267">
            <v>1492.5040000000004</v>
          </cell>
          <cell r="AT267">
            <v>739.20599999999934</v>
          </cell>
          <cell r="AU267">
            <v>6592.7050000000008</v>
          </cell>
          <cell r="AV267">
            <v>1812.0000000000014</v>
          </cell>
          <cell r="AW267">
            <v>3476.0949999999998</v>
          </cell>
          <cell r="AX267">
            <v>749.40299999999911</v>
          </cell>
          <cell r="AY267">
            <v>1179.6980000000015</v>
          </cell>
          <cell r="AZ267">
            <v>3482.4210000000003</v>
          </cell>
          <cell r="BA267">
            <v>2915.9439999999991</v>
          </cell>
          <cell r="BB267">
            <v>4563.2780000000002</v>
          </cell>
          <cell r="BC267">
            <v>3979.91</v>
          </cell>
          <cell r="BD267">
            <v>4600.3750000000009</v>
          </cell>
          <cell r="BE267">
            <v>1708.4789999999982</v>
          </cell>
          <cell r="BF267">
            <v>3159.8599999999992</v>
          </cell>
          <cell r="BG267">
            <v>209.63199999999978</v>
          </cell>
          <cell r="BH267">
            <v>2583.2700000000018</v>
          </cell>
          <cell r="BI267">
            <v>2974.7699999999995</v>
          </cell>
          <cell r="BJ267">
            <v>2547.9879999999998</v>
          </cell>
          <cell r="BK267">
            <v>2286.02</v>
          </cell>
          <cell r="BL267">
            <v>2099.0069999999996</v>
          </cell>
          <cell r="BM267">
            <v>3472.655999999999</v>
          </cell>
          <cell r="BN267">
            <v>1771.0509999999999</v>
          </cell>
          <cell r="BO267">
            <v>3400.3979999999988</v>
          </cell>
          <cell r="BP267">
            <v>3658.7789999999995</v>
          </cell>
          <cell r="BQ267">
            <v>1720.4260000000002</v>
          </cell>
          <cell r="BR267">
            <v>-108.46948810207709</v>
          </cell>
          <cell r="BS267">
            <v>94.35946564446067</v>
          </cell>
          <cell r="BT267">
            <v>1996.4613445834111</v>
          </cell>
          <cell r="BU267">
            <v>105.55137799784166</v>
          </cell>
          <cell r="BV267">
            <v>109.9990872433591</v>
          </cell>
          <cell r="BW267">
            <v>128.53053886830639</v>
          </cell>
          <cell r="BX267">
            <v>6698.1971011610249</v>
          </cell>
          <cell r="BY267">
            <v>137.96386625948253</v>
          </cell>
          <cell r="BZ267">
            <v>97.483561841699157</v>
          </cell>
          <cell r="CA267">
            <v>130.30420657809009</v>
          </cell>
          <cell r="CB267">
            <v>3747.0727948575891</v>
          </cell>
          <cell r="CC267">
            <v>88.440909421837432</v>
          </cell>
          <cell r="CD267">
            <v>62.293709489063076</v>
          </cell>
        </row>
        <row r="268">
          <cell r="B268" t="str">
            <v>Preferred dividends</v>
          </cell>
          <cell r="C268" t="str">
            <v>PREF_DIV</v>
          </cell>
          <cell r="D268" t="str">
            <v>TWD</v>
          </cell>
          <cell r="F268">
            <v>-35</v>
          </cell>
          <cell r="G268">
            <v>-35</v>
          </cell>
          <cell r="H268">
            <v>-35</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row>
        <row r="269">
          <cell r="B269" t="str">
            <v>Net income (pre-exceptionals)</v>
          </cell>
          <cell r="C269" t="str">
            <v>NET_EARNING</v>
          </cell>
          <cell r="D269" t="str">
            <v>TWD</v>
          </cell>
          <cell r="F269">
            <v>6457.7079999999996</v>
          </cell>
          <cell r="G269">
            <v>13405.682000000001</v>
          </cell>
          <cell r="H269">
            <v>7611.8959999999997</v>
          </cell>
          <cell r="I269">
            <v>9739.5519999999997</v>
          </cell>
          <cell r="J269">
            <v>4407.0209999999997</v>
          </cell>
          <cell r="K269">
            <v>10497.892</v>
          </cell>
          <cell r="L269">
            <v>50780.377999999997</v>
          </cell>
          <cell r="M269">
            <v>-3157.3020000000001</v>
          </cell>
          <cell r="N269">
            <v>7072.0320000000002</v>
          </cell>
          <cell r="O269">
            <v>14020.257</v>
          </cell>
          <cell r="P269">
            <v>31843.381000000001</v>
          </cell>
          <cell r="Q269">
            <v>7025.5360000000001</v>
          </cell>
          <cell r="R269">
            <v>33807.828000000001</v>
          </cell>
          <cell r="S269">
            <v>18502.607</v>
          </cell>
          <cell r="T269">
            <v>-22320.075000000001</v>
          </cell>
          <cell r="U269">
            <v>3225.0699999999902</v>
          </cell>
          <cell r="V269">
            <v>23830.455999999998</v>
          </cell>
          <cell r="W269">
            <v>10609.695</v>
          </cell>
          <cell r="X269">
            <v>6177.1269999999895</v>
          </cell>
          <cell r="Y269">
            <v>12630.202999999996</v>
          </cell>
          <cell r="Z269">
            <v>12141.341000000008</v>
          </cell>
          <cell r="AA269">
            <v>13448.624000000007</v>
          </cell>
          <cell r="AB269">
            <v>8315.6600000000217</v>
          </cell>
          <cell r="AC269">
            <v>9628.7340000000058</v>
          </cell>
          <cell r="AD269">
            <v>8671.1335118979478</v>
          </cell>
          <cell r="AE269">
            <v>2306.3712754690532</v>
          </cell>
          <cell r="AF269">
            <v>7062.1750681304911</v>
          </cell>
          <cell r="AG269">
            <v>4028.1116203465872</v>
          </cell>
          <cell r="AI269">
            <v>3482.1649999999995</v>
          </cell>
          <cell r="AJ269">
            <v>5203.9789999999994</v>
          </cell>
          <cell r="AK269">
            <v>8720.4469999999983</v>
          </cell>
          <cell r="AL269">
            <v>6423.8650000000007</v>
          </cell>
          <cell r="AM269">
            <v>4483.4930000000004</v>
          </cell>
          <cell r="AN269">
            <v>3191.7709999999993</v>
          </cell>
          <cell r="AO269">
            <v>1954.233999999999</v>
          </cell>
          <cell r="AP269">
            <v>980.19700000000012</v>
          </cell>
          <cell r="AQ269">
            <v>1294.3910000000005</v>
          </cell>
          <cell r="AR269">
            <v>2651.0260000000017</v>
          </cell>
          <cell r="AS269">
            <v>1492.5040000000004</v>
          </cell>
          <cell r="AT269">
            <v>739.20599999999934</v>
          </cell>
          <cell r="AU269">
            <v>6592.7050000000008</v>
          </cell>
          <cell r="AV269">
            <v>1812.0000000000014</v>
          </cell>
          <cell r="AW269">
            <v>3476.0949999999998</v>
          </cell>
          <cell r="AX269">
            <v>749.40299999999911</v>
          </cell>
          <cell r="AY269">
            <v>1179.6980000000015</v>
          </cell>
          <cell r="AZ269">
            <v>3482.4210000000003</v>
          </cell>
          <cell r="BA269">
            <v>2915.9439999999991</v>
          </cell>
          <cell r="BB269">
            <v>4563.2780000000002</v>
          </cell>
          <cell r="BC269">
            <v>3979.91</v>
          </cell>
          <cell r="BD269">
            <v>4600.3750000000009</v>
          </cell>
          <cell r="BE269">
            <v>1708.4789999999982</v>
          </cell>
          <cell r="BF269">
            <v>3159.8599999999992</v>
          </cell>
          <cell r="BG269">
            <v>209.63199999999978</v>
          </cell>
          <cell r="BH269">
            <v>2583.2700000000018</v>
          </cell>
          <cell r="BI269">
            <v>2974.7699999999995</v>
          </cell>
          <cell r="BJ269">
            <v>2547.9879999999998</v>
          </cell>
          <cell r="BK269">
            <v>2286.02</v>
          </cell>
          <cell r="BL269">
            <v>2099.0069999999996</v>
          </cell>
          <cell r="BM269">
            <v>3472.655999999999</v>
          </cell>
          <cell r="BN269">
            <v>1771.0509999999999</v>
          </cell>
          <cell r="BO269">
            <v>3400.3979999999988</v>
          </cell>
          <cell r="BP269">
            <v>3658.7789999999995</v>
          </cell>
          <cell r="BQ269">
            <v>1720.4260000000002</v>
          </cell>
          <cell r="BR269">
            <v>-108.46948810207709</v>
          </cell>
          <cell r="BS269">
            <v>94.35946564446067</v>
          </cell>
          <cell r="BT269">
            <v>1996.4613445834111</v>
          </cell>
          <cell r="BU269">
            <v>105.55137799784166</v>
          </cell>
          <cell r="BV269">
            <v>109.9990872433591</v>
          </cell>
          <cell r="BW269">
            <v>128.53053886830639</v>
          </cell>
          <cell r="BX269">
            <v>6698.1971011610249</v>
          </cell>
          <cell r="BY269">
            <v>137.96386625948253</v>
          </cell>
          <cell r="BZ269">
            <v>97.483561841699157</v>
          </cell>
          <cell r="CA269">
            <v>130.30420657809009</v>
          </cell>
          <cell r="CB269">
            <v>3747.0727948575891</v>
          </cell>
          <cell r="CC269">
            <v>88.440909421837432</v>
          </cell>
          <cell r="CD269">
            <v>62.293709489063076</v>
          </cell>
        </row>
        <row r="270">
          <cell r="B270" t="str">
            <v>Post-tax exceptionals</v>
          </cell>
          <cell r="C270" t="str">
            <v>TAX_EXC</v>
          </cell>
          <cell r="D270" t="str">
            <v>TWD</v>
          </cell>
          <cell r="F270">
            <v>0</v>
          </cell>
          <cell r="G270">
            <v>0</v>
          </cell>
          <cell r="H270">
            <v>0</v>
          </cell>
          <cell r="I270">
            <v>0</v>
          </cell>
          <cell r="J270">
            <v>0</v>
          </cell>
          <cell r="K270">
            <v>0</v>
          </cell>
          <cell r="L270">
            <v>0</v>
          </cell>
          <cell r="M270">
            <v>0</v>
          </cell>
          <cell r="N270">
            <v>0</v>
          </cell>
          <cell r="O270">
            <v>0</v>
          </cell>
          <cell r="P270">
            <v>0</v>
          </cell>
          <cell r="Q270">
            <v>0</v>
          </cell>
          <cell r="R270">
            <v>-1188.5150000000001</v>
          </cell>
          <cell r="S270">
            <v>0</v>
          </cell>
          <cell r="T270">
            <v>0</v>
          </cell>
          <cell r="U270">
            <v>648.95799999999997</v>
          </cell>
          <cell r="V270">
            <v>0</v>
          </cell>
          <cell r="W270">
            <v>0</v>
          </cell>
          <cell r="X270">
            <v>0</v>
          </cell>
          <cell r="Y270">
            <v>0</v>
          </cell>
          <cell r="Z270">
            <v>0</v>
          </cell>
          <cell r="AA270">
            <v>0</v>
          </cell>
          <cell r="AB270">
            <v>0</v>
          </cell>
          <cell r="AC270">
            <v>0</v>
          </cell>
          <cell r="AD270">
            <v>0</v>
          </cell>
          <cell r="AE270">
            <v>0</v>
          </cell>
          <cell r="AF270">
            <v>0</v>
          </cell>
          <cell r="AG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row>
        <row r="271">
          <cell r="B271" t="str">
            <v>Net income (post-exceptionals)</v>
          </cell>
          <cell r="C271" t="str">
            <v>NET_INC</v>
          </cell>
          <cell r="D271" t="str">
            <v>TWD</v>
          </cell>
          <cell r="F271">
            <v>6457.7079999999996</v>
          </cell>
          <cell r="G271">
            <v>13405.682000000001</v>
          </cell>
          <cell r="H271">
            <v>7611.8959999999997</v>
          </cell>
          <cell r="I271">
            <v>9739.5519999999997</v>
          </cell>
          <cell r="J271">
            <v>4407.0209999999997</v>
          </cell>
          <cell r="K271">
            <v>10497.892</v>
          </cell>
          <cell r="L271">
            <v>50780.377999999997</v>
          </cell>
          <cell r="M271">
            <v>-3157.3020000000001</v>
          </cell>
          <cell r="N271">
            <v>7072.0320000000002</v>
          </cell>
          <cell r="O271">
            <v>14020.257</v>
          </cell>
          <cell r="P271">
            <v>31843.381000000001</v>
          </cell>
          <cell r="Q271">
            <v>7026.692</v>
          </cell>
          <cell r="R271">
            <v>32619.312999999998</v>
          </cell>
          <cell r="S271">
            <v>16961.761999999999</v>
          </cell>
          <cell r="T271">
            <v>-22320.075000000001</v>
          </cell>
          <cell r="U271">
            <v>3874.0279999999898</v>
          </cell>
          <cell r="V271">
            <v>23830.455999999998</v>
          </cell>
          <cell r="W271">
            <v>10609.695</v>
          </cell>
          <cell r="X271">
            <v>6177.1269999999895</v>
          </cell>
          <cell r="Y271">
            <v>12630.202999999996</v>
          </cell>
          <cell r="Z271">
            <v>12141.341000000008</v>
          </cell>
          <cell r="AA271">
            <v>13448.624000000007</v>
          </cell>
          <cell r="AB271">
            <v>8315.6600000000217</v>
          </cell>
          <cell r="AC271">
            <v>9628.7340000000058</v>
          </cell>
          <cell r="AD271">
            <v>8671.1335118979478</v>
          </cell>
          <cell r="AE271">
            <v>2306.3712754690532</v>
          </cell>
          <cell r="AF271">
            <v>7062.1750681304911</v>
          </cell>
          <cell r="AG271">
            <v>4028.1116203465872</v>
          </cell>
          <cell r="AI271">
            <v>3482.1649999999995</v>
          </cell>
          <cell r="AJ271">
            <v>5203.9789999999994</v>
          </cell>
          <cell r="AK271">
            <v>8720.4469999999983</v>
          </cell>
          <cell r="AL271">
            <v>6423.8650000000007</v>
          </cell>
          <cell r="AM271">
            <v>4483.4930000000004</v>
          </cell>
          <cell r="AN271">
            <v>3191.7709999999993</v>
          </cell>
          <cell r="AO271">
            <v>1954.233999999999</v>
          </cell>
          <cell r="AP271">
            <v>980.19700000000012</v>
          </cell>
          <cell r="AQ271">
            <v>1294.3910000000005</v>
          </cell>
          <cell r="AR271">
            <v>2651.0260000000017</v>
          </cell>
          <cell r="AS271">
            <v>1492.5040000000004</v>
          </cell>
          <cell r="AT271">
            <v>739.20599999999934</v>
          </cell>
          <cell r="AU271">
            <v>6592.7050000000008</v>
          </cell>
          <cell r="AV271">
            <v>1812.0000000000014</v>
          </cell>
          <cell r="AW271">
            <v>3476.0949999999998</v>
          </cell>
          <cell r="AX271">
            <v>749.40299999999911</v>
          </cell>
          <cell r="AY271">
            <v>1179.6980000000015</v>
          </cell>
          <cell r="AZ271">
            <v>3482.4210000000003</v>
          </cell>
          <cell r="BA271">
            <v>2915.9439999999991</v>
          </cell>
          <cell r="BB271">
            <v>4563.2780000000002</v>
          </cell>
          <cell r="BC271">
            <v>3979.91</v>
          </cell>
          <cell r="BD271">
            <v>4600.3750000000009</v>
          </cell>
          <cell r="BE271">
            <v>1708.4789999999982</v>
          </cell>
          <cell r="BF271">
            <v>3159.8599999999992</v>
          </cell>
          <cell r="BG271">
            <v>209.63199999999978</v>
          </cell>
          <cell r="BH271">
            <v>2583.2700000000018</v>
          </cell>
          <cell r="BI271">
            <v>2974.7699999999995</v>
          </cell>
          <cell r="BJ271">
            <v>2547.9879999999998</v>
          </cell>
          <cell r="BK271">
            <v>2286.02</v>
          </cell>
          <cell r="BL271">
            <v>2099.0069999999996</v>
          </cell>
          <cell r="BM271">
            <v>3472.655999999999</v>
          </cell>
          <cell r="BN271">
            <v>1771.0509999999999</v>
          </cell>
          <cell r="BO271">
            <v>3400.3979999999988</v>
          </cell>
          <cell r="BP271">
            <v>3658.7789999999995</v>
          </cell>
          <cell r="BQ271">
            <v>1720.4260000000002</v>
          </cell>
          <cell r="BR271">
            <v>-108.46948810207709</v>
          </cell>
          <cell r="BS271">
            <v>94.35946564446067</v>
          </cell>
          <cell r="BT271">
            <v>1996.4613445834111</v>
          </cell>
          <cell r="BU271">
            <v>105.55137799784166</v>
          </cell>
          <cell r="BV271">
            <v>109.9990872433591</v>
          </cell>
          <cell r="BW271">
            <v>128.53053886830639</v>
          </cell>
          <cell r="BX271">
            <v>6698.1971011610249</v>
          </cell>
          <cell r="BY271">
            <v>137.96386625948253</v>
          </cell>
          <cell r="BZ271">
            <v>97.483561841699157</v>
          </cell>
          <cell r="CA271">
            <v>130.30420657809009</v>
          </cell>
          <cell r="CB271">
            <v>3747.0727948575891</v>
          </cell>
          <cell r="CC271">
            <v>88.440909421837432</v>
          </cell>
          <cell r="CD271">
            <v>62.293709489063076</v>
          </cell>
        </row>
        <row r="272">
          <cell r="B272" t="str">
            <v>EPS (pre-exceptionals, basic)</v>
          </cell>
          <cell r="C272" t="str">
            <v>EPS</v>
          </cell>
          <cell r="D272" t="str">
            <v>TWD</v>
          </cell>
          <cell r="F272">
            <v>0.86544450049300004</v>
          </cell>
          <cell r="G272">
            <v>1.681135953354</v>
          </cell>
          <cell r="H272">
            <v>0.877498752795</v>
          </cell>
          <cell r="I272">
            <v>0.99884956768599997</v>
          </cell>
          <cell r="J272">
            <v>0.412898341354</v>
          </cell>
          <cell r="K272">
            <v>0.98714485516600003</v>
          </cell>
          <cell r="L272">
            <v>3.3681130455439998</v>
          </cell>
          <cell r="M272">
            <v>-0.20038067537000001</v>
          </cell>
          <cell r="N272">
            <v>0.44579478579699999</v>
          </cell>
          <cell r="O272">
            <v>0.87496078120200005</v>
          </cell>
          <cell r="P272">
            <v>1.9677836216589999</v>
          </cell>
          <cell r="Q272">
            <v>0.44401393004400003</v>
          </cell>
          <cell r="R272">
            <v>2.1997566691900001</v>
          </cell>
          <cell r="S272">
            <v>1.4170559319710001</v>
          </cell>
          <cell r="T272">
            <v>-1.7646112594159999</v>
          </cell>
          <cell r="U272">
            <v>8.0470560930999996E-2</v>
          </cell>
          <cell r="V272">
            <v>1.8992221327908232</v>
          </cell>
          <cell r="W272">
            <v>0.84650564432440556</v>
          </cell>
          <cell r="X272">
            <v>0.48950308098490319</v>
          </cell>
          <cell r="Y272">
            <v>1.0091305471351166</v>
          </cell>
          <cell r="Z272">
            <v>0.97199156205969062</v>
          </cell>
          <cell r="AA272">
            <v>1.0730833135168301</v>
          </cell>
          <cell r="AB272">
            <v>0.67550941064674475</v>
          </cell>
          <cell r="AC272">
            <v>0.78870779080358888</v>
          </cell>
          <cell r="AD272">
            <v>0.69791621748224697</v>
          </cell>
          <cell r="AE272">
            <v>0.18563362154168286</v>
          </cell>
          <cell r="AF272">
            <v>0.56841547924317903</v>
          </cell>
          <cell r="AG272">
            <v>0.324211871701793</v>
          </cell>
        </row>
        <row r="273">
          <cell r="B273" t="str">
            <v>EPS (pre-exceptionals, diluted)</v>
          </cell>
          <cell r="C273" t="str">
            <v>EPS_FUL_DIL</v>
          </cell>
          <cell r="D273" t="str">
            <v>TWD</v>
          </cell>
          <cell r="F273">
            <v>0.86544450049300004</v>
          </cell>
          <cell r="G273">
            <v>1.681135953354</v>
          </cell>
          <cell r="H273">
            <v>0.877498752795</v>
          </cell>
          <cell r="I273">
            <v>0.99884956768599997</v>
          </cell>
          <cell r="J273">
            <v>0.412898341354</v>
          </cell>
          <cell r="K273">
            <v>0.98714485516600003</v>
          </cell>
          <cell r="L273">
            <v>3.3681130455439998</v>
          </cell>
          <cell r="M273">
            <v>-0.20038067537000001</v>
          </cell>
          <cell r="N273">
            <v>0.44579478579699999</v>
          </cell>
          <cell r="O273">
            <v>0.87496078120200005</v>
          </cell>
          <cell r="P273">
            <v>1.9677836216589999</v>
          </cell>
          <cell r="Q273">
            <v>0.44401393004400003</v>
          </cell>
          <cell r="R273">
            <v>2.1997566691900001</v>
          </cell>
          <cell r="S273">
            <v>1.4170559319710001</v>
          </cell>
          <cell r="T273">
            <v>-1.7646112594159999</v>
          </cell>
          <cell r="U273">
            <v>8.0470560930999996E-2</v>
          </cell>
          <cell r="V273">
            <v>1.8992221327908232</v>
          </cell>
          <cell r="W273">
            <v>0.84650564432440556</v>
          </cell>
          <cell r="X273">
            <v>0.48950308098490319</v>
          </cell>
          <cell r="Y273">
            <v>1.0091305471351166</v>
          </cell>
          <cell r="Z273">
            <v>0.97199156205969062</v>
          </cell>
          <cell r="AA273">
            <v>1.0730833135168301</v>
          </cell>
          <cell r="AB273">
            <v>0.67550941064674475</v>
          </cell>
          <cell r="AC273">
            <v>0.78870779080358888</v>
          </cell>
          <cell r="AD273">
            <v>0.69791621748224697</v>
          </cell>
          <cell r="AE273">
            <v>0.18563362154168286</v>
          </cell>
          <cell r="AF273">
            <v>0.56841547924317903</v>
          </cell>
          <cell r="AG273">
            <v>0.324211871701793</v>
          </cell>
        </row>
        <row r="274">
          <cell r="B274" t="str">
            <v>EPS (post-exceptionals, basic)</v>
          </cell>
          <cell r="C274" t="str">
            <v>EPS_POST_BASIC</v>
          </cell>
          <cell r="D274" t="str">
            <v>TWD</v>
          </cell>
          <cell r="F274">
            <v>0.86544450049300004</v>
          </cell>
          <cell r="G274">
            <v>1.681135953354</v>
          </cell>
          <cell r="H274">
            <v>0.877498752795</v>
          </cell>
          <cell r="I274">
            <v>0.99884956768599997</v>
          </cell>
          <cell r="J274">
            <v>0.412898341354</v>
          </cell>
          <cell r="K274">
            <v>0.98714485516600003</v>
          </cell>
          <cell r="L274">
            <v>3.3681130455439998</v>
          </cell>
          <cell r="M274">
            <v>-0.20038067537000001</v>
          </cell>
          <cell r="N274">
            <v>0.44579478579699999</v>
          </cell>
          <cell r="O274">
            <v>0.87496078120200005</v>
          </cell>
          <cell r="P274">
            <v>1.9677836216589999</v>
          </cell>
          <cell r="Q274">
            <v>0.444086989253</v>
          </cell>
          <cell r="R274">
            <v>2.1224241709989999</v>
          </cell>
          <cell r="S274">
            <v>1.2990475049700001</v>
          </cell>
          <cell r="T274">
            <v>-1.7137056953000001</v>
          </cell>
          <cell r="U274">
            <v>0.30505474554200002</v>
          </cell>
          <cell r="V274">
            <v>1.8992221327908232</v>
          </cell>
          <cell r="W274">
            <v>0.84650564432440556</v>
          </cell>
          <cell r="X274">
            <v>0.48950308098490319</v>
          </cell>
          <cell r="Y274">
            <v>1.0091305471351166</v>
          </cell>
          <cell r="Z274">
            <v>0.97199156205969062</v>
          </cell>
          <cell r="AA274">
            <v>1.0730833135168301</v>
          </cell>
          <cell r="AB274">
            <v>0.67550941064674475</v>
          </cell>
          <cell r="AC274">
            <v>0.78870779080358888</v>
          </cell>
          <cell r="AD274">
            <v>0.69791621748224697</v>
          </cell>
          <cell r="AE274">
            <v>0.18563362154168286</v>
          </cell>
          <cell r="AF274">
            <v>0.56841547924317903</v>
          </cell>
          <cell r="AG274">
            <v>0.324211871701793</v>
          </cell>
        </row>
        <row r="275">
          <cell r="B275" t="str">
            <v>EPS (post-exceptionals, diluted)</v>
          </cell>
          <cell r="C275" t="str">
            <v>FULLY_DIL_EPS</v>
          </cell>
          <cell r="D275" t="str">
            <v>TWD</v>
          </cell>
          <cell r="F275">
            <v>0.86544450049300004</v>
          </cell>
          <cell r="G275">
            <v>1.681135953354</v>
          </cell>
          <cell r="H275">
            <v>0.877498752795</v>
          </cell>
          <cell r="I275">
            <v>0.99884956768599997</v>
          </cell>
          <cell r="J275">
            <v>0.412898341354</v>
          </cell>
          <cell r="K275">
            <v>0.98714485516600003</v>
          </cell>
          <cell r="L275">
            <v>3.3681130455439998</v>
          </cell>
          <cell r="M275">
            <v>-0.20038067537000001</v>
          </cell>
          <cell r="N275">
            <v>0.44579478579699999</v>
          </cell>
          <cell r="O275">
            <v>0.87496078120200005</v>
          </cell>
          <cell r="P275">
            <v>1.9677836216589999</v>
          </cell>
          <cell r="Q275">
            <v>0.444086989253</v>
          </cell>
          <cell r="R275">
            <v>2.1224241709989999</v>
          </cell>
          <cell r="S275">
            <v>1.2990475049700001</v>
          </cell>
          <cell r="T275">
            <v>-1.7137056953000001</v>
          </cell>
          <cell r="U275">
            <v>0.30505474554200002</v>
          </cell>
          <cell r="V275">
            <v>1.8992221327908232</v>
          </cell>
          <cell r="W275">
            <v>0.84650564432440556</v>
          </cell>
          <cell r="X275">
            <v>0.48950308098490319</v>
          </cell>
          <cell r="Y275">
            <v>1.0091305471351166</v>
          </cell>
          <cell r="Z275">
            <v>0.97199156205969062</v>
          </cell>
          <cell r="AA275">
            <v>1.0730833135168301</v>
          </cell>
          <cell r="AB275">
            <v>0.67550941064674475</v>
          </cell>
          <cell r="AC275">
            <v>0.78870779080358888</v>
          </cell>
          <cell r="AD275">
            <v>0.69791621748224697</v>
          </cell>
          <cell r="AE275">
            <v>0.18563362154168286</v>
          </cell>
          <cell r="AF275">
            <v>0.56841547924317903</v>
          </cell>
          <cell r="AG275">
            <v>0.324211871701793</v>
          </cell>
        </row>
        <row r="276">
          <cell r="B276" t="str">
            <v>Common dividends paid</v>
          </cell>
          <cell r="C276" t="str">
            <v>COMMON_DIV_PAID</v>
          </cell>
          <cell r="D276" t="str">
            <v>TWD</v>
          </cell>
          <cell r="F276">
            <v>0</v>
          </cell>
          <cell r="G276">
            <v>0</v>
          </cell>
          <cell r="H276">
            <v>0</v>
          </cell>
          <cell r="I276">
            <v>-979.41200000000003</v>
          </cell>
          <cell r="J276">
            <v>-1182.8520000000001</v>
          </cell>
          <cell r="K276">
            <v>-879.92</v>
          </cell>
          <cell r="L276">
            <v>-105</v>
          </cell>
          <cell r="M276">
            <v>-105</v>
          </cell>
          <cell r="N276">
            <v>0</v>
          </cell>
          <cell r="O276">
            <v>0</v>
          </cell>
          <cell r="P276">
            <v>0</v>
          </cell>
          <cell r="Q276">
            <v>0</v>
          </cell>
          <cell r="R276">
            <v>-7161.2668299999996</v>
          </cell>
          <cell r="S276">
            <v>-12461.529283</v>
          </cell>
          <cell r="T276">
            <v>-9382.6469489999999</v>
          </cell>
          <cell r="U276">
            <v>0</v>
          </cell>
          <cell r="V276">
            <v>-14015.700999999999</v>
          </cell>
          <cell r="W276">
            <v>-6316.42</v>
          </cell>
          <cell r="X276">
            <v>-5061.3029999999999</v>
          </cell>
          <cell r="Y276">
            <v>-6253.15</v>
          </cell>
          <cell r="Z276">
            <v>-6939.0159999999996</v>
          </cell>
          <cell r="AA276">
            <v>-6906.7259999999997</v>
          </cell>
          <cell r="AB276">
            <v>-6103.1949999999997</v>
          </cell>
          <cell r="AC276">
            <v>-8557.3119999999999</v>
          </cell>
          <cell r="AD276">
            <v>-7706.2669770466619</v>
          </cell>
          <cell r="AE276">
            <v>-2049.7334947695745</v>
          </cell>
          <cell r="AF276">
            <v>-6276.3428148096973</v>
          </cell>
          <cell r="AG276">
            <v>-3579.889932168785</v>
          </cell>
        </row>
        <row r="277">
          <cell r="B277" t="str">
            <v>DPS, dividend per share</v>
          </cell>
          <cell r="C277" t="str">
            <v>DPS</v>
          </cell>
          <cell r="D277" t="str">
            <v>TWD</v>
          </cell>
          <cell r="F277">
            <v>0</v>
          </cell>
          <cell r="G277">
            <v>0</v>
          </cell>
          <cell r="H277">
            <v>0</v>
          </cell>
          <cell r="I277">
            <v>0.10044458027399999</v>
          </cell>
          <cell r="J277">
            <v>0.11082261562700001</v>
          </cell>
          <cell r="K277">
            <v>8.2741233075000004E-2</v>
          </cell>
          <cell r="L277">
            <v>6.9643402560000001E-3</v>
          </cell>
          <cell r="M277">
            <v>6.6639088659999996E-3</v>
          </cell>
          <cell r="N277">
            <v>0</v>
          </cell>
          <cell r="O277">
            <v>0</v>
          </cell>
          <cell r="P277">
            <v>0</v>
          </cell>
          <cell r="R277">
            <v>0.46595850228399999</v>
          </cell>
          <cell r="S277">
            <v>0.954388967561</v>
          </cell>
          <cell r="T277">
            <v>0.72038716328200003</v>
          </cell>
          <cell r="U277">
            <v>0</v>
          </cell>
          <cell r="V277">
            <v>1.0791342500826711</v>
          </cell>
          <cell r="W277">
            <v>0.48274649142452841</v>
          </cell>
          <cell r="X277">
            <v>0.39077972565292152</v>
          </cell>
          <cell r="Y277">
            <v>0.49268119665507665</v>
          </cell>
          <cell r="Z277">
            <v>0.54529687130138649</v>
          </cell>
          <cell r="AA277">
            <v>0.54135868109666729</v>
          </cell>
          <cell r="AB277">
            <v>0.48344747507047647</v>
          </cell>
          <cell r="AC277">
            <v>0.67784347047575721</v>
          </cell>
          <cell r="AD277">
            <v>0.62025670486436102</v>
          </cell>
          <cell r="AE277">
            <v>0.16497753673765422</v>
          </cell>
          <cell r="AF277">
            <v>0.50516595447681956</v>
          </cell>
          <cell r="AG277">
            <v>0.28813571340284316</v>
          </cell>
        </row>
        <row r="278">
          <cell r="B278" t="str">
            <v>Weighted average shares outstanding, basic</v>
          </cell>
          <cell r="C278" t="str">
            <v>SH</v>
          </cell>
          <cell r="F278">
            <v>7461.7240000000002</v>
          </cell>
          <cell r="G278">
            <v>7974.1819999999998</v>
          </cell>
          <cell r="H278">
            <v>8674.5380000000005</v>
          </cell>
          <cell r="I278">
            <v>9750.77</v>
          </cell>
          <cell r="J278">
            <v>10673.380999999999</v>
          </cell>
          <cell r="K278">
            <v>10634.601000000001</v>
          </cell>
          <cell r="L278">
            <v>15076.805</v>
          </cell>
          <cell r="M278">
            <v>15756.518</v>
          </cell>
          <cell r="N278">
            <v>15863.871999999999</v>
          </cell>
          <cell r="O278">
            <v>16023.869000000001</v>
          </cell>
          <cell r="P278">
            <v>16182.359</v>
          </cell>
          <cell r="Q278">
            <v>15822.781999999999</v>
          </cell>
          <cell r="R278">
            <v>15368.894</v>
          </cell>
          <cell r="S278">
            <v>13057.075999999999</v>
          </cell>
          <cell r="T278">
            <v>13024.450500000001</v>
          </cell>
          <cell r="U278">
            <v>12699.451677499999</v>
          </cell>
          <cell r="V278">
            <v>12547.482250000001</v>
          </cell>
          <cell r="W278">
            <v>12533.519499999999</v>
          </cell>
          <cell r="X278">
            <v>12619.179</v>
          </cell>
          <cell r="Y278">
            <v>12515.92575</v>
          </cell>
          <cell r="Z278">
            <v>12491.2</v>
          </cell>
          <cell r="AA278">
            <v>12532.693249999998</v>
          </cell>
          <cell r="AB278">
            <v>12310.206</v>
          </cell>
          <cell r="AC278">
            <v>12208.24</v>
          </cell>
          <cell r="AD278">
            <v>12424.3187</v>
          </cell>
          <cell r="AE278">
            <v>12424.3187</v>
          </cell>
          <cell r="AF278">
            <v>12424.3187</v>
          </cell>
          <cell r="AG278">
            <v>12424.3187</v>
          </cell>
        </row>
        <row r="279">
          <cell r="B279" t="str">
            <v>Diluted average shares outstanding (mn)</v>
          </cell>
          <cell r="C279" t="str">
            <v>DILUTE_SHARES</v>
          </cell>
          <cell r="F279">
            <v>7461.7240000000002</v>
          </cell>
          <cell r="G279">
            <v>7974.1819999999998</v>
          </cell>
          <cell r="H279">
            <v>8674.5380000000005</v>
          </cell>
          <cell r="I279">
            <v>9750.77</v>
          </cell>
          <cell r="J279">
            <v>10673.380999999999</v>
          </cell>
          <cell r="K279">
            <v>10634.601000000001</v>
          </cell>
          <cell r="L279">
            <v>15076.805</v>
          </cell>
          <cell r="M279">
            <v>15756.518</v>
          </cell>
          <cell r="N279">
            <v>15863.871999999999</v>
          </cell>
          <cell r="O279">
            <v>16023.869000000001</v>
          </cell>
          <cell r="P279">
            <v>16182.359</v>
          </cell>
          <cell r="Q279">
            <v>15822.781999999999</v>
          </cell>
          <cell r="R279">
            <v>15368.894</v>
          </cell>
          <cell r="S279">
            <v>13057.075999999999</v>
          </cell>
          <cell r="T279">
            <v>13024.450500000001</v>
          </cell>
          <cell r="U279">
            <v>12699.451677499999</v>
          </cell>
          <cell r="V279">
            <v>12547.482250000001</v>
          </cell>
          <cell r="W279">
            <v>12533.519499999999</v>
          </cell>
          <cell r="X279">
            <v>12619.179</v>
          </cell>
          <cell r="Y279">
            <v>12515.92575</v>
          </cell>
          <cell r="Z279">
            <v>12491.2</v>
          </cell>
          <cell r="AA279">
            <v>12532.693249999998</v>
          </cell>
          <cell r="AB279">
            <v>12310.206</v>
          </cell>
          <cell r="AC279">
            <v>12208.24</v>
          </cell>
          <cell r="AD279">
            <v>12424.3187</v>
          </cell>
          <cell r="AE279">
            <v>12424.3187</v>
          </cell>
          <cell r="AF279">
            <v>12424.3187</v>
          </cell>
          <cell r="AG279">
            <v>12424.3187</v>
          </cell>
        </row>
        <row r="280">
          <cell r="B280" t="str">
            <v>Period-end shares outstanding</v>
          </cell>
          <cell r="C280" t="str">
            <v>NON_OP_ADD</v>
          </cell>
          <cell r="F280">
            <v>7461.7240000000002</v>
          </cell>
          <cell r="G280">
            <v>7974.1819999999998</v>
          </cell>
          <cell r="H280">
            <v>8674.5380000000005</v>
          </cell>
          <cell r="I280">
            <v>9750.77</v>
          </cell>
          <cell r="J280">
            <v>10673.380999999999</v>
          </cell>
          <cell r="K280">
            <v>10634.601000000001</v>
          </cell>
          <cell r="L280">
            <v>15076.805</v>
          </cell>
          <cell r="M280">
            <v>15756.518</v>
          </cell>
          <cell r="N280">
            <v>15863.871999999999</v>
          </cell>
          <cell r="O280">
            <v>16023.869000000001</v>
          </cell>
          <cell r="P280">
            <v>16182.359</v>
          </cell>
          <cell r="Q280">
            <v>15822.781999999999</v>
          </cell>
          <cell r="R280">
            <v>15368.894</v>
          </cell>
          <cell r="S280">
            <v>13057.075999999999</v>
          </cell>
          <cell r="T280">
            <v>13024.450500000001</v>
          </cell>
          <cell r="U280">
            <v>12699.451677499999</v>
          </cell>
          <cell r="V280">
            <v>12987.9123</v>
          </cell>
          <cell r="W280">
            <v>13084.3416</v>
          </cell>
          <cell r="X280">
            <v>12951.8055</v>
          </cell>
          <cell r="Y280">
            <v>12692.081700000001</v>
          </cell>
          <cell r="Z280">
            <v>12725.2078</v>
          </cell>
          <cell r="AA280">
            <v>12758.132900000001</v>
          </cell>
          <cell r="AB280">
            <v>12624.3187</v>
          </cell>
          <cell r="AC280">
            <v>12624.3187</v>
          </cell>
          <cell r="AD280">
            <v>12424.3187</v>
          </cell>
          <cell r="AE280">
            <v>12424.3187</v>
          </cell>
          <cell r="AF280">
            <v>12424.3187</v>
          </cell>
          <cell r="AG280">
            <v>12424.3187</v>
          </cell>
        </row>
        <row r="281">
          <cell r="A281" t="str">
            <v>Additional Income Statement Items</v>
          </cell>
        </row>
        <row r="282">
          <cell r="B282" t="str">
            <v>Marginal tax rate</v>
          </cell>
          <cell r="C282" t="str">
            <v>MARGIN_TAX_RATE</v>
          </cell>
          <cell r="F282">
            <v>2.5784999999999999E-2</v>
          </cell>
          <cell r="G282">
            <v>0</v>
          </cell>
          <cell r="H282">
            <v>0</v>
          </cell>
          <cell r="I282">
            <v>1.2043E-2</v>
          </cell>
          <cell r="J282">
            <v>0</v>
          </cell>
          <cell r="K282">
            <v>2.6389999999999999E-3</v>
          </cell>
          <cell r="L282">
            <v>0</v>
          </cell>
          <cell r="M282">
            <v>0.50300199999999995</v>
          </cell>
          <cell r="N282">
            <v>1.7030000000000001E-3</v>
          </cell>
          <cell r="O282">
            <v>5.3668E-2</v>
          </cell>
          <cell r="P282">
            <v>1.0640000000000001E-3</v>
          </cell>
          <cell r="Q282">
            <v>2.8400000000000002E-4</v>
          </cell>
          <cell r="R282">
            <v>8.6670999999999998E-2</v>
          </cell>
          <cell r="S282">
            <v>5.4365891153000001E-2</v>
          </cell>
          <cell r="T282">
            <v>0</v>
          </cell>
          <cell r="U282">
            <v>0.38916198445900002</v>
          </cell>
          <cell r="V282">
            <v>6.3560614733943116E-2</v>
          </cell>
          <cell r="W282">
            <v>9.4240334803456491E-2</v>
          </cell>
          <cell r="X282">
            <v>0.37901126375295541</v>
          </cell>
          <cell r="Y282">
            <v>0.16578285491140843</v>
          </cell>
          <cell r="Z282">
            <v>0.15100541848969107</v>
          </cell>
          <cell r="AA282">
            <v>6.4246430029038223E-2</v>
          </cell>
          <cell r="AB282">
            <v>0.19527723421760607</v>
          </cell>
          <cell r="AC282">
            <v>0.15517692043831907</v>
          </cell>
          <cell r="AD282">
            <v>7.5456812152084357E-2</v>
          </cell>
          <cell r="AE282">
            <v>0.78692402758085478</v>
          </cell>
          <cell r="AF282">
            <v>0.79141525658215983</v>
          </cell>
          <cell r="AG282">
            <v>0.6694273782255018</v>
          </cell>
        </row>
        <row r="283">
          <cell r="B283" t="str">
            <v>Net income (consensus) (Pub)</v>
          </cell>
          <cell r="C283" t="str">
            <v>NI_CONS</v>
          </cell>
          <cell r="D283" t="str">
            <v>TWD</v>
          </cell>
        </row>
        <row r="284">
          <cell r="A284" t="str">
            <v>ESO</v>
          </cell>
        </row>
        <row r="285">
          <cell r="B285" t="str">
            <v>Fair value of grant</v>
          </cell>
          <cell r="C285" t="str">
            <v>FV_GRANT</v>
          </cell>
          <cell r="D285" t="str">
            <v>TWD</v>
          </cell>
        </row>
        <row r="286">
          <cell r="B286" t="str">
            <v>ESO expense (post-tax)</v>
          </cell>
          <cell r="C286" t="str">
            <v>ESO_POST_TAX</v>
          </cell>
          <cell r="D286" t="str">
            <v>TWD</v>
          </cell>
        </row>
        <row r="287">
          <cell r="B287" t="str">
            <v>EPS (excl. ESO expense, basic)</v>
          </cell>
          <cell r="C287" t="str">
            <v>EPS_EX_ESO_B</v>
          </cell>
          <cell r="D287" t="str">
            <v>TWD</v>
          </cell>
          <cell r="O287">
            <v>0.87496078120200005</v>
          </cell>
          <cell r="P287">
            <v>1.9677836216589999</v>
          </cell>
          <cell r="Q287">
            <v>0.444086989253</v>
          </cell>
          <cell r="R287">
            <v>2.1224241709989999</v>
          </cell>
          <cell r="S287">
            <v>1.2990475049700001</v>
          </cell>
          <cell r="T287">
            <v>-1.7137056953000001</v>
          </cell>
          <cell r="U287">
            <v>0.30505474554200002</v>
          </cell>
        </row>
        <row r="288">
          <cell r="B288" t="str">
            <v>EPS (excl. ESO expense, diluted)</v>
          </cell>
          <cell r="C288" t="str">
            <v>EPS_EX_ESO_D</v>
          </cell>
          <cell r="D288" t="str">
            <v>TWD</v>
          </cell>
          <cell r="O288">
            <v>0.87496078120200005</v>
          </cell>
          <cell r="P288">
            <v>1.9677836216589999</v>
          </cell>
          <cell r="Q288">
            <v>0.444086989253</v>
          </cell>
          <cell r="R288">
            <v>2.1224241709989999</v>
          </cell>
          <cell r="S288">
            <v>1.2990475049700001</v>
          </cell>
          <cell r="T288">
            <v>-1.7137056953000001</v>
          </cell>
          <cell r="U288">
            <v>0.30505474554200002</v>
          </cell>
        </row>
        <row r="289">
          <cell r="B289" t="str">
            <v>Year that ESO expense takes effect</v>
          </cell>
          <cell r="C289" t="str">
            <v>ESO_YEAR</v>
          </cell>
        </row>
        <row r="290">
          <cell r="A290" t="str">
            <v>Balance Sheet</v>
          </cell>
        </row>
        <row r="291">
          <cell r="B291" t="str">
            <v>BVPS, book value per share</v>
          </cell>
          <cell r="C291" t="str">
            <v>BVPS</v>
          </cell>
          <cell r="D291" t="str">
            <v>TWD</v>
          </cell>
          <cell r="F291">
            <v>2.4980028744029998</v>
          </cell>
          <cell r="G291">
            <v>3.9334651274680001</v>
          </cell>
          <cell r="H291">
            <v>5.3037639201779996</v>
          </cell>
          <cell r="I291">
            <v>6.8469332920139996</v>
          </cell>
          <cell r="J291">
            <v>7.1708064201959996</v>
          </cell>
          <cell r="K291">
            <v>11.219193649108</v>
          </cell>
          <cell r="L291">
            <v>15.785947553212001</v>
          </cell>
          <cell r="M291">
            <v>14.817087062002001</v>
          </cell>
          <cell r="N291">
            <v>13.706197515966</v>
          </cell>
          <cell r="O291">
            <v>14.493498603552</v>
          </cell>
          <cell r="P291">
            <v>16.461320626986002</v>
          </cell>
          <cell r="Q291">
            <v>16.323522565865002</v>
          </cell>
          <cell r="R291">
            <v>18.945075880539001</v>
          </cell>
          <cell r="S291">
            <v>18.110248343504001</v>
          </cell>
          <cell r="T291">
            <v>14.715269100987999</v>
          </cell>
          <cell r="U291">
            <v>16.858700787791999</v>
          </cell>
          <cell r="V291">
            <v>16.887801359730464</v>
          </cell>
          <cell r="W291">
            <v>15.876770368025243</v>
          </cell>
          <cell r="X291">
            <v>15.593185135462388</v>
          </cell>
          <cell r="Y291">
            <v>16.397718902171892</v>
          </cell>
          <cell r="Z291">
            <v>17.379602476904154</v>
          </cell>
          <cell r="AA291">
            <v>17.776138544535776</v>
          </cell>
          <cell r="AB291">
            <v>17.155768968348365</v>
          </cell>
          <cell r="AC291">
            <v>16.878596070297245</v>
          </cell>
          <cell r="AD291">
            <v>17.059789001701795</v>
          </cell>
          <cell r="AE291">
            <v>16.625165918379118</v>
          </cell>
          <cell r="AF291">
            <v>17.028603860884644</v>
          </cell>
          <cell r="AG291">
            <v>16.847649778109616</v>
          </cell>
        </row>
        <row r="292">
          <cell r="A292" t="str">
            <v>Cash Flow Statement</v>
          </cell>
        </row>
        <row r="293">
          <cell r="B293" t="str">
            <v>Net income (pre-preferred dividends)</v>
          </cell>
          <cell r="C293" t="str">
            <v>CF_NI_PRE_PREF</v>
          </cell>
          <cell r="D293" t="str">
            <v>TWD</v>
          </cell>
          <cell r="F293">
            <v>6492.7079999999996</v>
          </cell>
          <cell r="G293">
            <v>13440.682000000001</v>
          </cell>
          <cell r="H293">
            <v>7646.8959999999997</v>
          </cell>
          <cell r="I293">
            <v>9739.5519999999997</v>
          </cell>
          <cell r="J293">
            <v>4407.0209999999997</v>
          </cell>
          <cell r="K293">
            <v>10497.892</v>
          </cell>
          <cell r="L293">
            <v>50780.377999999997</v>
          </cell>
          <cell r="M293">
            <v>-3157.3020000000001</v>
          </cell>
          <cell r="N293">
            <v>7072.0320000000002</v>
          </cell>
          <cell r="O293">
            <v>14020.257</v>
          </cell>
          <cell r="P293">
            <v>31843.381000000001</v>
          </cell>
          <cell r="Q293">
            <v>7025.5360000000001</v>
          </cell>
          <cell r="R293">
            <v>33807.828000000001</v>
          </cell>
          <cell r="S293">
            <v>18502.607</v>
          </cell>
          <cell r="T293">
            <v>-22983.092000000001</v>
          </cell>
          <cell r="U293">
            <v>1021.93199999999</v>
          </cell>
          <cell r="V293">
            <v>23830.455999999998</v>
          </cell>
          <cell r="W293">
            <v>10609.695</v>
          </cell>
          <cell r="X293">
            <v>6177.1269999999895</v>
          </cell>
          <cell r="Y293">
            <v>12630.202999999996</v>
          </cell>
          <cell r="Z293">
            <v>12141.341000000008</v>
          </cell>
          <cell r="AA293">
            <v>13448.624000000007</v>
          </cell>
          <cell r="AB293">
            <v>8315.6600000000217</v>
          </cell>
          <cell r="AC293">
            <v>9628.7340000000058</v>
          </cell>
          <cell r="AD293">
            <v>8671.1335118979205</v>
          </cell>
          <cell r="AE293">
            <v>2306.3712754690723</v>
          </cell>
          <cell r="AF293">
            <v>7062.175068130513</v>
          </cell>
          <cell r="AG293">
            <v>4028.1116203465799</v>
          </cell>
        </row>
        <row r="294">
          <cell r="A294" t="str">
            <v>Other Items</v>
          </cell>
        </row>
        <row r="295">
          <cell r="B295" t="str">
            <v>Adjusted EPS (fully loaded)</v>
          </cell>
          <cell r="C295" t="str">
            <v>ADJ_EPS_TW</v>
          </cell>
          <cell r="D295" t="str">
            <v>TWD</v>
          </cell>
        </row>
        <row r="296">
          <cell r="B296" t="str">
            <v>Adjusted net income (fully loaded)</v>
          </cell>
          <cell r="C296" t="str">
            <v>ADJ_NI_TW</v>
          </cell>
          <cell r="D296" t="str">
            <v>TWD</v>
          </cell>
        </row>
        <row r="297">
          <cell r="B297" t="str">
            <v>Beta</v>
          </cell>
          <cell r="C297" t="str">
            <v>BETA_ANALYST</v>
          </cell>
        </row>
        <row r="298">
          <cell r="B298" t="str">
            <v>Market equity risk premium</v>
          </cell>
          <cell r="C298" t="str">
            <v>MKT_EQ_RISK_PREM</v>
          </cell>
        </row>
        <row r="299">
          <cell r="B299" t="str">
            <v>Risk-free rate</v>
          </cell>
          <cell r="C299" t="str">
            <v>RISK_FR_RATE</v>
          </cell>
        </row>
        <row r="300">
          <cell r="A300" t="str">
            <v>Security: United Microelectronics Corp. (ADR)</v>
          </cell>
        </row>
        <row r="301">
          <cell r="A301" t="str">
            <v>Reference Data</v>
          </cell>
        </row>
        <row r="302">
          <cell r="B302" t="str">
            <v>Ticker</v>
          </cell>
          <cell r="C302" t="str">
            <v>Ticker</v>
          </cell>
          <cell r="E302" t="str">
            <v>UMC</v>
          </cell>
        </row>
        <row r="303">
          <cell r="B303" t="str">
            <v>Security Name</v>
          </cell>
          <cell r="C303" t="str">
            <v>Security Name</v>
          </cell>
          <cell r="E303" t="str">
            <v>United Microelectronics Corp. (ADR)</v>
          </cell>
        </row>
        <row r="304">
          <cell r="B304" t="str">
            <v>Interim Type</v>
          </cell>
          <cell r="C304" t="str">
            <v>Interim Type</v>
          </cell>
          <cell r="E304" t="str">
            <v>Q</v>
          </cell>
        </row>
        <row r="305">
          <cell r="B305" t="str">
            <v>Publishing Currency</v>
          </cell>
          <cell r="C305" t="str">
            <v>PUB_CURRENCY_ISO</v>
          </cell>
          <cell r="E305" t="str">
            <v>USD</v>
          </cell>
        </row>
        <row r="306">
          <cell r="B306" t="str">
            <v>Pricing Currency</v>
          </cell>
          <cell r="C306" t="str">
            <v>PRICE_CURRENCY_ISO</v>
          </cell>
          <cell r="E306" t="str">
            <v>USD</v>
          </cell>
        </row>
        <row r="307">
          <cell r="B307" t="str">
            <v>Reporting Currency</v>
          </cell>
          <cell r="C307" t="str">
            <v>CURRENCY_ISO</v>
          </cell>
          <cell r="E307" t="str">
            <v>TWD</v>
          </cell>
        </row>
        <row r="308">
          <cell r="A308" t="str">
            <v>General Information</v>
          </cell>
        </row>
        <row r="309">
          <cell r="B309" t="str">
            <v>Asia ex. Japan Investment List</v>
          </cell>
          <cell r="C309" t="str">
            <v>AEJ_LIST</v>
          </cell>
        </row>
        <row r="310">
          <cell r="B310" t="str">
            <v>Asia ex. Japan Conviction List</v>
          </cell>
          <cell r="C310" t="str">
            <v>AEJ_CONVICTION</v>
          </cell>
        </row>
        <row r="311">
          <cell r="B311" t="str">
            <v>Legal rating</v>
          </cell>
          <cell r="C311" t="str">
            <v>LEGAL_RATING</v>
          </cell>
        </row>
        <row r="312">
          <cell r="B312" t="str">
            <v>Target price</v>
          </cell>
          <cell r="C312" t="str">
            <v>TARGET_PRICE</v>
          </cell>
          <cell r="D312" t="str">
            <v>USD</v>
          </cell>
          <cell r="E312">
            <v>15</v>
          </cell>
        </row>
        <row r="313">
          <cell r="B313" t="str">
            <v>Target price period</v>
          </cell>
          <cell r="C313" t="str">
            <v>TP_PERIOD</v>
          </cell>
          <cell r="E313" t="str">
            <v>12 months</v>
          </cell>
        </row>
        <row r="314">
          <cell r="B314" t="str">
            <v>Fundamental value</v>
          </cell>
          <cell r="C314" t="str">
            <v>TARGET_PRICE_FUNDAMENTAL</v>
          </cell>
          <cell r="D314" t="str">
            <v>USD</v>
          </cell>
        </row>
        <row r="315">
          <cell r="B315" t="str">
            <v>M&amp;A value</v>
          </cell>
          <cell r="C315" t="str">
            <v>TARGET_PRICE_MA</v>
          </cell>
          <cell r="D315" t="str">
            <v>USD</v>
          </cell>
        </row>
        <row r="316">
          <cell r="B316" t="str">
            <v>Current shares outstanding (mn)</v>
          </cell>
          <cell r="C316" t="str">
            <v>NUM_SH</v>
          </cell>
          <cell r="E316">
            <v>2441.6480000000001</v>
          </cell>
        </row>
        <row r="317">
          <cell r="B317" t="str">
            <v>Free float</v>
          </cell>
          <cell r="C317" t="str">
            <v>FREE_FLOAT</v>
          </cell>
        </row>
        <row r="318">
          <cell r="B318" t="str">
            <v>Foreign ownership</v>
          </cell>
          <cell r="C318" t="str">
            <v>FOREIGN_HOLDNG</v>
          </cell>
        </row>
        <row r="319">
          <cell r="B319" t="str">
            <v>2303.TW_Exchange_Sheet'!B291</v>
          </cell>
          <cell r="C319" t="str">
            <v>ACT1</v>
          </cell>
          <cell r="E319">
            <v>0.01</v>
          </cell>
        </row>
        <row r="320">
          <cell r="B320" t="str">
            <v>2303.TW_Exchange_Sheet'!B292</v>
          </cell>
          <cell r="C320" t="str">
            <v>ACT2</v>
          </cell>
          <cell r="E320">
            <v>0.01</v>
          </cell>
        </row>
        <row r="321">
          <cell r="B321" t="str">
            <v>2303.TW_Exchange_Sheet'!B293</v>
          </cell>
          <cell r="C321" t="str">
            <v>ACT3</v>
          </cell>
          <cell r="E321">
            <v>0.01</v>
          </cell>
        </row>
        <row r="322">
          <cell r="B322" t="str">
            <v>Catalyst 1 date</v>
          </cell>
          <cell r="C322" t="str">
            <v>CATALYST1_DATE</v>
          </cell>
        </row>
        <row r="323">
          <cell r="B323" t="str">
            <v>Catalyst 1 description</v>
          </cell>
          <cell r="C323" t="str">
            <v>CATALYST1_EVENT</v>
          </cell>
        </row>
        <row r="324">
          <cell r="B324" t="str">
            <v>Catalyst 2 date</v>
          </cell>
          <cell r="C324" t="str">
            <v>CATALYST2_DATE</v>
          </cell>
        </row>
        <row r="325">
          <cell r="B325" t="str">
            <v>Catalyst 2 description</v>
          </cell>
          <cell r="C325" t="str">
            <v>CATALYST2_EVENT</v>
          </cell>
        </row>
        <row r="326">
          <cell r="B326" t="str">
            <v>Catalyst 3 date</v>
          </cell>
          <cell r="C326" t="str">
            <v>CATALYST3_DATE</v>
          </cell>
        </row>
        <row r="327">
          <cell r="B327" t="str">
            <v>Catalyst 3 description</v>
          </cell>
          <cell r="C327" t="str">
            <v>CATALYST3_EVENT</v>
          </cell>
        </row>
        <row r="328">
          <cell r="B328" t="str">
            <v>Catalyst 4 date</v>
          </cell>
          <cell r="C328" t="str">
            <v>CATALYST4_DATE</v>
          </cell>
        </row>
        <row r="329">
          <cell r="B329" t="str">
            <v>Catalyst 4 description</v>
          </cell>
          <cell r="C329" t="str">
            <v>CATALYST4_EVENT</v>
          </cell>
        </row>
        <row r="330">
          <cell r="B330" t="str">
            <v>Catalyst 5 date</v>
          </cell>
          <cell r="C330" t="str">
            <v>CATALYST5_DATE</v>
          </cell>
        </row>
        <row r="331">
          <cell r="B331" t="str">
            <v>Catalyst 5 description</v>
          </cell>
          <cell r="C331" t="str">
            <v>CATALYST5_EVENT</v>
          </cell>
        </row>
        <row r="332">
          <cell r="B332" t="str">
            <v>Target price multiple</v>
          </cell>
          <cell r="C332" t="str">
            <v>PRI_TARG_MULT</v>
          </cell>
          <cell r="E332">
            <v>0</v>
          </cell>
        </row>
        <row r="333">
          <cell r="B333" t="str">
            <v>Target price methodology</v>
          </cell>
          <cell r="C333" t="str">
            <v>PRI_TARG_METH</v>
          </cell>
          <cell r="E333" t="str">
            <v>NTM P/B</v>
          </cell>
        </row>
        <row r="334">
          <cell r="A334" t="str">
            <v>Publishing Items</v>
          </cell>
        </row>
        <row r="335">
          <cell r="B335" t="str">
            <v>Book value per share, BVPS (Pub)</v>
          </cell>
          <cell r="C335" t="str">
            <v>BVPS_PUB</v>
          </cell>
          <cell r="D335" t="str">
            <v>USD</v>
          </cell>
          <cell r="F335">
            <v>0.47333968893799999</v>
          </cell>
          <cell r="G335">
            <v>0.74145663535399997</v>
          </cell>
          <cell r="H335">
            <v>0.96706362187700001</v>
          </cell>
          <cell r="I335">
            <v>1.1746728334209999</v>
          </cell>
          <cell r="J335">
            <v>1.072534744303</v>
          </cell>
          <cell r="K335">
            <v>1.7446709300309999</v>
          </cell>
          <cell r="L335">
            <v>2.5128456333410001</v>
          </cell>
          <cell r="M335">
            <v>2.1667634827120001</v>
          </cell>
          <cell r="N335">
            <v>1.981380197465</v>
          </cell>
          <cell r="O335">
            <v>2.119242384489</v>
          </cell>
          <cell r="P335">
            <v>2.4609538984879999</v>
          </cell>
          <cell r="Q335">
            <v>2.5505505388529999</v>
          </cell>
          <cell r="R335">
            <v>2.9005705273090001</v>
          </cell>
          <cell r="S335">
            <v>2.7638684995810001</v>
          </cell>
          <cell r="T335">
            <v>2.3186432050720001</v>
          </cell>
          <cell r="U335">
            <v>2.576404185496</v>
          </cell>
          <cell r="V335">
            <v>2.704428114297456</v>
          </cell>
          <cell r="W335">
            <v>2.6985247502379948</v>
          </cell>
          <cell r="X335">
            <v>2.6494240311719288</v>
          </cell>
          <cell r="Y335">
            <v>2.7494498494587343</v>
          </cell>
          <cell r="Z335">
            <v>2.8435213476610195</v>
          </cell>
          <cell r="AA335">
            <v>2.7801280176002146</v>
          </cell>
          <cell r="AB335">
            <v>2.6784963260497054</v>
          </cell>
          <cell r="AC335">
            <v>2.7942382369501275</v>
          </cell>
          <cell r="AD335">
            <v>2.8303258401827946</v>
          </cell>
          <cell r="AE335">
            <v>2.7272253803115349</v>
          </cell>
          <cell r="AF335">
            <v>2.7934061451582419</v>
          </cell>
          <cell r="AG335">
            <v>2.7637220764615509</v>
          </cell>
        </row>
        <row r="336">
          <cell r="B336" t="str">
            <v>DPS, dividend per share (Pub)</v>
          </cell>
          <cell r="C336" t="str">
            <v>DPS_PUB</v>
          </cell>
          <cell r="D336" t="str">
            <v>USD</v>
          </cell>
          <cell r="F336">
            <v>0</v>
          </cell>
          <cell r="G336">
            <v>0</v>
          </cell>
          <cell r="H336">
            <v>0</v>
          </cell>
          <cell r="I336">
            <v>1.7232462989999999E-2</v>
          </cell>
          <cell r="J336">
            <v>1.6575695779000001E-2</v>
          </cell>
          <cell r="K336">
            <v>1.2866898333000001E-2</v>
          </cell>
          <cell r="L336">
            <v>1.1086006680000001E-3</v>
          </cell>
          <cell r="M336">
            <v>9.7449075699999996E-4</v>
          </cell>
          <cell r="N336">
            <v>0</v>
          </cell>
          <cell r="O336">
            <v>0</v>
          </cell>
          <cell r="P336">
            <v>0</v>
          </cell>
          <cell r="Q336">
            <v>0</v>
          </cell>
          <cell r="R336">
            <v>7.1340197854000004E-2</v>
          </cell>
          <cell r="S336">
            <v>0.14565264670899999</v>
          </cell>
          <cell r="T336">
            <v>0.11350936158200001</v>
          </cell>
          <cell r="U336">
            <v>0</v>
          </cell>
          <cell r="V336">
            <v>0.17281355594245673</v>
          </cell>
          <cell r="W336">
            <v>8.2050903615964718E-2</v>
          </cell>
          <cell r="X336">
            <v>6.6397030949438704E-2</v>
          </cell>
          <cell r="Y336">
            <v>8.2609187903265699E-2</v>
          </cell>
          <cell r="Z336">
            <v>8.9217420042766116E-2</v>
          </cell>
          <cell r="AA336">
            <v>8.4666668923470009E-2</v>
          </cell>
          <cell r="AB336">
            <v>7.5479699464555239E-2</v>
          </cell>
          <cell r="AC336">
            <v>0.11221645070370949</v>
          </cell>
          <cell r="AD336">
            <v>0.10290447198081476</v>
          </cell>
          <cell r="AE336">
            <v>2.7063244215494459E-2</v>
          </cell>
          <cell r="AF336">
            <v>8.286843085249665E-2</v>
          </cell>
          <cell r="AG336">
            <v>4.7266357185505765E-2</v>
          </cell>
        </row>
        <row r="337">
          <cell r="B337" t="str">
            <v>Special dividend per share</v>
          </cell>
          <cell r="C337" t="str">
            <v>DPS_SPECIAL_PUB</v>
          </cell>
          <cell r="D337" t="str">
            <v>USD</v>
          </cell>
        </row>
        <row r="338">
          <cell r="B338" t="str">
            <v>EBITDA (Pub)</v>
          </cell>
          <cell r="C338" t="str">
            <v>EBITDA_PUB</v>
          </cell>
          <cell r="D338" t="str">
            <v>USD</v>
          </cell>
          <cell r="F338">
            <v>310.756205707356</v>
          </cell>
          <cell r="G338">
            <v>554.68159583792794</v>
          </cell>
          <cell r="H338">
            <v>349.23627014805601</v>
          </cell>
          <cell r="I338">
            <v>261.88786714246498</v>
          </cell>
          <cell r="J338">
            <v>155.63612704443</v>
          </cell>
          <cell r="K338">
            <v>342.98008723981599</v>
          </cell>
          <cell r="L338">
            <v>2167.7560051575101</v>
          </cell>
          <cell r="M338">
            <v>839.405061162415</v>
          </cell>
          <cell r="N338">
            <v>1036.9637296711201</v>
          </cell>
          <cell r="O338">
            <v>1384.6433981576299</v>
          </cell>
          <cell r="P338">
            <v>1920.5359545522499</v>
          </cell>
          <cell r="Q338">
            <v>1432.7557812499999</v>
          </cell>
          <cell r="R338">
            <v>1540.7832197810601</v>
          </cell>
          <cell r="S338">
            <v>1161.7243494849299</v>
          </cell>
          <cell r="T338">
            <v>1147.45399826676</v>
          </cell>
          <cell r="U338">
            <v>1102.6907312600299</v>
          </cell>
          <cell r="V338">
            <v>1681.9700856753943</v>
          </cell>
          <cell r="W338">
            <v>1276.4737316223336</v>
          </cell>
          <cell r="X338">
            <v>1246.9692294622373</v>
          </cell>
          <cell r="Y338">
            <v>1424.0252179745135</v>
          </cell>
          <cell r="Z338">
            <v>1660.1337041884819</v>
          </cell>
          <cell r="AA338">
            <v>1761.2688770722555</v>
          </cell>
          <cell r="AB338">
            <v>1816.6175487900082</v>
          </cell>
          <cell r="AC338">
            <v>1975.5704660210247</v>
          </cell>
          <cell r="AD338">
            <v>1983.9514272921228</v>
          </cell>
          <cell r="AE338">
            <v>1712.6209118284107</v>
          </cell>
          <cell r="AF338">
            <v>2203.6624683612804</v>
          </cell>
          <cell r="AG338">
            <v>1299.3370268738577</v>
          </cell>
        </row>
        <row r="339">
          <cell r="B339" t="str">
            <v>EPS (Pub)</v>
          </cell>
          <cell r="C339" t="str">
            <v>EPS_PUB</v>
          </cell>
          <cell r="D339" t="str">
            <v>USD</v>
          </cell>
          <cell r="F339">
            <v>0.16399069627000001</v>
          </cell>
          <cell r="G339">
            <v>0.31689346852</v>
          </cell>
          <cell r="H339">
            <v>0.159999037446</v>
          </cell>
          <cell r="I339">
            <v>0.17136452215799999</v>
          </cell>
          <cell r="J339">
            <v>6.1757040940000001E-2</v>
          </cell>
          <cell r="K339">
            <v>0.153508624732</v>
          </cell>
          <cell r="L339">
            <v>0.53614439021000004</v>
          </cell>
          <cell r="M339">
            <v>-2.9302491573000002E-2</v>
          </cell>
          <cell r="N339">
            <v>6.4444499074999995E-2</v>
          </cell>
          <cell r="O339">
            <v>0.12793694766200001</v>
          </cell>
          <cell r="P339">
            <v>0.294182033437</v>
          </cell>
          <cell r="Q339">
            <v>6.9388595822999999E-2</v>
          </cell>
          <cell r="R339">
            <v>0.32495203691300001</v>
          </cell>
          <cell r="S339">
            <v>0.198252194578</v>
          </cell>
          <cell r="T339">
            <v>-0.27002374463099998</v>
          </cell>
          <cell r="U339">
            <v>4.6619507227E-2</v>
          </cell>
          <cell r="V339">
            <v>0.3041431872513129</v>
          </cell>
          <cell r="W339">
            <v>0.14387790334399686</v>
          </cell>
          <cell r="X339">
            <v>8.3171027267845241E-2</v>
          </cell>
          <cell r="Y339">
            <v>0.16920364640092497</v>
          </cell>
          <cell r="Z339">
            <v>0.15903003305950433</v>
          </cell>
          <cell r="AA339">
            <v>0.16782660517936032</v>
          </cell>
          <cell r="AB339">
            <v>0.10546595014000698</v>
          </cell>
          <cell r="AC339">
            <v>0.1305699512960167</v>
          </cell>
          <cell r="AD339">
            <v>0.11578867150265398</v>
          </cell>
          <cell r="AE339">
            <v>3.0451709570486034E-2</v>
          </cell>
          <cell r="AF339">
            <v>9.3244009062201288E-2</v>
          </cell>
          <cell r="AG339">
            <v>5.3184362155805937E-2</v>
          </cell>
        </row>
        <row r="340">
          <cell r="B340" t="str">
            <v>EPS (excl. ESO) (Pub)</v>
          </cell>
          <cell r="C340" t="str">
            <v>EPS_PUB_EX_ESO</v>
          </cell>
          <cell r="D340" t="str">
            <v>USD</v>
          </cell>
        </row>
        <row r="341">
          <cell r="B341" t="str">
            <v>EV adjustment (Pub)</v>
          </cell>
          <cell r="C341" t="str">
            <v>EV_ADJ_PUB</v>
          </cell>
          <cell r="D341" t="str">
            <v>USD</v>
          </cell>
        </row>
        <row r="342">
          <cell r="B342" t="str">
            <v>Net debt (Pub)</v>
          </cell>
          <cell r="C342" t="str">
            <v>NET_DEBT_PUB</v>
          </cell>
          <cell r="D342" t="str">
            <v>USD</v>
          </cell>
          <cell r="F342">
            <v>-203.63804145981001</v>
          </cell>
          <cell r="G342">
            <v>-8.5074410231759998</v>
          </cell>
          <cell r="H342">
            <v>-93.414192983736001</v>
          </cell>
          <cell r="I342">
            <v>-215.004426297008</v>
          </cell>
          <cell r="J342">
            <v>-115.292505814519</v>
          </cell>
          <cell r="K342">
            <v>209.003242335414</v>
          </cell>
          <cell r="L342">
            <v>-237.83639228920299</v>
          </cell>
          <cell r="M342">
            <v>-4.0494563747100001</v>
          </cell>
          <cell r="N342">
            <v>30.106685941453001</v>
          </cell>
          <cell r="O342">
            <v>-796.76932300043904</v>
          </cell>
          <cell r="P342">
            <v>-1437.4107340409601</v>
          </cell>
          <cell r="Q342">
            <v>-1725.64653125</v>
          </cell>
          <cell r="R342">
            <v>-1750.5357727933899</v>
          </cell>
          <cell r="S342">
            <v>-362.25056085463598</v>
          </cell>
          <cell r="T342">
            <v>-1333.98342393445</v>
          </cell>
          <cell r="U342">
            <v>-1858.4526935126501</v>
          </cell>
          <cell r="V342">
            <v>-1292.2603891424455</v>
          </cell>
          <cell r="W342">
            <v>-631.01436219937102</v>
          </cell>
          <cell r="X342">
            <v>-154.99318664514476</v>
          </cell>
          <cell r="Y342">
            <v>-595.97250167672678</v>
          </cell>
          <cell r="Z342">
            <v>-197.94800392670146</v>
          </cell>
          <cell r="AA342">
            <v>-8.163184235220486</v>
          </cell>
          <cell r="AB342">
            <v>740.06282591725164</v>
          </cell>
          <cell r="AC342">
            <v>-96.34589851833465</v>
          </cell>
          <cell r="AD342">
            <v>-513.93676332736413</v>
          </cell>
          <cell r="AE342">
            <v>-1430.5326867342665</v>
          </cell>
          <cell r="AF342">
            <v>-2519.5434272870143</v>
          </cell>
          <cell r="AG342">
            <v>-3358.2776536968286</v>
          </cell>
        </row>
        <row r="343">
          <cell r="B343" t="str">
            <v>Net income (Pub)</v>
          </cell>
          <cell r="C343" t="str">
            <v>NI_PUB</v>
          </cell>
          <cell r="D343" t="str">
            <v>USD</v>
          </cell>
          <cell r="F343">
            <v>244.73066282639201</v>
          </cell>
          <cell r="G343">
            <v>505.39323851801601</v>
          </cell>
          <cell r="H343">
            <v>277.58354605790998</v>
          </cell>
          <cell r="I343">
            <v>334.18720834477102</v>
          </cell>
          <cell r="J343">
            <v>131.83128547604301</v>
          </cell>
          <cell r="K343">
            <v>326.50059481692898</v>
          </cell>
          <cell r="L343">
            <v>1616.6688846086499</v>
          </cell>
          <cell r="M343">
            <v>-92.341047182433996</v>
          </cell>
          <cell r="N343">
            <v>204.467856884713</v>
          </cell>
          <cell r="O343">
            <v>410.00897792074898</v>
          </cell>
          <cell r="P343">
            <v>952.11185528479598</v>
          </cell>
          <cell r="Q343">
            <v>219.584125</v>
          </cell>
          <cell r="R343">
            <v>998.83068207915505</v>
          </cell>
          <cell r="S343">
            <v>517.71879435330004</v>
          </cell>
          <cell r="T343">
            <v>-703.38217915386394</v>
          </cell>
          <cell r="U343">
            <v>118.40843585237199</v>
          </cell>
          <cell r="V343">
            <v>765.53451545991174</v>
          </cell>
          <cell r="W343">
            <v>362.76246333062613</v>
          </cell>
          <cell r="X343">
            <v>209.01463117207572</v>
          </cell>
          <cell r="Y343">
            <v>423.91148763965884</v>
          </cell>
          <cell r="Z343">
            <v>395.69859641098691</v>
          </cell>
          <cell r="AA343">
            <v>424.48015665182663</v>
          </cell>
          <cell r="AB343">
            <v>260.4241373399334</v>
          </cell>
          <cell r="AC343">
            <v>318.5024647205193</v>
          </cell>
          <cell r="AD343">
            <v>289.7364167946414</v>
          </cell>
          <cell r="AE343">
            <v>75.668348932712348</v>
          </cell>
          <cell r="AF343">
            <v>231.69865709089609</v>
          </cell>
          <cell r="AG343">
            <v>132.15589305599013</v>
          </cell>
          <cell r="AI343">
            <v>109.70904221802141</v>
          </cell>
          <cell r="AJ343">
            <v>162.0672376206789</v>
          </cell>
          <cell r="AK343">
            <v>272.8550375469336</v>
          </cell>
          <cell r="AL343">
            <v>220.9031980742779</v>
          </cell>
          <cell r="AM343">
            <v>152.49976190476193</v>
          </cell>
          <cell r="AN343">
            <v>111.17279693486587</v>
          </cell>
          <cell r="AO343">
            <v>66.697406143344679</v>
          </cell>
          <cell r="AP343">
            <v>32.392498347653671</v>
          </cell>
          <cell r="AQ343">
            <v>43.877661016949169</v>
          </cell>
          <cell r="AR343">
            <v>88.752125878808215</v>
          </cell>
          <cell r="AS343">
            <v>50.921323780279785</v>
          </cell>
          <cell r="AT343">
            <v>25.463520496038559</v>
          </cell>
          <cell r="AU343">
            <v>221.00921890714051</v>
          </cell>
          <cell r="AV343">
            <v>60.440293529019392</v>
          </cell>
          <cell r="AW343">
            <v>117.35634706279539</v>
          </cell>
          <cell r="AX343">
            <v>25.105628140703487</v>
          </cell>
          <cell r="AY343">
            <v>38.869785831960506</v>
          </cell>
          <cell r="AZ343">
            <v>116.62494976557268</v>
          </cell>
          <cell r="BA343">
            <v>95.88766853008876</v>
          </cell>
          <cell r="BB343">
            <v>144.31619228336496</v>
          </cell>
          <cell r="BC343">
            <v>127.15367412140574</v>
          </cell>
          <cell r="BD343">
            <v>149.12074554294978</v>
          </cell>
          <cell r="BE343">
            <v>51.897904009720477</v>
          </cell>
          <cell r="BF343">
            <v>96.30783297775065</v>
          </cell>
          <cell r="BG343">
            <v>6.5062693978895032</v>
          </cell>
          <cell r="BH343">
            <v>80.051750852184739</v>
          </cell>
          <cell r="BI343">
            <v>94.858737244897952</v>
          </cell>
          <cell r="BJ343">
            <v>79.007379844961235</v>
          </cell>
          <cell r="BK343">
            <v>75.421313097987465</v>
          </cell>
          <cell r="BL343">
            <v>69.000887573964476</v>
          </cell>
          <cell r="BM343">
            <v>114.60910891089105</v>
          </cell>
          <cell r="BN343">
            <v>59.471155137676291</v>
          </cell>
          <cell r="BO343">
            <v>116.81202335967018</v>
          </cell>
          <cell r="BP343">
            <v>120.03868110236219</v>
          </cell>
          <cell r="BQ343">
            <v>56.444422572178482</v>
          </cell>
          <cell r="BR343">
            <v>-3.5587102395694585</v>
          </cell>
          <cell r="BS343">
            <v>3.0957829935846677</v>
          </cell>
          <cell r="BT343">
            <v>65.500700281607976</v>
          </cell>
          <cell r="BU343">
            <v>3.462971719089293</v>
          </cell>
          <cell r="BV343">
            <v>3.6088939384304166</v>
          </cell>
          <cell r="BW343">
            <v>4.216881196466745</v>
          </cell>
          <cell r="BX343">
            <v>219.75712274150345</v>
          </cell>
          <cell r="BY343">
            <v>4.5263735649436523</v>
          </cell>
          <cell r="BZ343">
            <v>3.1982795879822556</v>
          </cell>
          <cell r="CA343">
            <v>4.2750723942942939</v>
          </cell>
          <cell r="CB343">
            <v>122.93545914887103</v>
          </cell>
          <cell r="CC343">
            <v>2.9016046398240625</v>
          </cell>
          <cell r="CD343">
            <v>2.0437568730007571</v>
          </cell>
        </row>
        <row r="344">
          <cell r="B344" t="str">
            <v>EBIT, operating profit (Pub)</v>
          </cell>
          <cell r="C344" t="str">
            <v>EBIT_PUB</v>
          </cell>
          <cell r="D344" t="str">
            <v>USD</v>
          </cell>
          <cell r="F344">
            <v>252.07446848827101</v>
          </cell>
          <cell r="G344">
            <v>472.00309139404902</v>
          </cell>
          <cell r="H344">
            <v>223.15006199401901</v>
          </cell>
          <cell r="I344">
            <v>123.05771342300299</v>
          </cell>
          <cell r="J344">
            <v>11.733167809628</v>
          </cell>
          <cell r="K344">
            <v>171.72384943745101</v>
          </cell>
          <cell r="L344">
            <v>1387.2153260852299</v>
          </cell>
          <cell r="M344">
            <v>-163.49481965678899</v>
          </cell>
          <cell r="N344">
            <v>4.0757788218290001</v>
          </cell>
          <cell r="O344">
            <v>290.57856411756097</v>
          </cell>
          <cell r="P344">
            <v>731.20023919868402</v>
          </cell>
          <cell r="Q344">
            <v>-83.397468750000002</v>
          </cell>
          <cell r="R344">
            <v>187.52623440251099</v>
          </cell>
          <cell r="S344">
            <v>40.470934757725999</v>
          </cell>
          <cell r="T344">
            <v>-66.194595446308995</v>
          </cell>
          <cell r="U344">
            <v>56.467914724536001</v>
          </cell>
          <cell r="V344">
            <v>708.62091767942775</v>
          </cell>
          <cell r="W344">
            <v>179.56885109232894</v>
          </cell>
          <cell r="X344">
            <v>27.377297082574792</v>
          </cell>
          <cell r="Y344">
            <v>135.54198542148242</v>
          </cell>
          <cell r="Z344">
            <v>327.47365001119897</v>
          </cell>
          <cell r="AA344">
            <v>343.68770111083518</v>
          </cell>
          <cell r="AB344">
            <v>193.30812164988052</v>
          </cell>
          <cell r="AC344">
            <v>217.63966947698606</v>
          </cell>
          <cell r="AD344">
            <v>269.86411575995089</v>
          </cell>
          <cell r="AE344">
            <v>348.57070366290202</v>
          </cell>
          <cell r="AF344">
            <v>1111.2857031499543</v>
          </cell>
          <cell r="AG344">
            <v>415.3615942042581</v>
          </cell>
          <cell r="AI344">
            <v>99.567296786389406</v>
          </cell>
          <cell r="AJ344">
            <v>166.1432264092183</v>
          </cell>
          <cell r="AK344">
            <v>223.86066958698368</v>
          </cell>
          <cell r="AL344">
            <v>219.04972489683635</v>
          </cell>
          <cell r="AM344">
            <v>131.29744897959185</v>
          </cell>
          <cell r="AN344">
            <v>87.518390804597658</v>
          </cell>
          <cell r="AO344">
            <v>5.5386689419794966</v>
          </cell>
          <cell r="AP344">
            <v>-44.785657633840053</v>
          </cell>
          <cell r="AQ344">
            <v>8.982542372881376</v>
          </cell>
          <cell r="AR344">
            <v>72.656980247740236</v>
          </cell>
          <cell r="AS344">
            <v>-24.991402251791207</v>
          </cell>
          <cell r="AT344">
            <v>-29.27082328625562</v>
          </cell>
          <cell r="AU344">
            <v>9.8556151525310138</v>
          </cell>
          <cell r="AV344">
            <v>38.341194129419662</v>
          </cell>
          <cell r="AW344">
            <v>80.850033760972309</v>
          </cell>
          <cell r="AX344">
            <v>6.4951423785594331</v>
          </cell>
          <cell r="AY344">
            <v>30.993047775947328</v>
          </cell>
          <cell r="AZ344">
            <v>97.681078365706639</v>
          </cell>
          <cell r="BA344">
            <v>55.458632028937814</v>
          </cell>
          <cell r="BB344">
            <v>143.34089184060721</v>
          </cell>
          <cell r="BC344">
            <v>130.94798722044726</v>
          </cell>
          <cell r="BD344">
            <v>125.65416531604541</v>
          </cell>
          <cell r="BE344">
            <v>29.792284325637851</v>
          </cell>
          <cell r="BF344">
            <v>57.293264248704631</v>
          </cell>
          <cell r="BG344">
            <v>-0.51049037864680968</v>
          </cell>
          <cell r="BH344">
            <v>75.887976448714014</v>
          </cell>
          <cell r="BI344">
            <v>47.352806122448975</v>
          </cell>
          <cell r="BJ344">
            <v>70.577829457364345</v>
          </cell>
          <cell r="BK344">
            <v>45.226756845925436</v>
          </cell>
          <cell r="BL344">
            <v>54.818047337278102</v>
          </cell>
          <cell r="BM344">
            <v>53.765214521452108</v>
          </cell>
          <cell r="BN344">
            <v>63.82965077233041</v>
          </cell>
          <cell r="BO344">
            <v>26.430504981106122</v>
          </cell>
          <cell r="BP344">
            <v>104.3678149606299</v>
          </cell>
          <cell r="BQ344">
            <v>79.902690288713913</v>
          </cell>
          <cell r="BR344">
            <v>59.163105529500939</v>
          </cell>
          <cell r="BS344">
            <v>94.027357259854725</v>
          </cell>
          <cell r="BT344">
            <v>92.117891953572482</v>
          </cell>
          <cell r="BU344">
            <v>32.102887324391027</v>
          </cell>
          <cell r="BV344">
            <v>130.32256712508382</v>
          </cell>
          <cell r="BW344">
            <v>232.75601790761183</v>
          </cell>
          <cell r="BX344">
            <v>285.11264720264313</v>
          </cell>
          <cell r="BY344">
            <v>369.44803942481531</v>
          </cell>
          <cell r="BZ344">
            <v>223.96899861488404</v>
          </cell>
          <cell r="CA344">
            <v>288.79769863993482</v>
          </cell>
          <cell r="CB344">
            <v>163.91212457173339</v>
          </cell>
          <cell r="CC344">
            <v>48.377725753972562</v>
          </cell>
          <cell r="CD344">
            <v>-85.725954761382695</v>
          </cell>
        </row>
        <row r="345">
          <cell r="B345" t="str">
            <v>Pre-tax profit (Pub)</v>
          </cell>
          <cell r="C345" t="str">
            <v>PTP_PUB</v>
          </cell>
          <cell r="D345" t="str">
            <v>USD</v>
          </cell>
          <cell r="F345">
            <v>252.56956076856</v>
          </cell>
          <cell r="G345">
            <v>480.56779860698799</v>
          </cell>
          <cell r="H345">
            <v>262.20592954561999</v>
          </cell>
          <cell r="I345">
            <v>338.26084271205099</v>
          </cell>
          <cell r="J345">
            <v>118.317401676675</v>
          </cell>
          <cell r="K345">
            <v>327.36434675105602</v>
          </cell>
          <cell r="L345">
            <v>1609.5913786791</v>
          </cell>
          <cell r="M345">
            <v>-185.797655867278</v>
          </cell>
          <cell r="N345">
            <v>204.816595590893</v>
          </cell>
          <cell r="O345">
            <v>433.26126626699801</v>
          </cell>
          <cell r="P345">
            <v>953.125728808492</v>
          </cell>
          <cell r="Q345">
            <v>219.61031249999999</v>
          </cell>
          <cell r="R345">
            <v>1133.46211436883</v>
          </cell>
          <cell r="S345">
            <v>597.21782525753497</v>
          </cell>
          <cell r="T345">
            <v>-692.85971795477803</v>
          </cell>
          <cell r="U345">
            <v>51.134713838160003</v>
          </cell>
          <cell r="V345">
            <v>812.99130434782603</v>
          </cell>
          <cell r="W345">
            <v>318.86975439789234</v>
          </cell>
          <cell r="X345">
            <v>216.72190977826827</v>
          </cell>
          <cell r="Y345">
            <v>481.6161636485578</v>
          </cell>
          <cell r="Z345">
            <v>442.18900523560228</v>
          </cell>
          <cell r="AA345">
            <v>428.9066312167659</v>
          </cell>
          <cell r="AB345">
            <v>151.33920374707324</v>
          </cell>
          <cell r="AC345">
            <v>258.20451949341958</v>
          </cell>
          <cell r="AD345">
            <v>197.65093592830237</v>
          </cell>
          <cell r="AE345">
            <v>312.14927454494273</v>
          </cell>
          <cell r="AF345">
            <v>1073.5309078325483</v>
          </cell>
          <cell r="AG345">
            <v>378.20607113439422</v>
          </cell>
        </row>
        <row r="346">
          <cell r="B346" t="str">
            <v>Sales, revenue (Pub)</v>
          </cell>
          <cell r="C346" t="str">
            <v>REVS_PUB</v>
          </cell>
          <cell r="D346" t="str">
            <v>USD</v>
          </cell>
          <cell r="F346">
            <v>577.67681055064998</v>
          </cell>
          <cell r="G346">
            <v>914.10686044429394</v>
          </cell>
          <cell r="H346">
            <v>824.36189920501795</v>
          </cell>
          <cell r="I346">
            <v>860.863127916552</v>
          </cell>
          <cell r="J346">
            <v>551.36151723415901</v>
          </cell>
          <cell r="K346">
            <v>906.518291592477</v>
          </cell>
          <cell r="L346">
            <v>3345.5284061062398</v>
          </cell>
          <cell r="M346">
            <v>1886.22714543713</v>
          </cell>
          <cell r="N346">
            <v>1949.4252258764</v>
          </cell>
          <cell r="O346">
            <v>2481.7098991080602</v>
          </cell>
          <cell r="P346">
            <v>3507.6047241740198</v>
          </cell>
          <cell r="Q346">
            <v>2836.73246875</v>
          </cell>
          <cell r="R346">
            <v>3187.5866493148601</v>
          </cell>
          <cell r="S346">
            <v>3258.9408927890099</v>
          </cell>
          <cell r="T346">
            <v>3050.9271567005399</v>
          </cell>
          <cell r="U346">
            <v>2793.2991518300601</v>
          </cell>
          <cell r="V346">
            <v>4064.4060547095883</v>
          </cell>
          <cell r="W346">
            <v>3973.4143947146613</v>
          </cell>
          <cell r="X346">
            <v>3930.8892702078206</v>
          </cell>
          <cell r="Y346">
            <v>4152.4730626545952</v>
          </cell>
          <cell r="Z346">
            <v>4581.0766296863121</v>
          </cell>
          <cell r="AA346">
            <v>4539.5831573445848</v>
          </cell>
          <cell r="AB346">
            <v>4618.986505007616</v>
          </cell>
          <cell r="AC346">
            <v>4942.7031265886599</v>
          </cell>
          <cell r="AD346">
            <v>5285.9345787806033</v>
          </cell>
          <cell r="AE346">
            <v>6280.8372101083178</v>
          </cell>
          <cell r="AF346">
            <v>6571.3352856727679</v>
          </cell>
          <cell r="AG346">
            <v>6305.6964818296865</v>
          </cell>
          <cell r="AI346">
            <v>861.30409577819796</v>
          </cell>
          <cell r="AJ346">
            <v>953.54366241046409</v>
          </cell>
          <cell r="AK346">
            <v>1065.3853254067583</v>
          </cell>
          <cell r="AL346">
            <v>1184.1729711141679</v>
          </cell>
          <cell r="AM346">
            <v>1060.0570068027212</v>
          </cell>
          <cell r="AN346">
            <v>1103.4157088122604</v>
          </cell>
          <cell r="AO346">
            <v>948.80542662116034</v>
          </cell>
          <cell r="AP346">
            <v>861.13625247851951</v>
          </cell>
          <cell r="AQ346">
            <v>890.48928813559326</v>
          </cell>
          <cell r="AR346">
            <v>1016.9845999330432</v>
          </cell>
          <cell r="AS346">
            <v>1029.4659160696008</v>
          </cell>
          <cell r="AT346">
            <v>993.94946606958308</v>
          </cell>
          <cell r="AU346">
            <v>931.32470667113648</v>
          </cell>
          <cell r="AV346">
            <v>1064.1995997331555</v>
          </cell>
          <cell r="AW346">
            <v>1127.8451046590139</v>
          </cell>
          <cell r="AX346">
            <v>1029.1036515912897</v>
          </cell>
          <cell r="AY346">
            <v>1044.2696869851729</v>
          </cell>
          <cell r="AZ346">
            <v>1201.2508707300738</v>
          </cell>
          <cell r="BA346">
            <v>1157.9694179546202</v>
          </cell>
          <cell r="BB346">
            <v>1177.5866540164452</v>
          </cell>
          <cell r="BC346">
            <v>1202.8640255591054</v>
          </cell>
          <cell r="BD346">
            <v>1232.1411345218798</v>
          </cell>
          <cell r="BE346">
            <v>1072.8991798298905</v>
          </cell>
          <cell r="BF346">
            <v>1031.6788174337091</v>
          </cell>
          <cell r="BG346">
            <v>1067.7864369956549</v>
          </cell>
          <cell r="BH346">
            <v>1146.4678339014563</v>
          </cell>
          <cell r="BI346">
            <v>1216.9511798469389</v>
          </cell>
          <cell r="BJ346">
            <v>1187.7810542635659</v>
          </cell>
          <cell r="BK346">
            <v>1234.508413064995</v>
          </cell>
          <cell r="BL346">
            <v>1233.9868836291912</v>
          </cell>
          <cell r="BM346">
            <v>1244.1650495049505</v>
          </cell>
          <cell r="BN346">
            <v>1230.0427803895232</v>
          </cell>
          <cell r="BO346">
            <v>1288.1187564410857</v>
          </cell>
          <cell r="BP346">
            <v>1274.6580380577427</v>
          </cell>
          <cell r="BQ346">
            <v>1292.2131233595801</v>
          </cell>
          <cell r="BR346">
            <v>1430.9446609221945</v>
          </cell>
          <cell r="BS346">
            <v>1543.1290622478589</v>
          </cell>
          <cell r="BT346">
            <v>1593.9944144014212</v>
          </cell>
          <cell r="BU346">
            <v>1559.6961863825743</v>
          </cell>
          <cell r="BV346">
            <v>1584.0175470764636</v>
          </cell>
          <cell r="BW346">
            <v>1582.2967325509051</v>
          </cell>
          <cell r="BX346">
            <v>1687.8919433576154</v>
          </cell>
          <cell r="BY346">
            <v>1664.2528407865618</v>
          </cell>
          <cell r="BZ346">
            <v>1636.8937689776858</v>
          </cell>
          <cell r="CA346">
            <v>1612.3403624430209</v>
          </cell>
          <cell r="CB346">
            <v>1588.1552570063752</v>
          </cell>
          <cell r="CC346">
            <v>1564.3329281512799</v>
          </cell>
          <cell r="CD346">
            <v>1540.8679342290104</v>
          </cell>
        </row>
        <row r="347">
          <cell r="B347" t="str">
            <v>Total shareholders' equity (Pub)</v>
          </cell>
          <cell r="C347" t="str">
            <v>EQ_PUB</v>
          </cell>
          <cell r="D347" t="str">
            <v>USD</v>
          </cell>
          <cell r="F347">
            <v>706.38602342062404</v>
          </cell>
          <cell r="G347">
            <v>1182.5020310835901</v>
          </cell>
          <cell r="H347">
            <v>1677.7660272773701</v>
          </cell>
          <cell r="I347">
            <v>2290.7929247872598</v>
          </cell>
          <cell r="J347">
            <v>2289.5143923360502</v>
          </cell>
          <cell r="K347">
            <v>3710.7758434348498</v>
          </cell>
          <cell r="L347">
            <v>7577.13672179685</v>
          </cell>
          <cell r="M347">
            <v>6828.1295634180797</v>
          </cell>
          <cell r="N347">
            <v>6286.4723671846796</v>
          </cell>
          <cell r="O347">
            <v>6791.6924696593096</v>
          </cell>
          <cell r="P347">
            <v>7964.80789355659</v>
          </cell>
          <cell r="Q347">
            <v>8071.3610312500005</v>
          </cell>
          <cell r="R347">
            <v>8915.7121947485302</v>
          </cell>
          <cell r="S347">
            <v>7217.6082106066397</v>
          </cell>
          <cell r="T347">
            <v>6039.8107303238003</v>
          </cell>
          <cell r="U347">
            <v>6543.7840910827499</v>
          </cell>
          <cell r="V347">
            <v>7210.6983425414364</v>
          </cell>
          <cell r="W347">
            <v>7210.8426276876007</v>
          </cell>
          <cell r="X347">
            <v>6950.3369297425879</v>
          </cell>
          <cell r="Y347">
            <v>7124.1172367538566</v>
          </cell>
          <cell r="Z347">
            <v>7362.8550719895302</v>
          </cell>
          <cell r="AA347">
            <v>7157.2537691585858</v>
          </cell>
          <cell r="AB347">
            <v>6830.3395472287257</v>
          </cell>
          <cell r="AC347">
            <v>7086.7505670060427</v>
          </cell>
          <cell r="AD347">
            <v>7049.3404068651325</v>
          </cell>
          <cell r="AE347">
            <v>6792.9659058504049</v>
          </cell>
          <cell r="AF347">
            <v>6957.4160887034541</v>
          </cell>
          <cell r="AG347">
            <v>6883.6552227433776</v>
          </cell>
        </row>
        <row r="348">
          <cell r="B348" t="str">
            <v>EPS (consensus)</v>
          </cell>
          <cell r="C348" t="str">
            <v>EPS_CONS_PUB</v>
          </cell>
          <cell r="D348" t="str">
            <v>USD</v>
          </cell>
        </row>
        <row r="349">
          <cell r="A349" t="str">
            <v>Income Statement</v>
          </cell>
        </row>
        <row r="350">
          <cell r="B350" t="str">
            <v>Provision for income tax</v>
          </cell>
          <cell r="C350" t="str">
            <v>PROV_INC_TAX</v>
          </cell>
          <cell r="D350" t="str">
            <v>TWD</v>
          </cell>
          <cell r="F350">
            <v>-171.845</v>
          </cell>
          <cell r="G350">
            <v>693.50099999999998</v>
          </cell>
          <cell r="H350">
            <v>456.685</v>
          </cell>
          <cell r="I350">
            <v>-118.72199999999999</v>
          </cell>
          <cell r="J350">
            <v>451.75900000000001</v>
          </cell>
          <cell r="K350">
            <v>-27.772000000001</v>
          </cell>
          <cell r="L350">
            <v>222.30800000000099</v>
          </cell>
          <cell r="M350">
            <v>3195.4450000000002</v>
          </cell>
          <cell r="N350">
            <v>-12.061999999999999</v>
          </cell>
          <cell r="O350">
            <v>-795.11200000000099</v>
          </cell>
          <cell r="P350">
            <v>-33.908999999999999</v>
          </cell>
          <cell r="Q350">
            <v>-1.994</v>
          </cell>
          <cell r="R350">
            <v>-3208.2109999999998</v>
          </cell>
          <cell r="S350">
            <v>-1063.742</v>
          </cell>
          <cell r="T350">
            <v>-996.92100000000005</v>
          </cell>
          <cell r="U350">
            <v>-651.06799999999998</v>
          </cell>
          <cell r="V350">
            <v>-1606.114</v>
          </cell>
          <cell r="W350">
            <v>-913.43499999999995</v>
          </cell>
          <cell r="X350">
            <v>-2145.9829999999997</v>
          </cell>
          <cell r="Y350">
            <v>-2256.8339999999998</v>
          </cell>
          <cell r="Z350">
            <v>-2033.7070000000001</v>
          </cell>
          <cell r="AA350">
            <v>-876.49399999999991</v>
          </cell>
          <cell r="AB350">
            <v>-983.56299999999999</v>
          </cell>
          <cell r="AC350">
            <v>-1167.1570000000002</v>
          </cell>
          <cell r="AD350">
            <v>-421.9825696412654</v>
          </cell>
          <cell r="AE350">
            <v>-7207.9386126608006</v>
          </cell>
          <cell r="AF350">
            <v>-25659.047002605585</v>
          </cell>
          <cell r="AG350">
            <v>-7499.6094278297487</v>
          </cell>
        </row>
        <row r="351">
          <cell r="B351" t="str">
            <v>Minority interest</v>
          </cell>
          <cell r="C351" t="str">
            <v>INC_MINORITY</v>
          </cell>
          <cell r="D351" t="str">
            <v>TWD</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663.01700000000005</v>
          </cell>
          <cell r="U351">
            <v>2203.1379999999999</v>
          </cell>
          <cell r="V351">
            <v>52.948999999999998</v>
          </cell>
          <cell r="W351">
            <v>2142.779</v>
          </cell>
          <cell r="X351">
            <v>1945.5260000000001</v>
          </cell>
          <cell r="Y351">
            <v>525.24300000000005</v>
          </cell>
          <cell r="Z351">
            <v>661.75200000000007</v>
          </cell>
          <cell r="AA351">
            <v>612.97299999999996</v>
          </cell>
          <cell r="AB351">
            <v>4452.5849999999991</v>
          </cell>
          <cell r="AC351">
            <v>2997.4690000000005</v>
          </cell>
          <cell r="AD351">
            <v>3136.4110000000001</v>
          </cell>
          <cell r="AE351">
            <v>0</v>
          </cell>
          <cell r="AF351">
            <v>0</v>
          </cell>
          <cell r="AG351">
            <v>0</v>
          </cell>
        </row>
        <row r="352">
          <cell r="B352" t="str">
            <v>Net income (pre-preferred dividends)</v>
          </cell>
          <cell r="C352" t="str">
            <v>NI_PRE_PREF</v>
          </cell>
          <cell r="D352" t="str">
            <v>TWD</v>
          </cell>
          <cell r="F352">
            <v>6492.7079999999996</v>
          </cell>
          <cell r="G352">
            <v>13440.682000000001</v>
          </cell>
          <cell r="H352">
            <v>7646.8959999999997</v>
          </cell>
          <cell r="I352">
            <v>9739.5519999999997</v>
          </cell>
          <cell r="J352">
            <v>4407.0209999999997</v>
          </cell>
          <cell r="K352">
            <v>10497.892</v>
          </cell>
          <cell r="L352">
            <v>50780.377999999997</v>
          </cell>
          <cell r="M352">
            <v>-3157.3020000000001</v>
          </cell>
          <cell r="N352">
            <v>7072.0320000000002</v>
          </cell>
          <cell r="O352">
            <v>14020.257</v>
          </cell>
          <cell r="P352">
            <v>31843.381000000001</v>
          </cell>
          <cell r="Q352">
            <v>7025.5360000000001</v>
          </cell>
          <cell r="R352">
            <v>33807.828000000001</v>
          </cell>
          <cell r="S352">
            <v>18502.607</v>
          </cell>
          <cell r="T352">
            <v>-22320.075000000001</v>
          </cell>
          <cell r="U352">
            <v>3225.0699999999902</v>
          </cell>
          <cell r="V352">
            <v>23830.455999999998</v>
          </cell>
          <cell r="W352">
            <v>10609.695</v>
          </cell>
          <cell r="X352">
            <v>6177.1269999999895</v>
          </cell>
          <cell r="Y352">
            <v>12630.202999999996</v>
          </cell>
          <cell r="Z352">
            <v>12141.341000000008</v>
          </cell>
          <cell r="AA352">
            <v>13448.624000000007</v>
          </cell>
          <cell r="AB352">
            <v>8315.6600000000217</v>
          </cell>
          <cell r="AC352">
            <v>9628.7340000000058</v>
          </cell>
          <cell r="AD352">
            <v>8671.1335118979478</v>
          </cell>
          <cell r="AE352">
            <v>2306.3712754690532</v>
          </cell>
          <cell r="AF352">
            <v>7062.1750681304911</v>
          </cell>
          <cell r="AG352">
            <v>4028.1116203465872</v>
          </cell>
        </row>
        <row r="353">
          <cell r="B353" t="str">
            <v>Preferred dividends</v>
          </cell>
          <cell r="C353" t="str">
            <v>PREF_DIV</v>
          </cell>
          <cell r="D353" t="str">
            <v>TWD</v>
          </cell>
          <cell r="F353">
            <v>-35</v>
          </cell>
          <cell r="G353">
            <v>-35</v>
          </cell>
          <cell r="H353">
            <v>-35</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row>
        <row r="354">
          <cell r="B354" t="str">
            <v>Net income (pre-exceptionals)</v>
          </cell>
          <cell r="C354" t="str">
            <v>NET_EARNING</v>
          </cell>
          <cell r="D354" t="str">
            <v>TWD</v>
          </cell>
          <cell r="F354">
            <v>6457.7079999999996</v>
          </cell>
          <cell r="G354">
            <v>13405.682000000001</v>
          </cell>
          <cell r="H354">
            <v>7611.8959999999997</v>
          </cell>
          <cell r="I354">
            <v>9739.5519999999997</v>
          </cell>
          <cell r="J354">
            <v>4407.0209999999997</v>
          </cell>
          <cell r="K354">
            <v>10497.892</v>
          </cell>
          <cell r="L354">
            <v>50780.377999999997</v>
          </cell>
          <cell r="M354">
            <v>-3157.3020000000001</v>
          </cell>
          <cell r="N354">
            <v>7072.0320000000002</v>
          </cell>
          <cell r="O354">
            <v>14020.257</v>
          </cell>
          <cell r="P354">
            <v>31843.381000000001</v>
          </cell>
          <cell r="Q354">
            <v>7025.5360000000001</v>
          </cell>
          <cell r="R354">
            <v>33807.828000000001</v>
          </cell>
          <cell r="S354">
            <v>18502.607</v>
          </cell>
          <cell r="T354">
            <v>-22320.075000000001</v>
          </cell>
          <cell r="U354">
            <v>3225.0699999999902</v>
          </cell>
          <cell r="V354">
            <v>23830.455999999998</v>
          </cell>
          <cell r="W354">
            <v>10609.695</v>
          </cell>
          <cell r="X354">
            <v>6177.1269999999895</v>
          </cell>
          <cell r="Y354">
            <v>12630.202999999996</v>
          </cell>
          <cell r="Z354">
            <v>12141.341000000008</v>
          </cell>
          <cell r="AA354">
            <v>13448.624000000007</v>
          </cell>
          <cell r="AB354">
            <v>8315.6600000000217</v>
          </cell>
          <cell r="AC354">
            <v>9628.7340000000058</v>
          </cell>
          <cell r="AD354">
            <v>8671.1335118979478</v>
          </cell>
          <cell r="AE354">
            <v>2306.3712754690532</v>
          </cell>
          <cell r="AF354">
            <v>7062.1750681304911</v>
          </cell>
          <cell r="AG354">
            <v>4028.1116203465872</v>
          </cell>
        </row>
        <row r="355">
          <cell r="B355" t="str">
            <v>Post-tax exceptionals</v>
          </cell>
          <cell r="C355" t="str">
            <v>TAX_EXC</v>
          </cell>
          <cell r="D355" t="str">
            <v>TWD</v>
          </cell>
          <cell r="F355">
            <v>0</v>
          </cell>
          <cell r="G355">
            <v>0</v>
          </cell>
          <cell r="H355">
            <v>0</v>
          </cell>
          <cell r="I355">
            <v>0</v>
          </cell>
          <cell r="J355">
            <v>0</v>
          </cell>
          <cell r="K355">
            <v>0</v>
          </cell>
          <cell r="L355">
            <v>0</v>
          </cell>
          <cell r="M355">
            <v>0</v>
          </cell>
          <cell r="N355">
            <v>0</v>
          </cell>
          <cell r="O355">
            <v>0</v>
          </cell>
          <cell r="P355">
            <v>0</v>
          </cell>
          <cell r="Q355">
            <v>0</v>
          </cell>
          <cell r="R355">
            <v>-1188.5150000000001</v>
          </cell>
          <cell r="S355">
            <v>0</v>
          </cell>
          <cell r="T355">
            <v>0</v>
          </cell>
          <cell r="U355">
            <v>648.95799999999997</v>
          </cell>
          <cell r="V355">
            <v>0</v>
          </cell>
          <cell r="W355">
            <v>0</v>
          </cell>
          <cell r="X355">
            <v>0</v>
          </cell>
          <cell r="Y355">
            <v>0</v>
          </cell>
          <cell r="Z355">
            <v>0</v>
          </cell>
          <cell r="AA355">
            <v>0</v>
          </cell>
          <cell r="AB355">
            <v>0</v>
          </cell>
          <cell r="AC355">
            <v>0</v>
          </cell>
          <cell r="AD355">
            <v>0</v>
          </cell>
          <cell r="AE355">
            <v>0</v>
          </cell>
          <cell r="AF355">
            <v>0</v>
          </cell>
          <cell r="AG355">
            <v>0</v>
          </cell>
        </row>
        <row r="356">
          <cell r="B356" t="str">
            <v>Net income (post-exceptionals)</v>
          </cell>
          <cell r="C356" t="str">
            <v>NET_INC</v>
          </cell>
          <cell r="D356" t="str">
            <v>TWD</v>
          </cell>
          <cell r="F356">
            <v>6457.7079999999996</v>
          </cell>
          <cell r="G356">
            <v>13405.682000000001</v>
          </cell>
          <cell r="H356">
            <v>7611.8959999999997</v>
          </cell>
          <cell r="I356">
            <v>9739.5519999999997</v>
          </cell>
          <cell r="J356">
            <v>4407.0209999999997</v>
          </cell>
          <cell r="K356">
            <v>10497.892</v>
          </cell>
          <cell r="L356">
            <v>50780.377999999997</v>
          </cell>
          <cell r="M356">
            <v>-3157.3020000000001</v>
          </cell>
          <cell r="N356">
            <v>7072.0320000000002</v>
          </cell>
          <cell r="O356">
            <v>14020.257</v>
          </cell>
          <cell r="P356">
            <v>31843.381000000001</v>
          </cell>
          <cell r="Q356">
            <v>7026.692</v>
          </cell>
          <cell r="R356">
            <v>32619.312999999998</v>
          </cell>
          <cell r="S356">
            <v>16961.761999999999</v>
          </cell>
          <cell r="T356">
            <v>-22320.075000000001</v>
          </cell>
          <cell r="U356">
            <v>3874.0279999999898</v>
          </cell>
          <cell r="V356">
            <v>23830.455999999998</v>
          </cell>
          <cell r="W356">
            <v>10609.695</v>
          </cell>
          <cell r="X356">
            <v>6177.1269999999895</v>
          </cell>
          <cell r="Y356">
            <v>12630.202999999996</v>
          </cell>
          <cell r="Z356">
            <v>12141.341000000008</v>
          </cell>
          <cell r="AA356">
            <v>13448.624000000007</v>
          </cell>
          <cell r="AB356">
            <v>8315.6600000000217</v>
          </cell>
          <cell r="AC356">
            <v>9628.7340000000058</v>
          </cell>
          <cell r="AD356">
            <v>8671.1335118979478</v>
          </cell>
          <cell r="AE356">
            <v>2306.3712754690532</v>
          </cell>
          <cell r="AF356">
            <v>7062.1750681304911</v>
          </cell>
          <cell r="AG356">
            <v>4028.1116203465872</v>
          </cell>
          <cell r="AI356">
            <v>3482.1649999999995</v>
          </cell>
          <cell r="AJ356">
            <v>5203.9789999999994</v>
          </cell>
          <cell r="AK356">
            <v>8720.4469999999983</v>
          </cell>
          <cell r="AL356">
            <v>6423.8650000000007</v>
          </cell>
          <cell r="AM356">
            <v>4483.4930000000004</v>
          </cell>
          <cell r="AN356">
            <v>3191.7709999999993</v>
          </cell>
          <cell r="AO356">
            <v>1954.233999999999</v>
          </cell>
          <cell r="AP356">
            <v>980.19700000000012</v>
          </cell>
          <cell r="AQ356">
            <v>1294.3910000000005</v>
          </cell>
          <cell r="AR356">
            <v>2651.0260000000017</v>
          </cell>
          <cell r="AS356">
            <v>1492.5040000000004</v>
          </cell>
          <cell r="AT356">
            <v>739.20599999999934</v>
          </cell>
          <cell r="AU356">
            <v>6592.7050000000008</v>
          </cell>
          <cell r="AV356">
            <v>1812.0000000000014</v>
          </cell>
          <cell r="AW356">
            <v>3476.0949999999998</v>
          </cell>
          <cell r="AX356">
            <v>749.40299999999911</v>
          </cell>
          <cell r="AY356">
            <v>1179.6980000000015</v>
          </cell>
          <cell r="AZ356">
            <v>3482.4210000000003</v>
          </cell>
          <cell r="BA356">
            <v>2915.9439999999991</v>
          </cell>
          <cell r="BB356">
            <v>4563.2780000000002</v>
          </cell>
          <cell r="BC356">
            <v>3979.91</v>
          </cell>
          <cell r="BD356">
            <v>4600.3750000000009</v>
          </cell>
          <cell r="BE356">
            <v>1708.4789999999982</v>
          </cell>
          <cell r="BF356">
            <v>3159.8599999999992</v>
          </cell>
          <cell r="BG356">
            <v>209.63199999999978</v>
          </cell>
          <cell r="BH356">
            <v>2583.2700000000018</v>
          </cell>
          <cell r="BI356">
            <v>2974.7699999999995</v>
          </cell>
          <cell r="BJ356">
            <v>2547.9879999999998</v>
          </cell>
          <cell r="BK356">
            <v>2286.02</v>
          </cell>
          <cell r="BL356">
            <v>2099.0069999999996</v>
          </cell>
          <cell r="BM356">
            <v>3472.655999999999</v>
          </cell>
          <cell r="BN356">
            <v>1771.0509999999999</v>
          </cell>
          <cell r="BO356">
            <v>3400.3979999999988</v>
          </cell>
          <cell r="BP356">
            <v>3658.7789999999995</v>
          </cell>
          <cell r="BQ356">
            <v>1720.4260000000002</v>
          </cell>
          <cell r="BR356">
            <v>-108.46948810207709</v>
          </cell>
          <cell r="BS356">
            <v>94.35946564446067</v>
          </cell>
          <cell r="BT356">
            <v>1996.4613445834111</v>
          </cell>
          <cell r="BU356">
            <v>105.55137799784166</v>
          </cell>
          <cell r="BV356">
            <v>109.9990872433591</v>
          </cell>
          <cell r="BW356">
            <v>128.53053886830639</v>
          </cell>
          <cell r="BX356">
            <v>6698.1971011610249</v>
          </cell>
          <cell r="BY356">
            <v>137.96386625948253</v>
          </cell>
          <cell r="BZ356">
            <v>97.483561841699157</v>
          </cell>
          <cell r="CA356">
            <v>130.30420657809009</v>
          </cell>
          <cell r="CB356">
            <v>3747.0727948575891</v>
          </cell>
          <cell r="CC356">
            <v>88.440909421837432</v>
          </cell>
          <cell r="CD356">
            <v>62.293709489063076</v>
          </cell>
        </row>
        <row r="357">
          <cell r="B357" t="str">
            <v>EPS (pre-exceptionals, basic)</v>
          </cell>
          <cell r="C357" t="str">
            <v>EPS</v>
          </cell>
          <cell r="D357" t="str">
            <v>TWD</v>
          </cell>
          <cell r="F357">
            <v>4.3272225024670004</v>
          </cell>
          <cell r="G357">
            <v>8.4056784758610004</v>
          </cell>
          <cell r="H357">
            <v>4.3874936048470001</v>
          </cell>
          <cell r="I357">
            <v>4.9942476337770003</v>
          </cell>
          <cell r="J357">
            <v>2.0644915608279999</v>
          </cell>
          <cell r="K357">
            <v>4.9357244338550004</v>
          </cell>
          <cell r="L357">
            <v>16.840563368698</v>
          </cell>
          <cell r="M357">
            <v>-1.0019034662349999</v>
          </cell>
          <cell r="N357">
            <v>2.2289741117430002</v>
          </cell>
          <cell r="O357">
            <v>4.3748039253190001</v>
          </cell>
          <cell r="P357">
            <v>9.8389181082930008</v>
          </cell>
          <cell r="Q357">
            <v>2.2200697702840002</v>
          </cell>
          <cell r="R357">
            <v>10.998783647021</v>
          </cell>
          <cell r="S357">
            <v>7.0852796598559999</v>
          </cell>
          <cell r="T357">
            <v>-8.8230562970780007</v>
          </cell>
          <cell r="U357">
            <v>0.402352804653</v>
          </cell>
          <cell r="V357">
            <v>9.4961106639541164</v>
          </cell>
          <cell r="W357">
            <v>4.2325282216220277</v>
          </cell>
          <cell r="X357">
            <v>2.4475154049245158</v>
          </cell>
          <cell r="Y357">
            <v>5.0456527356755831</v>
          </cell>
          <cell r="Z357">
            <v>4.8599578102984529</v>
          </cell>
          <cell r="AA357">
            <v>5.3654165675841501</v>
          </cell>
          <cell r="AB357">
            <v>3.377547053233724</v>
          </cell>
          <cell r="AC357">
            <v>3.9435389540179444</v>
          </cell>
          <cell r="AD357">
            <v>3.489581087411235</v>
          </cell>
          <cell r="AE357">
            <v>0.92816810770841429</v>
          </cell>
          <cell r="AF357">
            <v>2.8420773962158954</v>
          </cell>
          <cell r="AG357">
            <v>1.621059358508965</v>
          </cell>
        </row>
        <row r="358">
          <cell r="B358" t="str">
            <v>EPS (pre-exceptionals, diluted)</v>
          </cell>
          <cell r="C358" t="str">
            <v>EPS_FUL_DIL</v>
          </cell>
          <cell r="D358" t="str">
            <v>TWD</v>
          </cell>
          <cell r="F358">
            <v>4.3272225024670004</v>
          </cell>
          <cell r="G358">
            <v>8.4056784758610004</v>
          </cell>
          <cell r="H358">
            <v>4.3874936048470001</v>
          </cell>
          <cell r="I358">
            <v>4.9942476337770003</v>
          </cell>
          <cell r="J358">
            <v>2.0644915608279999</v>
          </cell>
          <cell r="K358">
            <v>4.9357244338550004</v>
          </cell>
          <cell r="L358">
            <v>16.840563368698</v>
          </cell>
          <cell r="M358">
            <v>-1.0019034662349999</v>
          </cell>
          <cell r="N358">
            <v>2.2289741117430002</v>
          </cell>
          <cell r="O358">
            <v>4.3748039253190001</v>
          </cell>
          <cell r="P358">
            <v>9.8389181082930008</v>
          </cell>
          <cell r="Q358">
            <v>2.2200697702840002</v>
          </cell>
          <cell r="R358">
            <v>10.998783647021</v>
          </cell>
          <cell r="S358">
            <v>7.0852796598559999</v>
          </cell>
          <cell r="T358">
            <v>-8.8230562970780007</v>
          </cell>
          <cell r="U358">
            <v>0.402352804653</v>
          </cell>
          <cell r="V358">
            <v>9.4961106639541164</v>
          </cell>
          <cell r="W358">
            <v>4.2325282216220277</v>
          </cell>
          <cell r="X358">
            <v>2.4475154049245158</v>
          </cell>
          <cell r="Y358">
            <v>5.0456527356755831</v>
          </cell>
          <cell r="Z358">
            <v>4.8599578102984529</v>
          </cell>
          <cell r="AA358">
            <v>5.3654165675841501</v>
          </cell>
          <cell r="AB358">
            <v>3.377547053233724</v>
          </cell>
          <cell r="AC358">
            <v>3.9435389540179444</v>
          </cell>
          <cell r="AD358">
            <v>3.489581087411235</v>
          </cell>
          <cell r="AE358">
            <v>0.92816810770841429</v>
          </cell>
          <cell r="AF358">
            <v>2.8420773962158954</v>
          </cell>
          <cell r="AG358">
            <v>1.621059358508965</v>
          </cell>
        </row>
        <row r="359">
          <cell r="B359" t="str">
            <v>EPS (post-exceptionals, basic)</v>
          </cell>
          <cell r="C359" t="str">
            <v>EPS_POST_BASIC</v>
          </cell>
          <cell r="D359" t="str">
            <v>TWD</v>
          </cell>
          <cell r="F359">
            <v>4.3272225024670004</v>
          </cell>
          <cell r="G359">
            <v>8.4056784758610004</v>
          </cell>
          <cell r="H359">
            <v>4.3874936048470001</v>
          </cell>
          <cell r="I359">
            <v>4.9942476337770003</v>
          </cell>
          <cell r="J359">
            <v>2.0644915608279999</v>
          </cell>
          <cell r="K359">
            <v>4.9357244338550004</v>
          </cell>
          <cell r="L359">
            <v>16.840563368698</v>
          </cell>
          <cell r="M359">
            <v>-1.0019034662349999</v>
          </cell>
          <cell r="N359">
            <v>2.2289741117430002</v>
          </cell>
          <cell r="O359">
            <v>4.3748039253190001</v>
          </cell>
          <cell r="P359">
            <v>9.8389181082930008</v>
          </cell>
          <cell r="Q359">
            <v>2.2204350663489998</v>
          </cell>
          <cell r="R359">
            <v>10.612121145476999</v>
          </cell>
          <cell r="S359">
            <v>6.4952375248490002</v>
          </cell>
          <cell r="T359">
            <v>-8.5685284764990008</v>
          </cell>
          <cell r="U359">
            <v>1.525273727709</v>
          </cell>
          <cell r="V359">
            <v>9.4961106639541164</v>
          </cell>
          <cell r="W359">
            <v>4.2325282216220277</v>
          </cell>
          <cell r="X359">
            <v>2.4475154049245158</v>
          </cell>
          <cell r="Y359">
            <v>5.0456527356755831</v>
          </cell>
          <cell r="Z359">
            <v>4.8599578102984529</v>
          </cell>
          <cell r="AA359">
            <v>5.3654165675841501</v>
          </cell>
          <cell r="AB359">
            <v>3.377547053233724</v>
          </cell>
          <cell r="AC359">
            <v>3.9435389540179444</v>
          </cell>
          <cell r="AD359">
            <v>3.489581087411235</v>
          </cell>
          <cell r="AE359">
            <v>0.92816810770841429</v>
          </cell>
          <cell r="AF359">
            <v>2.8420773962158954</v>
          </cell>
          <cell r="AG359">
            <v>1.621059358508965</v>
          </cell>
        </row>
        <row r="360">
          <cell r="B360" t="str">
            <v>EPS (post-exceptionals, diluted)</v>
          </cell>
          <cell r="C360" t="str">
            <v>FULLY_DIL_EPS</v>
          </cell>
          <cell r="D360" t="str">
            <v>TWD</v>
          </cell>
          <cell r="F360">
            <v>4.3272225024670004</v>
          </cell>
          <cell r="G360">
            <v>8.4056784758610004</v>
          </cell>
          <cell r="H360">
            <v>4.3874936048470001</v>
          </cell>
          <cell r="I360">
            <v>4.9942476337770003</v>
          </cell>
          <cell r="J360">
            <v>2.0644915608279999</v>
          </cell>
          <cell r="K360">
            <v>4.9357244338550004</v>
          </cell>
          <cell r="L360">
            <v>16.840563368698</v>
          </cell>
          <cell r="M360">
            <v>-1.0019034662349999</v>
          </cell>
          <cell r="N360">
            <v>2.2289741117430002</v>
          </cell>
          <cell r="O360">
            <v>4.3748039253190001</v>
          </cell>
          <cell r="P360">
            <v>9.8389181082930008</v>
          </cell>
          <cell r="Q360">
            <v>2.2204350663489998</v>
          </cell>
          <cell r="R360">
            <v>10.612121145476999</v>
          </cell>
          <cell r="S360">
            <v>6.4952375248490002</v>
          </cell>
          <cell r="T360">
            <v>-8.5685284764990008</v>
          </cell>
          <cell r="U360">
            <v>1.525273727709</v>
          </cell>
          <cell r="V360">
            <v>9.4961106639541164</v>
          </cell>
          <cell r="W360">
            <v>4.2325282216220277</v>
          </cell>
          <cell r="X360">
            <v>2.4475154049245158</v>
          </cell>
          <cell r="Y360">
            <v>5.0456527356755831</v>
          </cell>
          <cell r="Z360">
            <v>4.8599578102984529</v>
          </cell>
          <cell r="AA360">
            <v>5.3654165675841501</v>
          </cell>
          <cell r="AB360">
            <v>3.377547053233724</v>
          </cell>
          <cell r="AC360">
            <v>3.9435389540179444</v>
          </cell>
          <cell r="AD360">
            <v>3.489581087411235</v>
          </cell>
          <cell r="AE360">
            <v>0.92816810770841429</v>
          </cell>
          <cell r="AF360">
            <v>2.8420773962158954</v>
          </cell>
          <cell r="AG360">
            <v>1.621059358508965</v>
          </cell>
        </row>
        <row r="361">
          <cell r="B361" t="str">
            <v>Common dividends paid</v>
          </cell>
          <cell r="C361" t="str">
            <v>COMMON_DIV_PAID</v>
          </cell>
          <cell r="D361" t="str">
            <v>TWD</v>
          </cell>
          <cell r="F361">
            <v>0</v>
          </cell>
          <cell r="G361">
            <v>0</v>
          </cell>
          <cell r="H361">
            <v>0</v>
          </cell>
          <cell r="I361">
            <v>-979.41200000000003</v>
          </cell>
          <cell r="J361">
            <v>-1182.8520000000001</v>
          </cell>
          <cell r="K361">
            <v>-879.92</v>
          </cell>
          <cell r="L361">
            <v>-105</v>
          </cell>
          <cell r="M361">
            <v>-105</v>
          </cell>
          <cell r="N361">
            <v>0</v>
          </cell>
          <cell r="O361">
            <v>0</v>
          </cell>
          <cell r="P361">
            <v>0</v>
          </cell>
          <cell r="Q361">
            <v>0</v>
          </cell>
          <cell r="R361">
            <v>-7161.2668299999996</v>
          </cell>
          <cell r="S361">
            <v>-12461.529283</v>
          </cell>
          <cell r="T361">
            <v>-9382.6469489999999</v>
          </cell>
          <cell r="U361">
            <v>0</v>
          </cell>
          <cell r="V361">
            <v>-14015.700999999999</v>
          </cell>
          <cell r="W361">
            <v>-6316.42</v>
          </cell>
          <cell r="X361">
            <v>-5061.3029999999999</v>
          </cell>
          <cell r="Y361">
            <v>-6253.15</v>
          </cell>
          <cell r="Z361">
            <v>-6939.0159999999996</v>
          </cell>
          <cell r="AA361">
            <v>-6906.7259999999997</v>
          </cell>
          <cell r="AB361">
            <v>-6103.1949999999997</v>
          </cell>
          <cell r="AC361">
            <v>-8557.3119999999999</v>
          </cell>
          <cell r="AD361">
            <v>-7706.2669770466619</v>
          </cell>
          <cell r="AE361">
            <v>-2049.7334947695745</v>
          </cell>
          <cell r="AF361">
            <v>-6276.3428148096973</v>
          </cell>
          <cell r="AG361">
            <v>-3579.889932168785</v>
          </cell>
        </row>
        <row r="362">
          <cell r="B362" t="str">
            <v>DPS, dividend per share</v>
          </cell>
          <cell r="C362" t="str">
            <v>DPS</v>
          </cell>
          <cell r="D362" t="str">
            <v>TWD</v>
          </cell>
          <cell r="F362">
            <v>0</v>
          </cell>
          <cell r="G362">
            <v>0</v>
          </cell>
          <cell r="H362">
            <v>0</v>
          </cell>
          <cell r="I362">
            <v>0.50222290137100001</v>
          </cell>
          <cell r="J362">
            <v>0.55411307813300004</v>
          </cell>
          <cell r="K362">
            <v>0.41370616537499999</v>
          </cell>
          <cell r="L362">
            <v>3.4821701282000003E-2</v>
          </cell>
          <cell r="M362">
            <v>3.3319544330999998E-2</v>
          </cell>
          <cell r="N362">
            <v>0</v>
          </cell>
          <cell r="O362">
            <v>0</v>
          </cell>
          <cell r="P362">
            <v>0</v>
          </cell>
          <cell r="R362">
            <v>2.3297925114189999</v>
          </cell>
          <cell r="S362">
            <v>4.7719448378029998</v>
          </cell>
          <cell r="T362">
            <v>3.6019358164090001</v>
          </cell>
          <cell r="U362">
            <v>0</v>
          </cell>
          <cell r="V362">
            <v>5.395671250413355</v>
          </cell>
          <cell r="W362">
            <v>2.413732457122642</v>
          </cell>
          <cell r="X362">
            <v>1.9538986282646076</v>
          </cell>
          <cell r="Y362">
            <v>2.4634059832753832</v>
          </cell>
          <cell r="Z362">
            <v>2.7264843565069325</v>
          </cell>
          <cell r="AA362">
            <v>2.7067934054833365</v>
          </cell>
          <cell r="AB362">
            <v>2.4172373753523821</v>
          </cell>
          <cell r="AC362">
            <v>3.3892173523787861</v>
          </cell>
          <cell r="AD362">
            <v>3.1012835243218051</v>
          </cell>
          <cell r="AE362">
            <v>0.82488768368827114</v>
          </cell>
          <cell r="AF362">
            <v>2.5258297723840979</v>
          </cell>
          <cell r="AG362">
            <v>1.4406785670142157</v>
          </cell>
        </row>
        <row r="363">
          <cell r="B363" t="str">
            <v>Weighted average shares outstanding, basic</v>
          </cell>
          <cell r="C363" t="str">
            <v>SH</v>
          </cell>
          <cell r="F363">
            <v>1492.3448000000001</v>
          </cell>
          <cell r="G363">
            <v>1594.8363999999999</v>
          </cell>
          <cell r="H363">
            <v>1734.9076</v>
          </cell>
          <cell r="I363">
            <v>1950.154</v>
          </cell>
          <cell r="J363">
            <v>2134.6761999999999</v>
          </cell>
          <cell r="K363">
            <v>2126.9202</v>
          </cell>
          <cell r="L363">
            <v>3015.3609999999999</v>
          </cell>
          <cell r="M363">
            <v>3151.3036000000002</v>
          </cell>
          <cell r="N363">
            <v>3172.7743999999998</v>
          </cell>
          <cell r="O363">
            <v>3204.7737999999999</v>
          </cell>
          <cell r="P363">
            <v>3236.4717999999998</v>
          </cell>
          <cell r="Q363">
            <v>3164.5563999999999</v>
          </cell>
          <cell r="R363">
            <v>3073.7788</v>
          </cell>
          <cell r="S363">
            <v>2611.4151999999999</v>
          </cell>
          <cell r="T363">
            <v>2604.8901000000001</v>
          </cell>
          <cell r="U363">
            <v>2539.8903355000002</v>
          </cell>
          <cell r="V363">
            <v>2509.4964500000001</v>
          </cell>
          <cell r="W363">
            <v>2506.7038999999995</v>
          </cell>
          <cell r="X363">
            <v>2523.8357999999998</v>
          </cell>
          <cell r="Y363">
            <v>2503.1851500000002</v>
          </cell>
          <cell r="Z363">
            <v>2498.2400000000002</v>
          </cell>
          <cell r="AA363">
            <v>2506.5386499999995</v>
          </cell>
          <cell r="AB363">
            <v>2462.0412000000001</v>
          </cell>
          <cell r="AC363">
            <v>2441.6480000000001</v>
          </cell>
          <cell r="AD363">
            <v>2484.8637399999998</v>
          </cell>
          <cell r="AE363">
            <v>2484.8637399999998</v>
          </cell>
          <cell r="AF363">
            <v>2484.8637399999998</v>
          </cell>
          <cell r="AG363">
            <v>2484.8637399999998</v>
          </cell>
        </row>
        <row r="364">
          <cell r="B364" t="str">
            <v>Diluted average shares outstanding (mn)</v>
          </cell>
          <cell r="C364" t="str">
            <v>DILUTE_SHARES</v>
          </cell>
          <cell r="F364">
            <v>1492.3448000000001</v>
          </cell>
          <cell r="G364">
            <v>1594.8363999999999</v>
          </cell>
          <cell r="H364">
            <v>1734.9076</v>
          </cell>
          <cell r="I364">
            <v>1950.154</v>
          </cell>
          <cell r="J364">
            <v>2134.6761999999999</v>
          </cell>
          <cell r="K364">
            <v>2126.9202</v>
          </cell>
          <cell r="L364">
            <v>3015.3609999999999</v>
          </cell>
          <cell r="M364">
            <v>3151.3036000000002</v>
          </cell>
          <cell r="N364">
            <v>3172.7743999999998</v>
          </cell>
          <cell r="O364">
            <v>3204.7737999999999</v>
          </cell>
          <cell r="P364">
            <v>3236.4717999999998</v>
          </cell>
          <cell r="Q364">
            <v>3164.5563999999999</v>
          </cell>
          <cell r="R364">
            <v>3073.7788</v>
          </cell>
          <cell r="S364">
            <v>2611.4151999999999</v>
          </cell>
          <cell r="T364">
            <v>2604.8901000000001</v>
          </cell>
          <cell r="U364">
            <v>2539.8903355000002</v>
          </cell>
          <cell r="V364">
            <v>2509.4964500000001</v>
          </cell>
          <cell r="W364">
            <v>2506.7038999999995</v>
          </cell>
          <cell r="X364">
            <v>2523.8357999999998</v>
          </cell>
          <cell r="Y364">
            <v>2503.1851500000002</v>
          </cell>
          <cell r="Z364">
            <v>2498.2400000000002</v>
          </cell>
          <cell r="AA364">
            <v>2506.5386499999995</v>
          </cell>
          <cell r="AB364">
            <v>2462.0412000000001</v>
          </cell>
          <cell r="AC364">
            <v>2441.6480000000001</v>
          </cell>
          <cell r="AD364">
            <v>2484.8637399999998</v>
          </cell>
          <cell r="AE364">
            <v>2484.8637399999998</v>
          </cell>
          <cell r="AF364">
            <v>2484.8637399999998</v>
          </cell>
          <cell r="AG364">
            <v>2484.8637399999998</v>
          </cell>
        </row>
        <row r="365">
          <cell r="B365" t="str">
            <v>Period-end shares outstanding</v>
          </cell>
          <cell r="C365" t="str">
            <v>NON_OP_ADD</v>
          </cell>
          <cell r="F365">
            <v>1492.3448000000001</v>
          </cell>
          <cell r="G365">
            <v>1594.8363999999999</v>
          </cell>
          <cell r="H365">
            <v>1734.9076</v>
          </cell>
          <cell r="I365">
            <v>1950.154</v>
          </cell>
          <cell r="J365">
            <v>2134.6761999999999</v>
          </cell>
          <cell r="K365">
            <v>2126.9202</v>
          </cell>
          <cell r="L365">
            <v>3015.3609999999999</v>
          </cell>
          <cell r="M365">
            <v>3151.3036000000002</v>
          </cell>
          <cell r="N365">
            <v>3172.7743999999998</v>
          </cell>
          <cell r="O365">
            <v>3204.7737999999999</v>
          </cell>
          <cell r="P365">
            <v>3236.4717999999998</v>
          </cell>
          <cell r="Q365">
            <v>3164.5563999999999</v>
          </cell>
          <cell r="R365">
            <v>3073.7788</v>
          </cell>
          <cell r="S365">
            <v>2611.4151999999999</v>
          </cell>
          <cell r="T365">
            <v>2604.8901000000001</v>
          </cell>
          <cell r="U365">
            <v>2539.8903355000002</v>
          </cell>
          <cell r="V365">
            <v>2597.5824600000001</v>
          </cell>
          <cell r="W365">
            <v>2616.86832</v>
          </cell>
          <cell r="X365">
            <v>2590.3611000000001</v>
          </cell>
          <cell r="Y365">
            <v>2538.4163400000002</v>
          </cell>
          <cell r="Z365">
            <v>2545.0415600000001</v>
          </cell>
          <cell r="AA365">
            <v>2551.6265800000001</v>
          </cell>
          <cell r="AB365">
            <v>2524.8637399999998</v>
          </cell>
          <cell r="AC365">
            <v>2524.8637399999998</v>
          </cell>
          <cell r="AD365">
            <v>2484.8637399999998</v>
          </cell>
          <cell r="AE365">
            <v>2484.8637399999998</v>
          </cell>
          <cell r="AF365">
            <v>2484.8637399999998</v>
          </cell>
          <cell r="AG365">
            <v>2484.8637399999998</v>
          </cell>
        </row>
        <row r="366">
          <cell r="A366" t="str">
            <v>Additional Income Statement Items</v>
          </cell>
        </row>
        <row r="367">
          <cell r="B367" t="str">
            <v>Marginal tax rate</v>
          </cell>
          <cell r="C367" t="str">
            <v>MARGIN_TAX_RATE</v>
          </cell>
          <cell r="F367">
            <v>2.5784925111000001E-2</v>
          </cell>
          <cell r="G367">
            <v>0</v>
          </cell>
          <cell r="H367">
            <v>0</v>
          </cell>
          <cell r="I367">
            <v>1.2042878906000001E-2</v>
          </cell>
          <cell r="J367">
            <v>0</v>
          </cell>
          <cell r="K367">
            <v>2.6385033760000002E-3</v>
          </cell>
          <cell r="L367">
            <v>0</v>
          </cell>
          <cell r="M367">
            <v>0.50300208712899996</v>
          </cell>
          <cell r="N367">
            <v>1.7026877399999999E-3</v>
          </cell>
          <cell r="O367">
            <v>5.3668052411999997E-2</v>
          </cell>
          <cell r="P367">
            <v>1.063735343E-3</v>
          </cell>
          <cell r="Q367">
            <v>2.8374122900000001E-4</v>
          </cell>
          <cell r="R367">
            <v>8.6670834769999996E-2</v>
          </cell>
          <cell r="S367">
            <v>5.4365891153000001E-2</v>
          </cell>
          <cell r="T367">
            <v>0</v>
          </cell>
          <cell r="U367">
            <v>0.38916198445900002</v>
          </cell>
          <cell r="V367">
            <v>6.3560614733943116E-2</v>
          </cell>
          <cell r="W367">
            <v>9.4240334803456491E-2</v>
          </cell>
          <cell r="X367">
            <v>0.37901126375295541</v>
          </cell>
          <cell r="Y367">
            <v>0.16578285491140843</v>
          </cell>
          <cell r="Z367">
            <v>0.15100541848969107</v>
          </cell>
          <cell r="AA367">
            <v>6.4246430029038223E-2</v>
          </cell>
          <cell r="AB367">
            <v>0.19527723421760607</v>
          </cell>
          <cell r="AC367">
            <v>0.15517692043831907</v>
          </cell>
          <cell r="AD367">
            <v>7.5456812152084357E-2</v>
          </cell>
          <cell r="AE367">
            <v>0.78692402758085478</v>
          </cell>
          <cell r="AF367">
            <v>0.79141525658215983</v>
          </cell>
          <cell r="AG367">
            <v>0.6694273782255018</v>
          </cell>
        </row>
        <row r="368">
          <cell r="B368" t="str">
            <v>Net income (consensus) (Pub)</v>
          </cell>
          <cell r="C368" t="str">
            <v>NI_CONS</v>
          </cell>
          <cell r="D368" t="str">
            <v>TWD</v>
          </cell>
        </row>
        <row r="369">
          <cell r="A369" t="str">
            <v>ESO</v>
          </cell>
        </row>
        <row r="370">
          <cell r="B370" t="str">
            <v>Fair value of grant</v>
          </cell>
          <cell r="C370" t="str">
            <v>FV_GRANT</v>
          </cell>
          <cell r="D370" t="str">
            <v>TWD</v>
          </cell>
        </row>
        <row r="371">
          <cell r="B371" t="str">
            <v>ESO expense (post-tax)</v>
          </cell>
          <cell r="C371" t="str">
            <v>ESO_POST_TAX</v>
          </cell>
          <cell r="D371" t="str">
            <v>TWD</v>
          </cell>
        </row>
        <row r="372">
          <cell r="B372" t="str">
            <v>EPS (excl. ESO expense, basic)</v>
          </cell>
          <cell r="C372" t="str">
            <v>EPS_EX_ESO_B</v>
          </cell>
          <cell r="D372" t="str">
            <v>TWD</v>
          </cell>
        </row>
        <row r="373">
          <cell r="B373" t="str">
            <v>EPS (excl. ESO expense, diluted)</v>
          </cell>
          <cell r="C373" t="str">
            <v>EPS_EX_ESO_D</v>
          </cell>
          <cell r="D373" t="str">
            <v>TWD</v>
          </cell>
        </row>
        <row r="374">
          <cell r="B374" t="str">
            <v>Year that ESO expense takes effect</v>
          </cell>
          <cell r="C374" t="str">
            <v>ESO_YEAR</v>
          </cell>
        </row>
        <row r="375">
          <cell r="A375" t="str">
            <v>Balance Sheet</v>
          </cell>
        </row>
        <row r="376">
          <cell r="B376" t="str">
            <v>BVPS, book value per share</v>
          </cell>
          <cell r="C376" t="str">
            <v>BVPS</v>
          </cell>
          <cell r="D376" t="str">
            <v>TWD</v>
          </cell>
          <cell r="F376">
            <v>12.490014372014</v>
          </cell>
          <cell r="G376">
            <v>19.667322616915001</v>
          </cell>
          <cell r="H376">
            <v>26.518818639102001</v>
          </cell>
          <cell r="I376">
            <v>34.234665057221001</v>
          </cell>
          <cell r="J376">
            <v>35.854032100981001</v>
          </cell>
          <cell r="K376">
            <v>56.095968245541002</v>
          </cell>
          <cell r="L376">
            <v>78.929737766057997</v>
          </cell>
          <cell r="M376">
            <v>74.085435310009998</v>
          </cell>
          <cell r="N376">
            <v>68.530987579829002</v>
          </cell>
          <cell r="O376">
            <v>72.467493337595002</v>
          </cell>
          <cell r="P376">
            <v>82.306603134932004</v>
          </cell>
          <cell r="Q376">
            <v>81.617617243289004</v>
          </cell>
          <cell r="R376">
            <v>94.725381995608004</v>
          </cell>
          <cell r="S376">
            <v>90.551241717517996</v>
          </cell>
          <cell r="T376">
            <v>73.576345504941003</v>
          </cell>
          <cell r="U376">
            <v>84.293503938962004</v>
          </cell>
          <cell r="V376">
            <v>84.439006798652315</v>
          </cell>
          <cell r="W376">
            <v>79.383851840126212</v>
          </cell>
          <cell r="X376">
            <v>77.965925677311944</v>
          </cell>
          <cell r="Y376">
            <v>81.988594510859457</v>
          </cell>
          <cell r="Z376">
            <v>86.898012384520769</v>
          </cell>
          <cell r="AA376">
            <v>88.880692722678873</v>
          </cell>
          <cell r="AB376">
            <v>85.778844841741829</v>
          </cell>
          <cell r="AC376">
            <v>84.39298035148623</v>
          </cell>
          <cell r="AD376">
            <v>85.29894500850898</v>
          </cell>
          <cell r="AE376">
            <v>83.125829591895581</v>
          </cell>
          <cell r="AF376">
            <v>85.14301930442322</v>
          </cell>
          <cell r="AG376">
            <v>84.238248890548078</v>
          </cell>
        </row>
        <row r="377">
          <cell r="A377" t="str">
            <v>Cash Flow Statement</v>
          </cell>
        </row>
        <row r="378">
          <cell r="B378" t="str">
            <v>Net income (pre-preferred dividends)</v>
          </cell>
          <cell r="C378" t="str">
            <v>CF_NI_PRE_PREF</v>
          </cell>
          <cell r="D378" t="str">
            <v>TWD</v>
          </cell>
          <cell r="F378">
            <v>6492.7079999999996</v>
          </cell>
          <cell r="G378">
            <v>13440.682000000001</v>
          </cell>
          <cell r="H378">
            <v>7646.8959999999997</v>
          </cell>
          <cell r="I378">
            <v>9739.5519999999997</v>
          </cell>
          <cell r="J378">
            <v>4407.0209999999997</v>
          </cell>
          <cell r="K378">
            <v>10497.892</v>
          </cell>
          <cell r="L378">
            <v>50780.377999999997</v>
          </cell>
          <cell r="M378">
            <v>-3157.3020000000001</v>
          </cell>
          <cell r="N378">
            <v>7072.0320000000002</v>
          </cell>
          <cell r="O378">
            <v>14020.257</v>
          </cell>
          <cell r="P378">
            <v>31843.381000000001</v>
          </cell>
          <cell r="Q378">
            <v>7025.5360000000001</v>
          </cell>
          <cell r="R378">
            <v>33807.828000000001</v>
          </cell>
          <cell r="S378">
            <v>18502.607</v>
          </cell>
          <cell r="T378">
            <v>-22983.092000000001</v>
          </cell>
          <cell r="U378">
            <v>1021.93199999999</v>
          </cell>
          <cell r="V378">
            <v>23830.455999999998</v>
          </cell>
          <cell r="W378">
            <v>10609.695</v>
          </cell>
          <cell r="X378">
            <v>6177.1269999999895</v>
          </cell>
          <cell r="Y378">
            <v>12630.202999999996</v>
          </cell>
          <cell r="Z378">
            <v>12141.341000000008</v>
          </cell>
          <cell r="AA378">
            <v>13448.624000000007</v>
          </cell>
          <cell r="AB378">
            <v>8315.6600000000217</v>
          </cell>
          <cell r="AC378">
            <v>9628.7340000000058</v>
          </cell>
          <cell r="AD378">
            <v>8671.1335118979205</v>
          </cell>
          <cell r="AE378">
            <v>2306.3712754690723</v>
          </cell>
          <cell r="AF378">
            <v>7062.175068130513</v>
          </cell>
          <cell r="AG378">
            <v>4028.1116203465799</v>
          </cell>
        </row>
        <row r="379">
          <cell r="A379" t="str">
            <v>Other Items</v>
          </cell>
        </row>
        <row r="380">
          <cell r="B380" t="str">
            <v>Adjusted EPS (fully loaded)</v>
          </cell>
          <cell r="C380" t="str">
            <v>ADJ_EPS_TW</v>
          </cell>
          <cell r="D380" t="str">
            <v>TWD</v>
          </cell>
          <cell r="F380">
            <v>0.82780963219799997</v>
          </cell>
          <cell r="G380">
            <v>5.2277034434380001</v>
          </cell>
          <cell r="H380">
            <v>0.89628375597599996</v>
          </cell>
          <cell r="I380">
            <v>3.6782541430059998</v>
          </cell>
          <cell r="J380">
            <v>1.2042669515869999</v>
          </cell>
          <cell r="K380">
            <v>1.6349957088189999</v>
          </cell>
          <cell r="L380">
            <v>14.861989509714</v>
          </cell>
          <cell r="M380">
            <v>-2.430128788607</v>
          </cell>
          <cell r="N380">
            <v>1.7703951784280001</v>
          </cell>
          <cell r="O380">
            <v>3.503977457005</v>
          </cell>
          <cell r="P380">
            <v>8.7776571767749996</v>
          </cell>
          <cell r="Q380">
            <v>1.863085049772</v>
          </cell>
          <cell r="R380">
            <v>9.8560096761029996</v>
          </cell>
          <cell r="S380">
            <v>8.2949717243139993</v>
          </cell>
          <cell r="T380">
            <v>-8.6097312154250005</v>
          </cell>
          <cell r="U380">
            <v>1.550528729546</v>
          </cell>
          <cell r="V380">
            <v>9.4961106639541146</v>
          </cell>
          <cell r="W380">
            <v>4.2325282216220286</v>
          </cell>
          <cell r="X380">
            <v>2.4475154049245171</v>
          </cell>
          <cell r="Y380">
            <v>5.0456527356755823</v>
          </cell>
          <cell r="Z380">
            <v>4.859957810298452</v>
          </cell>
          <cell r="AA380">
            <v>5.3654165675841492</v>
          </cell>
          <cell r="AB380">
            <v>3.3775470532337253</v>
          </cell>
          <cell r="AC380">
            <v>3.9435389540179449</v>
          </cell>
          <cell r="AD380">
            <v>3.489581087411235</v>
          </cell>
          <cell r="AE380">
            <v>0.92816810770841429</v>
          </cell>
          <cell r="AF380">
            <v>2.8420773962158954</v>
          </cell>
          <cell r="AG380">
            <v>1.621059358508965</v>
          </cell>
        </row>
        <row r="381">
          <cell r="B381" t="str">
            <v>Adjusted net income (fully loaded)</v>
          </cell>
          <cell r="C381" t="str">
            <v>ADJ_NI_TW</v>
          </cell>
          <cell r="D381" t="str">
            <v>TWD</v>
          </cell>
        </row>
        <row r="382">
          <cell r="B382" t="str">
            <v>Beta</v>
          </cell>
          <cell r="C382" t="str">
            <v>BETA_ANALYST</v>
          </cell>
        </row>
        <row r="383">
          <cell r="B383" t="str">
            <v>Market equity risk premium</v>
          </cell>
          <cell r="C383" t="str">
            <v>MKT_EQ_RISK_PREM</v>
          </cell>
        </row>
        <row r="384">
          <cell r="B384" t="str">
            <v>Risk-free rate</v>
          </cell>
          <cell r="C384" t="str">
            <v>RISK_FR_RATE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odel"/>
      <sheetName val="Assumption"/>
      <sheetName val="SUM"/>
      <sheetName val="PE PB"/>
      <sheetName val="Raw Data"/>
      <sheetName val="Basic Data TR"/>
      <sheetName val="6415.TW_Live_Sheet"/>
      <sheetName val="6415.TW_Validation_Sheet"/>
      <sheetName val="6415.TW_Annotation_Sheet"/>
      <sheetName val="6415.TW_Exchange_Sheet"/>
    </sheetNames>
    <sheetDataSet>
      <sheetData sheetId="0"/>
      <sheetData sheetId="1"/>
      <sheetData sheetId="2"/>
      <sheetData sheetId="3"/>
      <sheetData sheetId="4">
        <row r="7">
          <cell r="I7" t="str">
            <v>1yr FWD PE (LHS)</v>
          </cell>
        </row>
      </sheetData>
      <sheetData sheetId="5"/>
      <sheetData sheetId="6"/>
      <sheetData sheetId="7">
        <row r="1">
          <cell r="A1" t="str">
            <v>Issuer: Silergy Corp.</v>
          </cell>
          <cell r="C1">
            <v>1738832313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Actual</v>
          </cell>
          <cell r="AB2" t="str">
            <v>Preliminary</v>
          </cell>
          <cell r="AC2" t="str">
            <v>Preliminary</v>
          </cell>
          <cell r="AD2" t="str">
            <v>Estimate</v>
          </cell>
          <cell r="AE2" t="str">
            <v>Estimate</v>
          </cell>
          <cell r="AF2" t="str">
            <v>Estimate</v>
          </cell>
          <cell r="AG2" t="str">
            <v>Estimate</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Preliminary</v>
          </cell>
          <cell r="BK2" t="str">
            <v>Preliminary</v>
          </cell>
          <cell r="BL2" t="str">
            <v>Preliminary</v>
          </cell>
          <cell r="BM2" t="str">
            <v>Preliminary</v>
          </cell>
          <cell r="BN2" t="str">
            <v>Preliminary</v>
          </cell>
          <cell r="BO2" t="str">
            <v>Estimate</v>
          </cell>
          <cell r="BP2" t="str">
            <v>Estimate</v>
          </cell>
          <cell r="BQ2" t="str">
            <v>Estimate</v>
          </cell>
          <cell r="BR2" t="str">
            <v>Estimate</v>
          </cell>
          <cell r="BS2" t="str">
            <v>Estimate</v>
          </cell>
          <cell r="BT2" t="str">
            <v>Estimate</v>
          </cell>
          <cell r="BU2" t="str">
            <v>Estimate</v>
          </cell>
          <cell r="BV2" t="str">
            <v>Estimate</v>
          </cell>
          <cell r="BW2" t="str">
            <v>Estimate</v>
          </cell>
          <cell r="BX2" t="str">
            <v>Estimate</v>
          </cell>
          <cell r="BY2" t="str">
            <v>Estimate</v>
          </cell>
          <cell r="BZ2" t="str">
            <v>Estimate</v>
          </cell>
        </row>
        <row r="3">
          <cell r="F3">
            <v>34699</v>
          </cell>
          <cell r="G3">
            <v>35064</v>
          </cell>
          <cell r="H3">
            <v>35430</v>
          </cell>
          <cell r="I3">
            <v>35795</v>
          </cell>
          <cell r="J3">
            <v>36160</v>
          </cell>
          <cell r="K3">
            <v>36525</v>
          </cell>
          <cell r="L3">
            <v>36891</v>
          </cell>
          <cell r="M3">
            <v>37256</v>
          </cell>
          <cell r="N3">
            <v>37621</v>
          </cell>
          <cell r="O3">
            <v>37986</v>
          </cell>
          <cell r="P3">
            <v>38352</v>
          </cell>
          <cell r="Q3">
            <v>38717</v>
          </cell>
          <cell r="R3">
            <v>39082</v>
          </cell>
          <cell r="S3">
            <v>39447</v>
          </cell>
          <cell r="T3">
            <v>39813</v>
          </cell>
          <cell r="U3">
            <v>40178</v>
          </cell>
          <cell r="V3">
            <v>40543</v>
          </cell>
          <cell r="W3">
            <v>40908</v>
          </cell>
          <cell r="X3">
            <v>41274</v>
          </cell>
          <cell r="Y3">
            <v>41639</v>
          </cell>
          <cell r="Z3">
            <v>42004</v>
          </cell>
          <cell r="AA3">
            <v>42369</v>
          </cell>
          <cell r="AB3">
            <v>42735</v>
          </cell>
          <cell r="AC3">
            <v>43100</v>
          </cell>
          <cell r="AD3">
            <v>43465</v>
          </cell>
          <cell r="AE3">
            <v>43830</v>
          </cell>
          <cell r="AF3">
            <v>44196</v>
          </cell>
          <cell r="AG3">
            <v>44561</v>
          </cell>
          <cell r="AI3">
            <v>40268</v>
          </cell>
          <cell r="AJ3">
            <v>40359</v>
          </cell>
          <cell r="AK3">
            <v>40451</v>
          </cell>
          <cell r="AL3">
            <v>40543</v>
          </cell>
          <cell r="AM3">
            <v>40633</v>
          </cell>
          <cell r="AN3">
            <v>40724</v>
          </cell>
          <cell r="AO3">
            <v>40816</v>
          </cell>
          <cell r="AP3">
            <v>40908</v>
          </cell>
          <cell r="AQ3">
            <v>40999</v>
          </cell>
          <cell r="AR3">
            <v>41090</v>
          </cell>
          <cell r="AS3">
            <v>41182</v>
          </cell>
          <cell r="AT3">
            <v>41274</v>
          </cell>
          <cell r="AU3">
            <v>41364</v>
          </cell>
          <cell r="AV3">
            <v>41455</v>
          </cell>
          <cell r="AW3">
            <v>41547</v>
          </cell>
          <cell r="AX3">
            <v>41639</v>
          </cell>
          <cell r="AY3">
            <v>41729</v>
          </cell>
          <cell r="AZ3">
            <v>41820</v>
          </cell>
          <cell r="BA3">
            <v>41912</v>
          </cell>
          <cell r="BB3">
            <v>42004</v>
          </cell>
          <cell r="BC3">
            <v>42094</v>
          </cell>
          <cell r="BD3">
            <v>42185</v>
          </cell>
          <cell r="BE3">
            <v>42277</v>
          </cell>
          <cell r="BF3">
            <v>42369</v>
          </cell>
          <cell r="BG3">
            <v>42460</v>
          </cell>
          <cell r="BH3">
            <v>42551</v>
          </cell>
          <cell r="BI3">
            <v>42643</v>
          </cell>
          <cell r="BJ3">
            <v>42735</v>
          </cell>
          <cell r="BK3">
            <v>42825</v>
          </cell>
          <cell r="BL3">
            <v>42916</v>
          </cell>
          <cell r="BM3">
            <v>43008</v>
          </cell>
          <cell r="BN3">
            <v>43100</v>
          </cell>
          <cell r="BO3">
            <v>43190</v>
          </cell>
          <cell r="BP3">
            <v>43281</v>
          </cell>
          <cell r="BQ3">
            <v>43373</v>
          </cell>
          <cell r="BR3">
            <v>43465</v>
          </cell>
          <cell r="BS3">
            <v>43555</v>
          </cell>
          <cell r="BT3">
            <v>43646</v>
          </cell>
          <cell r="BU3">
            <v>43738</v>
          </cell>
          <cell r="BV3">
            <v>43830</v>
          </cell>
          <cell r="BW3">
            <v>43921</v>
          </cell>
          <cell r="BX3">
            <v>44012</v>
          </cell>
          <cell r="BY3">
            <v>44104</v>
          </cell>
          <cell r="BZ3">
            <v>44196</v>
          </cell>
        </row>
        <row r="4">
          <cell r="A4" t="str">
            <v>Issuer: Silergy Corp.</v>
          </cell>
          <cell r="B4" t="str">
            <v>44LZY</v>
          </cell>
        </row>
        <row r="5">
          <cell r="A5" t="str">
            <v>Reference Data</v>
          </cell>
        </row>
        <row r="6">
          <cell r="B6" t="str">
            <v>Issuer Name</v>
          </cell>
          <cell r="C6" t="str">
            <v>Issuer Name</v>
          </cell>
          <cell r="E6" t="str">
            <v>Silergy Corp.</v>
          </cell>
        </row>
        <row r="7">
          <cell r="B7" t="str">
            <v>Reporting Currency</v>
          </cell>
          <cell r="C7" t="str">
            <v>CURRENCY_ISO</v>
          </cell>
          <cell r="E7" t="str">
            <v>TWD</v>
          </cell>
        </row>
        <row r="8">
          <cell r="A8" t="str">
            <v>General Information</v>
          </cell>
        </row>
        <row r="9">
          <cell r="B9" t="str">
            <v>M&amp;A probability (1 = high, 3 = low)</v>
          </cell>
          <cell r="C9" t="str">
            <v>MA_PROB</v>
          </cell>
        </row>
        <row r="10">
          <cell r="A10" t="str">
            <v>Income Statement</v>
          </cell>
        </row>
        <row r="11">
          <cell r="B11" t="str">
            <v>Sales, net revenue</v>
          </cell>
          <cell r="C11" t="str">
            <v>SALES</v>
          </cell>
          <cell r="D11" t="str">
            <v>TWD</v>
          </cell>
          <cell r="L11">
            <v>0</v>
          </cell>
          <cell r="M11">
            <v>0</v>
          </cell>
          <cell r="N11">
            <v>0</v>
          </cell>
          <cell r="O11">
            <v>0</v>
          </cell>
          <cell r="P11">
            <v>0</v>
          </cell>
          <cell r="Q11">
            <v>0</v>
          </cell>
          <cell r="R11">
            <v>0</v>
          </cell>
          <cell r="S11">
            <v>0</v>
          </cell>
          <cell r="T11">
            <v>0</v>
          </cell>
          <cell r="U11">
            <v>0</v>
          </cell>
          <cell r="V11">
            <v>0</v>
          </cell>
          <cell r="W11">
            <v>0</v>
          </cell>
          <cell r="X11">
            <v>0</v>
          </cell>
          <cell r="Y11">
            <v>2087.181</v>
          </cell>
          <cell r="Z11">
            <v>3272.732</v>
          </cell>
          <cell r="AA11">
            <v>4700.9809999999998</v>
          </cell>
          <cell r="AB11">
            <v>7138.9030000000002</v>
          </cell>
          <cell r="AC11">
            <v>8599.2369999999992</v>
          </cell>
          <cell r="AY11">
            <v>564.11400000000003</v>
          </cell>
          <cell r="AZ11">
            <v>847.77499999999998</v>
          </cell>
          <cell r="BA11">
            <v>914.72</v>
          </cell>
          <cell r="BB11">
            <v>946.12300000000005</v>
          </cell>
          <cell r="BC11">
            <v>903.95100000000002</v>
          </cell>
          <cell r="BD11">
            <v>1250.6949999999999</v>
          </cell>
          <cell r="BE11">
            <v>1192.0050000000001</v>
          </cell>
          <cell r="BF11">
            <v>1354.33</v>
          </cell>
          <cell r="BG11">
            <v>1317.347</v>
          </cell>
          <cell r="BH11">
            <v>1798.6969999999999</v>
          </cell>
          <cell r="BI11">
            <v>1892.903</v>
          </cell>
          <cell r="BJ11">
            <v>2129.9560000000001</v>
          </cell>
          <cell r="BK11">
            <v>1830.566</v>
          </cell>
          <cell r="BL11">
            <v>2184.607</v>
          </cell>
          <cell r="BM11">
            <v>2282.3649999999998</v>
          </cell>
          <cell r="BN11">
            <v>2301.6990000000001</v>
          </cell>
        </row>
        <row r="12">
          <cell r="B12" t="str">
            <v>Compensation &amp; benfits expense</v>
          </cell>
          <cell r="C12" t="str">
            <v>PERSONNEL</v>
          </cell>
          <cell r="D12" t="str">
            <v>TWD</v>
          </cell>
        </row>
        <row r="13">
          <cell r="B13" t="str">
            <v>Cost of goods sold, COGS</v>
          </cell>
          <cell r="C13" t="str">
            <v>COST_GD_SD</v>
          </cell>
          <cell r="D13" t="str">
            <v>TWD</v>
          </cell>
          <cell r="L13">
            <v>0</v>
          </cell>
          <cell r="M13">
            <v>0</v>
          </cell>
          <cell r="N13">
            <v>0</v>
          </cell>
          <cell r="O13">
            <v>0</v>
          </cell>
          <cell r="P13">
            <v>0</v>
          </cell>
          <cell r="Q13">
            <v>0</v>
          </cell>
          <cell r="R13">
            <v>0</v>
          </cell>
          <cell r="S13">
            <v>0</v>
          </cell>
          <cell r="T13">
            <v>0</v>
          </cell>
          <cell r="U13">
            <v>0</v>
          </cell>
          <cell r="V13">
            <v>0</v>
          </cell>
          <cell r="W13">
            <v>0</v>
          </cell>
          <cell r="X13">
            <v>0</v>
          </cell>
          <cell r="Y13">
            <v>-1080.328</v>
          </cell>
          <cell r="Z13">
            <v>-1784.837</v>
          </cell>
          <cell r="AA13">
            <v>-2520.2779999999998</v>
          </cell>
          <cell r="AB13">
            <v>-3738.2930000000001</v>
          </cell>
          <cell r="AC13">
            <v>-4494.6319999999996</v>
          </cell>
          <cell r="AU13">
            <v>-188.34100000000001</v>
          </cell>
          <cell r="AV13">
            <v>-270.827</v>
          </cell>
          <cell r="AW13">
            <v>-274.45499999999998</v>
          </cell>
          <cell r="AX13">
            <v>-346.70499999999998</v>
          </cell>
          <cell r="AY13">
            <v>-297.82400000000001</v>
          </cell>
          <cell r="AZ13">
            <v>-450.935</v>
          </cell>
          <cell r="BA13">
            <v>-514.13199999999995</v>
          </cell>
          <cell r="BB13">
            <v>-521.94600000000003</v>
          </cell>
          <cell r="BC13">
            <v>-474.202</v>
          </cell>
          <cell r="BD13">
            <v>-660.36300000000006</v>
          </cell>
          <cell r="BE13">
            <v>-638.80100000000004</v>
          </cell>
          <cell r="BF13">
            <v>-746.91200000000003</v>
          </cell>
          <cell r="BG13">
            <v>-719.77300000000002</v>
          </cell>
          <cell r="BH13">
            <v>-953.53099999999995</v>
          </cell>
          <cell r="BI13">
            <v>-995.94100000000003</v>
          </cell>
          <cell r="BJ13">
            <v>-1069.048</v>
          </cell>
          <cell r="BK13">
            <v>-949.37599999999998</v>
          </cell>
          <cell r="BL13">
            <v>-1124.5830000000001</v>
          </cell>
          <cell r="BM13">
            <v>-1197.4010000000001</v>
          </cell>
          <cell r="BN13">
            <v>-1223.2719999999999</v>
          </cell>
        </row>
        <row r="14">
          <cell r="B14" t="str">
            <v>SG&amp;A, selling, general and admin. expense</v>
          </cell>
          <cell r="C14" t="str">
            <v>SEL_GL_AD</v>
          </cell>
          <cell r="D14" t="str">
            <v>TWD</v>
          </cell>
          <cell r="Y14">
            <v>-237.68799999999999</v>
          </cell>
          <cell r="Z14">
            <v>-334.34500000000003</v>
          </cell>
          <cell r="AA14">
            <v>-390.84199999999998</v>
          </cell>
          <cell r="AB14">
            <v>-952.697</v>
          </cell>
          <cell r="AC14">
            <v>-1082.7159999999999</v>
          </cell>
        </row>
        <row r="15">
          <cell r="B15" t="str">
            <v>Total operating expense</v>
          </cell>
          <cell r="C15" t="str">
            <v>OP_COST</v>
          </cell>
          <cell r="D15" t="str">
            <v>TWD</v>
          </cell>
          <cell r="Y15">
            <v>-1318.0160000000001</v>
          </cell>
          <cell r="Z15">
            <v>-2119.1819999999998</v>
          </cell>
          <cell r="AA15">
            <v>-2911.12</v>
          </cell>
          <cell r="AB15">
            <v>-4690.99</v>
          </cell>
          <cell r="AC15">
            <v>-5577.348</v>
          </cell>
        </row>
        <row r="16">
          <cell r="B16" t="str">
            <v>R&amp;D expense</v>
          </cell>
          <cell r="C16" t="str">
            <v>RD_EXP</v>
          </cell>
          <cell r="D16" t="str">
            <v>TWD</v>
          </cell>
          <cell r="L16">
            <v>0</v>
          </cell>
          <cell r="M16">
            <v>0</v>
          </cell>
          <cell r="N16">
            <v>0</v>
          </cell>
          <cell r="O16">
            <v>0</v>
          </cell>
          <cell r="P16">
            <v>0</v>
          </cell>
          <cell r="Q16">
            <v>0</v>
          </cell>
          <cell r="R16">
            <v>0</v>
          </cell>
          <cell r="S16">
            <v>0</v>
          </cell>
          <cell r="T16">
            <v>0</v>
          </cell>
          <cell r="U16">
            <v>0</v>
          </cell>
          <cell r="V16">
            <v>0</v>
          </cell>
          <cell r="W16">
            <v>0</v>
          </cell>
          <cell r="X16">
            <v>0</v>
          </cell>
          <cell r="Y16">
            <v>-234.36799999999999</v>
          </cell>
          <cell r="Z16">
            <v>-390.46899999999999</v>
          </cell>
          <cell r="AA16">
            <v>-614.68399999999997</v>
          </cell>
          <cell r="AB16">
            <v>-1009.598</v>
          </cell>
          <cell r="AC16">
            <v>-1167.951</v>
          </cell>
        </row>
        <row r="17">
          <cell r="B17" t="str">
            <v>Other operating income/(expense) (incl. leases)</v>
          </cell>
          <cell r="C17" t="str">
            <v>OTH_OP_INC_EXP</v>
          </cell>
          <cell r="D17" t="str">
            <v>TWD</v>
          </cell>
        </row>
        <row r="18">
          <cell r="B18" t="str">
            <v>Total operating expense (incl. D&amp;A)</v>
          </cell>
          <cell r="C18" t="str">
            <v>TOT_OPS_EXP_DDA</v>
          </cell>
          <cell r="D18" t="str">
            <v>TWD</v>
          </cell>
          <cell r="L18">
            <v>0</v>
          </cell>
          <cell r="M18">
            <v>0</v>
          </cell>
          <cell r="N18">
            <v>0</v>
          </cell>
          <cell r="O18">
            <v>0</v>
          </cell>
          <cell r="P18">
            <v>0</v>
          </cell>
          <cell r="Q18">
            <v>0</v>
          </cell>
          <cell r="R18">
            <v>0</v>
          </cell>
          <cell r="S18">
            <v>0</v>
          </cell>
          <cell r="T18">
            <v>0</v>
          </cell>
          <cell r="U18">
            <v>0</v>
          </cell>
          <cell r="V18">
            <v>0</v>
          </cell>
          <cell r="W18">
            <v>0</v>
          </cell>
          <cell r="X18">
            <v>0</v>
          </cell>
          <cell r="Y18">
            <v>-1552.384</v>
          </cell>
          <cell r="Z18">
            <v>-2509.6509999999998</v>
          </cell>
          <cell r="AA18">
            <v>-3525.8040000000001</v>
          </cell>
          <cell r="AB18">
            <v>-5700.5879999999997</v>
          </cell>
          <cell r="AC18">
            <v>-6745.299</v>
          </cell>
        </row>
        <row r="19">
          <cell r="B19" t="str">
            <v>Total operating expense (excl. D&amp;A)</v>
          </cell>
          <cell r="C19" t="str">
            <v>TOT_OPS_EXP</v>
          </cell>
          <cell r="D19" t="str">
            <v>TWD</v>
          </cell>
          <cell r="L19">
            <v>0</v>
          </cell>
          <cell r="M19">
            <v>0</v>
          </cell>
          <cell r="N19">
            <v>0</v>
          </cell>
          <cell r="O19">
            <v>0</v>
          </cell>
          <cell r="P19">
            <v>0</v>
          </cell>
          <cell r="Q19">
            <v>0</v>
          </cell>
          <cell r="R19">
            <v>0</v>
          </cell>
          <cell r="S19">
            <v>0</v>
          </cell>
          <cell r="T19">
            <v>0</v>
          </cell>
          <cell r="U19">
            <v>0</v>
          </cell>
          <cell r="V19">
            <v>0</v>
          </cell>
          <cell r="W19">
            <v>0</v>
          </cell>
          <cell r="X19">
            <v>0</v>
          </cell>
          <cell r="Y19">
            <v>-1540.5060000000001</v>
          </cell>
          <cell r="Z19">
            <v>-2486.3209999999999</v>
          </cell>
          <cell r="AA19">
            <v>-3486.9830000000002</v>
          </cell>
          <cell r="AB19">
            <v>-5474.1530000000002</v>
          </cell>
          <cell r="AC19">
            <v>-6508.2049999999999</v>
          </cell>
        </row>
        <row r="20">
          <cell r="B20" t="str">
            <v>EBITDA</v>
          </cell>
          <cell r="C20" t="str">
            <v>EBITDA_CALC</v>
          </cell>
          <cell r="D20" t="str">
            <v>TWD</v>
          </cell>
          <cell r="L20">
            <v>0</v>
          </cell>
          <cell r="M20">
            <v>0</v>
          </cell>
          <cell r="N20">
            <v>0</v>
          </cell>
          <cell r="O20">
            <v>0</v>
          </cell>
          <cell r="P20">
            <v>0</v>
          </cell>
          <cell r="Q20">
            <v>0</v>
          </cell>
          <cell r="R20">
            <v>0</v>
          </cell>
          <cell r="S20">
            <v>0</v>
          </cell>
          <cell r="T20">
            <v>0</v>
          </cell>
          <cell r="U20">
            <v>0</v>
          </cell>
          <cell r="V20">
            <v>0</v>
          </cell>
          <cell r="W20">
            <v>0</v>
          </cell>
          <cell r="X20">
            <v>0</v>
          </cell>
          <cell r="Y20">
            <v>546.67499999999995</v>
          </cell>
          <cell r="Z20">
            <v>786.41099999999994</v>
          </cell>
          <cell r="AA20">
            <v>1213.998</v>
          </cell>
          <cell r="AB20">
            <v>1664.75</v>
          </cell>
          <cell r="AC20">
            <v>2091.0320000000002</v>
          </cell>
        </row>
        <row r="21">
          <cell r="B21" t="str">
            <v>Depreciation</v>
          </cell>
          <cell r="C21" t="str">
            <v>DEPREC</v>
          </cell>
          <cell r="D21" t="str">
            <v>TWD</v>
          </cell>
          <cell r="Y21">
            <v>-8.9700000000000006</v>
          </cell>
          <cell r="Z21">
            <v>-13.863</v>
          </cell>
          <cell r="AA21">
            <v>-18.986999999999998</v>
          </cell>
          <cell r="AB21">
            <v>-26.818000000000001</v>
          </cell>
          <cell r="AC21">
            <v>-34.018000000000001</v>
          </cell>
        </row>
        <row r="22">
          <cell r="B22" t="str">
            <v>Amortization</v>
          </cell>
          <cell r="C22" t="str">
            <v>GOODWILL_AMORT</v>
          </cell>
          <cell r="D22" t="str">
            <v>TWD</v>
          </cell>
          <cell r="Y22">
            <v>-2.9079999999999999</v>
          </cell>
          <cell r="Z22">
            <v>-9.4670000000000005</v>
          </cell>
          <cell r="AA22">
            <v>-19.834</v>
          </cell>
          <cell r="AB22">
            <v>-199.61699999999999</v>
          </cell>
          <cell r="AC22">
            <v>-203.07599999999999</v>
          </cell>
        </row>
        <row r="23">
          <cell r="B23" t="str">
            <v>EBIT, operating profit</v>
          </cell>
          <cell r="C23" t="str">
            <v>EBIT</v>
          </cell>
          <cell r="D23" t="str">
            <v>TWD</v>
          </cell>
          <cell r="L23">
            <v>0</v>
          </cell>
          <cell r="M23">
            <v>0</v>
          </cell>
          <cell r="N23">
            <v>0</v>
          </cell>
          <cell r="O23">
            <v>0</v>
          </cell>
          <cell r="P23">
            <v>0</v>
          </cell>
          <cell r="Q23">
            <v>0</v>
          </cell>
          <cell r="R23">
            <v>0</v>
          </cell>
          <cell r="S23">
            <v>0</v>
          </cell>
          <cell r="T23">
            <v>0</v>
          </cell>
          <cell r="U23">
            <v>0</v>
          </cell>
          <cell r="V23">
            <v>0</v>
          </cell>
          <cell r="W23">
            <v>0</v>
          </cell>
          <cell r="X23">
            <v>0</v>
          </cell>
          <cell r="Y23">
            <v>534.79700000000003</v>
          </cell>
          <cell r="Z23">
            <v>763.08100000000002</v>
          </cell>
          <cell r="AA23">
            <v>1175.1769999999999</v>
          </cell>
          <cell r="AB23">
            <v>1438.3150000000001</v>
          </cell>
          <cell r="AC23">
            <v>1853.9380000000001</v>
          </cell>
        </row>
        <row r="24">
          <cell r="B24" t="str">
            <v>Interest income</v>
          </cell>
          <cell r="C24" t="str">
            <v>INT_INC_IND</v>
          </cell>
          <cell r="D24" t="str">
            <v>TWD</v>
          </cell>
          <cell r="L24">
            <v>0</v>
          </cell>
          <cell r="M24">
            <v>0</v>
          </cell>
          <cell r="N24">
            <v>0</v>
          </cell>
          <cell r="O24">
            <v>0</v>
          </cell>
          <cell r="P24">
            <v>0</v>
          </cell>
          <cell r="Q24">
            <v>0</v>
          </cell>
          <cell r="R24">
            <v>0</v>
          </cell>
          <cell r="S24">
            <v>0</v>
          </cell>
          <cell r="T24">
            <v>0</v>
          </cell>
          <cell r="U24">
            <v>0</v>
          </cell>
          <cell r="V24">
            <v>0</v>
          </cell>
          <cell r="W24">
            <v>0</v>
          </cell>
          <cell r="X24">
            <v>0</v>
          </cell>
          <cell r="Y24">
            <v>2.7330000000000001</v>
          </cell>
          <cell r="Z24">
            <v>13.384</v>
          </cell>
          <cell r="AA24">
            <v>16.094999999999999</v>
          </cell>
          <cell r="AB24">
            <v>16.824999999999999</v>
          </cell>
          <cell r="AC24">
            <v>30.835000000000001</v>
          </cell>
        </row>
        <row r="25">
          <cell r="B25" t="str">
            <v>Interest expense</v>
          </cell>
          <cell r="C25" t="str">
            <v>INT_EXP_IND</v>
          </cell>
          <cell r="D25" t="str">
            <v>TWD</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-61.765000000000001</v>
          </cell>
          <cell r="AC25">
            <v>-20.556000000000001</v>
          </cell>
        </row>
        <row r="26">
          <cell r="B26" t="str">
            <v>Net interest income/(expense)</v>
          </cell>
          <cell r="C26" t="str">
            <v>NET_INT_EXP</v>
          </cell>
          <cell r="D26" t="str">
            <v>TWD</v>
          </cell>
          <cell r="L26">
            <v>0</v>
          </cell>
          <cell r="M26">
            <v>0</v>
          </cell>
          <cell r="N26">
            <v>0</v>
          </cell>
          <cell r="O26">
            <v>0</v>
          </cell>
          <cell r="P26">
            <v>0</v>
          </cell>
          <cell r="Q26">
            <v>0</v>
          </cell>
          <cell r="R26">
            <v>0</v>
          </cell>
          <cell r="S26">
            <v>0</v>
          </cell>
          <cell r="T26">
            <v>0</v>
          </cell>
          <cell r="U26">
            <v>0</v>
          </cell>
          <cell r="V26">
            <v>0</v>
          </cell>
          <cell r="W26">
            <v>0</v>
          </cell>
          <cell r="X26">
            <v>0</v>
          </cell>
          <cell r="Y26">
            <v>2.7330000000000001</v>
          </cell>
          <cell r="Z26">
            <v>13.384</v>
          </cell>
          <cell r="AA26">
            <v>16.094999999999999</v>
          </cell>
          <cell r="AB26">
            <v>-44.94</v>
          </cell>
          <cell r="AC26">
            <v>10.279</v>
          </cell>
        </row>
        <row r="27">
          <cell r="B27" t="str">
            <v>Income/(loss) from unconsolidated subs &amp; associates</v>
          </cell>
          <cell r="C27" t="str">
            <v>ASSOCIATE</v>
          </cell>
          <cell r="D27" t="str">
            <v>TWD</v>
          </cell>
          <cell r="Z27">
            <v>-10.494</v>
          </cell>
          <cell r="AA27">
            <v>-1.2E-2</v>
          </cell>
          <cell r="AB27">
            <v>-17.513000000000002</v>
          </cell>
          <cell r="AC27">
            <v>-9.6980000000000004</v>
          </cell>
        </row>
        <row r="28">
          <cell r="B28" t="str">
            <v>Profit/(loss) on disposals of assets, pre-tax</v>
          </cell>
          <cell r="C28" t="str">
            <v>PROFIT_ON_DISP</v>
          </cell>
          <cell r="D28" t="str">
            <v>TWD</v>
          </cell>
          <cell r="AA28">
            <v>2.2389999999999999</v>
          </cell>
          <cell r="AB28">
            <v>2.5110000000000001</v>
          </cell>
          <cell r="AC28">
            <v>17.303000000000001</v>
          </cell>
        </row>
        <row r="29">
          <cell r="B29" t="str">
            <v>Other non-ops income/(expense)</v>
          </cell>
          <cell r="C29" t="str">
            <v>OTH_COST_INC</v>
          </cell>
          <cell r="D29" t="str">
            <v>TWD</v>
          </cell>
          <cell r="Y29">
            <v>-7.2050000000000001</v>
          </cell>
          <cell r="Z29">
            <v>21.378</v>
          </cell>
          <cell r="AA29">
            <v>68.138000000000005</v>
          </cell>
          <cell r="AB29">
            <v>119.869</v>
          </cell>
          <cell r="AC29">
            <v>0.92600000000000005</v>
          </cell>
        </row>
        <row r="30">
          <cell r="B30" t="str">
            <v>Pre-tax profit</v>
          </cell>
          <cell r="C30" t="str">
            <v>PT_PROF</v>
          </cell>
          <cell r="D30" t="str">
            <v>TWD</v>
          </cell>
          <cell r="L30">
            <v>0</v>
          </cell>
          <cell r="M30">
            <v>0</v>
          </cell>
          <cell r="N30">
            <v>0</v>
          </cell>
          <cell r="O30">
            <v>0</v>
          </cell>
          <cell r="P30">
            <v>0</v>
          </cell>
          <cell r="Q30">
            <v>0</v>
          </cell>
          <cell r="R30">
            <v>0</v>
          </cell>
          <cell r="S30">
            <v>0</v>
          </cell>
          <cell r="T30">
            <v>0</v>
          </cell>
          <cell r="U30">
            <v>0</v>
          </cell>
          <cell r="V30">
            <v>0</v>
          </cell>
          <cell r="W30">
            <v>0</v>
          </cell>
          <cell r="X30">
            <v>0</v>
          </cell>
          <cell r="Y30">
            <v>530.32500000000005</v>
          </cell>
          <cell r="Z30">
            <v>787.34900000000005</v>
          </cell>
          <cell r="AA30">
            <v>1261.6369999999999</v>
          </cell>
          <cell r="AB30">
            <v>1498.242</v>
          </cell>
          <cell r="AC30">
            <v>1872.748</v>
          </cell>
        </row>
        <row r="31">
          <cell r="A31" t="str">
            <v>Additional Income Statement Items</v>
          </cell>
        </row>
        <row r="32">
          <cell r="B32" t="str">
            <v>Contribution margin ratio</v>
          </cell>
          <cell r="C32" t="str">
            <v>CONTRIB_MARGIN_RATIO</v>
          </cell>
          <cell r="D32" t="str">
            <v>TWD</v>
          </cell>
        </row>
        <row r="33">
          <cell r="B33" t="str">
            <v>Lease payments</v>
          </cell>
          <cell r="C33" t="str">
            <v>LEASE_PAY</v>
          </cell>
          <cell r="D33" t="str">
            <v>TWD</v>
          </cell>
        </row>
        <row r="34">
          <cell r="B34" t="str">
            <v>Lease payments (deemed interest portion)</v>
          </cell>
          <cell r="C34" t="str">
            <v>LEASE_DEEM_INT</v>
          </cell>
          <cell r="D34" t="str">
            <v>TWD</v>
          </cell>
        </row>
        <row r="35">
          <cell r="B35" t="str">
            <v>Lease payments (deemed depreciation portion)</v>
          </cell>
          <cell r="C35" t="str">
            <v>LEASE_DEEM_DEPR</v>
          </cell>
          <cell r="D35" t="str">
            <v>TWD</v>
          </cell>
        </row>
        <row r="36">
          <cell r="B36" t="str">
            <v>Gross interest charge</v>
          </cell>
          <cell r="C36" t="str">
            <v>NET_INT_CH</v>
          </cell>
          <cell r="D36" t="str">
            <v>TWD</v>
          </cell>
          <cell r="AB36">
            <v>-61.765000000000001</v>
          </cell>
          <cell r="AC36">
            <v>-20.556000000000001</v>
          </cell>
        </row>
        <row r="37">
          <cell r="B37" t="str">
            <v>Income from associates (operating)</v>
          </cell>
          <cell r="C37" t="str">
            <v>ASSOCIATE_OP</v>
          </cell>
          <cell r="D37" t="str">
            <v>TWD</v>
          </cell>
        </row>
        <row r="38">
          <cell r="A38" t="str">
            <v>Balance Sheet</v>
          </cell>
        </row>
        <row r="39">
          <cell r="B39" t="str">
            <v>Cash &amp; cash equivalents</v>
          </cell>
          <cell r="C39" t="str">
            <v>CASH_EQ</v>
          </cell>
          <cell r="D39" t="str">
            <v>TWD</v>
          </cell>
          <cell r="Y39">
            <v>2334.4749999999999</v>
          </cell>
          <cell r="Z39">
            <v>2458.7370000000001</v>
          </cell>
          <cell r="AA39">
            <v>2353.8969999999999</v>
          </cell>
          <cell r="AB39">
            <v>3347.375</v>
          </cell>
          <cell r="AC39">
            <v>4149.4530000000004</v>
          </cell>
        </row>
        <row r="40">
          <cell r="B40" t="str">
            <v>Accounts receivable</v>
          </cell>
          <cell r="C40" t="str">
            <v>DEBTORS</v>
          </cell>
          <cell r="D40" t="str">
            <v>TWD</v>
          </cell>
          <cell r="L40">
            <v>0</v>
          </cell>
          <cell r="M40">
            <v>0</v>
          </cell>
          <cell r="N40">
            <v>0</v>
          </cell>
          <cell r="O40">
            <v>0</v>
          </cell>
          <cell r="P40">
            <v>0</v>
          </cell>
          <cell r="Q40">
            <v>0</v>
          </cell>
          <cell r="R40">
            <v>0</v>
          </cell>
          <cell r="S40">
            <v>0</v>
          </cell>
          <cell r="T40">
            <v>0</v>
          </cell>
          <cell r="U40">
            <v>0</v>
          </cell>
          <cell r="V40">
            <v>0</v>
          </cell>
          <cell r="W40">
            <v>0</v>
          </cell>
          <cell r="X40">
            <v>0</v>
          </cell>
          <cell r="Y40">
            <v>163.29</v>
          </cell>
          <cell r="Z40">
            <v>244.96100000000001</v>
          </cell>
          <cell r="AA40">
            <v>328.22500000000002</v>
          </cell>
          <cell r="AB40">
            <v>582.47199999999998</v>
          </cell>
          <cell r="AC40">
            <v>583.44000000000005</v>
          </cell>
        </row>
        <row r="41">
          <cell r="B41" t="str">
            <v>Inventory</v>
          </cell>
          <cell r="C41" t="str">
            <v>STOCKS</v>
          </cell>
          <cell r="D41" t="str">
            <v>TWD</v>
          </cell>
          <cell r="Y41">
            <v>303.76</v>
          </cell>
          <cell r="Z41">
            <v>513.12800000000004</v>
          </cell>
          <cell r="AA41">
            <v>1026.6790000000001</v>
          </cell>
          <cell r="AB41">
            <v>1312.193</v>
          </cell>
          <cell r="AC41">
            <v>1643.8510000000001</v>
          </cell>
        </row>
        <row r="42">
          <cell r="B42" t="str">
            <v>Other current assets</v>
          </cell>
          <cell r="C42" t="str">
            <v>OTH_CUR_ASS</v>
          </cell>
          <cell r="D42" t="str">
            <v>TWD</v>
          </cell>
          <cell r="Y42">
            <v>28.209000000001001</v>
          </cell>
          <cell r="Z42">
            <v>81.367000000000004</v>
          </cell>
          <cell r="AA42">
            <v>105.637</v>
          </cell>
          <cell r="AB42">
            <v>89.37</v>
          </cell>
          <cell r="AC42">
            <v>128.31700000000001</v>
          </cell>
        </row>
        <row r="43">
          <cell r="B43" t="str">
            <v>Total current assets</v>
          </cell>
          <cell r="C43" t="str">
            <v>CUR_ASS</v>
          </cell>
          <cell r="D43" t="str">
            <v>TWD</v>
          </cell>
          <cell r="Y43">
            <v>2829.7339999999999</v>
          </cell>
          <cell r="Z43">
            <v>3298.1930000000002</v>
          </cell>
          <cell r="AA43">
            <v>3814.4380000000001</v>
          </cell>
          <cell r="AB43">
            <v>5331.41</v>
          </cell>
          <cell r="AC43">
            <v>6505.0609999999997</v>
          </cell>
        </row>
        <row r="44">
          <cell r="B44" t="str">
            <v>Gross fixed assets, PP&amp;E</v>
          </cell>
          <cell r="C44" t="str">
            <v>GR_FIX_ASS</v>
          </cell>
          <cell r="D44" t="str">
            <v>TWD</v>
          </cell>
          <cell r="L44">
            <v>0</v>
          </cell>
          <cell r="M44">
            <v>0</v>
          </cell>
          <cell r="N44">
            <v>0</v>
          </cell>
          <cell r="O44">
            <v>0</v>
          </cell>
          <cell r="P44">
            <v>0</v>
          </cell>
          <cell r="Q44">
            <v>0</v>
          </cell>
          <cell r="R44">
            <v>0</v>
          </cell>
          <cell r="S44">
            <v>0</v>
          </cell>
          <cell r="T44">
            <v>0</v>
          </cell>
          <cell r="U44">
            <v>0</v>
          </cell>
          <cell r="V44">
            <v>0</v>
          </cell>
          <cell r="W44">
            <v>0</v>
          </cell>
          <cell r="X44">
            <v>0</v>
          </cell>
          <cell r="Y44">
            <v>90.378</v>
          </cell>
          <cell r="Z44">
            <v>135.291</v>
          </cell>
          <cell r="AA44">
            <v>180.90299999999999</v>
          </cell>
          <cell r="AB44">
            <v>473.53</v>
          </cell>
          <cell r="AC44">
            <v>809.875</v>
          </cell>
        </row>
        <row r="45">
          <cell r="B45" t="str">
            <v>Accumulated depreciation</v>
          </cell>
          <cell r="C45" t="str">
            <v>ACC_DDA</v>
          </cell>
          <cell r="D45" t="str">
            <v>TWD</v>
          </cell>
          <cell r="L45">
            <v>0</v>
          </cell>
          <cell r="M45">
            <v>0</v>
          </cell>
          <cell r="N45">
            <v>0</v>
          </cell>
          <cell r="O45">
            <v>0</v>
          </cell>
          <cell r="P45">
            <v>0</v>
          </cell>
          <cell r="Q45">
            <v>0</v>
          </cell>
          <cell r="R45">
            <v>0</v>
          </cell>
          <cell r="S45">
            <v>0</v>
          </cell>
          <cell r="T45">
            <v>0</v>
          </cell>
          <cell r="U45">
            <v>0</v>
          </cell>
          <cell r="V45">
            <v>0</v>
          </cell>
          <cell r="W45">
            <v>0</v>
          </cell>
          <cell r="X45">
            <v>0</v>
          </cell>
          <cell r="Y45">
            <v>-22.332000000000001</v>
          </cell>
          <cell r="Z45">
            <v>-37.646999999999998</v>
          </cell>
          <cell r="AA45">
            <v>-71.415000000000006</v>
          </cell>
          <cell r="AB45">
            <v>-86.174000000000007</v>
          </cell>
          <cell r="AC45">
            <v>-111.78100000000001</v>
          </cell>
        </row>
        <row r="46">
          <cell r="B46" t="str">
            <v>Net PP&amp;E</v>
          </cell>
          <cell r="C46" t="str">
            <v>NET_FIX_ASS</v>
          </cell>
          <cell r="D46" t="str">
            <v>TWD</v>
          </cell>
          <cell r="Y46">
            <v>68.046000000000006</v>
          </cell>
          <cell r="Z46">
            <v>97.644000000000005</v>
          </cell>
          <cell r="AA46">
            <v>109.488</v>
          </cell>
          <cell r="AB46">
            <v>387.35599999999999</v>
          </cell>
          <cell r="AC46">
            <v>698.09400000000005</v>
          </cell>
        </row>
        <row r="47">
          <cell r="B47" t="str">
            <v>Gross intangibles</v>
          </cell>
          <cell r="C47" t="str">
            <v>GR_INTANG</v>
          </cell>
          <cell r="D47" t="str">
            <v>TWD</v>
          </cell>
          <cell r="Y47">
            <v>-0.85599999999999998</v>
          </cell>
          <cell r="Z47">
            <v>301.70499999999998</v>
          </cell>
          <cell r="AA47">
            <v>382.50700000000001</v>
          </cell>
          <cell r="AB47">
            <v>182.89</v>
          </cell>
          <cell r="AC47">
            <v>-20.186</v>
          </cell>
        </row>
        <row r="48">
          <cell r="B48" t="str">
            <v>Accumulated amortization</v>
          </cell>
          <cell r="C48" t="str">
            <v>ACC_AMORT</v>
          </cell>
          <cell r="D48" t="str">
            <v>TWD</v>
          </cell>
          <cell r="Y48">
            <v>-2.9079999999999999</v>
          </cell>
          <cell r="Z48">
            <v>-12.375</v>
          </cell>
          <cell r="AA48">
            <v>-32.209000000000003</v>
          </cell>
          <cell r="AB48">
            <v>-231.82599999999999</v>
          </cell>
          <cell r="AC48">
            <v>-434.90199999999999</v>
          </cell>
        </row>
        <row r="49">
          <cell r="B49" t="str">
            <v>Net intangible assets</v>
          </cell>
          <cell r="C49" t="str">
            <v>NET_INTANG</v>
          </cell>
          <cell r="D49" t="str">
            <v>TWD</v>
          </cell>
          <cell r="Y49">
            <v>2.052</v>
          </cell>
          <cell r="Z49">
            <v>314.08</v>
          </cell>
          <cell r="AA49">
            <v>414.71600000000001</v>
          </cell>
          <cell r="AB49">
            <v>414.71600000000001</v>
          </cell>
          <cell r="AC49">
            <v>414.71600000000001</v>
          </cell>
        </row>
        <row r="50">
          <cell r="B50" t="str">
            <v>Equity method investments</v>
          </cell>
          <cell r="C50" t="str">
            <v>FIX_ASS_INV</v>
          </cell>
          <cell r="D50" t="str">
            <v>TWD</v>
          </cell>
          <cell r="Z50">
            <v>168.761</v>
          </cell>
          <cell r="AA50">
            <v>821.86</v>
          </cell>
          <cell r="AB50">
            <v>793.43</v>
          </cell>
          <cell r="AC50">
            <v>902.56700000000001</v>
          </cell>
        </row>
        <row r="51">
          <cell r="B51" t="str">
            <v>Investments in securities</v>
          </cell>
          <cell r="C51" t="str">
            <v>INV_SECUR</v>
          </cell>
          <cell r="D51" t="str">
            <v>TWD</v>
          </cell>
        </row>
        <row r="52">
          <cell r="B52" t="str">
            <v>Other long-term assets</v>
          </cell>
          <cell r="C52" t="str">
            <v>OTH_LT_ASS</v>
          </cell>
          <cell r="D52" t="str">
            <v>TWD</v>
          </cell>
          <cell r="Y52">
            <v>30.538</v>
          </cell>
          <cell r="Z52">
            <v>34.760000000001</v>
          </cell>
          <cell r="AA52">
            <v>174.745000000001</v>
          </cell>
          <cell r="AB52">
            <v>3901.163</v>
          </cell>
          <cell r="AC52">
            <v>3571.02</v>
          </cell>
        </row>
        <row r="53">
          <cell r="B53" t="str">
            <v>Total assets</v>
          </cell>
          <cell r="C53" t="str">
            <v>TOT_ASSET</v>
          </cell>
          <cell r="D53" t="str">
            <v>TWD</v>
          </cell>
          <cell r="L53">
            <v>0</v>
          </cell>
          <cell r="M53">
            <v>0</v>
          </cell>
          <cell r="N53">
            <v>0</v>
          </cell>
          <cell r="O53">
            <v>0</v>
          </cell>
          <cell r="P53">
            <v>0</v>
          </cell>
          <cell r="Q53">
            <v>0</v>
          </cell>
          <cell r="R53">
            <v>0</v>
          </cell>
          <cell r="S53">
            <v>0</v>
          </cell>
          <cell r="T53">
            <v>0</v>
          </cell>
          <cell r="U53">
            <v>0</v>
          </cell>
          <cell r="V53">
            <v>0</v>
          </cell>
          <cell r="W53">
            <v>0</v>
          </cell>
          <cell r="X53">
            <v>0</v>
          </cell>
          <cell r="Y53">
            <v>2930.37</v>
          </cell>
          <cell r="Z53">
            <v>3913.4380000000001</v>
          </cell>
          <cell r="AA53">
            <v>5335.2470000000003</v>
          </cell>
          <cell r="AB53">
            <v>10828.075000000001</v>
          </cell>
          <cell r="AC53">
            <v>12091.458000000001</v>
          </cell>
        </row>
        <row r="54">
          <cell r="B54" t="str">
            <v>Accounts payable</v>
          </cell>
          <cell r="C54" t="str">
            <v>ACC_PAY_GQ</v>
          </cell>
          <cell r="D54" t="str">
            <v>TWD</v>
          </cell>
          <cell r="Y54">
            <v>99.242999999999995</v>
          </cell>
          <cell r="Z54">
            <v>223.38499999999999</v>
          </cell>
          <cell r="AA54">
            <v>356.09199999999998</v>
          </cell>
          <cell r="AB54">
            <v>460.31799999999998</v>
          </cell>
          <cell r="AC54">
            <v>416.73500000000001</v>
          </cell>
        </row>
        <row r="55">
          <cell r="B55" t="str">
            <v>Short-term debt</v>
          </cell>
          <cell r="C55" t="str">
            <v>SHORT_T_DEBT</v>
          </cell>
          <cell r="D55" t="str">
            <v>TWD</v>
          </cell>
          <cell r="AB55">
            <v>10.17</v>
          </cell>
          <cell r="AC55">
            <v>0</v>
          </cell>
        </row>
        <row r="56">
          <cell r="B56" t="str">
            <v>Other current liabilities</v>
          </cell>
          <cell r="C56" t="str">
            <v>OTH_CUR_LIABS</v>
          </cell>
          <cell r="D56" t="str">
            <v>TWD</v>
          </cell>
          <cell r="Y56">
            <v>138.78100000000001</v>
          </cell>
          <cell r="Z56">
            <v>178.53700000000001</v>
          </cell>
          <cell r="AA56">
            <v>371.24</v>
          </cell>
          <cell r="AB56">
            <v>322.44600000000003</v>
          </cell>
          <cell r="AC56">
            <v>383.91</v>
          </cell>
        </row>
        <row r="57">
          <cell r="B57" t="str">
            <v>Total current liabilities</v>
          </cell>
          <cell r="C57" t="str">
            <v>SHORT_TERM_LIABS</v>
          </cell>
          <cell r="D57" t="str">
            <v>TWD</v>
          </cell>
          <cell r="L57">
            <v>0</v>
          </cell>
          <cell r="M57">
            <v>0</v>
          </cell>
          <cell r="N57">
            <v>0</v>
          </cell>
          <cell r="O57">
            <v>0</v>
          </cell>
          <cell r="P57">
            <v>0</v>
          </cell>
          <cell r="Q57">
            <v>0</v>
          </cell>
          <cell r="R57">
            <v>0</v>
          </cell>
          <cell r="S57">
            <v>0</v>
          </cell>
          <cell r="T57">
            <v>0</v>
          </cell>
          <cell r="U57">
            <v>0</v>
          </cell>
          <cell r="V57">
            <v>0</v>
          </cell>
          <cell r="W57">
            <v>0</v>
          </cell>
          <cell r="X57">
            <v>0</v>
          </cell>
          <cell r="Y57">
            <v>238.024</v>
          </cell>
          <cell r="Z57">
            <v>401.92200000000003</v>
          </cell>
          <cell r="AA57">
            <v>727.33199999999999</v>
          </cell>
          <cell r="AB57">
            <v>792.93399999999997</v>
          </cell>
          <cell r="AC57">
            <v>800.64499999999998</v>
          </cell>
        </row>
        <row r="58">
          <cell r="B58" t="str">
            <v>Long-term  debt</v>
          </cell>
          <cell r="C58" t="str">
            <v>LT_DEBT</v>
          </cell>
          <cell r="D58" t="str">
            <v>TWD</v>
          </cell>
          <cell r="AB58">
            <v>0</v>
          </cell>
          <cell r="AC58">
            <v>0</v>
          </cell>
        </row>
        <row r="59">
          <cell r="B59" t="str">
            <v>Other long-term liabilities</v>
          </cell>
          <cell r="C59" t="str">
            <v>OTH_LT_CRED_GQ</v>
          </cell>
          <cell r="D59" t="str">
            <v>TWD</v>
          </cell>
          <cell r="AA59">
            <v>6.3E-2</v>
          </cell>
          <cell r="AB59">
            <v>1840.3810000000001</v>
          </cell>
          <cell r="AC59">
            <v>720.40700000000004</v>
          </cell>
        </row>
        <row r="60">
          <cell r="B60" t="str">
            <v>Total long-term liabilities</v>
          </cell>
          <cell r="C60" t="str">
            <v>TOT_LT_LIAB</v>
          </cell>
          <cell r="D60" t="str">
            <v>TWD</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6.3E-2</v>
          </cell>
          <cell r="AB60">
            <v>1840.3810000000001</v>
          </cell>
          <cell r="AC60">
            <v>720.40700000000004</v>
          </cell>
        </row>
        <row r="61">
          <cell r="B61" t="str">
            <v>Total liabilities</v>
          </cell>
          <cell r="C61" t="str">
            <v>TOT_LIAB</v>
          </cell>
          <cell r="D61" t="str">
            <v>TWD</v>
          </cell>
          <cell r="Y61">
            <v>238.024</v>
          </cell>
          <cell r="Z61">
            <v>401.92200000000003</v>
          </cell>
          <cell r="AA61">
            <v>727.39499999999998</v>
          </cell>
          <cell r="AB61">
            <v>2633.3150000000001</v>
          </cell>
          <cell r="AC61">
            <v>1521.0519999999999</v>
          </cell>
        </row>
        <row r="62">
          <cell r="B62" t="str">
            <v>Preferred shares</v>
          </cell>
          <cell r="C62" t="str">
            <v>PREF_SH</v>
          </cell>
          <cell r="D62" t="str">
            <v>TWD</v>
          </cell>
        </row>
        <row r="63">
          <cell r="B63" t="str">
            <v>Total common equity</v>
          </cell>
          <cell r="C63" t="str">
            <v>ORD_SH_FUND</v>
          </cell>
          <cell r="D63" t="str">
            <v>TWD</v>
          </cell>
          <cell r="Y63">
            <v>2692.346</v>
          </cell>
          <cell r="Z63">
            <v>3511.5160000000001</v>
          </cell>
          <cell r="AA63">
            <v>4607.8519999999999</v>
          </cell>
          <cell r="AB63">
            <v>8194.76</v>
          </cell>
          <cell r="AC63">
            <v>10570.406000000001</v>
          </cell>
        </row>
        <row r="64">
          <cell r="B64" t="str">
            <v>Minority interest</v>
          </cell>
          <cell r="C64" t="str">
            <v>MINORITIES</v>
          </cell>
          <cell r="D64" t="str">
            <v>TWD</v>
          </cell>
          <cell r="AB64">
            <v>0</v>
          </cell>
          <cell r="AC64">
            <v>0</v>
          </cell>
        </row>
        <row r="65">
          <cell r="B65" t="str">
            <v>Total shareholders' equity</v>
          </cell>
          <cell r="C65" t="str">
            <v>EQ</v>
          </cell>
          <cell r="D65" t="str">
            <v>TWD</v>
          </cell>
          <cell r="L65">
            <v>0</v>
          </cell>
          <cell r="M65">
            <v>0</v>
          </cell>
          <cell r="N65">
            <v>0</v>
          </cell>
          <cell r="O65">
            <v>0</v>
          </cell>
          <cell r="P65">
            <v>0</v>
          </cell>
          <cell r="Q65">
            <v>0</v>
          </cell>
          <cell r="R65">
            <v>0</v>
          </cell>
          <cell r="S65">
            <v>0</v>
          </cell>
          <cell r="T65">
            <v>0</v>
          </cell>
          <cell r="U65">
            <v>0</v>
          </cell>
          <cell r="V65">
            <v>0</v>
          </cell>
          <cell r="W65">
            <v>0</v>
          </cell>
          <cell r="X65">
            <v>0</v>
          </cell>
          <cell r="Y65">
            <v>2692.346</v>
          </cell>
          <cell r="Z65">
            <v>3511.5160000000001</v>
          </cell>
          <cell r="AA65">
            <v>4607.8519999999999</v>
          </cell>
          <cell r="AB65">
            <v>8194.76</v>
          </cell>
          <cell r="AC65">
            <v>10570.406000000001</v>
          </cell>
        </row>
        <row r="66">
          <cell r="B66" t="str">
            <v>Total liabilities and equity</v>
          </cell>
          <cell r="C66" t="str">
            <v>TOT_LIAB_EQ</v>
          </cell>
          <cell r="D66" t="str">
            <v>TWD</v>
          </cell>
          <cell r="L66">
            <v>0</v>
          </cell>
          <cell r="M66">
            <v>0</v>
          </cell>
          <cell r="N66">
            <v>0</v>
          </cell>
          <cell r="O66">
            <v>0</v>
          </cell>
          <cell r="P66">
            <v>0</v>
          </cell>
          <cell r="Q66">
            <v>0</v>
          </cell>
          <cell r="R66">
            <v>0</v>
          </cell>
          <cell r="S66">
            <v>0</v>
          </cell>
          <cell r="T66">
            <v>0</v>
          </cell>
          <cell r="U66">
            <v>0</v>
          </cell>
          <cell r="V66">
            <v>0</v>
          </cell>
          <cell r="W66">
            <v>0</v>
          </cell>
          <cell r="X66">
            <v>0</v>
          </cell>
          <cell r="Y66">
            <v>2930.37</v>
          </cell>
          <cell r="Z66">
            <v>3913.4380000000001</v>
          </cell>
          <cell r="AA66">
            <v>5335.2470000000003</v>
          </cell>
          <cell r="AB66">
            <v>10828.075000000001</v>
          </cell>
          <cell r="AC66">
            <v>12091.458000000001</v>
          </cell>
        </row>
        <row r="67">
          <cell r="A67" t="str">
            <v>Additional Balance Sheet Items</v>
          </cell>
        </row>
        <row r="68">
          <cell r="B68" t="str">
            <v>Total US$ debt (in US$)</v>
          </cell>
          <cell r="C68" t="str">
            <v>TOT_USD_DEBT</v>
          </cell>
        </row>
        <row r="69">
          <cell r="B69" t="str">
            <v>% US$ debt hedged (principal)</v>
          </cell>
          <cell r="C69" t="str">
            <v>TOT_PCT_USD_DEBT_HEDGED</v>
          </cell>
        </row>
        <row r="70">
          <cell r="B70" t="str">
            <v>% Floating debt (local currency debt)</v>
          </cell>
          <cell r="C70" t="str">
            <v>FLOATING_PCT_LOCAL_DEBT</v>
          </cell>
        </row>
        <row r="71">
          <cell r="B71" t="str">
            <v>% floating debt hedged (rates)</v>
          </cell>
          <cell r="C71" t="str">
            <v>FLOATING_PCT_LOCAL_DEBT_HEDGED</v>
          </cell>
        </row>
        <row r="72">
          <cell r="B72" t="str">
            <v>Net debt</v>
          </cell>
          <cell r="C72" t="str">
            <v>NET_DEBT</v>
          </cell>
          <cell r="D72" t="str">
            <v>TWD</v>
          </cell>
          <cell r="Y72">
            <v>-2334.4749999999999</v>
          </cell>
          <cell r="Z72">
            <v>-2458.7370000000001</v>
          </cell>
          <cell r="AA72">
            <v>-2353.8969999999999</v>
          </cell>
          <cell r="AB72">
            <v>-3337.2049999999999</v>
          </cell>
          <cell r="AC72">
            <v>-4149.4530000000004</v>
          </cell>
        </row>
        <row r="73">
          <cell r="B73" t="str">
            <v>Capitalized leases</v>
          </cell>
          <cell r="C73" t="str">
            <v>CAP_LEASES</v>
          </cell>
          <cell r="D73" t="str">
            <v>TWD</v>
          </cell>
        </row>
        <row r="74">
          <cell r="B74" t="str">
            <v>Deferred income taxes</v>
          </cell>
          <cell r="C74" t="str">
            <v>DEF_INC_TAX</v>
          </cell>
          <cell r="D74" t="str">
            <v>TWD</v>
          </cell>
        </row>
        <row r="75">
          <cell r="B75" t="str">
            <v>Associates (mkt value) used in EV calculation</v>
          </cell>
          <cell r="C75" t="str">
            <v>MV_ASSOCIATES</v>
          </cell>
          <cell r="D75" t="str">
            <v>TWD</v>
          </cell>
        </row>
        <row r="76">
          <cell r="B76" t="str">
            <v>Net debt adjustment</v>
          </cell>
          <cell r="C76" t="str">
            <v>NET_DEBT_ADJ</v>
          </cell>
          <cell r="D76" t="str">
            <v>TWD</v>
          </cell>
        </row>
        <row r="77">
          <cell r="B77" t="str">
            <v>Company borrowing margin</v>
          </cell>
          <cell r="C77" t="str">
            <v>CO_BOR_MARGIN</v>
          </cell>
        </row>
        <row r="78">
          <cell r="B78" t="str">
            <v>Unfunded pensions &amp; other provisions</v>
          </cell>
          <cell r="C78" t="str">
            <v>UNF_PENS</v>
          </cell>
          <cell r="D78" t="str">
            <v>TWD</v>
          </cell>
        </row>
        <row r="79">
          <cell r="B79" t="str">
            <v>Unfunded pension liabilities (off balance sheet)</v>
          </cell>
          <cell r="C79" t="str">
            <v>UNF_PENS_OFF</v>
          </cell>
          <cell r="D79" t="str">
            <v>TWD</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row>
        <row r="80">
          <cell r="B80" t="str">
            <v>Unfunded pension liabilities &amp; other, used in EV</v>
          </cell>
          <cell r="C80" t="str">
            <v>UNF_PENS_LIAB_OTH</v>
          </cell>
          <cell r="D80" t="str">
            <v>TWD</v>
          </cell>
        </row>
        <row r="81">
          <cell r="B81" t="str">
            <v>Adjustment for unfunded pensions &amp; goodwill</v>
          </cell>
          <cell r="C81" t="str">
            <v>ADJ_UNF_PENS_GOOD</v>
          </cell>
          <cell r="D81" t="str">
            <v>TWD</v>
          </cell>
          <cell r="Y81">
            <v>-2.052</v>
          </cell>
          <cell r="Z81">
            <v>-314.08</v>
          </cell>
          <cell r="AA81">
            <v>-414.71600000000001</v>
          </cell>
          <cell r="AB81">
            <v>-414.71600000000001</v>
          </cell>
          <cell r="AC81">
            <v>-414.71600000000001</v>
          </cell>
        </row>
        <row r="82">
          <cell r="B82" t="str">
            <v>Other GCI adjustments</v>
          </cell>
          <cell r="C82" t="str">
            <v>OTH_GCI_ADJ</v>
          </cell>
          <cell r="D82" t="str">
            <v>TWD</v>
          </cell>
          <cell r="Y82">
            <v>2334.4749999999999</v>
          </cell>
          <cell r="Z82">
            <v>2458.7370000000001</v>
          </cell>
          <cell r="AA82">
            <v>2353.8969999999999</v>
          </cell>
          <cell r="AB82">
            <v>3337.2049999999999</v>
          </cell>
          <cell r="AC82">
            <v>4149.4530000000004</v>
          </cell>
        </row>
        <row r="83">
          <cell r="B83" t="str">
            <v>GCI inflator</v>
          </cell>
          <cell r="C83" t="str">
            <v>GCI_INFL</v>
          </cell>
        </row>
        <row r="84">
          <cell r="B84" t="str">
            <v>Minority interest</v>
          </cell>
          <cell r="C84" t="str">
            <v>BAL_MINO_INT</v>
          </cell>
          <cell r="D84" t="str">
            <v>TWD</v>
          </cell>
          <cell r="AB84">
            <v>0</v>
          </cell>
          <cell r="AC84">
            <v>0</v>
          </cell>
        </row>
        <row r="85">
          <cell r="A85" t="str">
            <v>Cash Flow Statement</v>
          </cell>
        </row>
        <row r="86">
          <cell r="B86" t="str">
            <v>Minority interest add-back</v>
          </cell>
          <cell r="C86" t="str">
            <v>CF_INC_MINORITY</v>
          </cell>
          <cell r="D86" t="str">
            <v>TWD</v>
          </cell>
          <cell r="AA86">
            <v>-6.0000000000000001E-3</v>
          </cell>
          <cell r="AB86">
            <v>0</v>
          </cell>
          <cell r="AC86">
            <v>0</v>
          </cell>
        </row>
        <row r="87">
          <cell r="B87" t="str">
            <v>Depreciation &amp; amortization add-back</v>
          </cell>
          <cell r="C87" t="str">
            <v>DEPR_AMORT</v>
          </cell>
          <cell r="D87" t="str">
            <v>TWD</v>
          </cell>
          <cell r="Y87">
            <v>11.878</v>
          </cell>
          <cell r="Z87">
            <v>23.33</v>
          </cell>
          <cell r="AA87">
            <v>38.820999999999998</v>
          </cell>
          <cell r="AB87">
            <v>226.435</v>
          </cell>
          <cell r="AC87">
            <v>237.09399999999999</v>
          </cell>
        </row>
        <row r="88">
          <cell r="B88" t="str">
            <v>(Increase)/decrease in working capital</v>
          </cell>
          <cell r="C88" t="str">
            <v>WORK_CAP</v>
          </cell>
          <cell r="D88" t="str">
            <v>TWD</v>
          </cell>
          <cell r="Y88">
            <v>-367.80700000000002</v>
          </cell>
          <cell r="Z88">
            <v>-166.89699999999999</v>
          </cell>
          <cell r="AA88">
            <v>-464.108</v>
          </cell>
          <cell r="AB88">
            <v>-435.53500000000003</v>
          </cell>
          <cell r="AC88">
            <v>-376.209</v>
          </cell>
        </row>
        <row r="89">
          <cell r="B89" t="str">
            <v>Other operating cash flow items</v>
          </cell>
          <cell r="C89" t="str">
            <v>OTH_OP_CF</v>
          </cell>
          <cell r="D89" t="str">
            <v>TWD</v>
          </cell>
          <cell r="Y89">
            <v>413.50299999999999</v>
          </cell>
          <cell r="Z89">
            <v>129.452</v>
          </cell>
          <cell r="AA89">
            <v>142.82700000000099</v>
          </cell>
          <cell r="AB89">
            <v>335.38099999999901</v>
          </cell>
          <cell r="AC89">
            <v>179.655000000001</v>
          </cell>
        </row>
        <row r="90">
          <cell r="B90" t="str">
            <v>Cash flow from operating activities</v>
          </cell>
          <cell r="C90" t="str">
            <v>CF_OPS</v>
          </cell>
          <cell r="D90" t="str">
            <v>TWD</v>
          </cell>
          <cell r="L90">
            <v>0</v>
          </cell>
          <cell r="M90">
            <v>0</v>
          </cell>
          <cell r="N90">
            <v>0</v>
          </cell>
          <cell r="O90">
            <v>0</v>
          </cell>
          <cell r="P90">
            <v>0</v>
          </cell>
          <cell r="Q90">
            <v>0</v>
          </cell>
          <cell r="R90">
            <v>0</v>
          </cell>
          <cell r="S90">
            <v>0</v>
          </cell>
          <cell r="T90">
            <v>0</v>
          </cell>
          <cell r="U90">
            <v>0</v>
          </cell>
          <cell r="V90">
            <v>0</v>
          </cell>
          <cell r="W90">
            <v>0</v>
          </cell>
          <cell r="X90">
            <v>0</v>
          </cell>
          <cell r="Y90">
            <v>587.875</v>
          </cell>
          <cell r="Z90">
            <v>786.61500000000001</v>
          </cell>
          <cell r="AA90">
            <v>918.78099999999995</v>
          </cell>
          <cell r="AB90">
            <v>1595.9369999999999</v>
          </cell>
          <cell r="AC90">
            <v>1858.9179999999999</v>
          </cell>
        </row>
        <row r="91">
          <cell r="B91" t="str">
            <v>Capital expenditures, Capex</v>
          </cell>
          <cell r="C91" t="str">
            <v>CAPEX</v>
          </cell>
          <cell r="D91" t="str">
            <v>TWD</v>
          </cell>
          <cell r="Y91">
            <v>-31.338999999999999</v>
          </cell>
          <cell r="Z91">
            <v>-38.034999999999997</v>
          </cell>
          <cell r="AA91">
            <v>-29.111999999999998</v>
          </cell>
          <cell r="AB91">
            <v>-308.82400000000001</v>
          </cell>
          <cell r="AC91">
            <v>-397.36099999999999</v>
          </cell>
        </row>
        <row r="92">
          <cell r="B92" t="str">
            <v>Acquisitions</v>
          </cell>
          <cell r="C92" t="str">
            <v>ACQ</v>
          </cell>
          <cell r="D92" t="str">
            <v>TWD</v>
          </cell>
          <cell r="Y92">
            <v>-35.536000000000001</v>
          </cell>
          <cell r="Z92">
            <v>-504.97199999999998</v>
          </cell>
          <cell r="AA92">
            <v>-913.56600000000003</v>
          </cell>
          <cell r="AB92">
            <v>-4051.5569999999998</v>
          </cell>
          <cell r="AC92">
            <v>-137.69900000000001</v>
          </cell>
        </row>
        <row r="93">
          <cell r="B93" t="str">
            <v>Divestitures</v>
          </cell>
          <cell r="C93" t="str">
            <v>DIVEST</v>
          </cell>
          <cell r="D93" t="str">
            <v>TWD</v>
          </cell>
          <cell r="Y93">
            <v>3.7999999999999999E-2</v>
          </cell>
          <cell r="AB93">
            <v>136.43899999999999</v>
          </cell>
          <cell r="AC93">
            <v>145.93100000000001</v>
          </cell>
        </row>
        <row r="94">
          <cell r="B94" t="str">
            <v>Other investing cash flow items</v>
          </cell>
          <cell r="C94" t="str">
            <v>OTH_INV_CF</v>
          </cell>
          <cell r="D94" t="str">
            <v>TWD</v>
          </cell>
          <cell r="Y94">
            <v>245.78700000000001</v>
          </cell>
          <cell r="Z94">
            <v>31.771000000000001</v>
          </cell>
          <cell r="AA94">
            <v>245.66200000000001</v>
          </cell>
          <cell r="AB94">
            <v>-171.80600000000001</v>
          </cell>
          <cell r="AC94">
            <v>-341.86099999999999</v>
          </cell>
        </row>
        <row r="95">
          <cell r="B95" t="str">
            <v>Cash flow from investing</v>
          </cell>
          <cell r="C95" t="str">
            <v>CF_INV</v>
          </cell>
          <cell r="D95" t="str">
            <v>TWD</v>
          </cell>
          <cell r="L95">
            <v>0</v>
          </cell>
          <cell r="M95">
            <v>0</v>
          </cell>
          <cell r="N95">
            <v>0</v>
          </cell>
          <cell r="O95">
            <v>0</v>
          </cell>
          <cell r="P95">
            <v>0</v>
          </cell>
          <cell r="Q95">
            <v>0</v>
          </cell>
          <cell r="R95">
            <v>0</v>
          </cell>
          <cell r="S95">
            <v>0</v>
          </cell>
          <cell r="T95">
            <v>0</v>
          </cell>
          <cell r="U95">
            <v>0</v>
          </cell>
          <cell r="V95">
            <v>0</v>
          </cell>
          <cell r="W95">
            <v>0</v>
          </cell>
          <cell r="X95">
            <v>0</v>
          </cell>
          <cell r="Y95">
            <v>178.95</v>
          </cell>
          <cell r="Z95">
            <v>-511.23599999999999</v>
          </cell>
          <cell r="AA95">
            <v>-697.01599999999996</v>
          </cell>
          <cell r="AB95">
            <v>-4395.7479999999996</v>
          </cell>
          <cell r="AC95">
            <v>-730.99</v>
          </cell>
        </row>
        <row r="96">
          <cell r="B96" t="str">
            <v>Dividends paid</v>
          </cell>
          <cell r="C96" t="str">
            <v>DIV_PAID</v>
          </cell>
          <cell r="D96" t="str">
            <v>TWD</v>
          </cell>
          <cell r="Z96">
            <v>-162.59700000000001</v>
          </cell>
          <cell r="AA96">
            <v>-321.62799999999999</v>
          </cell>
          <cell r="AB96">
            <v>-820.30067237097398</v>
          </cell>
          <cell r="AC96">
            <v>0</v>
          </cell>
        </row>
        <row r="97">
          <cell r="B97" t="str">
            <v>Common stock issuance/(repurchase)</v>
          </cell>
          <cell r="C97" t="str">
            <v>SH_REPUR</v>
          </cell>
          <cell r="D97" t="str">
            <v>TWD</v>
          </cell>
          <cell r="Y97">
            <v>1068.711</v>
          </cell>
        </row>
        <row r="98">
          <cell r="B98" t="str">
            <v>Increase/(decrease) in total debt</v>
          </cell>
          <cell r="C98" t="str">
            <v>CHG_LT_DEBT</v>
          </cell>
          <cell r="D98" t="str">
            <v>TWD</v>
          </cell>
          <cell r="AB98">
            <v>10.17</v>
          </cell>
          <cell r="AC98">
            <v>-10.17</v>
          </cell>
        </row>
        <row r="99">
          <cell r="B99" t="str">
            <v>Other financing cash flow items</v>
          </cell>
          <cell r="C99" t="str">
            <v>OTH_FIN_CF</v>
          </cell>
          <cell r="D99" t="str">
            <v>TWD</v>
          </cell>
          <cell r="Y99">
            <v>2.3029999999999999</v>
          </cell>
          <cell r="Z99">
            <v>11.48</v>
          </cell>
          <cell r="AA99">
            <v>-4.9770000000000003</v>
          </cell>
          <cell r="AB99">
            <v>4603.4196723709701</v>
          </cell>
          <cell r="AC99">
            <v>-315.68</v>
          </cell>
        </row>
        <row r="100">
          <cell r="B100" t="str">
            <v>Cash flow from financing</v>
          </cell>
          <cell r="C100" t="str">
            <v>CF_FIN</v>
          </cell>
          <cell r="D100" t="str">
            <v>TWD</v>
          </cell>
          <cell r="L100">
            <v>0</v>
          </cell>
          <cell r="M100">
            <v>0</v>
          </cell>
          <cell r="N100">
            <v>0</v>
          </cell>
          <cell r="O100">
            <v>0</v>
          </cell>
          <cell r="P100">
            <v>0</v>
          </cell>
          <cell r="Q100">
            <v>0</v>
          </cell>
          <cell r="R100">
            <v>0</v>
          </cell>
          <cell r="S100">
            <v>0</v>
          </cell>
          <cell r="T100">
            <v>0</v>
          </cell>
          <cell r="U100">
            <v>0</v>
          </cell>
          <cell r="V100">
            <v>0</v>
          </cell>
          <cell r="W100">
            <v>0</v>
          </cell>
          <cell r="X100">
            <v>0</v>
          </cell>
          <cell r="Y100">
            <v>1071.0139999999999</v>
          </cell>
          <cell r="Z100">
            <v>-151.11699999999999</v>
          </cell>
          <cell r="AA100">
            <v>-326.60500000000002</v>
          </cell>
          <cell r="AB100">
            <v>3793.2890000000002</v>
          </cell>
          <cell r="AC100">
            <v>-325.85000000000002</v>
          </cell>
        </row>
        <row r="101">
          <cell r="B101" t="str">
            <v>Total cash flow</v>
          </cell>
          <cell r="C101" t="str">
            <v>TOT_CF</v>
          </cell>
          <cell r="D101" t="str">
            <v>TWD</v>
          </cell>
          <cell r="L101">
            <v>0</v>
          </cell>
          <cell r="M101">
            <v>0</v>
          </cell>
          <cell r="N101">
            <v>0</v>
          </cell>
          <cell r="O101">
            <v>0</v>
          </cell>
          <cell r="P101">
            <v>0</v>
          </cell>
          <cell r="Q101">
            <v>0</v>
          </cell>
          <cell r="R101">
            <v>0</v>
          </cell>
          <cell r="S101">
            <v>0</v>
          </cell>
          <cell r="T101">
            <v>0</v>
          </cell>
          <cell r="U101">
            <v>0</v>
          </cell>
          <cell r="V101">
            <v>0</v>
          </cell>
          <cell r="W101">
            <v>0</v>
          </cell>
          <cell r="X101">
            <v>0</v>
          </cell>
          <cell r="Y101">
            <v>1837.8389999999999</v>
          </cell>
          <cell r="Z101">
            <v>124.262</v>
          </cell>
          <cell r="AA101">
            <v>-104.84</v>
          </cell>
          <cell r="AB101">
            <v>993.47799999999995</v>
          </cell>
          <cell r="AC101">
            <v>802.07799999999997</v>
          </cell>
        </row>
        <row r="102">
          <cell r="A102" t="str">
            <v>Additional Cash Flow Items</v>
          </cell>
        </row>
        <row r="103">
          <cell r="B103" t="str">
            <v>Associate and JV add-back</v>
          </cell>
          <cell r="C103" t="str">
            <v>ASSOC_JV_ADDBK</v>
          </cell>
          <cell r="D103" t="str">
            <v>TWD</v>
          </cell>
        </row>
        <row r="104">
          <cell r="B104" t="str">
            <v>Profit/(loss) on sale of assets</v>
          </cell>
          <cell r="C104" t="str">
            <v>PL_SALE_ASSETS</v>
          </cell>
          <cell r="D104" t="str">
            <v>TWD</v>
          </cell>
        </row>
        <row r="105">
          <cell r="B105" t="str">
            <v>Other non-cash adjustments</v>
          </cell>
          <cell r="C105" t="str">
            <v>OTH_NONCASH_ADJ</v>
          </cell>
          <cell r="D105" t="str">
            <v>TWD</v>
          </cell>
        </row>
        <row r="106">
          <cell r="B106" t="str">
            <v>Other DACF adjustments</v>
          </cell>
          <cell r="C106" t="str">
            <v>OTH_DACF_ADJ</v>
          </cell>
          <cell r="D106" t="str">
            <v>TWD</v>
          </cell>
        </row>
        <row r="107">
          <cell r="B107" t="str">
            <v>Cash interest expense</v>
          </cell>
          <cell r="C107" t="str">
            <v>CASH_INT_EXP</v>
          </cell>
          <cell r="D107" t="str">
            <v>TWD</v>
          </cell>
        </row>
        <row r="108">
          <cell r="B108" t="str">
            <v>Cash tax expense</v>
          </cell>
          <cell r="C108" t="str">
            <v>CASH_TAX_EXP</v>
          </cell>
          <cell r="D108" t="str">
            <v>TWD</v>
          </cell>
        </row>
        <row r="109">
          <cell r="B109" t="str">
            <v>Dividends received from associates/JVs</v>
          </cell>
          <cell r="C109" t="str">
            <v>DIVDS_ASSOC_JV</v>
          </cell>
          <cell r="D109" t="str">
            <v>TWD</v>
          </cell>
        </row>
        <row r="110">
          <cell r="B110" t="str">
            <v>Capex maintenance</v>
          </cell>
          <cell r="C110" t="str">
            <v>CAPEX_MAINTENANCE</v>
          </cell>
          <cell r="D110" t="str">
            <v>TWD</v>
          </cell>
        </row>
        <row r="111">
          <cell r="B111" t="str">
            <v>Capex expansion</v>
          </cell>
          <cell r="C111" t="str">
            <v>CAPEX_EXPANSION</v>
          </cell>
          <cell r="D111" t="str">
            <v>TWD</v>
          </cell>
        </row>
        <row r="112">
          <cell r="B112" t="str">
            <v>Non-PP&amp;E capex</v>
          </cell>
          <cell r="C112" t="str">
            <v>NONPPE_CAPEX</v>
          </cell>
          <cell r="D112" t="str">
            <v>TWD</v>
          </cell>
        </row>
        <row r="113">
          <cell r="B113" t="str">
            <v>Dividends paid to minorities</v>
          </cell>
          <cell r="C113" t="str">
            <v>DIVDS_PD_MINORITIES</v>
          </cell>
          <cell r="D113" t="str">
            <v>TWD</v>
          </cell>
        </row>
        <row r="114">
          <cell r="A114" t="str">
            <v>Other Items</v>
          </cell>
        </row>
        <row r="115">
          <cell r="B115" t="str">
            <v>Number of employees</v>
          </cell>
          <cell r="C115" t="str">
            <v>EMPLOYEES</v>
          </cell>
          <cell r="O115">
            <v>0</v>
          </cell>
          <cell r="P115">
            <v>0</v>
          </cell>
          <cell r="Q115">
            <v>0</v>
          </cell>
          <cell r="R115">
            <v>0</v>
          </cell>
          <cell r="S115">
            <v>0</v>
          </cell>
          <cell r="T115">
            <v>0</v>
          </cell>
          <cell r="U115">
            <v>0</v>
          </cell>
          <cell r="V115">
            <v>0</v>
          </cell>
          <cell r="W115">
            <v>0</v>
          </cell>
          <cell r="X115">
            <v>0</v>
          </cell>
          <cell r="Y115">
            <v>283</v>
          </cell>
          <cell r="Z115">
            <v>355</v>
          </cell>
          <cell r="AA115">
            <v>428</v>
          </cell>
        </row>
        <row r="116">
          <cell r="A116" t="str">
            <v>Geographical Breakdown</v>
          </cell>
        </row>
        <row r="117">
          <cell r="B117" t="str">
            <v>Sales - % Canada</v>
          </cell>
          <cell r="C117" t="str">
            <v>SALES_CANADA</v>
          </cell>
        </row>
        <row r="118">
          <cell r="B118" t="str">
            <v>Sales - % United States</v>
          </cell>
          <cell r="C118" t="str">
            <v>SALES_US</v>
          </cell>
          <cell r="L118">
            <v>0.20073188199299999</v>
          </cell>
          <cell r="M118">
            <v>0.20073188199299999</v>
          </cell>
          <cell r="N118">
            <v>0.20073188199299999</v>
          </cell>
          <cell r="O118">
            <v>0.20073188199299999</v>
          </cell>
          <cell r="P118">
            <v>0.20073188199299999</v>
          </cell>
          <cell r="Q118">
            <v>0.20073188199299999</v>
          </cell>
          <cell r="R118">
            <v>0.20073188199299999</v>
          </cell>
          <cell r="S118">
            <v>0.20073188199299999</v>
          </cell>
          <cell r="T118">
            <v>0.20073188199299999</v>
          </cell>
          <cell r="U118">
            <v>0.20073188199299999</v>
          </cell>
          <cell r="V118">
            <v>0.20073188199299999</v>
          </cell>
          <cell r="W118">
            <v>0.20073188199299999</v>
          </cell>
          <cell r="X118">
            <v>0.20073188199299999</v>
          </cell>
          <cell r="Y118">
            <v>0.20073188199299999</v>
          </cell>
          <cell r="Z118">
            <v>0.20073188199299999</v>
          </cell>
          <cell r="AA118">
            <v>0.20073188199299999</v>
          </cell>
          <cell r="AB118">
            <v>0.20073188199299999</v>
          </cell>
          <cell r="AC118">
            <v>0.20073188199299999</v>
          </cell>
        </row>
        <row r="119">
          <cell r="B119" t="str">
            <v>Sales - % Other North Americas</v>
          </cell>
          <cell r="C119" t="str">
            <v>SALES_OTH_NO_AMER</v>
          </cell>
        </row>
        <row r="120">
          <cell r="B120" t="str">
            <v>Sales - % Argentina</v>
          </cell>
          <cell r="C120" t="str">
            <v>SALES_ARGENTINA</v>
          </cell>
        </row>
        <row r="121">
          <cell r="B121" t="str">
            <v>Sales - % Brazil</v>
          </cell>
          <cell r="C121" t="str">
            <v>SALES_BRAZIL</v>
          </cell>
        </row>
        <row r="122">
          <cell r="B122" t="str">
            <v>Sales - % Chile</v>
          </cell>
          <cell r="C122" t="str">
            <v>SALES_CHILE</v>
          </cell>
        </row>
        <row r="123">
          <cell r="B123" t="str">
            <v>Sales - % Colombia</v>
          </cell>
          <cell r="C123" t="str">
            <v>SALES_COLOMBIA</v>
          </cell>
        </row>
        <row r="124">
          <cell r="B124" t="str">
            <v>Sales - % Mexico</v>
          </cell>
          <cell r="C124" t="str">
            <v>SALES_MEXICO</v>
          </cell>
        </row>
        <row r="125">
          <cell r="B125" t="str">
            <v>Sales - % Venezuela</v>
          </cell>
          <cell r="C125" t="str">
            <v>SALES_VENEZUELA</v>
          </cell>
        </row>
        <row r="126">
          <cell r="B126" t="str">
            <v>Sales - % Other Latin Americas</v>
          </cell>
          <cell r="C126" t="str">
            <v>SALES_OTH_LATAM</v>
          </cell>
        </row>
        <row r="127">
          <cell r="B127" t="str">
            <v>Sales - % Austria</v>
          </cell>
          <cell r="C127" t="str">
            <v>SALES_AUSTRIA</v>
          </cell>
        </row>
        <row r="128">
          <cell r="B128" t="str">
            <v>Sales - % Belgium</v>
          </cell>
          <cell r="C128" t="str">
            <v>SALES_BEL</v>
          </cell>
        </row>
        <row r="129">
          <cell r="B129" t="str">
            <v>Sales - % France</v>
          </cell>
          <cell r="C129" t="str">
            <v>SALES_FRA</v>
          </cell>
        </row>
        <row r="130">
          <cell r="B130" t="str">
            <v>Sales - % Germany</v>
          </cell>
          <cell r="C130" t="str">
            <v>SALES_GER</v>
          </cell>
        </row>
        <row r="131">
          <cell r="B131" t="str">
            <v>Sales - % Greece</v>
          </cell>
          <cell r="C131" t="str">
            <v>SALES_GRE</v>
          </cell>
        </row>
        <row r="132">
          <cell r="B132" t="str">
            <v>Sales - % Ireland</v>
          </cell>
          <cell r="C132" t="str">
            <v>SALES_IRE</v>
          </cell>
        </row>
        <row r="133">
          <cell r="B133" t="str">
            <v>Sales - % Italy</v>
          </cell>
          <cell r="C133" t="str">
            <v>SALES_ITA</v>
          </cell>
        </row>
        <row r="134">
          <cell r="B134" t="str">
            <v>Sales - % Netherlands</v>
          </cell>
          <cell r="C134" t="str">
            <v>SALES_NETH</v>
          </cell>
        </row>
        <row r="135">
          <cell r="B135" t="str">
            <v>Sales - % Norway</v>
          </cell>
          <cell r="C135" t="str">
            <v>SALES_NOR</v>
          </cell>
        </row>
        <row r="136">
          <cell r="B136" t="str">
            <v>Sales - % Portugal</v>
          </cell>
          <cell r="C136" t="str">
            <v>SALES_POR</v>
          </cell>
        </row>
        <row r="137">
          <cell r="B137" t="str">
            <v>Sales - % Spain</v>
          </cell>
          <cell r="C137" t="str">
            <v>SALES_SPA</v>
          </cell>
        </row>
        <row r="138">
          <cell r="B138" t="str">
            <v>Sales - % Sweden</v>
          </cell>
          <cell r="C138" t="str">
            <v>SALES_SWE</v>
          </cell>
        </row>
        <row r="139">
          <cell r="B139" t="str">
            <v>Sales - % Switzerland</v>
          </cell>
          <cell r="C139" t="str">
            <v>SALES_SWIT</v>
          </cell>
        </row>
        <row r="140">
          <cell r="B140" t="str">
            <v>Sales - % UK</v>
          </cell>
          <cell r="C140" t="str">
            <v>SALES_UK</v>
          </cell>
        </row>
        <row r="141">
          <cell r="B141" t="str">
            <v>Sales - % Other Western Europe</v>
          </cell>
          <cell r="C141" t="str">
            <v>SALES_OTH_WEST_EURO</v>
          </cell>
        </row>
        <row r="142">
          <cell r="B142" t="str">
            <v>Sales - % Poland</v>
          </cell>
          <cell r="C142" t="str">
            <v>SALES_POLAND</v>
          </cell>
        </row>
        <row r="143">
          <cell r="B143" t="str">
            <v>Sales - % Russia</v>
          </cell>
          <cell r="C143" t="str">
            <v>SALES_RUSSIA</v>
          </cell>
        </row>
        <row r="144">
          <cell r="B144" t="str">
            <v>Sales - % Turkey</v>
          </cell>
          <cell r="C144" t="str">
            <v>SALES_TURKEY</v>
          </cell>
        </row>
        <row r="145">
          <cell r="B145" t="str">
            <v>Sales - % Other CEE</v>
          </cell>
          <cell r="C145" t="str">
            <v>SALES_OTH_CEE</v>
          </cell>
        </row>
        <row r="146">
          <cell r="B146" t="str">
            <v>Sales - % Saudi Arabia</v>
          </cell>
          <cell r="C146" t="str">
            <v>SALES_SAUDI_ARABIA</v>
          </cell>
        </row>
        <row r="147">
          <cell r="B147" t="str">
            <v>Sales - % United Arab Emirates</v>
          </cell>
          <cell r="C147" t="str">
            <v>SALES_UAE</v>
          </cell>
        </row>
        <row r="148">
          <cell r="B148" t="str">
            <v>Sales - % Other Middle East</v>
          </cell>
          <cell r="C148" t="str">
            <v>SALES_OTH_ME</v>
          </cell>
        </row>
        <row r="149">
          <cell r="B149" t="str">
            <v>Sales - % Nigeria</v>
          </cell>
          <cell r="C149" t="str">
            <v>SALES_NIGERIA</v>
          </cell>
        </row>
        <row r="150">
          <cell r="B150" t="str">
            <v>Sales - % South Africa</v>
          </cell>
          <cell r="C150" t="str">
            <v>SALES_SO_AFRICA</v>
          </cell>
        </row>
        <row r="151">
          <cell r="B151" t="str">
            <v>Sales - % Other Africa</v>
          </cell>
          <cell r="C151" t="str">
            <v>SALES_OTH_AFRICA</v>
          </cell>
        </row>
        <row r="152">
          <cell r="B152" t="str">
            <v>Sales - % Hong Kong</v>
          </cell>
          <cell r="C152" t="str">
            <v>SALES_HONG_KONG</v>
          </cell>
        </row>
        <row r="153">
          <cell r="B153" t="str">
            <v>Sales - % Japan</v>
          </cell>
          <cell r="C153" t="str">
            <v>SALES_JAPAN</v>
          </cell>
          <cell r="L153">
            <v>0.1</v>
          </cell>
          <cell r="M153">
            <v>0.1</v>
          </cell>
          <cell r="N153">
            <v>0.1</v>
          </cell>
          <cell r="O153">
            <v>0.1</v>
          </cell>
          <cell r="P153">
            <v>0.1</v>
          </cell>
          <cell r="Q153">
            <v>0.1</v>
          </cell>
          <cell r="R153">
            <v>0.1</v>
          </cell>
          <cell r="S153">
            <v>0.1</v>
          </cell>
          <cell r="T153">
            <v>0.1</v>
          </cell>
          <cell r="U153">
            <v>0.1</v>
          </cell>
          <cell r="V153">
            <v>0.1</v>
          </cell>
          <cell r="W153">
            <v>0.1</v>
          </cell>
          <cell r="X153">
            <v>0.1</v>
          </cell>
          <cell r="Y153">
            <v>0.1</v>
          </cell>
          <cell r="Z153">
            <v>0.1</v>
          </cell>
          <cell r="AA153">
            <v>0.1</v>
          </cell>
          <cell r="AB153">
            <v>0.1</v>
          </cell>
          <cell r="AC153">
            <v>0.1</v>
          </cell>
        </row>
        <row r="154">
          <cell r="B154" t="str">
            <v>Sales - % Singapore</v>
          </cell>
          <cell r="C154" t="str">
            <v>SALES_SINGAPORE</v>
          </cell>
        </row>
        <row r="155">
          <cell r="B155" t="str">
            <v>Sales - % South Korea</v>
          </cell>
          <cell r="C155" t="str">
            <v>SALES_SK</v>
          </cell>
          <cell r="L155">
            <v>0.1</v>
          </cell>
          <cell r="M155">
            <v>0.1</v>
          </cell>
          <cell r="N155">
            <v>0.1</v>
          </cell>
          <cell r="O155">
            <v>0.1</v>
          </cell>
          <cell r="P155">
            <v>0.1</v>
          </cell>
          <cell r="Q155">
            <v>0.1</v>
          </cell>
          <cell r="R155">
            <v>0.1</v>
          </cell>
          <cell r="S155">
            <v>0.1</v>
          </cell>
          <cell r="T155">
            <v>0.1</v>
          </cell>
          <cell r="U155">
            <v>0.1</v>
          </cell>
          <cell r="V155">
            <v>0.1</v>
          </cell>
          <cell r="W155">
            <v>0.1</v>
          </cell>
          <cell r="X155">
            <v>0.1</v>
          </cell>
          <cell r="Y155">
            <v>0.1</v>
          </cell>
          <cell r="Z155">
            <v>0.1</v>
          </cell>
          <cell r="AA155">
            <v>0.1</v>
          </cell>
          <cell r="AB155">
            <v>0.1</v>
          </cell>
          <cell r="AC155">
            <v>0.1</v>
          </cell>
        </row>
        <row r="156">
          <cell r="B156" t="str">
            <v>Sales - % Taiwan</v>
          </cell>
          <cell r="C156" t="str">
            <v>SALES_TAIWAN</v>
          </cell>
          <cell r="L156">
            <v>0.2</v>
          </cell>
          <cell r="M156">
            <v>0.2</v>
          </cell>
          <cell r="N156">
            <v>0.2</v>
          </cell>
          <cell r="O156">
            <v>0.2</v>
          </cell>
          <cell r="P156">
            <v>0.2</v>
          </cell>
          <cell r="Q156">
            <v>0.2</v>
          </cell>
          <cell r="R156">
            <v>0.2</v>
          </cell>
          <cell r="S156">
            <v>0.2</v>
          </cell>
          <cell r="T156">
            <v>0.2</v>
          </cell>
          <cell r="U156">
            <v>0.2</v>
          </cell>
          <cell r="V156">
            <v>0.2</v>
          </cell>
          <cell r="W156">
            <v>0.2</v>
          </cell>
          <cell r="X156">
            <v>0.2</v>
          </cell>
          <cell r="Y156">
            <v>0.2</v>
          </cell>
          <cell r="Z156">
            <v>0.2</v>
          </cell>
          <cell r="AA156">
            <v>0.2</v>
          </cell>
          <cell r="AB156">
            <v>0.2</v>
          </cell>
          <cell r="AC156">
            <v>0.2</v>
          </cell>
        </row>
        <row r="157">
          <cell r="B157" t="str">
            <v>Sales - % Other Developed Asia</v>
          </cell>
          <cell r="C157" t="str">
            <v>SALES_OTH_DEV_ASIA</v>
          </cell>
        </row>
        <row r="158">
          <cell r="B158" t="str">
            <v>Sales - % China</v>
          </cell>
          <cell r="C158" t="str">
            <v>SALES_CHINA</v>
          </cell>
          <cell r="L158">
            <v>0.2</v>
          </cell>
          <cell r="M158">
            <v>0.2</v>
          </cell>
          <cell r="N158">
            <v>0.2</v>
          </cell>
          <cell r="O158">
            <v>0.2</v>
          </cell>
          <cell r="P158">
            <v>0.2</v>
          </cell>
          <cell r="Q158">
            <v>0.2</v>
          </cell>
          <cell r="R158">
            <v>0.2</v>
          </cell>
          <cell r="S158">
            <v>0.2</v>
          </cell>
          <cell r="T158">
            <v>0.2</v>
          </cell>
          <cell r="U158">
            <v>0.2</v>
          </cell>
          <cell r="V158">
            <v>0.2</v>
          </cell>
          <cell r="W158">
            <v>0.2</v>
          </cell>
          <cell r="X158">
            <v>0.2</v>
          </cell>
          <cell r="Y158">
            <v>0.2</v>
          </cell>
          <cell r="Z158">
            <v>0.2</v>
          </cell>
          <cell r="AA158">
            <v>0.2</v>
          </cell>
          <cell r="AB158">
            <v>0.2</v>
          </cell>
          <cell r="AC158">
            <v>0.2</v>
          </cell>
        </row>
        <row r="159">
          <cell r="B159" t="str">
            <v>Sales - % India</v>
          </cell>
          <cell r="C159" t="str">
            <v>SALES_INDIA</v>
          </cell>
        </row>
        <row r="160">
          <cell r="B160" t="str">
            <v>Sales - % Indonesia</v>
          </cell>
          <cell r="C160" t="str">
            <v>SALES_INDONESIA</v>
          </cell>
        </row>
        <row r="161">
          <cell r="B161" t="str">
            <v>Sales - % Thailand</v>
          </cell>
          <cell r="C161" t="str">
            <v>SALES_THAILAND</v>
          </cell>
        </row>
        <row r="162">
          <cell r="B162" t="str">
            <v>Sales - % Other Emerging Asia</v>
          </cell>
          <cell r="C162" t="str">
            <v>SALES_OTH_EMERG_ASIA</v>
          </cell>
        </row>
        <row r="163">
          <cell r="B163" t="str">
            <v>Sales - % Australia</v>
          </cell>
          <cell r="C163" t="str">
            <v>SALES_AUSTRA</v>
          </cell>
        </row>
        <row r="164">
          <cell r="B164" t="str">
            <v>Sales - % New Zealand</v>
          </cell>
          <cell r="C164" t="str">
            <v>SALES_NZ</v>
          </cell>
        </row>
        <row r="165">
          <cell r="B165" t="str">
            <v>Sales - % Others</v>
          </cell>
          <cell r="C165" t="str">
            <v>SALES_OTHER</v>
          </cell>
          <cell r="L165">
            <v>0.19926811800700001</v>
          </cell>
          <cell r="M165">
            <v>0.19926811800700001</v>
          </cell>
          <cell r="N165">
            <v>0.19926811800700001</v>
          </cell>
          <cell r="O165">
            <v>0.19926811800700001</v>
          </cell>
          <cell r="P165">
            <v>0.19926811800700001</v>
          </cell>
          <cell r="Q165">
            <v>0.19926811800700001</v>
          </cell>
          <cell r="R165">
            <v>0.19926811800700001</v>
          </cell>
          <cell r="S165">
            <v>0.19926811800700001</v>
          </cell>
          <cell r="T165">
            <v>0.19926811800700001</v>
          </cell>
          <cell r="U165">
            <v>0.19926811800700001</v>
          </cell>
          <cell r="V165">
            <v>0.19926811800700001</v>
          </cell>
          <cell r="W165">
            <v>0.19926811800700001</v>
          </cell>
          <cell r="X165">
            <v>0.19926811800700001</v>
          </cell>
          <cell r="Y165">
            <v>0.19926811800700001</v>
          </cell>
          <cell r="Z165">
            <v>0.19926811800700001</v>
          </cell>
          <cell r="AA165">
            <v>0.19926811800700001</v>
          </cell>
          <cell r="AB165">
            <v>0.19926811800700001</v>
          </cell>
          <cell r="AC165">
            <v>0.19926811800700001</v>
          </cell>
        </row>
        <row r="166">
          <cell r="B166" t="str">
            <v>% of CoGS from U.S. (GS estimate)</v>
          </cell>
          <cell r="C166" t="str">
            <v>COGS_PCT_US</v>
          </cell>
        </row>
        <row r="167">
          <cell r="B167" t="str">
            <v>% of CoGS from non-U.S. (GS estimate)</v>
          </cell>
          <cell r="C167" t="str">
            <v>COGS_PCT_ROW</v>
          </cell>
        </row>
        <row r="168">
          <cell r="B168" t="str">
            <v>% of SG&amp;A from U.S. (GS estimate)</v>
          </cell>
          <cell r="C168" t="str">
            <v>SGA_PCT_US</v>
          </cell>
        </row>
        <row r="169">
          <cell r="B169" t="str">
            <v>% of SG&amp;A from non-U.S. (GS estimate)</v>
          </cell>
          <cell r="C169" t="str">
            <v>SGA_PCT_ROW</v>
          </cell>
        </row>
        <row r="170">
          <cell r="B170" t="str">
            <v>Sales -% Consumer (C)</v>
          </cell>
          <cell r="C170" t="str">
            <v>SALES_CONS</v>
          </cell>
          <cell r="L170">
            <v>1</v>
          </cell>
          <cell r="M170">
            <v>1</v>
          </cell>
          <cell r="N170">
            <v>1</v>
          </cell>
          <cell r="O170">
            <v>1</v>
          </cell>
          <cell r="P170">
            <v>1</v>
          </cell>
          <cell r="Q170">
            <v>1</v>
          </cell>
          <cell r="R170">
            <v>1</v>
          </cell>
          <cell r="S170">
            <v>1</v>
          </cell>
          <cell r="T170">
            <v>1</v>
          </cell>
          <cell r="U170">
            <v>1</v>
          </cell>
          <cell r="V170">
            <v>1</v>
          </cell>
          <cell r="W170">
            <v>1</v>
          </cell>
          <cell r="X170">
            <v>1</v>
          </cell>
          <cell r="Y170">
            <v>1</v>
          </cell>
          <cell r="Z170">
            <v>1</v>
          </cell>
          <cell r="AA170">
            <v>1</v>
          </cell>
          <cell r="AB170">
            <v>1</v>
          </cell>
          <cell r="AC170">
            <v>1</v>
          </cell>
        </row>
        <row r="171">
          <cell r="B171" t="str">
            <v>Sales -% Industry (I)</v>
          </cell>
          <cell r="C171" t="str">
            <v>SALES_IND</v>
          </cell>
          <cell r="AA171">
            <v>0</v>
          </cell>
        </row>
        <row r="172">
          <cell r="B172" t="str">
            <v>Sales -% Government (G)</v>
          </cell>
          <cell r="C172" t="str">
            <v>SALES_GOV</v>
          </cell>
          <cell r="AA172">
            <v>0</v>
          </cell>
        </row>
        <row r="173">
          <cell r="B173" t="str">
            <v>Sales - % Industry Sub-Segment: Financial Services</v>
          </cell>
          <cell r="C173" t="str">
            <v>SALES_FINAN</v>
          </cell>
          <cell r="AA173">
            <v>0</v>
          </cell>
        </row>
        <row r="174">
          <cell r="B174" t="str">
            <v>Sales - % Industry Sub-Segment: Oil &amp; Gas</v>
          </cell>
          <cell r="C174" t="str">
            <v>SALES_OIL_GAS</v>
          </cell>
        </row>
        <row r="175">
          <cell r="A175" t="str">
            <v>Commodities Exposure - Expense</v>
          </cell>
        </row>
        <row r="176">
          <cell r="B176" t="str">
            <v>Expense - % Oil/Petrol/Fuel</v>
          </cell>
          <cell r="C176" t="str">
            <v>EXP_OIL_PETRO_FUEL</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row>
        <row r="177">
          <cell r="B177" t="str">
            <v>Expense - % Oil derivatives/NGLs/plastics</v>
          </cell>
          <cell r="C177" t="str">
            <v>EXP_OIL_DERIV_NGLS_PLASTICS</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8">
          <cell r="B178" t="str">
            <v>Expense - % Gold</v>
          </cell>
          <cell r="C178" t="str">
            <v>EXP_GOLD</v>
          </cell>
        </row>
        <row r="179">
          <cell r="B179" t="str">
            <v>Expense - % Copper</v>
          </cell>
          <cell r="C179" t="str">
            <v>EXP_COPPER</v>
          </cell>
        </row>
        <row r="180">
          <cell r="B180" t="str">
            <v>Expense - % Silver</v>
          </cell>
          <cell r="C180" t="str">
            <v>EXP_SILVER</v>
          </cell>
        </row>
        <row r="181">
          <cell r="B181" t="str">
            <v>Expense - % Platinum</v>
          </cell>
          <cell r="C181" t="str">
            <v>EXP_PLATINUM</v>
          </cell>
        </row>
        <row r="182">
          <cell r="B182" t="str">
            <v>Expense - % Palladium</v>
          </cell>
          <cell r="C182" t="str">
            <v>EXP_PALLADIUM</v>
          </cell>
        </row>
        <row r="183">
          <cell r="B183" t="str">
            <v>Expense - % Aluminium</v>
          </cell>
          <cell r="C183" t="str">
            <v>EXP_ALUMINIUM</v>
          </cell>
        </row>
        <row r="184">
          <cell r="B184" t="str">
            <v>Expense - % Nickel</v>
          </cell>
          <cell r="C184" t="str">
            <v>EXP_NICKEL</v>
          </cell>
        </row>
        <row r="185">
          <cell r="B185" t="str">
            <v>Expense - % Zinc</v>
          </cell>
          <cell r="C185" t="str">
            <v>EXP_ZINC</v>
          </cell>
        </row>
        <row r="186">
          <cell r="B186" t="str">
            <v>Expense - % Paper/pulp</v>
          </cell>
          <cell r="C186" t="str">
            <v>EXP_PAPER_PULP</v>
          </cell>
        </row>
        <row r="187">
          <cell r="B187" t="str">
            <v>Expense - % Glass</v>
          </cell>
          <cell r="C187" t="str">
            <v>EXP_GLASS</v>
          </cell>
        </row>
        <row r="188">
          <cell r="B188" t="str">
            <v>Expense - % Water</v>
          </cell>
          <cell r="C188" t="str">
            <v>EXP_WATER</v>
          </cell>
        </row>
        <row r="189">
          <cell r="B189" t="str">
            <v>Expense - % Other commodity</v>
          </cell>
          <cell r="C189" t="str">
            <v>EXP_OTH_COMMODITY</v>
          </cell>
        </row>
        <row r="190">
          <cell r="B190" t="str">
            <v>Expense - % Other (Non-Commodity) cost</v>
          </cell>
          <cell r="C190" t="str">
            <v>EXP_OTH_COST</v>
          </cell>
        </row>
        <row r="191">
          <cell r="A191" t="str">
            <v>FX Exposure - Sales</v>
          </cell>
        </row>
        <row r="192">
          <cell r="B192" t="str">
            <v>Sales - % FX: British Pounds/Pence</v>
          </cell>
          <cell r="C192" t="str">
            <v>SALES_FX_GPB</v>
          </cell>
        </row>
        <row r="193">
          <cell r="B193" t="str">
            <v>Sales - % FX: Euro</v>
          </cell>
          <cell r="C193" t="str">
            <v>SALES_FX_EUR</v>
          </cell>
        </row>
        <row r="194">
          <cell r="B194" t="str">
            <v>Sales - % FX: New Russian Ruble</v>
          </cell>
          <cell r="C194" t="str">
            <v>SALES_FX_RUB</v>
          </cell>
        </row>
        <row r="195">
          <cell r="B195" t="str">
            <v>Sales - % FX: U.S. Dollar</v>
          </cell>
          <cell r="C195" t="str">
            <v>SALES_FX_USD</v>
          </cell>
          <cell r="L195">
            <v>1</v>
          </cell>
          <cell r="M195">
            <v>1</v>
          </cell>
          <cell r="N195">
            <v>1</v>
          </cell>
          <cell r="O195">
            <v>1</v>
          </cell>
          <cell r="P195">
            <v>1</v>
          </cell>
          <cell r="Q195">
            <v>1</v>
          </cell>
          <cell r="R195">
            <v>1</v>
          </cell>
          <cell r="S195">
            <v>1</v>
          </cell>
          <cell r="T195">
            <v>1</v>
          </cell>
          <cell r="U195">
            <v>1</v>
          </cell>
          <cell r="V195">
            <v>1</v>
          </cell>
          <cell r="W195">
            <v>1</v>
          </cell>
          <cell r="X195">
            <v>1</v>
          </cell>
          <cell r="Y195">
            <v>1</v>
          </cell>
          <cell r="Z195">
            <v>1</v>
          </cell>
          <cell r="AA195">
            <v>1</v>
          </cell>
          <cell r="AB195">
            <v>1</v>
          </cell>
          <cell r="AC195">
            <v>1</v>
          </cell>
        </row>
        <row r="196">
          <cell r="B196" t="str">
            <v>Sales - % FX: Brazilian Real</v>
          </cell>
          <cell r="C196" t="str">
            <v>SALES_FX_BRL</v>
          </cell>
        </row>
        <row r="197">
          <cell r="B197" t="str">
            <v>Sales - % FX: Japanese Yen</v>
          </cell>
          <cell r="C197" t="str">
            <v>SALES_FX_YEN</v>
          </cell>
        </row>
        <row r="198">
          <cell r="B198" t="str">
            <v>Sales - % FX: Chinese Renminbi</v>
          </cell>
          <cell r="C198" t="str">
            <v>SALES_FX_CNY</v>
          </cell>
        </row>
        <row r="199">
          <cell r="B199" t="str">
            <v>Sales - % FX: Indian Rupee</v>
          </cell>
          <cell r="C199" t="str">
            <v>SALES_FX_INR</v>
          </cell>
        </row>
        <row r="200">
          <cell r="B200" t="str">
            <v>Sales - % FX: South Korean Won</v>
          </cell>
          <cell r="C200" t="str">
            <v>SALES_FX_KRW</v>
          </cell>
        </row>
        <row r="201">
          <cell r="B201" t="str">
            <v>Sales - % FX: Taiwan Dollar</v>
          </cell>
          <cell r="C201" t="str">
            <v>SALES_FX_TWD</v>
          </cell>
        </row>
        <row r="202">
          <cell r="B202" t="str">
            <v>Sales - % FX: Other Currency</v>
          </cell>
          <cell r="C202" t="str">
            <v>SALES_FX_OTH</v>
          </cell>
        </row>
        <row r="203">
          <cell r="A203" t="str">
            <v>Items to be removed</v>
          </cell>
        </row>
        <row r="204">
          <cell r="B204" t="str">
            <v>Sales - Total % Americas</v>
          </cell>
          <cell r="C204" t="str">
            <v>SALES_TOT_AM</v>
          </cell>
          <cell r="L204">
            <v>0.20073188199299999</v>
          </cell>
          <cell r="M204">
            <v>0.20073188199299999</v>
          </cell>
          <cell r="N204">
            <v>0.20073188199299999</v>
          </cell>
          <cell r="O204">
            <v>0.20073188199299999</v>
          </cell>
          <cell r="P204">
            <v>0.20073188199299999</v>
          </cell>
          <cell r="Q204">
            <v>0.20073188199299999</v>
          </cell>
          <cell r="R204">
            <v>0.20073188199299999</v>
          </cell>
          <cell r="S204">
            <v>0.20073188199299999</v>
          </cell>
          <cell r="T204">
            <v>0.20073188199299999</v>
          </cell>
          <cell r="U204">
            <v>0.20073188199299999</v>
          </cell>
          <cell r="V204">
            <v>0.20073188199299999</v>
          </cell>
          <cell r="W204">
            <v>0.20073188199299999</v>
          </cell>
          <cell r="X204">
            <v>0.20073188199299999</v>
          </cell>
          <cell r="Y204">
            <v>0.20073188199299999</v>
          </cell>
          <cell r="Z204">
            <v>0.20073188199299999</v>
          </cell>
          <cell r="AA204">
            <v>0.20073188199299999</v>
          </cell>
          <cell r="AB204">
            <v>0.20073188199299999</v>
          </cell>
          <cell r="AC204">
            <v>0.20073188199299999</v>
          </cell>
        </row>
        <row r="205">
          <cell r="B205" t="str">
            <v>Sales - % Other Americas</v>
          </cell>
          <cell r="C205" t="str">
            <v>SALES_OTH_AM</v>
          </cell>
        </row>
        <row r="206">
          <cell r="B206" t="str">
            <v>Sales - Total % EMEA</v>
          </cell>
          <cell r="C206" t="str">
            <v>SALES_TOT_EMEA</v>
          </cell>
          <cell r="L206">
            <v>0.16042355793599999</v>
          </cell>
          <cell r="M206">
            <v>0.16042355793599999</v>
          </cell>
          <cell r="N206">
            <v>0.16042355793599999</v>
          </cell>
          <cell r="O206">
            <v>0.16042355793599999</v>
          </cell>
          <cell r="P206">
            <v>0.16042355793599999</v>
          </cell>
          <cell r="Q206">
            <v>0.16042355793599999</v>
          </cell>
          <cell r="R206">
            <v>0.16042355793599999</v>
          </cell>
          <cell r="S206">
            <v>0.16042355793599999</v>
          </cell>
          <cell r="T206">
            <v>0.16042355793599999</v>
          </cell>
          <cell r="U206">
            <v>0.16042355793599999</v>
          </cell>
          <cell r="V206">
            <v>0.16042355793599999</v>
          </cell>
          <cell r="W206">
            <v>0.16042355793599999</v>
          </cell>
          <cell r="X206">
            <v>0.16042355793599999</v>
          </cell>
          <cell r="Y206">
            <v>0.16042355793599999</v>
          </cell>
          <cell r="Z206">
            <v>0.16042355793599999</v>
          </cell>
          <cell r="AA206">
            <v>0.16042355793599999</v>
          </cell>
          <cell r="AB206">
            <v>0.16042355793599999</v>
          </cell>
          <cell r="AC206">
            <v>0.16042355793599999</v>
          </cell>
        </row>
        <row r="207">
          <cell r="B207" t="str">
            <v>Sales - % Western Europe-Ex UK</v>
          </cell>
          <cell r="C207" t="str">
            <v>SALES_EU_EX_UK</v>
          </cell>
          <cell r="L207">
            <v>0.16042355793599999</v>
          </cell>
          <cell r="M207">
            <v>0.16042355793599999</v>
          </cell>
          <cell r="N207">
            <v>0.16042355793599999</v>
          </cell>
          <cell r="O207">
            <v>0.16042355793599999</v>
          </cell>
          <cell r="P207">
            <v>0.16042355793599999</v>
          </cell>
          <cell r="Q207">
            <v>0.16042355793599999</v>
          </cell>
          <cell r="R207">
            <v>0.16042355793599999</v>
          </cell>
          <cell r="S207">
            <v>0.16042355793599999</v>
          </cell>
          <cell r="T207">
            <v>0.16042355793599999</v>
          </cell>
          <cell r="U207">
            <v>0.16042355793599999</v>
          </cell>
          <cell r="V207">
            <v>0.16042355793599999</v>
          </cell>
          <cell r="W207">
            <v>0.16042355793599999</v>
          </cell>
          <cell r="X207">
            <v>0.16042355793599999</v>
          </cell>
          <cell r="Y207">
            <v>0.16042355793599999</v>
          </cell>
          <cell r="Z207">
            <v>0.16042355793599999</v>
          </cell>
          <cell r="AA207">
            <v>0.16042355793599999</v>
          </cell>
          <cell r="AB207">
            <v>0.16042355793599999</v>
          </cell>
          <cell r="AC207">
            <v>0.16042355793599999</v>
          </cell>
        </row>
        <row r="208">
          <cell r="B208" t="str">
            <v>Sales - % Central &amp; Eastern Europe</v>
          </cell>
          <cell r="C208" t="str">
            <v>SALES_CEE</v>
          </cell>
        </row>
        <row r="209">
          <cell r="B209" t="str">
            <v>Sales - % Middle East</v>
          </cell>
          <cell r="C209" t="str">
            <v>SALES_ME</v>
          </cell>
        </row>
        <row r="210">
          <cell r="B210" t="str">
            <v>Sales - % Total Africa</v>
          </cell>
          <cell r="C210" t="str">
            <v>SALES_TOT_AFRICA</v>
          </cell>
        </row>
        <row r="211">
          <cell r="B211" t="str">
            <v>Sales - % Other EMEA</v>
          </cell>
          <cell r="C211" t="str">
            <v>SALES_OTH_EMEA</v>
          </cell>
        </row>
        <row r="212">
          <cell r="B212" t="str">
            <v>Sales - Total % Asia (incl Australia &amp; New Zealand)</v>
          </cell>
          <cell r="C212" t="str">
            <v>SALES_TOT_ASIA</v>
          </cell>
          <cell r="L212">
            <v>0.61197906234999999</v>
          </cell>
          <cell r="M212">
            <v>0.61197906234999999</v>
          </cell>
          <cell r="N212">
            <v>0.61197906234999999</v>
          </cell>
          <cell r="O212">
            <v>0.61197906234999999</v>
          </cell>
          <cell r="P212">
            <v>0.61197906234999999</v>
          </cell>
          <cell r="Q212">
            <v>0.61197906234999999</v>
          </cell>
          <cell r="R212">
            <v>0.61197906234999999</v>
          </cell>
          <cell r="S212">
            <v>0.61197906234999999</v>
          </cell>
          <cell r="T212">
            <v>0.61197906234999999</v>
          </cell>
          <cell r="U212">
            <v>0.61197906234999999</v>
          </cell>
          <cell r="V212">
            <v>0.61197906234999999</v>
          </cell>
          <cell r="W212">
            <v>0.61197906234999999</v>
          </cell>
          <cell r="X212">
            <v>0.61197906234999999</v>
          </cell>
          <cell r="Y212">
            <v>0.61197906234999999</v>
          </cell>
          <cell r="Z212">
            <v>0.61197906234999999</v>
          </cell>
          <cell r="AA212">
            <v>0.61197906234999999</v>
          </cell>
          <cell r="AB212">
            <v>0.61197906234999999</v>
          </cell>
          <cell r="AC212">
            <v>0.61197906234999999</v>
          </cell>
        </row>
        <row r="213">
          <cell r="B213" t="str">
            <v>Sales - % Other Asia</v>
          </cell>
          <cell r="C213" t="str">
            <v>SALES_OTH_AEJ</v>
          </cell>
          <cell r="L213">
            <v>0.61197906234999999</v>
          </cell>
          <cell r="M213">
            <v>0.61197906234999999</v>
          </cell>
          <cell r="N213">
            <v>0.61197906234999999</v>
          </cell>
          <cell r="O213">
            <v>0.61197906234999999</v>
          </cell>
          <cell r="P213">
            <v>0.61197906234999999</v>
          </cell>
          <cell r="Q213">
            <v>0.61197906234999999</v>
          </cell>
          <cell r="R213">
            <v>0.61197906234999999</v>
          </cell>
          <cell r="S213">
            <v>0.61197906234999999</v>
          </cell>
          <cell r="T213">
            <v>0.61197906234999999</v>
          </cell>
          <cell r="U213">
            <v>0.61197906234999999</v>
          </cell>
          <cell r="V213">
            <v>0.61197906234999999</v>
          </cell>
          <cell r="W213">
            <v>0.61197906234999999</v>
          </cell>
          <cell r="X213">
            <v>0.61197906234999999</v>
          </cell>
          <cell r="Y213">
            <v>0.61197906234999999</v>
          </cell>
          <cell r="Z213">
            <v>0.61197906234999999</v>
          </cell>
          <cell r="AA213">
            <v>0.61197906234999999</v>
          </cell>
          <cell r="AB213">
            <v>0.61197906234999999</v>
          </cell>
          <cell r="AC213">
            <v>0.61197906234999999</v>
          </cell>
        </row>
        <row r="214">
          <cell r="A214" t="str">
            <v>Security: Silergy Corp.</v>
          </cell>
          <cell r="B214" t="str">
            <v>44LZY</v>
          </cell>
        </row>
        <row r="215">
          <cell r="A215" t="str">
            <v>Reference Data</v>
          </cell>
        </row>
        <row r="216">
          <cell r="B216" t="str">
            <v>Ticker</v>
          </cell>
          <cell r="C216" t="str">
            <v>Ticker</v>
          </cell>
          <cell r="E216" t="str">
            <v>6415.TW</v>
          </cell>
        </row>
        <row r="217">
          <cell r="B217" t="str">
            <v>Security Name</v>
          </cell>
          <cell r="C217" t="str">
            <v>Security Name</v>
          </cell>
          <cell r="E217" t="str">
            <v>Silergy Corp.</v>
          </cell>
        </row>
        <row r="218">
          <cell r="B218" t="str">
            <v>Interim Type</v>
          </cell>
          <cell r="C218" t="str">
            <v>Interim Type</v>
          </cell>
          <cell r="E218" t="str">
            <v>Q</v>
          </cell>
        </row>
        <row r="219">
          <cell r="B219" t="str">
            <v>Publishing Currency</v>
          </cell>
          <cell r="C219" t="str">
            <v>PUB_CURRENCY_ISO</v>
          </cell>
          <cell r="E219" t="str">
            <v>TWD</v>
          </cell>
        </row>
        <row r="220">
          <cell r="B220" t="str">
            <v>Pricing Currency</v>
          </cell>
          <cell r="C220" t="str">
            <v>PRICE_CURRENCY_ISO</v>
          </cell>
          <cell r="E220" t="str">
            <v>TWD</v>
          </cell>
        </row>
        <row r="221">
          <cell r="B221" t="str">
            <v>Reporting Currency</v>
          </cell>
          <cell r="C221" t="str">
            <v>CURRENCY_ISO</v>
          </cell>
          <cell r="E221" t="str">
            <v>TWD</v>
          </cell>
        </row>
        <row r="222">
          <cell r="A222" t="str">
            <v>General Information</v>
          </cell>
        </row>
        <row r="223">
          <cell r="B223" t="str">
            <v>Asia ex. Japan Investment List</v>
          </cell>
          <cell r="C223" t="str">
            <v>AEJ_LIST</v>
          </cell>
        </row>
        <row r="224">
          <cell r="B224" t="str">
            <v>Asia ex. Japan Conviction List</v>
          </cell>
          <cell r="C224" t="str">
            <v>AEJ_CONVICTION</v>
          </cell>
        </row>
        <row r="225">
          <cell r="B225" t="str">
            <v>Legal rating</v>
          </cell>
          <cell r="C225" t="str">
            <v>LEGAL_RATING</v>
          </cell>
          <cell r="E225" t="str">
            <v>Coverage Suspended</v>
          </cell>
        </row>
        <row r="226">
          <cell r="B226" t="str">
            <v>Target price</v>
          </cell>
          <cell r="C226" t="str">
            <v>TARGET_PRICE</v>
          </cell>
          <cell r="D226" t="str">
            <v>TWD</v>
          </cell>
        </row>
        <row r="227">
          <cell r="B227" t="str">
            <v>Target price period</v>
          </cell>
          <cell r="C227" t="str">
            <v>TP_PERIOD</v>
          </cell>
        </row>
        <row r="228">
          <cell r="B228" t="str">
            <v>Fundamental value</v>
          </cell>
          <cell r="C228" t="str">
            <v>TARGET_PRICE_FUNDAMENTAL</v>
          </cell>
          <cell r="D228" t="str">
            <v>TWD</v>
          </cell>
          <cell r="E228">
            <v>662</v>
          </cell>
        </row>
        <row r="229">
          <cell r="B229" t="str">
            <v>M&amp;A value</v>
          </cell>
          <cell r="C229" t="str">
            <v>TARGET_PRICE_MA</v>
          </cell>
          <cell r="D229" t="str">
            <v>TWD</v>
          </cell>
          <cell r="E229">
            <v>913</v>
          </cell>
        </row>
        <row r="230">
          <cell r="B230" t="str">
            <v>Current shares outstanding (mn)</v>
          </cell>
          <cell r="C230" t="str">
            <v>NUM_SH</v>
          </cell>
          <cell r="E230">
            <v>76.72</v>
          </cell>
        </row>
        <row r="231">
          <cell r="B231" t="str">
            <v>Free float</v>
          </cell>
          <cell r="C231" t="str">
            <v>FREE_FLOAT</v>
          </cell>
          <cell r="E231">
            <v>0</v>
          </cell>
        </row>
        <row r="232">
          <cell r="B232" t="str">
            <v>Foreign ownership</v>
          </cell>
          <cell r="C232" t="str">
            <v>FOREIGN_HOLDNG</v>
          </cell>
          <cell r="E232">
            <v>0.38030000000000003</v>
          </cell>
        </row>
        <row r="233">
          <cell r="B233" t="str">
            <v>Catalyst 1 date</v>
          </cell>
          <cell r="C233" t="str">
            <v>CATALYST1_DATE</v>
          </cell>
        </row>
        <row r="234">
          <cell r="B234" t="str">
            <v>Catalyst 1 description</v>
          </cell>
          <cell r="C234" t="str">
            <v>CATALYST1_EVENT</v>
          </cell>
        </row>
        <row r="235">
          <cell r="B235" t="str">
            <v>Catalyst 2 date</v>
          </cell>
          <cell r="C235" t="str">
            <v>CATALYST2_DATE</v>
          </cell>
        </row>
        <row r="236">
          <cell r="B236" t="str">
            <v>Catalyst 2 description</v>
          </cell>
          <cell r="C236" t="str">
            <v>CATALYST2_EVENT</v>
          </cell>
        </row>
        <row r="237">
          <cell r="B237" t="str">
            <v>Catalyst 3 date</v>
          </cell>
          <cell r="C237" t="str">
            <v>CATALYST3_DATE</v>
          </cell>
        </row>
        <row r="238">
          <cell r="B238" t="str">
            <v>Catalyst 3 description</v>
          </cell>
          <cell r="C238" t="str">
            <v>CATALYST3_EVENT</v>
          </cell>
        </row>
        <row r="239">
          <cell r="B239" t="str">
            <v>Catalyst 4 date</v>
          </cell>
          <cell r="C239" t="str">
            <v>CATALYST4_DATE</v>
          </cell>
        </row>
        <row r="240">
          <cell r="B240" t="str">
            <v>Catalyst 4 description</v>
          </cell>
          <cell r="C240" t="str">
            <v>CATALYST4_EVENT</v>
          </cell>
        </row>
        <row r="241">
          <cell r="B241" t="str">
            <v>Catalyst 5 date</v>
          </cell>
          <cell r="C241" t="str">
            <v>CATALYST5_DATE</v>
          </cell>
        </row>
        <row r="242">
          <cell r="B242" t="str">
            <v>Catalyst 5 description</v>
          </cell>
          <cell r="C242" t="str">
            <v>CATALYST5_EVENT</v>
          </cell>
        </row>
        <row r="243">
          <cell r="B243" t="str">
            <v>Target price multiple</v>
          </cell>
          <cell r="C243" t="str">
            <v>PRI_TARG_MULT</v>
          </cell>
        </row>
        <row r="244">
          <cell r="B244" t="str">
            <v>Target price methodology</v>
          </cell>
          <cell r="C244" t="str">
            <v>PRI_TARG_METH</v>
          </cell>
          <cell r="E244" t="str">
            <v>NTM P/E and M&amp;A multiple</v>
          </cell>
        </row>
        <row r="245">
          <cell r="A245" t="str">
            <v>Publishing Items</v>
          </cell>
        </row>
        <row r="246">
          <cell r="B246" t="str">
            <v>Book value per share, BVPS (Pub)</v>
          </cell>
          <cell r="C246" t="str">
            <v>BVPS_PUB</v>
          </cell>
          <cell r="D246" t="str">
            <v>TWD</v>
          </cell>
          <cell r="Y246">
            <v>40.618952069157999</v>
          </cell>
          <cell r="Z246">
            <v>46.282106706031001</v>
          </cell>
          <cell r="AA246">
            <v>60.060636079249001</v>
          </cell>
          <cell r="AB246">
            <v>104.373232799246</v>
          </cell>
          <cell r="AC246">
            <v>120.154906595173</v>
          </cell>
        </row>
        <row r="247">
          <cell r="B247" t="str">
            <v>DPS, dividend per share (Pub)</v>
          </cell>
          <cell r="C247" t="str">
            <v>DPS_PUB</v>
          </cell>
          <cell r="D247" t="str">
            <v>TWD</v>
          </cell>
          <cell r="Y247">
            <v>0</v>
          </cell>
          <cell r="Z247">
            <v>2.1430435470270002</v>
          </cell>
          <cell r="AA247">
            <v>3.2001297565660001</v>
          </cell>
          <cell r="AB247">
            <v>4.6911065225290001</v>
          </cell>
          <cell r="AC247">
            <v>5.3743829072829996</v>
          </cell>
        </row>
        <row r="248">
          <cell r="B248" t="str">
            <v>Special dividend per share</v>
          </cell>
          <cell r="C248" t="str">
            <v>DPS_SPECIAL_PUB</v>
          </cell>
          <cell r="D248" t="str">
            <v>TWD</v>
          </cell>
        </row>
        <row r="249">
          <cell r="B249" t="str">
            <v>EBITDA (Pub)</v>
          </cell>
          <cell r="C249" t="str">
            <v>EBITDA_PUB</v>
          </cell>
          <cell r="D249" t="str">
            <v>TWD</v>
          </cell>
          <cell r="L249">
            <v>0</v>
          </cell>
          <cell r="M249">
            <v>0</v>
          </cell>
          <cell r="N249">
            <v>0</v>
          </cell>
          <cell r="O249">
            <v>0</v>
          </cell>
          <cell r="P249">
            <v>0</v>
          </cell>
          <cell r="Q249">
            <v>0</v>
          </cell>
          <cell r="R249">
            <v>0</v>
          </cell>
          <cell r="S249">
            <v>0</v>
          </cell>
          <cell r="T249">
            <v>0</v>
          </cell>
          <cell r="U249">
            <v>0</v>
          </cell>
          <cell r="V249">
            <v>0</v>
          </cell>
          <cell r="W249">
            <v>0</v>
          </cell>
          <cell r="X249">
            <v>0</v>
          </cell>
          <cell r="Y249">
            <v>546.67499999999995</v>
          </cell>
          <cell r="Z249">
            <v>786.41099999999994</v>
          </cell>
          <cell r="AA249">
            <v>1213.998</v>
          </cell>
          <cell r="AB249">
            <v>1664.75</v>
          </cell>
          <cell r="AC249">
            <v>2091.0320000000002</v>
          </cell>
        </row>
        <row r="250">
          <cell r="B250" t="str">
            <v>EPS (Pub)</v>
          </cell>
          <cell r="C250" t="str">
            <v>EPS_PUB</v>
          </cell>
          <cell r="D250" t="str">
            <v>TWD</v>
          </cell>
          <cell r="Y250">
            <v>8.0005582125130008</v>
          </cell>
          <cell r="Z250">
            <v>10.553695698018</v>
          </cell>
          <cell r="AA250">
            <v>15.657546923879</v>
          </cell>
          <cell r="AB250">
            <v>18.718394171740002</v>
          </cell>
          <cell r="AC250">
            <v>20.669692227973002</v>
          </cell>
          <cell r="AI250">
            <v>0</v>
          </cell>
          <cell r="AJ250">
            <v>0</v>
          </cell>
          <cell r="AK250">
            <v>0</v>
          </cell>
          <cell r="AL250">
            <v>0</v>
          </cell>
          <cell r="AM250">
            <v>0</v>
          </cell>
          <cell r="AN250">
            <v>0</v>
          </cell>
          <cell r="AO250">
            <v>0</v>
          </cell>
          <cell r="AP250">
            <v>0</v>
          </cell>
          <cell r="AQ250">
            <v>0</v>
          </cell>
          <cell r="AR250">
            <v>0</v>
          </cell>
          <cell r="AS250">
            <v>0</v>
          </cell>
          <cell r="AT250">
            <v>0</v>
          </cell>
          <cell r="AU250">
            <v>1.755367984599</v>
          </cell>
          <cell r="AV250">
            <v>1.8394947112090001</v>
          </cell>
          <cell r="AW250">
            <v>2.0030917991539998</v>
          </cell>
          <cell r="AX250">
            <v>2.4005131578949999</v>
          </cell>
          <cell r="AY250">
            <v>1.517883617494</v>
          </cell>
          <cell r="AZ250">
            <v>3.1243616542749999</v>
          </cell>
          <cell r="BA250">
            <v>2.845374223786</v>
          </cell>
          <cell r="BB250">
            <v>3.057967213115</v>
          </cell>
          <cell r="BC250">
            <v>2.6640939289509999</v>
          </cell>
          <cell r="BD250">
            <v>4.01</v>
          </cell>
          <cell r="BE250">
            <v>3.68</v>
          </cell>
          <cell r="BF250">
            <v>5.3061118335500002</v>
          </cell>
          <cell r="BG250">
            <v>3.0911611874929998</v>
          </cell>
          <cell r="BH250">
            <v>4.4282906900069996</v>
          </cell>
          <cell r="BI250">
            <v>4.9625408209000001</v>
          </cell>
          <cell r="BJ250">
            <v>6.240261519303</v>
          </cell>
          <cell r="BK250">
            <v>4.3399844951990003</v>
          </cell>
          <cell r="BL250">
            <v>6.4394057757569998</v>
          </cell>
          <cell r="BM250">
            <v>5.771108343711</v>
          </cell>
          <cell r="BN250">
            <v>5.8232572007870003</v>
          </cell>
        </row>
        <row r="251">
          <cell r="B251" t="str">
            <v>EV adjustment (Pub)</v>
          </cell>
          <cell r="C251" t="str">
            <v>EV_ADJ_PUB</v>
          </cell>
          <cell r="D251" t="str">
            <v>TWD</v>
          </cell>
        </row>
        <row r="252">
          <cell r="B252" t="str">
            <v>Net debt (Pub)</v>
          </cell>
          <cell r="C252" t="str">
            <v>NET_DEBT_PUB</v>
          </cell>
          <cell r="D252" t="str">
            <v>TWD</v>
          </cell>
          <cell r="L252">
            <v>0</v>
          </cell>
          <cell r="M252">
            <v>0</v>
          </cell>
          <cell r="N252">
            <v>0</v>
          </cell>
          <cell r="O252">
            <v>0</v>
          </cell>
          <cell r="P252">
            <v>0</v>
          </cell>
          <cell r="Q252">
            <v>0</v>
          </cell>
          <cell r="R252">
            <v>0</v>
          </cell>
          <cell r="S252">
            <v>0</v>
          </cell>
          <cell r="T252">
            <v>0</v>
          </cell>
          <cell r="U252">
            <v>0</v>
          </cell>
          <cell r="V252">
            <v>0</v>
          </cell>
          <cell r="W252">
            <v>0</v>
          </cell>
          <cell r="X252">
            <v>0</v>
          </cell>
          <cell r="Y252">
            <v>-2334.4749999999999</v>
          </cell>
          <cell r="Z252">
            <v>-2458.7370000000001</v>
          </cell>
          <cell r="AA252">
            <v>-2353.8969999999999</v>
          </cell>
          <cell r="AB252">
            <v>-3337.2049999999999</v>
          </cell>
          <cell r="AC252">
            <v>-4149.4530000000004</v>
          </cell>
        </row>
        <row r="253">
          <cell r="B253" t="str">
            <v>Net income (Pub)</v>
          </cell>
          <cell r="C253" t="str">
            <v>NI_PUB</v>
          </cell>
          <cell r="D253" t="str">
            <v>TWD</v>
          </cell>
          <cell r="L253">
            <v>0</v>
          </cell>
          <cell r="M253">
            <v>0</v>
          </cell>
          <cell r="N253">
            <v>0</v>
          </cell>
          <cell r="O253">
            <v>0</v>
          </cell>
          <cell r="P253">
            <v>0</v>
          </cell>
          <cell r="Q253">
            <v>0</v>
          </cell>
          <cell r="R253">
            <v>0</v>
          </cell>
          <cell r="S253">
            <v>0</v>
          </cell>
          <cell r="T253">
            <v>0</v>
          </cell>
          <cell r="U253">
            <v>0</v>
          </cell>
          <cell r="V253">
            <v>0</v>
          </cell>
          <cell r="W253">
            <v>0</v>
          </cell>
          <cell r="X253">
            <v>0</v>
          </cell>
          <cell r="Y253">
            <v>530.30100000000004</v>
          </cell>
          <cell r="Z253">
            <v>800.73</v>
          </cell>
          <cell r="AA253">
            <v>1201.2470000000001</v>
          </cell>
          <cell r="AB253">
            <v>1469.6559999999999</v>
          </cell>
          <cell r="AC253">
            <v>1818.3779999999999</v>
          </cell>
          <cell r="AI253">
            <v>0</v>
          </cell>
          <cell r="AJ253">
            <v>0</v>
          </cell>
          <cell r="AK253">
            <v>0</v>
          </cell>
          <cell r="AL253">
            <v>0</v>
          </cell>
          <cell r="AM253">
            <v>0</v>
          </cell>
          <cell r="AN253">
            <v>0</v>
          </cell>
          <cell r="AO253">
            <v>0</v>
          </cell>
          <cell r="AP253">
            <v>0</v>
          </cell>
          <cell r="AQ253">
            <v>0</v>
          </cell>
          <cell r="AR253">
            <v>0</v>
          </cell>
          <cell r="AS253">
            <v>0</v>
          </cell>
          <cell r="AT253">
            <v>0</v>
          </cell>
          <cell r="AU253">
            <v>94.831999999999994</v>
          </cell>
          <cell r="AV253">
            <v>120.864</v>
          </cell>
          <cell r="AW253">
            <v>132.166</v>
          </cell>
          <cell r="AX253">
            <v>182.43899999999999</v>
          </cell>
          <cell r="AY253">
            <v>114.667</v>
          </cell>
          <cell r="AZ253">
            <v>236.15799999999999</v>
          </cell>
          <cell r="BA253">
            <v>216.73500000000001</v>
          </cell>
          <cell r="BB253">
            <v>233.17</v>
          </cell>
          <cell r="BC253">
            <v>203.30500000000001</v>
          </cell>
          <cell r="BD253">
            <v>307.327</v>
          </cell>
          <cell r="BE253">
            <v>282.57499999999999</v>
          </cell>
          <cell r="BF253">
            <v>408.04</v>
          </cell>
          <cell r="BG253">
            <v>238.548</v>
          </cell>
          <cell r="BH253">
            <v>342.51499999999999</v>
          </cell>
          <cell r="BI253">
            <v>387.5</v>
          </cell>
          <cell r="BJ253">
            <v>501.09300000000002</v>
          </cell>
          <cell r="BK253">
            <v>363.88600000000002</v>
          </cell>
          <cell r="BL253">
            <v>502.82100000000003</v>
          </cell>
          <cell r="BM253">
            <v>463.42</v>
          </cell>
          <cell r="BN253">
            <v>488.25099999999998</v>
          </cell>
        </row>
        <row r="254">
          <cell r="B254" t="str">
            <v>EBIT, operating profit (Pub)</v>
          </cell>
          <cell r="C254" t="str">
            <v>EBIT_PUB</v>
          </cell>
          <cell r="D254" t="str">
            <v>TWD</v>
          </cell>
          <cell r="L254">
            <v>0</v>
          </cell>
          <cell r="M254">
            <v>0</v>
          </cell>
          <cell r="N254">
            <v>0</v>
          </cell>
          <cell r="O254">
            <v>0</v>
          </cell>
          <cell r="P254">
            <v>0</v>
          </cell>
          <cell r="Q254">
            <v>0</v>
          </cell>
          <cell r="R254">
            <v>0</v>
          </cell>
          <cell r="S254">
            <v>0</v>
          </cell>
          <cell r="T254">
            <v>0</v>
          </cell>
          <cell r="U254">
            <v>0</v>
          </cell>
          <cell r="V254">
            <v>0</v>
          </cell>
          <cell r="W254">
            <v>0</v>
          </cell>
          <cell r="X254">
            <v>0</v>
          </cell>
          <cell r="Y254">
            <v>534.79700000000003</v>
          </cell>
          <cell r="Z254">
            <v>763.08100000000002</v>
          </cell>
          <cell r="AA254">
            <v>1175.1769999999999</v>
          </cell>
          <cell r="AB254">
            <v>1438.3150000000001</v>
          </cell>
          <cell r="AC254">
            <v>1853.9380000000001</v>
          </cell>
          <cell r="AI254">
            <v>0</v>
          </cell>
          <cell r="AJ254">
            <v>0</v>
          </cell>
          <cell r="AK254">
            <v>0</v>
          </cell>
          <cell r="AL254">
            <v>0</v>
          </cell>
          <cell r="AM254">
            <v>0</v>
          </cell>
          <cell r="AN254">
            <v>0</v>
          </cell>
          <cell r="AO254">
            <v>0</v>
          </cell>
          <cell r="AP254">
            <v>0</v>
          </cell>
          <cell r="AQ254">
            <v>0</v>
          </cell>
          <cell r="AR254">
            <v>0</v>
          </cell>
          <cell r="AS254">
            <v>0</v>
          </cell>
          <cell r="AT254">
            <v>0</v>
          </cell>
          <cell r="AU254">
            <v>94.891000000000005</v>
          </cell>
          <cell r="AV254">
            <v>122.182</v>
          </cell>
          <cell r="AW254">
            <v>132.15299999999999</v>
          </cell>
          <cell r="AX254">
            <v>185.571</v>
          </cell>
          <cell r="AY254">
            <v>109.286</v>
          </cell>
          <cell r="AZ254">
            <v>221.39099999999999</v>
          </cell>
          <cell r="BA254">
            <v>206.72399999999999</v>
          </cell>
          <cell r="BB254">
            <v>225.68</v>
          </cell>
          <cell r="BC254">
            <v>188.209</v>
          </cell>
          <cell r="BD254">
            <v>297.71899999999999</v>
          </cell>
          <cell r="BE254">
            <v>246.62799999999999</v>
          </cell>
          <cell r="BF254">
            <v>442.62099999999998</v>
          </cell>
          <cell r="BG254">
            <v>229.59700000000001</v>
          </cell>
          <cell r="BH254">
            <v>355.57100000000003</v>
          </cell>
          <cell r="BI254">
            <v>336.61900000000003</v>
          </cell>
          <cell r="BJ254">
            <v>516.52800000000002</v>
          </cell>
          <cell r="BK254">
            <v>356.524</v>
          </cell>
          <cell r="BL254">
            <v>512.57299999999998</v>
          </cell>
          <cell r="BM254">
            <v>505.41800000000001</v>
          </cell>
          <cell r="BN254">
            <v>479.423</v>
          </cell>
        </row>
        <row r="255">
          <cell r="B255" t="str">
            <v>Pre-tax profit (Pub)</v>
          </cell>
          <cell r="C255" t="str">
            <v>PTP_PUB</v>
          </cell>
          <cell r="D255" t="str">
            <v>TWD</v>
          </cell>
          <cell r="L255">
            <v>0</v>
          </cell>
          <cell r="M255">
            <v>0</v>
          </cell>
          <cell r="N255">
            <v>0</v>
          </cell>
          <cell r="O255">
            <v>0</v>
          </cell>
          <cell r="P255">
            <v>0</v>
          </cell>
          <cell r="Q255">
            <v>0</v>
          </cell>
          <cell r="R255">
            <v>0</v>
          </cell>
          <cell r="S255">
            <v>0</v>
          </cell>
          <cell r="T255">
            <v>0</v>
          </cell>
          <cell r="U255">
            <v>0</v>
          </cell>
          <cell r="V255">
            <v>0</v>
          </cell>
          <cell r="W255">
            <v>0</v>
          </cell>
          <cell r="X255">
            <v>0</v>
          </cell>
          <cell r="Y255">
            <v>530.32500000000005</v>
          </cell>
          <cell r="Z255">
            <v>787.34900000000005</v>
          </cell>
          <cell r="AA255">
            <v>1261.6369999999999</v>
          </cell>
          <cell r="AB255">
            <v>1498.242</v>
          </cell>
          <cell r="AC255">
            <v>1872.748</v>
          </cell>
        </row>
        <row r="256">
          <cell r="B256" t="str">
            <v>Sales, revenue (Pub)</v>
          </cell>
          <cell r="C256" t="str">
            <v>REVS_PUB</v>
          </cell>
          <cell r="D256" t="str">
            <v>TWD</v>
          </cell>
          <cell r="L256">
            <v>0</v>
          </cell>
          <cell r="M256">
            <v>0</v>
          </cell>
          <cell r="N256">
            <v>0</v>
          </cell>
          <cell r="O256">
            <v>0</v>
          </cell>
          <cell r="P256">
            <v>0</v>
          </cell>
          <cell r="Q256">
            <v>0</v>
          </cell>
          <cell r="R256">
            <v>0</v>
          </cell>
          <cell r="S256">
            <v>0</v>
          </cell>
          <cell r="T256">
            <v>0</v>
          </cell>
          <cell r="U256">
            <v>0</v>
          </cell>
          <cell r="V256">
            <v>0</v>
          </cell>
          <cell r="W256">
            <v>0</v>
          </cell>
          <cell r="X256">
            <v>0</v>
          </cell>
          <cell r="Y256">
            <v>2087.181</v>
          </cell>
          <cell r="Z256">
            <v>3272.732</v>
          </cell>
          <cell r="AA256">
            <v>4700.9809999999998</v>
          </cell>
          <cell r="AB256">
            <v>7138.9030000000002</v>
          </cell>
          <cell r="AC256">
            <v>8599.2369999999992</v>
          </cell>
          <cell r="AI256">
            <v>0</v>
          </cell>
          <cell r="AJ256">
            <v>0</v>
          </cell>
          <cell r="AK256">
            <v>0</v>
          </cell>
          <cell r="AL256">
            <v>0</v>
          </cell>
          <cell r="AM256">
            <v>0</v>
          </cell>
          <cell r="AN256">
            <v>0</v>
          </cell>
          <cell r="AO256">
            <v>0</v>
          </cell>
          <cell r="AP256">
            <v>0</v>
          </cell>
          <cell r="AQ256">
            <v>0</v>
          </cell>
          <cell r="AR256">
            <v>0</v>
          </cell>
          <cell r="AS256">
            <v>0</v>
          </cell>
          <cell r="AT256">
            <v>0</v>
          </cell>
          <cell r="AU256">
            <v>374.73399999999998</v>
          </cell>
          <cell r="AV256">
            <v>502.726</v>
          </cell>
          <cell r="AW256">
            <v>538.47699999999998</v>
          </cell>
          <cell r="AX256">
            <v>671.24400000000003</v>
          </cell>
          <cell r="AY256">
            <v>564.11400000000003</v>
          </cell>
          <cell r="AZ256">
            <v>847.77499999999998</v>
          </cell>
          <cell r="BA256">
            <v>914.72</v>
          </cell>
          <cell r="BB256">
            <v>946.12300000000005</v>
          </cell>
          <cell r="BC256">
            <v>903.95100000000002</v>
          </cell>
          <cell r="BD256">
            <v>1250.6949999999999</v>
          </cell>
          <cell r="BE256">
            <v>1192.0050000000001</v>
          </cell>
          <cell r="BF256">
            <v>1354.33</v>
          </cell>
          <cell r="BG256">
            <v>1317.347</v>
          </cell>
          <cell r="BH256">
            <v>1798.6969999999999</v>
          </cell>
          <cell r="BI256">
            <v>1892.903</v>
          </cell>
          <cell r="BJ256">
            <v>2129.9560000000001</v>
          </cell>
          <cell r="BK256">
            <v>1830.566</v>
          </cell>
          <cell r="BL256">
            <v>2184.607</v>
          </cell>
          <cell r="BM256">
            <v>2282.3649999999998</v>
          </cell>
          <cell r="BN256">
            <v>2301.6990000000001</v>
          </cell>
        </row>
        <row r="257">
          <cell r="B257" t="str">
            <v>Total shareholders' equity (Pub)</v>
          </cell>
          <cell r="C257" t="str">
            <v>EQ_PUB</v>
          </cell>
          <cell r="D257" t="str">
            <v>TWD</v>
          </cell>
          <cell r="L257">
            <v>0</v>
          </cell>
          <cell r="M257">
            <v>0</v>
          </cell>
          <cell r="N257">
            <v>0</v>
          </cell>
          <cell r="O257">
            <v>0</v>
          </cell>
          <cell r="P257">
            <v>0</v>
          </cell>
          <cell r="Q257">
            <v>0</v>
          </cell>
          <cell r="R257">
            <v>0</v>
          </cell>
          <cell r="S257">
            <v>0</v>
          </cell>
          <cell r="T257">
            <v>0</v>
          </cell>
          <cell r="U257">
            <v>0</v>
          </cell>
          <cell r="V257">
            <v>0</v>
          </cell>
          <cell r="W257">
            <v>0</v>
          </cell>
          <cell r="X257">
            <v>0</v>
          </cell>
          <cell r="Y257">
            <v>2692.346</v>
          </cell>
          <cell r="Z257">
            <v>3511.5160000000001</v>
          </cell>
          <cell r="AA257">
            <v>4607.8519999999999</v>
          </cell>
          <cell r="AB257">
            <v>8194.76</v>
          </cell>
          <cell r="AC257">
            <v>10570.406000000001</v>
          </cell>
        </row>
        <row r="258">
          <cell r="B258" t="str">
            <v>EPS (consensus)</v>
          </cell>
          <cell r="C258" t="str">
            <v>EPS_CONS_PUB</v>
          </cell>
          <cell r="D258" t="str">
            <v>TWD</v>
          </cell>
        </row>
        <row r="259">
          <cell r="A259" t="str">
            <v>Income Statement</v>
          </cell>
        </row>
        <row r="260">
          <cell r="B260" t="str">
            <v>Provision for income tax</v>
          </cell>
          <cell r="C260" t="str">
            <v>PROV_INC_TAX</v>
          </cell>
          <cell r="D260" t="str">
            <v>TWD</v>
          </cell>
          <cell r="L260">
            <v>0</v>
          </cell>
          <cell r="M260">
            <v>0</v>
          </cell>
          <cell r="N260">
            <v>0</v>
          </cell>
          <cell r="O260">
            <v>0</v>
          </cell>
          <cell r="P260">
            <v>0</v>
          </cell>
          <cell r="Q260">
            <v>0</v>
          </cell>
          <cell r="R260">
            <v>0</v>
          </cell>
          <cell r="S260">
            <v>0</v>
          </cell>
          <cell r="T260">
            <v>0</v>
          </cell>
          <cell r="U260">
            <v>0</v>
          </cell>
          <cell r="V260">
            <v>0</v>
          </cell>
          <cell r="W260">
            <v>0</v>
          </cell>
          <cell r="X260">
            <v>0</v>
          </cell>
          <cell r="Y260">
            <v>-2.4E-2</v>
          </cell>
          <cell r="Z260">
            <v>13.381</v>
          </cell>
          <cell r="AA260">
            <v>-60.396000000000001</v>
          </cell>
          <cell r="AB260">
            <v>-28.585999999999999</v>
          </cell>
          <cell r="AC260">
            <v>-54.37</v>
          </cell>
        </row>
        <row r="261">
          <cell r="B261" t="str">
            <v>Minority interest</v>
          </cell>
          <cell r="C261" t="str">
            <v>INC_MINORITY</v>
          </cell>
          <cell r="D261" t="str">
            <v>TWD</v>
          </cell>
          <cell r="AA261">
            <v>6.0000000000000001E-3</v>
          </cell>
          <cell r="AB261">
            <v>0</v>
          </cell>
          <cell r="AC261">
            <v>0</v>
          </cell>
        </row>
        <row r="262">
          <cell r="B262" t="str">
            <v>Net income (pre-preferred dividends)</v>
          </cell>
          <cell r="C262" t="str">
            <v>NI_PRE_PREF</v>
          </cell>
          <cell r="D262" t="str">
            <v>TWD</v>
          </cell>
          <cell r="L262">
            <v>0</v>
          </cell>
          <cell r="M262">
            <v>0</v>
          </cell>
          <cell r="N262">
            <v>0</v>
          </cell>
          <cell r="O262">
            <v>0</v>
          </cell>
          <cell r="P262">
            <v>0</v>
          </cell>
          <cell r="Q262">
            <v>0</v>
          </cell>
          <cell r="R262">
            <v>0</v>
          </cell>
          <cell r="S262">
            <v>0</v>
          </cell>
          <cell r="T262">
            <v>0</v>
          </cell>
          <cell r="U262">
            <v>0</v>
          </cell>
          <cell r="V262">
            <v>0</v>
          </cell>
          <cell r="W262">
            <v>0</v>
          </cell>
          <cell r="X262">
            <v>0</v>
          </cell>
          <cell r="Y262">
            <v>530.30100000000004</v>
          </cell>
          <cell r="Z262">
            <v>800.73</v>
          </cell>
          <cell r="AA262">
            <v>1201.2470000000001</v>
          </cell>
          <cell r="AB262">
            <v>1469.6559999999999</v>
          </cell>
          <cell r="AC262">
            <v>1818.3779999999999</v>
          </cell>
        </row>
        <row r="263">
          <cell r="B263" t="str">
            <v>Preferred dividends</v>
          </cell>
          <cell r="C263" t="str">
            <v>PREF_DIV</v>
          </cell>
          <cell r="D263" t="str">
            <v>TWD</v>
          </cell>
        </row>
        <row r="264">
          <cell r="B264" t="str">
            <v>Net income (pre-exceptionals)</v>
          </cell>
          <cell r="C264" t="str">
            <v>NET_EARNING</v>
          </cell>
          <cell r="D264" t="str">
            <v>TWD</v>
          </cell>
          <cell r="L264">
            <v>0</v>
          </cell>
          <cell r="M264">
            <v>0</v>
          </cell>
          <cell r="N264">
            <v>0</v>
          </cell>
          <cell r="O264">
            <v>0</v>
          </cell>
          <cell r="P264">
            <v>0</v>
          </cell>
          <cell r="Q264">
            <v>0</v>
          </cell>
          <cell r="R264">
            <v>0</v>
          </cell>
          <cell r="S264">
            <v>0</v>
          </cell>
          <cell r="T264">
            <v>0</v>
          </cell>
          <cell r="U264">
            <v>0</v>
          </cell>
          <cell r="V264">
            <v>0</v>
          </cell>
          <cell r="W264">
            <v>0</v>
          </cell>
          <cell r="X264">
            <v>0</v>
          </cell>
          <cell r="Y264">
            <v>530.30100000000004</v>
          </cell>
          <cell r="Z264">
            <v>800.73</v>
          </cell>
          <cell r="AA264">
            <v>1201.2470000000001</v>
          </cell>
          <cell r="AB264">
            <v>1469.6559999999999</v>
          </cell>
          <cell r="AC264">
            <v>1818.3779999999999</v>
          </cell>
        </row>
        <row r="265">
          <cell r="B265" t="str">
            <v>Post-tax exceptionals</v>
          </cell>
          <cell r="C265" t="str">
            <v>TAX_EXC</v>
          </cell>
          <cell r="D265" t="str">
            <v>TWD</v>
          </cell>
        </row>
        <row r="266">
          <cell r="B266" t="str">
            <v>Net income (post-exceptionals)</v>
          </cell>
          <cell r="C266" t="str">
            <v>NET_INC</v>
          </cell>
          <cell r="D266" t="str">
            <v>TWD</v>
          </cell>
          <cell r="L266">
            <v>0</v>
          </cell>
          <cell r="M266">
            <v>0</v>
          </cell>
          <cell r="N266">
            <v>0</v>
          </cell>
          <cell r="O266">
            <v>0</v>
          </cell>
          <cell r="P266">
            <v>0</v>
          </cell>
          <cell r="Q266">
            <v>0</v>
          </cell>
          <cell r="R266">
            <v>0</v>
          </cell>
          <cell r="S266">
            <v>0</v>
          </cell>
          <cell r="T266">
            <v>0</v>
          </cell>
          <cell r="U266">
            <v>0</v>
          </cell>
          <cell r="V266">
            <v>0</v>
          </cell>
          <cell r="W266">
            <v>0</v>
          </cell>
          <cell r="X266">
            <v>0</v>
          </cell>
          <cell r="Y266">
            <v>530.30100000000004</v>
          </cell>
          <cell r="Z266">
            <v>800.73</v>
          </cell>
          <cell r="AA266">
            <v>1201.2470000000001</v>
          </cell>
          <cell r="AB266">
            <v>1469.6559999999999</v>
          </cell>
          <cell r="AC266">
            <v>1818.3779999999999</v>
          </cell>
        </row>
        <row r="267">
          <cell r="B267" t="str">
            <v>EPS (pre-exceptionals, basic)</v>
          </cell>
          <cell r="C267" t="str">
            <v>EPS</v>
          </cell>
          <cell r="D267" t="str">
            <v>TWD</v>
          </cell>
          <cell r="Y267">
            <v>8.0005582125130008</v>
          </cell>
          <cell r="Z267">
            <v>10.553695698018</v>
          </cell>
          <cell r="AA267">
            <v>15.657546923879</v>
          </cell>
          <cell r="AB267">
            <v>18.718394171740002</v>
          </cell>
          <cell r="AC267">
            <v>20.669692227973002</v>
          </cell>
        </row>
        <row r="268">
          <cell r="B268" t="str">
            <v>EPS (pre-exceptionals, diluted)</v>
          </cell>
          <cell r="C268" t="str">
            <v>EPS_FUL_DIL</v>
          </cell>
          <cell r="D268" t="str">
            <v>TWD</v>
          </cell>
          <cell r="Y268">
            <v>7.5905844295260003</v>
          </cell>
          <cell r="Z268">
            <v>10.162708938838</v>
          </cell>
          <cell r="AA268">
            <v>15.031558530939</v>
          </cell>
          <cell r="AB268">
            <v>17.472192500654</v>
          </cell>
          <cell r="AC268">
            <v>19.477926189603</v>
          </cell>
        </row>
        <row r="269">
          <cell r="B269" t="str">
            <v>EPS (post-exceptionals, basic)</v>
          </cell>
          <cell r="C269" t="str">
            <v>EPS_POST_BASIC</v>
          </cell>
          <cell r="D269" t="str">
            <v>TWD</v>
          </cell>
          <cell r="Y269">
            <v>8.0005582125130008</v>
          </cell>
          <cell r="Z269">
            <v>10.553695698018</v>
          </cell>
          <cell r="AA269">
            <v>15.657546923879</v>
          </cell>
          <cell r="AB269">
            <v>18.718394171740002</v>
          </cell>
          <cell r="AC269">
            <v>20.669692227973002</v>
          </cell>
        </row>
        <row r="270">
          <cell r="B270" t="str">
            <v>EPS (post-exceptionals, diluted)</v>
          </cell>
          <cell r="C270" t="str">
            <v>FULLY_DIL_EPS</v>
          </cell>
          <cell r="D270" t="str">
            <v>TWD</v>
          </cell>
          <cell r="Y270">
            <v>7.5905844295260003</v>
          </cell>
          <cell r="Z270">
            <v>10.162708938838</v>
          </cell>
          <cell r="AA270">
            <v>15.031558530939</v>
          </cell>
          <cell r="AB270">
            <v>17.472192500654</v>
          </cell>
          <cell r="AC270">
            <v>19.477926189603</v>
          </cell>
        </row>
        <row r="271">
          <cell r="B271" t="str">
            <v>Common dividends paid</v>
          </cell>
          <cell r="C271" t="str">
            <v>COMMON_DIV_PAID</v>
          </cell>
          <cell r="D271" t="str">
            <v>TWD</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-162.59700000000001</v>
          </cell>
          <cell r="AA271">
            <v>-245.51395492371299</v>
          </cell>
          <cell r="AB271">
            <v>-368.31753750982898</v>
          </cell>
          <cell r="AC271">
            <v>-450.61513486114501</v>
          </cell>
        </row>
        <row r="272">
          <cell r="B272" t="str">
            <v>DPS, dividend per share</v>
          </cell>
          <cell r="C272" t="str">
            <v>DPS</v>
          </cell>
          <cell r="D272" t="str">
            <v>TWD</v>
          </cell>
          <cell r="Z272">
            <v>2.1430435470270002</v>
          </cell>
          <cell r="AA272">
            <v>3.2001297565660001</v>
          </cell>
          <cell r="AB272">
            <v>4.6911065225290001</v>
          </cell>
          <cell r="AC272">
            <v>5.3743829072829996</v>
          </cell>
        </row>
        <row r="273">
          <cell r="B273" t="str">
            <v>Weighted average shares outstanding, basic</v>
          </cell>
          <cell r="C273" t="str">
            <v>SH</v>
          </cell>
          <cell r="L273">
            <v>0</v>
          </cell>
          <cell r="M273">
            <v>0</v>
          </cell>
          <cell r="N273">
            <v>0</v>
          </cell>
          <cell r="O273">
            <v>0</v>
          </cell>
          <cell r="P273">
            <v>0</v>
          </cell>
          <cell r="Q273">
            <v>0</v>
          </cell>
          <cell r="R273">
            <v>0</v>
          </cell>
          <cell r="S273">
            <v>0</v>
          </cell>
          <cell r="T273">
            <v>0</v>
          </cell>
          <cell r="U273">
            <v>0</v>
          </cell>
          <cell r="V273">
            <v>0</v>
          </cell>
          <cell r="W273">
            <v>0</v>
          </cell>
          <cell r="X273">
            <v>0</v>
          </cell>
          <cell r="Y273">
            <v>66.283000000000001</v>
          </cell>
          <cell r="Z273">
            <v>75.872</v>
          </cell>
          <cell r="AA273">
            <v>76.72</v>
          </cell>
          <cell r="AB273">
            <v>78.513999999999996</v>
          </cell>
          <cell r="AC273">
            <v>87.973153153153007</v>
          </cell>
        </row>
        <row r="274">
          <cell r="B274" t="str">
            <v>Diluted average shares outstanding (mn)</v>
          </cell>
          <cell r="C274" t="str">
            <v>DILUTE_SHARES</v>
          </cell>
          <cell r="L274">
            <v>0</v>
          </cell>
          <cell r="M274">
            <v>0</v>
          </cell>
          <cell r="N274">
            <v>0</v>
          </cell>
          <cell r="O274">
            <v>0</v>
          </cell>
          <cell r="P274">
            <v>0</v>
          </cell>
          <cell r="Q274">
            <v>0</v>
          </cell>
          <cell r="R274">
            <v>0</v>
          </cell>
          <cell r="S274">
            <v>0</v>
          </cell>
          <cell r="T274">
            <v>0</v>
          </cell>
          <cell r="U274">
            <v>0</v>
          </cell>
          <cell r="V274">
            <v>0</v>
          </cell>
          <cell r="W274">
            <v>0</v>
          </cell>
          <cell r="X274">
            <v>0</v>
          </cell>
          <cell r="Y274">
            <v>69.863</v>
          </cell>
          <cell r="Z274">
            <v>78.790999999999997</v>
          </cell>
          <cell r="AA274">
            <v>79.915000000000006</v>
          </cell>
          <cell r="AB274">
            <v>84.114000000000004</v>
          </cell>
          <cell r="AC274">
            <v>93.355831739961999</v>
          </cell>
        </row>
        <row r="275">
          <cell r="B275" t="str">
            <v>Period-end shares outstanding</v>
          </cell>
          <cell r="C275" t="str">
            <v>NON_OP_ADD</v>
          </cell>
          <cell r="L275">
            <v>0</v>
          </cell>
          <cell r="M275">
            <v>0</v>
          </cell>
          <cell r="N275">
            <v>0</v>
          </cell>
          <cell r="O275">
            <v>0</v>
          </cell>
          <cell r="P275">
            <v>0</v>
          </cell>
          <cell r="Q275">
            <v>0</v>
          </cell>
          <cell r="R275">
            <v>0</v>
          </cell>
          <cell r="S275">
            <v>0</v>
          </cell>
          <cell r="T275">
            <v>0</v>
          </cell>
          <cell r="U275">
            <v>0</v>
          </cell>
          <cell r="V275">
            <v>0</v>
          </cell>
          <cell r="W275">
            <v>0</v>
          </cell>
          <cell r="X275">
            <v>0</v>
          </cell>
          <cell r="Y275">
            <v>66.283000000000001</v>
          </cell>
          <cell r="Z275">
            <v>75.872</v>
          </cell>
          <cell r="AA275">
            <v>76.72</v>
          </cell>
          <cell r="AB275">
            <v>78.513999999999996</v>
          </cell>
          <cell r="AC275">
            <v>87.973153153153007</v>
          </cell>
        </row>
        <row r="276">
          <cell r="A276" t="str">
            <v>Additional Income Statement Items</v>
          </cell>
        </row>
        <row r="277">
          <cell r="B277" t="str">
            <v>Marginal tax rate</v>
          </cell>
          <cell r="C277" t="str">
            <v>MARGIN_TAX_RATE</v>
          </cell>
          <cell r="M277">
            <v>0</v>
          </cell>
          <cell r="O277">
            <v>0</v>
          </cell>
          <cell r="P277">
            <v>0</v>
          </cell>
          <cell r="Y277">
            <v>4.5255267999999999E-5</v>
          </cell>
          <cell r="AA277">
            <v>4.7871138846E-2</v>
          </cell>
          <cell r="AB277">
            <v>1.9079694735999998E-2</v>
          </cell>
          <cell r="AC277">
            <v>2.9032202944999998E-2</v>
          </cell>
        </row>
        <row r="278">
          <cell r="B278" t="str">
            <v>Net income (consensus) (Pub)</v>
          </cell>
          <cell r="C278" t="str">
            <v>NI_CONS</v>
          </cell>
          <cell r="D278" t="str">
            <v>TWD</v>
          </cell>
          <cell r="X278">
            <v>0</v>
          </cell>
          <cell r="Y278">
            <v>0</v>
          </cell>
          <cell r="Z278">
            <v>0</v>
          </cell>
          <cell r="AA278">
            <v>0</v>
          </cell>
          <cell r="AB278">
            <v>0</v>
          </cell>
          <cell r="AC278">
            <v>0</v>
          </cell>
        </row>
        <row r="279">
          <cell r="A279" t="str">
            <v>Balance Sheet</v>
          </cell>
        </row>
        <row r="280">
          <cell r="B280" t="str">
            <v>BVPS, book value per share</v>
          </cell>
          <cell r="C280" t="str">
            <v>BVPS</v>
          </cell>
          <cell r="D280" t="str">
            <v>TWD</v>
          </cell>
          <cell r="Y280">
            <v>40.618952069157999</v>
          </cell>
          <cell r="Z280">
            <v>46.282106706031001</v>
          </cell>
          <cell r="AA280">
            <v>60.060636079249001</v>
          </cell>
          <cell r="AB280">
            <v>104.373232799246</v>
          </cell>
          <cell r="AC280">
            <v>120.154906595173</v>
          </cell>
        </row>
        <row r="281">
          <cell r="A281" t="str">
            <v>Cash Flow Statement</v>
          </cell>
        </row>
        <row r="282">
          <cell r="B282" t="str">
            <v>Net income (pre-preferred dividends)</v>
          </cell>
          <cell r="C282" t="str">
            <v>CF_NI_PRE_PREF</v>
          </cell>
          <cell r="D282" t="str">
            <v>TWD</v>
          </cell>
          <cell r="L282">
            <v>0</v>
          </cell>
          <cell r="M282">
            <v>0</v>
          </cell>
          <cell r="N282">
            <v>0</v>
          </cell>
          <cell r="O282">
            <v>0</v>
          </cell>
          <cell r="P282">
            <v>0</v>
          </cell>
          <cell r="Q282">
            <v>0</v>
          </cell>
          <cell r="R282">
            <v>0</v>
          </cell>
          <cell r="S282">
            <v>0</v>
          </cell>
          <cell r="T282">
            <v>0</v>
          </cell>
          <cell r="U282">
            <v>0</v>
          </cell>
          <cell r="V282">
            <v>0</v>
          </cell>
          <cell r="W282">
            <v>0</v>
          </cell>
          <cell r="X282">
            <v>0</v>
          </cell>
          <cell r="Y282">
            <v>530.30100000000004</v>
          </cell>
          <cell r="Z282">
            <v>800.73</v>
          </cell>
          <cell r="AA282">
            <v>1201.2470000000001</v>
          </cell>
          <cell r="AB282">
            <v>1469.6559999999999</v>
          </cell>
          <cell r="AC282">
            <v>1818.3779999999999</v>
          </cell>
        </row>
        <row r="283">
          <cell r="A283" t="str">
            <v>Other Items</v>
          </cell>
        </row>
        <row r="284">
          <cell r="B284" t="str">
            <v>Beta</v>
          </cell>
          <cell r="C284" t="str">
            <v>BETA_ANALYST</v>
          </cell>
        </row>
        <row r="285">
          <cell r="B285" t="str">
            <v>Market equity risk premium</v>
          </cell>
          <cell r="C285" t="str">
            <v>MKT_EQ_RISK_PREM</v>
          </cell>
        </row>
        <row r="286">
          <cell r="B286" t="str">
            <v>Risk-free rate</v>
          </cell>
          <cell r="C286" t="str">
            <v>RISK_FR_RATE</v>
          </cell>
        </row>
      </sheetData>
      <sheetData sheetId="8">
        <row r="1">
          <cell r="A1" t="str">
            <v>f3a9a146-9b41-4252-aeb1-adf44191739e</v>
          </cell>
        </row>
        <row r="2">
          <cell r="A2" t="str">
            <v>\\firmwide.corp.gs.com\root\Projects\Research\hk\gc_tech_telco\Tech 1Q\Models\Sunny Optical\[GS_SunnyOptical (2382.HK) operating model_sy_v2 - pepb chart will be pasted from here.xlsx]6415.TW_Validation_Sheet</v>
          </cell>
        </row>
        <row r="7">
          <cell r="A7" t="str">
            <v>Scalar|||208016481|||ISSR|||CURRENCY_ISO|||False|||</v>
          </cell>
          <cell r="C7" t="str">
            <v>V_KEYWORD_ISSR_208016481_CURRENCY_ISO</v>
          </cell>
        </row>
        <row r="9">
          <cell r="A9" t="str">
            <v>Scalar|||208016481|||ISSR|||MA_PROB|||False|||</v>
          </cell>
          <cell r="C9" t="str">
            <v>V_KEYWORD_ISSR_208016481_MA_PROB</v>
          </cell>
        </row>
        <row r="11">
          <cell r="A11" t="str">
            <v>Vector|||208016481|||ISSR|||SALES|||False|||</v>
          </cell>
          <cell r="C11" t="str">
            <v>V_KEYWORD_ISSR_208016481_SALES</v>
          </cell>
        </row>
        <row r="12">
          <cell r="A12" t="str">
            <v>Vector|||208016481|||ISSR|||PERSONNEL|||False|||</v>
          </cell>
          <cell r="C12" t="str">
            <v>V_KEYWORD_ISSR_208016481_PERSONNEL</v>
          </cell>
        </row>
        <row r="13">
          <cell r="A13" t="str">
            <v>Vector|||208016481|||ISSR|||COST_GD_SD|||False|||</v>
          </cell>
          <cell r="C13" t="str">
            <v>V_KEYWORD_ISSR_208016481_COST_GD_SD</v>
          </cell>
        </row>
        <row r="14">
          <cell r="A14" t="str">
            <v>Vector|||208016481|||ISSR|||SEL_GL_AD|||False|||</v>
          </cell>
          <cell r="C14" t="str">
            <v>V_KEYWORD_ISSR_208016481_SEL_GL_AD</v>
          </cell>
        </row>
        <row r="15">
          <cell r="A15" t="str">
            <v>Vector|||208016481|||ISSR|||OP_COST|||False|||</v>
          </cell>
          <cell r="C15" t="str">
            <v>V_KEYWORD_ISSR_208016481_OP_COST</v>
          </cell>
        </row>
        <row r="16">
          <cell r="A16" t="str">
            <v>Vector|||208016481|||ISSR|||RD_EXP|||False|||</v>
          </cell>
          <cell r="C16" t="str">
            <v>V_KEYWORD_ISSR_208016481_RD_EXP</v>
          </cell>
        </row>
        <row r="17">
          <cell r="A17" t="str">
            <v>Vector|||208016481|||ISSR|||OTH_OP_INC_EXP|||False|||</v>
          </cell>
          <cell r="C17" t="str">
            <v>V_KEYWORD_ISSR_208016481_OTH_OP_INC_EXP</v>
          </cell>
        </row>
        <row r="18">
          <cell r="A18" t="str">
            <v>Vector|||208016481|||ISSR|||TOT_OPS_EXP_DDA|||False|||</v>
          </cell>
          <cell r="C18" t="str">
            <v>V_KEYWORD_ISSR_208016481_TOT_OPS_EXP_DDA</v>
          </cell>
        </row>
        <row r="19">
          <cell r="A19" t="str">
            <v>Vector|||208016481|||ISSR|||TOT_OPS_EXP|||False|||</v>
          </cell>
          <cell r="C19" t="str">
            <v>V_KEYWORD_ISSR_208016481_TOT_OPS_EXP</v>
          </cell>
        </row>
        <row r="20">
          <cell r="A20" t="str">
            <v>Vector|||208016481|||ISSR|||EBITDA_CALC|||False|||</v>
          </cell>
          <cell r="C20" t="str">
            <v>V_KEYWORD_ISSR_208016481_EBITDA_CALC</v>
          </cell>
        </row>
        <row r="21">
          <cell r="A21" t="str">
            <v>Vector|||208016481|||ISSR|||DEPREC|||False|||</v>
          </cell>
          <cell r="C21" t="str">
            <v>V_KEYWORD_ISSR_208016481_DEPREC</v>
          </cell>
        </row>
        <row r="22">
          <cell r="A22" t="str">
            <v>Vector|||208016481|||ISSR|||GOODWILL_AMORT|||False|||</v>
          </cell>
          <cell r="C22" t="str">
            <v>V_KEYWORD_ISSR_208016481_GOODWILL_AMORT</v>
          </cell>
        </row>
        <row r="23">
          <cell r="A23" t="str">
            <v>Vector|||208016481|||ISSR|||EBIT|||False|||</v>
          </cell>
          <cell r="C23" t="str">
            <v>V_KEYWORD_ISSR_208016481_EBIT</v>
          </cell>
        </row>
        <row r="24">
          <cell r="A24" t="str">
            <v>Vector|||208016481|||ISSR|||INT_INC_IND|||False|||</v>
          </cell>
          <cell r="C24" t="str">
            <v>V_KEYWORD_ISSR_208016481_INT_INC_IND</v>
          </cell>
        </row>
        <row r="25">
          <cell r="A25" t="str">
            <v>Vector|||208016481|||ISSR|||INT_EXP_IND|||False|||</v>
          </cell>
          <cell r="C25" t="str">
            <v>V_KEYWORD_ISSR_208016481_INT_EXP_IND</v>
          </cell>
        </row>
        <row r="26">
          <cell r="A26" t="str">
            <v>Vector|||208016481|||ISSR|||NET_INT_EXP|||False|||</v>
          </cell>
          <cell r="C26" t="str">
            <v>V_KEYWORD_ISSR_208016481_NET_INT_EXP</v>
          </cell>
        </row>
        <row r="27">
          <cell r="A27" t="str">
            <v>Vector|||208016481|||ISSR|||ASSOCIATE|||False|||</v>
          </cell>
          <cell r="C27" t="str">
            <v>V_KEYWORD_ISSR_208016481_ASSOCIATE</v>
          </cell>
        </row>
        <row r="28">
          <cell r="A28" t="str">
            <v>Vector|||208016481|||ISSR|||PROFIT_ON_DISP|||False|||</v>
          </cell>
          <cell r="C28" t="str">
            <v>V_KEYWORD_ISSR_208016481_PROFIT_ON_DISP</v>
          </cell>
        </row>
        <row r="29">
          <cell r="A29" t="str">
            <v>Vector|||208016481|||ISSR|||OTH_COST_INC|||False|||</v>
          </cell>
          <cell r="C29" t="str">
            <v>V_KEYWORD_ISSR_208016481_OTH_COST_INC</v>
          </cell>
        </row>
        <row r="30">
          <cell r="A30" t="str">
            <v>Vector|||208016481|||ISSR|||PT_PROF|||False|||</v>
          </cell>
          <cell r="C30" t="str">
            <v>V_KEYWORD_ISSR_208016481_PT_PROF</v>
          </cell>
        </row>
        <row r="32">
          <cell r="A32" t="str">
            <v>Vector|||208016481|||ISSR|||CONTRIB_MARGIN_RATIO|||False|||</v>
          </cell>
          <cell r="C32" t="str">
            <v>V_KEYWORD_ISSR_208016481_CONTRIB_MARGIN_RATIO</v>
          </cell>
        </row>
        <row r="33">
          <cell r="A33" t="str">
            <v>Vector|||208016481|||ISSR|||LEASE_PAY|||False|||</v>
          </cell>
          <cell r="C33" t="str">
            <v>V_KEYWORD_ISSR_208016481_LEASE_PAY</v>
          </cell>
        </row>
        <row r="34">
          <cell r="A34" t="str">
            <v>Vector|||208016481|||ISSR|||LEASE_DEEM_INT|||False|||</v>
          </cell>
          <cell r="C34" t="str">
            <v>V_KEYWORD_ISSR_208016481_LEASE_DEEM_INT</v>
          </cell>
        </row>
        <row r="35">
          <cell r="A35" t="str">
            <v>Vector|||208016481|||ISSR|||LEASE_DEEM_DEPR|||False|||</v>
          </cell>
          <cell r="C35" t="str">
            <v>V_KEYWORD_ISSR_208016481_LEASE_DEEM_DEPR</v>
          </cell>
        </row>
        <row r="36">
          <cell r="A36" t="str">
            <v>Vector|||208016481|||ISSR|||NET_INT_CH|||False|||</v>
          </cell>
          <cell r="C36" t="str">
            <v>V_KEYWORD_ISSR_208016481_NET_INT_CH</v>
          </cell>
        </row>
        <row r="37">
          <cell r="A37" t="str">
            <v>Vector|||208016481|||ISSR|||ASSOCIATE_OP|||False|||</v>
          </cell>
          <cell r="C37" t="str">
            <v>V_KEYWORD_ISSR_208016481_ASSOCIATE_OP</v>
          </cell>
        </row>
        <row r="39">
          <cell r="A39" t="str">
            <v>Vector|||208016481|||ISSR|||CASH_EQ|||False|||</v>
          </cell>
          <cell r="C39" t="str">
            <v>V_KEYWORD_ISSR_208016481_CASH_EQ</v>
          </cell>
        </row>
        <row r="40">
          <cell r="A40" t="str">
            <v>Vector|||208016481|||ISSR|||DEBTORS|||False|||</v>
          </cell>
          <cell r="C40" t="str">
            <v>V_KEYWORD_ISSR_208016481_DEBTORS</v>
          </cell>
        </row>
        <row r="41">
          <cell r="A41" t="str">
            <v>Vector|||208016481|||ISSR|||STOCKS|||False|||</v>
          </cell>
          <cell r="C41" t="str">
            <v>V_KEYWORD_ISSR_208016481_STOCKS</v>
          </cell>
        </row>
        <row r="42">
          <cell r="A42" t="str">
            <v>Vector|||208016481|||ISSR|||OTH_CUR_ASS|||False|||</v>
          </cell>
          <cell r="C42" t="str">
            <v>V_KEYWORD_ISSR_208016481_OTH_CUR_ASS</v>
          </cell>
        </row>
        <row r="43">
          <cell r="A43" t="str">
            <v>Vector|||208016481|||ISSR|||CUR_ASS|||False|||</v>
          </cell>
          <cell r="C43" t="str">
            <v>V_KEYWORD_ISSR_208016481_CUR_ASS</v>
          </cell>
        </row>
        <row r="44">
          <cell r="A44" t="str">
            <v>Vector|||208016481|||ISSR|||GR_FIX_ASS|||False|||</v>
          </cell>
          <cell r="C44" t="str">
            <v>V_KEYWORD_ISSR_208016481_GR_FIX_ASS</v>
          </cell>
        </row>
        <row r="45">
          <cell r="A45" t="str">
            <v>Vector|||208016481|||ISSR|||ACC_DDA|||False|||</v>
          </cell>
          <cell r="C45" t="str">
            <v>V_KEYWORD_ISSR_208016481_ACC_DDA</v>
          </cell>
        </row>
        <row r="46">
          <cell r="A46" t="str">
            <v>Vector|||208016481|||ISSR|||NET_FIX_ASS|||False|||</v>
          </cell>
          <cell r="C46" t="str">
            <v>V_KEYWORD_ISSR_208016481_NET_FIX_ASS</v>
          </cell>
        </row>
        <row r="47">
          <cell r="A47" t="str">
            <v>Vector|||208016481|||ISSR|||GR_INTANG|||False|||</v>
          </cell>
          <cell r="C47" t="str">
            <v>V_KEYWORD_ISSR_208016481_GR_INTANG</v>
          </cell>
        </row>
        <row r="48">
          <cell r="A48" t="str">
            <v>Vector|||208016481|||ISSR|||ACC_AMORT|||False|||</v>
          </cell>
          <cell r="C48" t="str">
            <v>V_KEYWORD_ISSR_208016481_ACC_AMORT</v>
          </cell>
        </row>
        <row r="49">
          <cell r="A49" t="str">
            <v>Vector|||208016481|||ISSR|||NET_INTANG|||False|||</v>
          </cell>
          <cell r="C49" t="str">
            <v>V_KEYWORD_ISSR_208016481_NET_INTANG</v>
          </cell>
        </row>
        <row r="50">
          <cell r="A50" t="str">
            <v>Vector|||208016481|||ISSR|||FIX_ASS_INV|||False|||</v>
          </cell>
          <cell r="C50" t="str">
            <v>V_KEYWORD_ISSR_208016481_FIX_ASS_INV</v>
          </cell>
        </row>
        <row r="51">
          <cell r="A51" t="str">
            <v>Vector|||208016481|||ISSR|||INV_SECUR|||False|||</v>
          </cell>
          <cell r="C51" t="str">
            <v>V_KEYWORD_ISSR_208016481_INV_SECUR</v>
          </cell>
        </row>
        <row r="52">
          <cell r="A52" t="str">
            <v>Vector|||208016481|||ISSR|||OTH_LT_ASS|||False|||</v>
          </cell>
          <cell r="C52" t="str">
            <v>V_KEYWORD_ISSR_208016481_OTH_LT_ASS</v>
          </cell>
        </row>
        <row r="53">
          <cell r="A53" t="str">
            <v>Vector|||208016481|||ISSR|||TOT_ASSET|||False|||</v>
          </cell>
          <cell r="C53" t="str">
            <v>V_KEYWORD_ISSR_208016481_TOT_ASSET</v>
          </cell>
        </row>
        <row r="54">
          <cell r="A54" t="str">
            <v>Vector|||208016481|||ISSR|||ACC_PAY_GQ|||False|||</v>
          </cell>
          <cell r="C54" t="str">
            <v>V_KEYWORD_ISSR_208016481_ACC_PAY_GQ</v>
          </cell>
        </row>
        <row r="55">
          <cell r="A55" t="str">
            <v>Vector|||208016481|||ISSR|||SHORT_T_DEBT|||False|||</v>
          </cell>
          <cell r="C55" t="str">
            <v>V_KEYWORD_ISSR_208016481_SHORT_T_DEBT</v>
          </cell>
        </row>
        <row r="56">
          <cell r="A56" t="str">
            <v>Vector|||208016481|||ISSR|||OTH_CUR_LIABS|||False|||</v>
          </cell>
          <cell r="C56" t="str">
            <v>V_KEYWORD_ISSR_208016481_OTH_CUR_LIABS</v>
          </cell>
        </row>
        <row r="57">
          <cell r="A57" t="str">
            <v>Vector|||208016481|||ISSR|||SHORT_TERM_LIABS|||False|||</v>
          </cell>
          <cell r="C57" t="str">
            <v>V_KEYWORD_ISSR_208016481_SHORT_TERM_LIABS</v>
          </cell>
        </row>
        <row r="58">
          <cell r="A58" t="str">
            <v>Vector|||208016481|||ISSR|||LT_DEBT|||False|||</v>
          </cell>
          <cell r="C58" t="str">
            <v>V_KEYWORD_ISSR_208016481_LT_DEBT</v>
          </cell>
        </row>
        <row r="59">
          <cell r="A59" t="str">
            <v>Vector|||208016481|||ISSR|||OTH_LT_CRED_GQ|||False|||</v>
          </cell>
          <cell r="C59" t="str">
            <v>V_KEYWORD_ISSR_208016481_OTH_LT_CRED_GQ</v>
          </cell>
        </row>
        <row r="60">
          <cell r="A60" t="str">
            <v>Vector|||208016481|||ISSR|||TOT_LT_LIAB|||False|||</v>
          </cell>
          <cell r="C60" t="str">
            <v>V_KEYWORD_ISSR_208016481_TOT_LT_LIAB</v>
          </cell>
        </row>
        <row r="61">
          <cell r="A61" t="str">
            <v>Vector|||208016481|||ISSR|||TOT_LIAB|||False|||</v>
          </cell>
          <cell r="C61" t="str">
            <v>V_KEYWORD_ISSR_208016481_TOT_LIAB</v>
          </cell>
        </row>
        <row r="62">
          <cell r="A62" t="str">
            <v>Vector|||208016481|||ISSR|||PREF_SH|||False|||</v>
          </cell>
          <cell r="C62" t="str">
            <v>V_KEYWORD_ISSR_208016481_PREF_SH</v>
          </cell>
        </row>
        <row r="63">
          <cell r="A63" t="str">
            <v>Vector|||208016481|||ISSR|||ORD_SH_FUND|||False|||</v>
          </cell>
          <cell r="C63" t="str">
            <v>V_KEYWORD_ISSR_208016481_ORD_SH_FUND</v>
          </cell>
        </row>
        <row r="64">
          <cell r="A64" t="str">
            <v>Vector|||208016481|||ISSR|||MINORITIES|||False|||</v>
          </cell>
          <cell r="C64" t="str">
            <v>V_KEYWORD_ISSR_208016481_MINORITIES</v>
          </cell>
        </row>
        <row r="65">
          <cell r="A65" t="str">
            <v>Vector|||208016481|||ISSR|||EQ|||False|||</v>
          </cell>
          <cell r="C65" t="str">
            <v>V_KEYWORD_ISSR_208016481_EQ</v>
          </cell>
        </row>
        <row r="66">
          <cell r="A66" t="str">
            <v>Vector|||208016481|||ISSR|||TOT_LIAB_EQ|||False|||</v>
          </cell>
          <cell r="C66" t="str">
            <v>V_KEYWORD_ISSR_208016481_TOT_LIAB_EQ</v>
          </cell>
        </row>
        <row r="68">
          <cell r="A68" t="str">
            <v>Vector|||208016481|||ISSR|||TOT_USD_DEBT|||False|||</v>
          </cell>
          <cell r="C68" t="str">
            <v>V_KEYWORD_ISSR_208016481_TOT_USD_DEBT</v>
          </cell>
        </row>
        <row r="69">
          <cell r="A69" t="str">
            <v>Vector|||208016481|||ISSR|||TOT_PCT_USD_DEBT_HEDGED|||False|||</v>
          </cell>
          <cell r="C69" t="str">
            <v>V_KEYWORD_ISSR_208016481_TOT_PCT_USD_DEBT_HEDGED</v>
          </cell>
        </row>
        <row r="70">
          <cell r="A70" t="str">
            <v>Vector|||208016481|||ISSR|||FLOATING_PCT_LOCAL_DEBT|||False|||</v>
          </cell>
          <cell r="C70" t="str">
            <v>V_KEYWORD_ISSR_208016481_FLOATING_PCT_LOCAL_DEBT</v>
          </cell>
        </row>
        <row r="71">
          <cell r="A71" t="str">
            <v>Vector|||208016481|||ISSR|||FLOATING_PCT_LOCAL_DEBT_HEDGED|||False|||</v>
          </cell>
          <cell r="C71" t="str">
            <v>V_KEYWORD_ISSR_208016481_FLOATING_PCT_LOCAL_DEBT_HEDGED</v>
          </cell>
        </row>
        <row r="72">
          <cell r="A72" t="str">
            <v>Vector|||208016481|||ISSR|||NET_DEBT|||False|||</v>
          </cell>
          <cell r="C72" t="str">
            <v>V_KEYWORD_ISSR_208016481_NET_DEBT</v>
          </cell>
        </row>
        <row r="73">
          <cell r="A73" t="str">
            <v>Vector|||208016481|||ISSR|||CAP_LEASES|||False|||</v>
          </cell>
          <cell r="C73" t="str">
            <v>V_KEYWORD_ISSR_208016481_CAP_LEASES</v>
          </cell>
        </row>
        <row r="74">
          <cell r="A74" t="str">
            <v>Vector|||208016481|||ISSR|||DEF_INC_TAX|||False|||</v>
          </cell>
          <cell r="C74" t="str">
            <v>V_KEYWORD_ISSR_208016481_DEF_INC_TAX</v>
          </cell>
        </row>
        <row r="75">
          <cell r="A75" t="str">
            <v>Vector|||208016481|||ISSR|||MV_ASSOCIATES|||False|||</v>
          </cell>
          <cell r="C75" t="str">
            <v>V_KEYWORD_ISSR_208016481_MV_ASSOCIATES</v>
          </cell>
        </row>
        <row r="76">
          <cell r="A76" t="str">
            <v>Vector|||208016481|||ISSR|||NET_DEBT_ADJ|||False|||</v>
          </cell>
          <cell r="C76" t="str">
            <v>V_KEYWORD_ISSR_208016481_NET_DEBT_ADJ</v>
          </cell>
        </row>
        <row r="77">
          <cell r="A77" t="str">
            <v>Vector|||208016481|||ISSR|||CO_BOR_MARGIN|||False|||</v>
          </cell>
          <cell r="C77" t="str">
            <v>V_KEYWORD_ISSR_208016481_CO_BOR_MARGIN</v>
          </cell>
        </row>
        <row r="78">
          <cell r="A78" t="str">
            <v>Vector|||208016481|||ISSR|||UNF_PENS|||False|||</v>
          </cell>
          <cell r="C78" t="str">
            <v>V_KEYWORD_ISSR_208016481_UNF_PENS</v>
          </cell>
        </row>
        <row r="79">
          <cell r="A79" t="str">
            <v>Vector|||208016481|||ISSR|||UNF_PENS_OFF|||False|||</v>
          </cell>
          <cell r="C79" t="str">
            <v>V_KEYWORD_ISSR_208016481_UNF_PENS_OFF</v>
          </cell>
        </row>
        <row r="80">
          <cell r="A80" t="str">
            <v>Vector|||208016481|||ISSR|||UNF_PENS_LIAB_OTH|||False|||</v>
          </cell>
          <cell r="C80" t="str">
            <v>V_KEYWORD_ISSR_208016481_UNF_PENS_LIAB_OTH</v>
          </cell>
        </row>
        <row r="81">
          <cell r="A81" t="str">
            <v>Vector|||208016481|||ISSR|||ADJ_UNF_PENS_GOOD|||False|||</v>
          </cell>
          <cell r="C81" t="str">
            <v>V_KEYWORD_ISSR_208016481_ADJ_UNF_PENS_GOOD</v>
          </cell>
        </row>
        <row r="82">
          <cell r="A82" t="str">
            <v>Vector|||208016481|||ISSR|||OTH_GCI_ADJ|||False|||</v>
          </cell>
          <cell r="C82" t="str">
            <v>V_KEYWORD_ISSR_208016481_OTH_GCI_ADJ</v>
          </cell>
        </row>
        <row r="83">
          <cell r="A83" t="str">
            <v>Vector|||208016481|||ISSR|||GCI_INFL|||False|||</v>
          </cell>
          <cell r="C83" t="str">
            <v>V_KEYWORD_ISSR_208016481_GCI_INFL</v>
          </cell>
        </row>
        <row r="84">
          <cell r="A84" t="str">
            <v>Vector|||208016481|||ISSR|||BAL_MINO_INT|||False|||</v>
          </cell>
          <cell r="C84" t="str">
            <v>V_KEYWORD_ISSR_208016481_BAL_MINO_INT</v>
          </cell>
        </row>
        <row r="86">
          <cell r="A86" t="str">
            <v>Vector|||208016481|||ISSR|||CF_INC_MINORITY|||False|||</v>
          </cell>
          <cell r="C86" t="str">
            <v>V_KEYWORD_ISSR_208016481_CF_INC_MINORITY</v>
          </cell>
        </row>
        <row r="87">
          <cell r="A87" t="str">
            <v>Vector|||208016481|||ISSR|||DEPR_AMORT|||False|||</v>
          </cell>
          <cell r="C87" t="str">
            <v>V_KEYWORD_ISSR_208016481_DEPR_AMORT</v>
          </cell>
        </row>
        <row r="88">
          <cell r="A88" t="str">
            <v>Vector|||208016481|||ISSR|||WORK_CAP|||False|||</v>
          </cell>
          <cell r="C88" t="str">
            <v>V_KEYWORD_ISSR_208016481_WORK_CAP</v>
          </cell>
        </row>
        <row r="89">
          <cell r="A89" t="str">
            <v>Vector|||208016481|||ISSR|||OTH_OP_CF|||False|||</v>
          </cell>
          <cell r="C89" t="str">
            <v>V_KEYWORD_ISSR_208016481_OTH_OP_CF</v>
          </cell>
        </row>
        <row r="90">
          <cell r="A90" t="str">
            <v>Vector|||208016481|||ISSR|||CF_OPS|||False|||</v>
          </cell>
          <cell r="C90" t="str">
            <v>V_KEYWORD_ISSR_208016481_CF_OPS</v>
          </cell>
        </row>
        <row r="91">
          <cell r="A91" t="str">
            <v>Vector|||208016481|||ISSR|||CAPEX|||False|||</v>
          </cell>
          <cell r="C91" t="str">
            <v>V_KEYWORD_ISSR_208016481_CAPEX</v>
          </cell>
        </row>
        <row r="92">
          <cell r="A92" t="str">
            <v>Vector|||208016481|||ISSR|||ACQ|||False|||</v>
          </cell>
          <cell r="C92" t="str">
            <v>V_KEYWORD_ISSR_208016481_ACQ</v>
          </cell>
        </row>
        <row r="93">
          <cell r="A93" t="str">
            <v>Vector|||208016481|||ISSR|||DIVEST|||False|||</v>
          </cell>
          <cell r="C93" t="str">
            <v>V_KEYWORD_ISSR_208016481_DIVEST</v>
          </cell>
        </row>
        <row r="94">
          <cell r="A94" t="str">
            <v>Vector|||208016481|||ISSR|||OTH_INV_CF|||False|||</v>
          </cell>
          <cell r="C94" t="str">
            <v>V_KEYWORD_ISSR_208016481_OTH_INV_CF</v>
          </cell>
        </row>
        <row r="95">
          <cell r="A95" t="str">
            <v>Vector|||208016481|||ISSR|||CF_INV|||False|||</v>
          </cell>
          <cell r="C95" t="str">
            <v>V_KEYWORD_ISSR_208016481_CF_INV</v>
          </cell>
        </row>
        <row r="96">
          <cell r="A96" t="str">
            <v>Vector|||208016481|||ISSR|||DIV_PAID|||False|||</v>
          </cell>
          <cell r="C96" t="str">
            <v>V_KEYWORD_ISSR_208016481_DIV_PAID</v>
          </cell>
        </row>
        <row r="97">
          <cell r="A97" t="str">
            <v>Vector|||208016481|||ISSR|||SH_REPUR|||False|||</v>
          </cell>
          <cell r="C97" t="str">
            <v>V_KEYWORD_ISSR_208016481_SH_REPUR</v>
          </cell>
        </row>
        <row r="98">
          <cell r="A98" t="str">
            <v>Vector|||208016481|||ISSR|||CHG_LT_DEBT|||False|||</v>
          </cell>
          <cell r="C98" t="str">
            <v>V_KEYWORD_ISSR_208016481_CHG_LT_DEBT</v>
          </cell>
        </row>
        <row r="99">
          <cell r="A99" t="str">
            <v>Vector|||208016481|||ISSR|||OTH_FIN_CF|||False|||</v>
          </cell>
          <cell r="C99" t="str">
            <v>V_KEYWORD_ISSR_208016481_OTH_FIN_CF</v>
          </cell>
        </row>
        <row r="100">
          <cell r="A100" t="str">
            <v>Vector|||208016481|||ISSR|||CF_FIN|||False|||</v>
          </cell>
          <cell r="C100" t="str">
            <v>V_KEYWORD_ISSR_208016481_CF_FIN</v>
          </cell>
        </row>
        <row r="101">
          <cell r="A101" t="str">
            <v>Vector|||208016481|||ISSR|||TOT_CF|||False|||</v>
          </cell>
          <cell r="C101" t="str">
            <v>V_KEYWORD_ISSR_208016481_TOT_CF</v>
          </cell>
        </row>
        <row r="103">
          <cell r="A103" t="str">
            <v>Vector|||208016481|||ISSR|||ASSOC_JV_ADDBK|||False|||</v>
          </cell>
          <cell r="C103" t="str">
            <v>V_KEYWORD_ISSR_208016481_ASSOC_JV_ADDBK</v>
          </cell>
        </row>
        <row r="104">
          <cell r="A104" t="str">
            <v>Vector|||208016481|||ISSR|||PL_SALE_ASSETS|||False|||</v>
          </cell>
          <cell r="C104" t="str">
            <v>V_KEYWORD_ISSR_208016481_PL_SALE_ASSETS</v>
          </cell>
        </row>
        <row r="105">
          <cell r="A105" t="str">
            <v>Vector|||208016481|||ISSR|||OTH_NONCASH_ADJ|||False|||</v>
          </cell>
          <cell r="C105" t="str">
            <v>V_KEYWORD_ISSR_208016481_OTH_NONCASH_ADJ</v>
          </cell>
        </row>
        <row r="106">
          <cell r="A106" t="str">
            <v>Vector|||208016481|||ISSR|||OTH_DACF_ADJ|||False|||</v>
          </cell>
          <cell r="C106" t="str">
            <v>V_KEYWORD_ISSR_208016481_OTH_DACF_ADJ</v>
          </cell>
        </row>
        <row r="107">
          <cell r="A107" t="str">
            <v>Vector|||208016481|||ISSR|||CASH_INT_EXP|||False|||</v>
          </cell>
          <cell r="C107" t="str">
            <v>V_KEYWORD_ISSR_208016481_CASH_INT_EXP</v>
          </cell>
        </row>
        <row r="108">
          <cell r="A108" t="str">
            <v>Vector|||208016481|||ISSR|||CASH_TAX_EXP|||False|||</v>
          </cell>
          <cell r="C108" t="str">
            <v>V_KEYWORD_ISSR_208016481_CASH_TAX_EXP</v>
          </cell>
        </row>
        <row r="109">
          <cell r="A109" t="str">
            <v>Vector|||208016481|||ISSR|||DIVDS_ASSOC_JV|||False|||</v>
          </cell>
          <cell r="C109" t="str">
            <v>V_KEYWORD_ISSR_208016481_DIVDS_ASSOC_JV</v>
          </cell>
        </row>
        <row r="110">
          <cell r="A110" t="str">
            <v>Vector|||208016481|||ISSR|||CAPEX_MAINTENANCE|||False|||</v>
          </cell>
          <cell r="C110" t="str">
            <v>V_KEYWORD_ISSR_208016481_CAPEX_MAINTENANCE</v>
          </cell>
        </row>
        <row r="111">
          <cell r="A111" t="str">
            <v>Vector|||208016481|||ISSR|||CAPEX_EXPANSION|||False|||</v>
          </cell>
          <cell r="C111" t="str">
            <v>V_KEYWORD_ISSR_208016481_CAPEX_EXPANSION</v>
          </cell>
        </row>
        <row r="112">
          <cell r="A112" t="str">
            <v>Vector|||208016481|||ISSR|||NONPPE_CAPEX|||False|||</v>
          </cell>
          <cell r="C112" t="str">
            <v>V_KEYWORD_ISSR_208016481_NONPPE_CAPEX</v>
          </cell>
        </row>
        <row r="113">
          <cell r="A113" t="str">
            <v>Vector|||208016481|||ISSR|||DIVDS_PD_MINORITIES|||False|||</v>
          </cell>
          <cell r="C113" t="str">
            <v>V_KEYWORD_ISSR_208016481_DIVDS_PD_MINORITIES</v>
          </cell>
        </row>
        <row r="115">
          <cell r="A115" t="str">
            <v>Vector|||208016481|||ISSR|||EMPLOYEES|||False|||</v>
          </cell>
          <cell r="C115" t="str">
            <v>V_KEYWORD_ISSR_208016481_EMPLOYEES</v>
          </cell>
        </row>
        <row r="117">
          <cell r="A117" t="str">
            <v>Vector|||208016481|||ISSR|||SALES_CANADA|||False|||</v>
          </cell>
          <cell r="C117" t="str">
            <v>V_KEYWORD_ISSR_208016481_SALES_CANADA</v>
          </cell>
        </row>
        <row r="118">
          <cell r="A118" t="str">
            <v>Vector|||208016481|||ISSR|||SALES_US|||False|||</v>
          </cell>
          <cell r="C118" t="str">
            <v>V_KEYWORD_ISSR_208016481_SALES_US</v>
          </cell>
        </row>
        <row r="119">
          <cell r="A119" t="str">
            <v>Vector|||208016481|||ISSR|||SALES_OTH_NO_AMER|||False|||</v>
          </cell>
          <cell r="C119" t="str">
            <v>V_KEYWORD_ISSR_208016481_SALES_OTH_NO_AMER</v>
          </cell>
        </row>
        <row r="120">
          <cell r="A120" t="str">
            <v>Vector|||208016481|||ISSR|||SALES_ARGENTINA|||False|||</v>
          </cell>
          <cell r="C120" t="str">
            <v>V_KEYWORD_ISSR_208016481_SALES_ARGENTINA</v>
          </cell>
        </row>
        <row r="121">
          <cell r="A121" t="str">
            <v>Vector|||208016481|||ISSR|||SALES_BRAZIL|||False|||</v>
          </cell>
          <cell r="C121" t="str">
            <v>V_KEYWORD_ISSR_208016481_SALES_BRAZIL</v>
          </cell>
        </row>
        <row r="122">
          <cell r="A122" t="str">
            <v>Vector|||208016481|||ISSR|||SALES_CHILE|||False|||</v>
          </cell>
          <cell r="C122" t="str">
            <v>V_KEYWORD_ISSR_208016481_SALES_CHILE</v>
          </cell>
        </row>
        <row r="123">
          <cell r="A123" t="str">
            <v>Vector|||208016481|||ISSR|||SALES_COLOMBIA|||False|||</v>
          </cell>
          <cell r="C123" t="str">
            <v>V_KEYWORD_ISSR_208016481_SALES_COLOMBIA</v>
          </cell>
        </row>
        <row r="124">
          <cell r="A124" t="str">
            <v>Vector|||208016481|||ISSR|||SALES_MEXICO|||False|||</v>
          </cell>
          <cell r="C124" t="str">
            <v>V_KEYWORD_ISSR_208016481_SALES_MEXICO</v>
          </cell>
        </row>
        <row r="125">
          <cell r="A125" t="str">
            <v>Vector|||208016481|||ISSR|||SALES_VENEZUELA|||False|||</v>
          </cell>
          <cell r="C125" t="str">
            <v>V_KEYWORD_ISSR_208016481_SALES_VENEZUELA</v>
          </cell>
        </row>
        <row r="126">
          <cell r="A126" t="str">
            <v>Vector|||208016481|||ISSR|||SALES_OTH_LATAM|||False|||</v>
          </cell>
          <cell r="C126" t="str">
            <v>V_KEYWORD_ISSR_208016481_SALES_OTH_LATAM</v>
          </cell>
        </row>
        <row r="127">
          <cell r="A127" t="str">
            <v>Vector|||208016481|||ISSR|||SALES_AUSTRIA|||False|||</v>
          </cell>
          <cell r="C127" t="str">
            <v>V_KEYWORD_ISSR_208016481_SALES_AUSTRIA</v>
          </cell>
        </row>
        <row r="128">
          <cell r="A128" t="str">
            <v>Vector|||208016481|||ISSR|||SALES_BEL|||False|||</v>
          </cell>
          <cell r="C128" t="str">
            <v>V_KEYWORD_ISSR_208016481_SALES_BEL</v>
          </cell>
        </row>
        <row r="129">
          <cell r="A129" t="str">
            <v>Vector|||208016481|||ISSR|||SALES_FRA|||False|||</v>
          </cell>
          <cell r="C129" t="str">
            <v>V_KEYWORD_ISSR_208016481_SALES_FRA</v>
          </cell>
        </row>
        <row r="130">
          <cell r="A130" t="str">
            <v>Vector|||208016481|||ISSR|||SALES_GER|||False|||</v>
          </cell>
          <cell r="C130" t="str">
            <v>V_KEYWORD_ISSR_208016481_SALES_GER</v>
          </cell>
        </row>
        <row r="131">
          <cell r="A131" t="str">
            <v>Vector|||208016481|||ISSR|||SALES_GRE|||False|||</v>
          </cell>
          <cell r="C131" t="str">
            <v>V_KEYWORD_ISSR_208016481_SALES_GRE</v>
          </cell>
        </row>
        <row r="132">
          <cell r="A132" t="str">
            <v>Vector|||208016481|||ISSR|||SALES_IRE|||False|||</v>
          </cell>
          <cell r="C132" t="str">
            <v>V_KEYWORD_ISSR_208016481_SALES_IRE</v>
          </cell>
        </row>
        <row r="133">
          <cell r="A133" t="str">
            <v>Vector|||208016481|||ISSR|||SALES_ITA|||False|||</v>
          </cell>
          <cell r="C133" t="str">
            <v>V_KEYWORD_ISSR_208016481_SALES_ITA</v>
          </cell>
        </row>
        <row r="134">
          <cell r="A134" t="str">
            <v>Vector|||208016481|||ISSR|||SALES_NETH|||False|||</v>
          </cell>
          <cell r="C134" t="str">
            <v>V_KEYWORD_ISSR_208016481_SALES_NETH</v>
          </cell>
        </row>
        <row r="135">
          <cell r="A135" t="str">
            <v>Vector|||208016481|||ISSR|||SALES_NOR|||False|||</v>
          </cell>
          <cell r="C135" t="str">
            <v>V_KEYWORD_ISSR_208016481_SALES_NOR</v>
          </cell>
        </row>
        <row r="136">
          <cell r="A136" t="str">
            <v>Vector|||208016481|||ISSR|||SALES_POR|||False|||</v>
          </cell>
          <cell r="C136" t="str">
            <v>V_KEYWORD_ISSR_208016481_SALES_POR</v>
          </cell>
        </row>
        <row r="137">
          <cell r="A137" t="str">
            <v>Vector|||208016481|||ISSR|||SALES_SPA|||False|||</v>
          </cell>
          <cell r="C137" t="str">
            <v>V_KEYWORD_ISSR_208016481_SALES_SPA</v>
          </cell>
        </row>
        <row r="138">
          <cell r="A138" t="str">
            <v>Vector|||208016481|||ISSR|||SALES_SWE|||False|||</v>
          </cell>
          <cell r="C138" t="str">
            <v>V_KEYWORD_ISSR_208016481_SALES_SWE</v>
          </cell>
        </row>
        <row r="139">
          <cell r="A139" t="str">
            <v>Vector|||208016481|||ISSR|||SALES_SWIT|||False|||</v>
          </cell>
          <cell r="C139" t="str">
            <v>V_KEYWORD_ISSR_208016481_SALES_SWIT</v>
          </cell>
        </row>
        <row r="140">
          <cell r="A140" t="str">
            <v>Vector|||208016481|||ISSR|||SALES_UK|||False|||</v>
          </cell>
          <cell r="C140" t="str">
            <v>V_KEYWORD_ISSR_208016481_SALES_UK</v>
          </cell>
        </row>
        <row r="141">
          <cell r="A141" t="str">
            <v>Vector|||208016481|||ISSR|||SALES_OTH_WEST_EURO|||False|||</v>
          </cell>
          <cell r="C141" t="str">
            <v>V_KEYWORD_ISSR_208016481_SALES_OTH_WEST_EURO</v>
          </cell>
        </row>
        <row r="142">
          <cell r="A142" t="str">
            <v>Vector|||208016481|||ISSR|||SALES_POLAND|||False|||</v>
          </cell>
          <cell r="C142" t="str">
            <v>V_KEYWORD_ISSR_208016481_SALES_POLAND</v>
          </cell>
        </row>
        <row r="143">
          <cell r="A143" t="str">
            <v>Vector|||208016481|||ISSR|||SALES_RUSSIA|||False|||</v>
          </cell>
          <cell r="C143" t="str">
            <v>V_KEYWORD_ISSR_208016481_SALES_RUSSIA</v>
          </cell>
        </row>
        <row r="144">
          <cell r="A144" t="str">
            <v>Vector|||208016481|||ISSR|||SALES_TURKEY|||False|||</v>
          </cell>
          <cell r="C144" t="str">
            <v>V_KEYWORD_ISSR_208016481_SALES_TURKEY</v>
          </cell>
        </row>
        <row r="145">
          <cell r="A145" t="str">
            <v>Vector|||208016481|||ISSR|||SALES_OTH_CEE|||False|||</v>
          </cell>
          <cell r="C145" t="str">
            <v>V_KEYWORD_ISSR_208016481_SALES_OTH_CEE</v>
          </cell>
        </row>
        <row r="146">
          <cell r="A146" t="str">
            <v>Vector|||208016481|||ISSR|||SALES_SAUDI_ARABIA|||False|||</v>
          </cell>
          <cell r="C146" t="str">
            <v>V_KEYWORD_ISSR_208016481_SALES_SAUDI_ARABIA</v>
          </cell>
        </row>
        <row r="147">
          <cell r="A147" t="str">
            <v>Vector|||208016481|||ISSR|||SALES_UAE|||False|||</v>
          </cell>
          <cell r="C147" t="str">
            <v>V_KEYWORD_ISSR_208016481_SALES_UAE</v>
          </cell>
        </row>
        <row r="148">
          <cell r="A148" t="str">
            <v>Vector|||208016481|||ISSR|||SALES_OTH_ME|||False|||</v>
          </cell>
          <cell r="C148" t="str">
            <v>V_KEYWORD_ISSR_208016481_SALES_OTH_ME</v>
          </cell>
        </row>
        <row r="149">
          <cell r="A149" t="str">
            <v>Vector|||208016481|||ISSR|||SALES_NIGERIA|||False|||</v>
          </cell>
          <cell r="C149" t="str">
            <v>V_KEYWORD_ISSR_208016481_SALES_NIGERIA</v>
          </cell>
        </row>
        <row r="150">
          <cell r="A150" t="str">
            <v>Vector|||208016481|||ISSR|||SALES_SO_AFRICA|||False|||</v>
          </cell>
          <cell r="C150" t="str">
            <v>V_KEYWORD_ISSR_208016481_SALES_SO_AFRICA</v>
          </cell>
        </row>
        <row r="151">
          <cell r="A151" t="str">
            <v>Vector|||208016481|||ISSR|||SALES_OTH_AFRICA|||False|||</v>
          </cell>
          <cell r="C151" t="str">
            <v>V_KEYWORD_ISSR_208016481_SALES_OTH_AFRICA</v>
          </cell>
        </row>
        <row r="152">
          <cell r="A152" t="str">
            <v>Vector|||208016481|||ISSR|||SALES_HONG_KONG|||False|||</v>
          </cell>
          <cell r="C152" t="str">
            <v>V_KEYWORD_ISSR_208016481_SALES_HONG_KONG</v>
          </cell>
        </row>
        <row r="153">
          <cell r="A153" t="str">
            <v>Vector|||208016481|||ISSR|||SALES_JAPAN|||False|||</v>
          </cell>
          <cell r="C153" t="str">
            <v>V_KEYWORD_ISSR_208016481_SALES_JAPAN</v>
          </cell>
        </row>
        <row r="154">
          <cell r="A154" t="str">
            <v>Vector|||208016481|||ISSR|||SALES_SINGAPORE|||False|||</v>
          </cell>
          <cell r="C154" t="str">
            <v>V_KEYWORD_ISSR_208016481_SALES_SINGAPORE</v>
          </cell>
        </row>
        <row r="155">
          <cell r="A155" t="str">
            <v>Vector|||208016481|||ISSR|||SALES_SK|||False|||</v>
          </cell>
          <cell r="C155" t="str">
            <v>V_KEYWORD_ISSR_208016481_SALES_SK</v>
          </cell>
        </row>
        <row r="156">
          <cell r="A156" t="str">
            <v>Vector|||208016481|||ISSR|||SALES_TAIWAN|||False|||</v>
          </cell>
          <cell r="C156" t="str">
            <v>V_KEYWORD_ISSR_208016481_SALES_TAIWAN</v>
          </cell>
        </row>
        <row r="157">
          <cell r="A157" t="str">
            <v>Vector|||208016481|||ISSR|||SALES_OTH_DEV_ASIA|||False|||</v>
          </cell>
          <cell r="C157" t="str">
            <v>V_KEYWORD_ISSR_208016481_SALES_OTH_DEV_ASIA</v>
          </cell>
        </row>
        <row r="158">
          <cell r="A158" t="str">
            <v>Vector|||208016481|||ISSR|||SALES_CHINA|||False|||</v>
          </cell>
          <cell r="C158" t="str">
            <v>V_KEYWORD_ISSR_208016481_SALES_CHINA</v>
          </cell>
        </row>
        <row r="159">
          <cell r="A159" t="str">
            <v>Vector|||208016481|||ISSR|||SALES_INDIA|||False|||</v>
          </cell>
          <cell r="C159" t="str">
            <v>V_KEYWORD_ISSR_208016481_SALES_INDIA</v>
          </cell>
        </row>
        <row r="160">
          <cell r="A160" t="str">
            <v>Vector|||208016481|||ISSR|||SALES_INDONESIA|||False|||</v>
          </cell>
          <cell r="C160" t="str">
            <v>V_KEYWORD_ISSR_208016481_SALES_INDONESIA</v>
          </cell>
        </row>
        <row r="161">
          <cell r="A161" t="str">
            <v>Vector|||208016481|||ISSR|||SALES_THAILAND|||False|||</v>
          </cell>
          <cell r="C161" t="str">
            <v>V_KEYWORD_ISSR_208016481_SALES_THAILAND</v>
          </cell>
        </row>
        <row r="162">
          <cell r="A162" t="str">
            <v>Vector|||208016481|||ISSR|||SALES_OTH_EMERG_ASIA|||False|||</v>
          </cell>
          <cell r="C162" t="str">
            <v>V_KEYWORD_ISSR_208016481_SALES_OTH_EMERG_ASIA</v>
          </cell>
        </row>
        <row r="163">
          <cell r="A163" t="str">
            <v>Vector|||208016481|||ISSR|||SALES_AUSTRA|||False|||</v>
          </cell>
          <cell r="C163" t="str">
            <v>V_KEYWORD_ISSR_208016481_SALES_AUSTRA</v>
          </cell>
        </row>
        <row r="164">
          <cell r="A164" t="str">
            <v>Vector|||208016481|||ISSR|||SALES_NZ|||False|||</v>
          </cell>
          <cell r="C164" t="str">
            <v>V_KEYWORD_ISSR_208016481_SALES_NZ</v>
          </cell>
        </row>
        <row r="165">
          <cell r="A165" t="str">
            <v>Vector|||208016481|||ISSR|||SALES_OTHER|||False|||</v>
          </cell>
          <cell r="C165" t="str">
            <v>V_KEYWORD_ISSR_208016481_SALES_OTHER</v>
          </cell>
        </row>
        <row r="166">
          <cell r="A166" t="str">
            <v>Vector|||208016481|||ISSR|||COGS_PCT_US|||False|||</v>
          </cell>
          <cell r="C166" t="str">
            <v>V_KEYWORD_ISSR_208016481_COGS_PCT_US</v>
          </cell>
        </row>
        <row r="167">
          <cell r="A167" t="str">
            <v>Vector|||208016481|||ISSR|||COGS_PCT_ROW|||False|||</v>
          </cell>
          <cell r="C167" t="str">
            <v>V_KEYWORD_ISSR_208016481_COGS_PCT_ROW</v>
          </cell>
        </row>
        <row r="168">
          <cell r="A168" t="str">
            <v>Vector|||208016481|||ISSR|||SGA_PCT_US|||False|||</v>
          </cell>
          <cell r="C168" t="str">
            <v>V_KEYWORD_ISSR_208016481_SGA_PCT_US</v>
          </cell>
        </row>
        <row r="169">
          <cell r="A169" t="str">
            <v>Vector|||208016481|||ISSR|||SGA_PCT_ROW|||False|||</v>
          </cell>
          <cell r="C169" t="str">
            <v>V_KEYWORD_ISSR_208016481_SGA_PCT_ROW</v>
          </cell>
        </row>
        <row r="170">
          <cell r="A170" t="str">
            <v>Vector|||208016481|||ISSR|||SALES_CONS|||False|||</v>
          </cell>
          <cell r="C170" t="str">
            <v>V_KEYWORD_ISSR_208016481_SALES_CONS</v>
          </cell>
        </row>
        <row r="171">
          <cell r="A171" t="str">
            <v>Vector|||208016481|||ISSR|||SALES_IND|||False|||</v>
          </cell>
          <cell r="C171" t="str">
            <v>V_KEYWORD_ISSR_208016481_SALES_IND</v>
          </cell>
        </row>
        <row r="172">
          <cell r="A172" t="str">
            <v>Vector|||208016481|||ISSR|||SALES_GOV|||False|||</v>
          </cell>
          <cell r="C172" t="str">
            <v>V_KEYWORD_ISSR_208016481_SALES_GOV</v>
          </cell>
        </row>
        <row r="173">
          <cell r="A173" t="str">
            <v>Vector|||208016481|||ISSR|||SALES_FINAN|||False|||</v>
          </cell>
          <cell r="C173" t="str">
            <v>V_KEYWORD_ISSR_208016481_SALES_FINAN</v>
          </cell>
        </row>
        <row r="174">
          <cell r="A174" t="str">
            <v>Vector|||208016481|||ISSR|||SALES_OIL_GAS|||False|||</v>
          </cell>
          <cell r="C174" t="str">
            <v>V_KEYWORD_ISSR_208016481_SALES_OIL_GAS</v>
          </cell>
        </row>
        <row r="176">
          <cell r="A176" t="str">
            <v>Vector|||208016481|||ISSR|||EXP_OIL_PETRO_FUEL|||False|||</v>
          </cell>
          <cell r="C176" t="str">
            <v>V_KEYWORD_ISSR_208016481_EXP_OIL_PETRO_FUEL</v>
          </cell>
        </row>
        <row r="177">
          <cell r="A177" t="str">
            <v>Vector|||208016481|||ISSR|||EXP_OIL_DERIV_NGLS_PLASTICS|||False|||</v>
          </cell>
          <cell r="C177" t="str">
            <v>V_KEYWORD_ISSR_208016481_EXP_OIL_DERIV_NGLS_PLASTICS</v>
          </cell>
        </row>
        <row r="178">
          <cell r="A178" t="str">
            <v>Vector|||208016481|||ISSR|||EXP_GOLD|||False|||</v>
          </cell>
          <cell r="C178" t="str">
            <v>V_KEYWORD_ISSR_208016481_EXP_GOLD</v>
          </cell>
        </row>
        <row r="179">
          <cell r="A179" t="str">
            <v>Vector|||208016481|||ISSR|||EXP_COPPER|||False|||</v>
          </cell>
          <cell r="C179" t="str">
            <v>V_KEYWORD_ISSR_208016481_EXP_COPPER</v>
          </cell>
        </row>
        <row r="180">
          <cell r="A180" t="str">
            <v>Vector|||208016481|||ISSR|||EXP_SILVER|||False|||</v>
          </cell>
          <cell r="C180" t="str">
            <v>V_KEYWORD_ISSR_208016481_EXP_SILVER</v>
          </cell>
        </row>
        <row r="181">
          <cell r="A181" t="str">
            <v>Vector|||208016481|||ISSR|||EXP_PLATINUM|||False|||</v>
          </cell>
          <cell r="C181" t="str">
            <v>V_KEYWORD_ISSR_208016481_EXP_PLATINUM</v>
          </cell>
        </row>
        <row r="182">
          <cell r="A182" t="str">
            <v>Vector|||208016481|||ISSR|||EXP_PALLADIUM|||False|||</v>
          </cell>
          <cell r="C182" t="str">
            <v>V_KEYWORD_ISSR_208016481_EXP_PALLADIUM</v>
          </cell>
        </row>
        <row r="183">
          <cell r="A183" t="str">
            <v>Vector|||208016481|||ISSR|||EXP_ALUMINIUM|||False|||</v>
          </cell>
          <cell r="C183" t="str">
            <v>V_KEYWORD_ISSR_208016481_EXP_ALUMINIUM</v>
          </cell>
        </row>
        <row r="184">
          <cell r="A184" t="str">
            <v>Vector|||208016481|||ISSR|||EXP_NICKEL|||False|||</v>
          </cell>
          <cell r="C184" t="str">
            <v>V_KEYWORD_ISSR_208016481_EXP_NICKEL</v>
          </cell>
        </row>
        <row r="185">
          <cell r="A185" t="str">
            <v>Vector|||208016481|||ISSR|||EXP_ZINC|||False|||</v>
          </cell>
          <cell r="C185" t="str">
            <v>V_KEYWORD_ISSR_208016481_EXP_ZINC</v>
          </cell>
        </row>
        <row r="186">
          <cell r="A186" t="str">
            <v>Vector|||208016481|||ISSR|||EXP_PAPER_PULP|||False|||</v>
          </cell>
          <cell r="C186" t="str">
            <v>V_KEYWORD_ISSR_208016481_EXP_PAPER_PULP</v>
          </cell>
        </row>
        <row r="187">
          <cell r="A187" t="str">
            <v>Vector|||208016481|||ISSR|||EXP_GLASS|||False|||</v>
          </cell>
          <cell r="C187" t="str">
            <v>V_KEYWORD_ISSR_208016481_EXP_GLASS</v>
          </cell>
        </row>
        <row r="188">
          <cell r="A188" t="str">
            <v>Vector|||208016481|||ISSR|||EXP_WATER|||False|||</v>
          </cell>
          <cell r="C188" t="str">
            <v>V_KEYWORD_ISSR_208016481_EXP_WATER</v>
          </cell>
        </row>
        <row r="189">
          <cell r="A189" t="str">
            <v>Vector|||208016481|||ISSR|||EXP_OTH_COMMODITY|||False|||</v>
          </cell>
          <cell r="C189" t="str">
            <v>V_KEYWORD_ISSR_208016481_EXP_OTH_COMMODITY</v>
          </cell>
        </row>
        <row r="190">
          <cell r="A190" t="str">
            <v>Vector|||208016481|||ISSR|||EXP_OTH_COST|||False|||</v>
          </cell>
          <cell r="C190" t="str">
            <v>V_KEYWORD_ISSR_208016481_EXP_OTH_COST</v>
          </cell>
        </row>
        <row r="192">
          <cell r="A192" t="str">
            <v>Vector|||208016481|||ISSR|||SALES_FX_GPB|||False|||</v>
          </cell>
          <cell r="C192" t="str">
            <v>V_KEYWORD_ISSR_208016481_SALES_FX_GPB</v>
          </cell>
        </row>
        <row r="193">
          <cell r="A193" t="str">
            <v>Vector|||208016481|||ISSR|||SALES_FX_EUR|||False|||</v>
          </cell>
          <cell r="C193" t="str">
            <v>V_KEYWORD_ISSR_208016481_SALES_FX_EUR</v>
          </cell>
        </row>
        <row r="194">
          <cell r="A194" t="str">
            <v>Vector|||208016481|||ISSR|||SALES_FX_RUB|||False|||</v>
          </cell>
          <cell r="C194" t="str">
            <v>V_KEYWORD_ISSR_208016481_SALES_FX_RUB</v>
          </cell>
        </row>
        <row r="195">
          <cell r="A195" t="str">
            <v>Vector|||208016481|||ISSR|||SALES_FX_USD|||False|||</v>
          </cell>
          <cell r="C195" t="str">
            <v>V_KEYWORD_ISSR_208016481_SALES_FX_USD</v>
          </cell>
        </row>
        <row r="196">
          <cell r="A196" t="str">
            <v>Vector|||208016481|||ISSR|||SALES_FX_BRL|||False|||</v>
          </cell>
          <cell r="C196" t="str">
            <v>V_KEYWORD_ISSR_208016481_SALES_FX_BRL</v>
          </cell>
        </row>
        <row r="197">
          <cell r="A197" t="str">
            <v>Vector|||208016481|||ISSR|||SALES_FX_YEN|||False|||</v>
          </cell>
          <cell r="C197" t="str">
            <v>V_KEYWORD_ISSR_208016481_SALES_FX_YEN</v>
          </cell>
        </row>
        <row r="198">
          <cell r="A198" t="str">
            <v>Vector|||208016481|||ISSR|||SALES_FX_CNY|||False|||</v>
          </cell>
          <cell r="C198" t="str">
            <v>V_KEYWORD_ISSR_208016481_SALES_FX_CNY</v>
          </cell>
        </row>
        <row r="199">
          <cell r="A199" t="str">
            <v>Vector|||208016481|||ISSR|||SALES_FX_INR|||False|||</v>
          </cell>
          <cell r="C199" t="str">
            <v>V_KEYWORD_ISSR_208016481_SALES_FX_INR</v>
          </cell>
        </row>
        <row r="200">
          <cell r="A200" t="str">
            <v>Vector|||208016481|||ISSR|||SALES_FX_KRW|||False|||</v>
          </cell>
          <cell r="C200" t="str">
            <v>V_KEYWORD_ISSR_208016481_SALES_FX_KRW</v>
          </cell>
        </row>
        <row r="201">
          <cell r="A201" t="str">
            <v>Vector|||208016481|||ISSR|||SALES_FX_TWD|||False|||</v>
          </cell>
          <cell r="C201" t="str">
            <v>V_KEYWORD_ISSR_208016481_SALES_FX_TWD</v>
          </cell>
        </row>
        <row r="202">
          <cell r="A202" t="str">
            <v>Vector|||208016481|||ISSR|||SALES_FX_OTH|||False|||</v>
          </cell>
          <cell r="C202" t="str">
            <v>V_KEYWORD_ISSR_208016481_SALES_FX_OTH</v>
          </cell>
        </row>
        <row r="204">
          <cell r="A204" t="str">
            <v>Vector|||208016481|||ISSR|||SALES_TOT_AM|||False|||</v>
          </cell>
          <cell r="C204" t="str">
            <v>V_KEYWORD_ISSR_208016481_SALES_TOT_AM</v>
          </cell>
        </row>
        <row r="205">
          <cell r="A205" t="str">
            <v>Vector|||208016481|||ISSR|||SALES_OTH_AM|||False|||</v>
          </cell>
          <cell r="C205" t="str">
            <v>V_KEYWORD_ISSR_208016481_SALES_OTH_AM</v>
          </cell>
        </row>
        <row r="206">
          <cell r="A206" t="str">
            <v>Vector|||208016481|||ISSR|||SALES_TOT_EMEA|||False|||</v>
          </cell>
          <cell r="C206" t="str">
            <v>V_KEYWORD_ISSR_208016481_SALES_TOT_EMEA</v>
          </cell>
        </row>
        <row r="207">
          <cell r="A207" t="str">
            <v>Vector|||208016481|||ISSR|||SALES_EU_EX_UK|||False|||</v>
          </cell>
          <cell r="C207" t="str">
            <v>V_KEYWORD_ISSR_208016481_SALES_EU_EX_UK</v>
          </cell>
        </row>
        <row r="208">
          <cell r="A208" t="str">
            <v>Vector|||208016481|||ISSR|||SALES_CEE|||False|||</v>
          </cell>
          <cell r="C208" t="str">
            <v>V_KEYWORD_ISSR_208016481_SALES_CEE</v>
          </cell>
        </row>
        <row r="209">
          <cell r="A209" t="str">
            <v>Vector|||208016481|||ISSR|||SALES_ME|||False|||</v>
          </cell>
          <cell r="C209" t="str">
            <v>V_KEYWORD_ISSR_208016481_SALES_ME</v>
          </cell>
        </row>
        <row r="210">
          <cell r="A210" t="str">
            <v>Vector|||208016481|||ISSR|||SALES_TOT_AFRICA|||False|||</v>
          </cell>
          <cell r="C210" t="str">
            <v>V_KEYWORD_ISSR_208016481_SALES_TOT_AFRICA</v>
          </cell>
        </row>
        <row r="211">
          <cell r="A211" t="str">
            <v>Vector|||208016481|||ISSR|||SALES_OTH_EMEA|||False|||</v>
          </cell>
          <cell r="C211" t="str">
            <v>V_KEYWORD_ISSR_208016481_SALES_OTH_EMEA</v>
          </cell>
        </row>
        <row r="212">
          <cell r="A212" t="str">
            <v>Vector|||208016481|||ISSR|||SALES_TOT_ASIA|||False|||</v>
          </cell>
          <cell r="C212" t="str">
            <v>V_KEYWORD_ISSR_208016481_SALES_TOT_ASIA</v>
          </cell>
        </row>
        <row r="213">
          <cell r="A213" t="str">
            <v>Vector|||208016481|||ISSR|||SALES_OTH_AEJ|||False|||</v>
          </cell>
          <cell r="C213" t="str">
            <v>V_KEYWORD_ISSR_208016481_SALES_OTH_AEJ</v>
          </cell>
        </row>
        <row r="219">
          <cell r="A219" t="str">
            <v>Scalar|||200018673|||EQTY|||PUB_CURRENCY_ISO|||False|||</v>
          </cell>
          <cell r="C219" t="str">
            <v>V_KEYWORD_EQTY_200018673_PUB_CURRENCY_ISO</v>
          </cell>
        </row>
        <row r="220">
          <cell r="A220" t="str">
            <v>Scalar|||200018673|||EQTY|||PRICE_CURRENCY_ISO|||False|||</v>
          </cell>
          <cell r="C220" t="str">
            <v>V_KEYWORD_EQTY_200018673_PRICE_CURRENCY_ISO</v>
          </cell>
        </row>
        <row r="221">
          <cell r="A221" t="str">
            <v>Scalar|||200018673|||EQTY|||CURRENCY_ISO|||False|||</v>
          </cell>
          <cell r="C221" t="str">
            <v>V_KEYWORD_EQTY_200018673_CURRENCY_ISO</v>
          </cell>
        </row>
        <row r="223">
          <cell r="A223" t="str">
            <v>Scalar|||200018673|||EQTY|||AEJ_LIST|||False|||</v>
          </cell>
          <cell r="C223" t="str">
            <v>V_KEYWORD_EQTY_200018673_AEJ_LIST</v>
          </cell>
        </row>
        <row r="224">
          <cell r="A224" t="str">
            <v>Scalar|||200018673|||EQTY|||AEJ_CONVICTION|||False|||</v>
          </cell>
          <cell r="C224" t="str">
            <v>V_KEYWORD_EQTY_200018673_AEJ_CONVICTION</v>
          </cell>
        </row>
        <row r="225">
          <cell r="A225" t="str">
            <v>Scalar|||200018673|||EQTY|||LEGAL_RATING|||False|||</v>
          </cell>
          <cell r="C225" t="str">
            <v>V_KEYWORD_EQTY_200018673_LEGAL_RATING</v>
          </cell>
        </row>
        <row r="226">
          <cell r="A226" t="str">
            <v>Scalar|||200018673|||EQTY|||TARGET_PRICE|||False|||</v>
          </cell>
          <cell r="C226" t="str">
            <v>V_KEYWORD_EQTY_200018673_TARGET_PRICE</v>
          </cell>
        </row>
        <row r="227">
          <cell r="A227" t="str">
            <v>Scalar|||200018673|||EQTY|||TP_PERIOD|||False|||</v>
          </cell>
          <cell r="C227" t="str">
            <v>V_KEYWORD_EQTY_200018673_TP_PERIOD</v>
          </cell>
        </row>
        <row r="228">
          <cell r="A228" t="str">
            <v>Scalar|||200018673|||EQTY|||TARGET_PRICE_FUNDAMENTAL|||False|||</v>
          </cell>
          <cell r="C228" t="str">
            <v>V_KEYWORD_EQTY_200018673_TARGET_PRICE_FUNDAMENTAL</v>
          </cell>
        </row>
        <row r="229">
          <cell r="A229" t="str">
            <v>Scalar|||200018673|||EQTY|||TARGET_PRICE_MA|||False|||</v>
          </cell>
          <cell r="C229" t="str">
            <v>V_KEYWORD_EQTY_200018673_TARGET_PRICE_MA</v>
          </cell>
        </row>
        <row r="230">
          <cell r="A230" t="str">
            <v>Scalar|||200018673|||EQTY|||NUM_SH|||False|||</v>
          </cell>
          <cell r="C230" t="str">
            <v>V_KEYWORD_EQTY_200018673_NUM_SH</v>
          </cell>
        </row>
        <row r="231">
          <cell r="A231" t="str">
            <v>Scalar|||200018673|||EQTY|||FREE_FLOAT|||False|||</v>
          </cell>
          <cell r="C231" t="str">
            <v>V_KEYWORD_EQTY_200018673_FREE_FLOAT</v>
          </cell>
        </row>
        <row r="232">
          <cell r="A232" t="str">
            <v>Scalar|||200018673|||EQTY|||FOREIGN_HOLDNG|||False|||</v>
          </cell>
          <cell r="C232" t="str">
            <v>V_KEYWORD_EQTY_200018673_FOREIGN_HOLDNG</v>
          </cell>
        </row>
        <row r="233">
          <cell r="A233" t="str">
            <v>Scalar|||200018673|||EQTY|||CATALYST1_DATE|||True|||</v>
          </cell>
          <cell r="C233" t="str">
            <v>V_KEYWORD_EQTY_200018673_CATALYST1_DATE</v>
          </cell>
        </row>
        <row r="234">
          <cell r="A234" t="str">
            <v>Scalar|||200018673|||EQTY|||CATALYST1_EVENT|||False|||</v>
          </cell>
          <cell r="C234" t="str">
            <v>V_KEYWORD_EQTY_200018673_CATALYST1_EVENT</v>
          </cell>
        </row>
        <row r="235">
          <cell r="A235" t="str">
            <v>Scalar|||200018673|||EQTY|||CATALYST2_DATE|||True|||</v>
          </cell>
          <cell r="C235" t="str">
            <v>V_KEYWORD_EQTY_200018673_CATALYST2_DATE</v>
          </cell>
        </row>
        <row r="236">
          <cell r="A236" t="str">
            <v>Scalar|||200018673|||EQTY|||CATALYST2_EVENT|||False|||</v>
          </cell>
          <cell r="C236" t="str">
            <v>V_KEYWORD_EQTY_200018673_CATALYST2_EVENT</v>
          </cell>
        </row>
        <row r="237">
          <cell r="A237" t="str">
            <v>Scalar|||200018673|||EQTY|||CATALYST3_DATE|||True|||</v>
          </cell>
          <cell r="C237" t="str">
            <v>V_KEYWORD_EQTY_200018673_CATALYST3_DATE</v>
          </cell>
        </row>
        <row r="238">
          <cell r="A238" t="str">
            <v>Scalar|||200018673|||EQTY|||CATALYST3_EVENT|||False|||</v>
          </cell>
          <cell r="C238" t="str">
            <v>V_KEYWORD_EQTY_200018673_CATALYST3_EVENT</v>
          </cell>
        </row>
        <row r="239">
          <cell r="A239" t="str">
            <v>Scalar|||200018673|||EQTY|||CATALYST4_DATE|||True|||</v>
          </cell>
          <cell r="C239" t="str">
            <v>V_KEYWORD_EQTY_200018673_CATALYST4_DATE</v>
          </cell>
        </row>
        <row r="240">
          <cell r="A240" t="str">
            <v>Scalar|||200018673|||EQTY|||CATALYST4_EVENT|||False|||</v>
          </cell>
          <cell r="C240" t="str">
            <v>V_KEYWORD_EQTY_200018673_CATALYST4_EVENT</v>
          </cell>
        </row>
        <row r="241">
          <cell r="A241" t="str">
            <v>Scalar|||200018673|||EQTY|||CATALYST5_DATE|||True|||</v>
          </cell>
          <cell r="C241" t="str">
            <v>V_KEYWORD_EQTY_200018673_CATALYST5_DATE</v>
          </cell>
        </row>
        <row r="242">
          <cell r="A242" t="str">
            <v>Scalar|||200018673|||EQTY|||CATALYST5_EVENT|||False|||</v>
          </cell>
          <cell r="C242" t="str">
            <v>V_KEYWORD_EQTY_200018673_CATALYST5_EVENT</v>
          </cell>
        </row>
        <row r="243">
          <cell r="A243" t="str">
            <v>Scalar|||200018673|||EQTY|||PRI_TARG_MULT|||False|||</v>
          </cell>
          <cell r="C243" t="str">
            <v>V_KEYWORD_EQTY_200018673_PRI_TARG_MULT</v>
          </cell>
        </row>
        <row r="244">
          <cell r="A244" t="str">
            <v>Scalar|||200018673|||EQTY|||PRI_TARG_METH|||False|||</v>
          </cell>
          <cell r="C244" t="str">
            <v>V_KEYWORD_EQTY_200018673_PRI_TARG_METH</v>
          </cell>
        </row>
        <row r="246">
          <cell r="A246" t="str">
            <v>Vector|||200018673|||EQTY|||BVPS_PUB|||False|||</v>
          </cell>
          <cell r="C246" t="str">
            <v>V_KEYWORD_EQTY_200018673_BVPS_PUB</v>
          </cell>
        </row>
        <row r="247">
          <cell r="A247" t="str">
            <v>Vector|||200018673|||EQTY|||DPS_PUB|||False|||</v>
          </cell>
          <cell r="C247" t="str">
            <v>V_KEYWORD_EQTY_200018673_DPS_PUB</v>
          </cell>
        </row>
        <row r="248">
          <cell r="A248" t="str">
            <v>Vector|||200018673|||EQTY|||DPS_SPECIAL_PUB|||False|||</v>
          </cell>
          <cell r="C248" t="str">
            <v>V_KEYWORD_EQTY_200018673_DPS_SPECIAL_PUB</v>
          </cell>
        </row>
        <row r="249">
          <cell r="A249" t="str">
            <v>Vector|||200018673|||EQTY|||EBITDA_PUB|||False|||</v>
          </cell>
          <cell r="C249" t="str">
            <v>V_KEYWORD_EQTY_200018673_EBITDA_PUB</v>
          </cell>
        </row>
        <row r="250">
          <cell r="A250" t="str">
            <v>Vector|||200018673|||EQTY|||EPS_PUB|||False|||</v>
          </cell>
          <cell r="C250" t="str">
            <v>V_KEYWORD_EQTY_200018673_EPS_PUB</v>
          </cell>
        </row>
        <row r="251">
          <cell r="A251" t="str">
            <v>Vector|||200018673|||EQTY|||EV_ADJ_PUB|||False|||</v>
          </cell>
          <cell r="C251" t="str">
            <v>V_KEYWORD_EQTY_200018673_EV_ADJ_PUB</v>
          </cell>
        </row>
        <row r="252">
          <cell r="A252" t="str">
            <v>Vector|||200018673|||EQTY|||NET_DEBT_PUB|||False|||</v>
          </cell>
          <cell r="C252" t="str">
            <v>V_KEYWORD_EQTY_200018673_NET_DEBT_PUB</v>
          </cell>
        </row>
        <row r="253">
          <cell r="A253" t="str">
            <v>Vector|||200018673|||EQTY|||NI_PUB|||False|||</v>
          </cell>
          <cell r="C253" t="str">
            <v>V_KEYWORD_EQTY_200018673_NI_PUB</v>
          </cell>
        </row>
        <row r="254">
          <cell r="A254" t="str">
            <v>Vector|||200018673|||EQTY|||EBIT_PUB|||False|||</v>
          </cell>
          <cell r="C254" t="str">
            <v>V_KEYWORD_EQTY_200018673_EBIT_PUB</v>
          </cell>
        </row>
        <row r="255">
          <cell r="A255" t="str">
            <v>Vector|||200018673|||EQTY|||PTP_PUB|||False|||</v>
          </cell>
          <cell r="C255" t="str">
            <v>V_KEYWORD_EQTY_200018673_PTP_PUB</v>
          </cell>
        </row>
        <row r="256">
          <cell r="A256" t="str">
            <v>Vector|||200018673|||EQTY|||REVS_PUB|||False|||</v>
          </cell>
          <cell r="C256" t="str">
            <v>V_KEYWORD_EQTY_200018673_REVS_PUB</v>
          </cell>
        </row>
        <row r="257">
          <cell r="A257" t="str">
            <v>Vector|||200018673|||EQTY|||EQ_PUB|||False|||</v>
          </cell>
          <cell r="C257" t="str">
            <v>V_KEYWORD_EQTY_200018673_EQ_PUB</v>
          </cell>
        </row>
        <row r="258">
          <cell r="A258" t="str">
            <v>Vector|||200018673|||EQTY|||EPS_CONS_PUB|||False|||</v>
          </cell>
          <cell r="C258" t="str">
            <v>V_KEYWORD_EQTY_200018673_EPS_CONS_PUB</v>
          </cell>
        </row>
        <row r="260">
          <cell r="A260" t="str">
            <v>Vector|||200018673|||EQTY|||PROV_INC_TAX|||False|||</v>
          </cell>
          <cell r="C260" t="str">
            <v>V_KEYWORD_EQTY_200018673_PROV_INC_TAX</v>
          </cell>
        </row>
        <row r="261">
          <cell r="A261" t="str">
            <v>Vector|||200018673|||EQTY|||INC_MINORITY|||False|||</v>
          </cell>
          <cell r="C261" t="str">
            <v>V_KEYWORD_EQTY_200018673_INC_MINORITY</v>
          </cell>
        </row>
        <row r="262">
          <cell r="A262" t="str">
            <v>Vector|||200018673|||EQTY|||NI_PRE_PREF|||False|||</v>
          </cell>
          <cell r="C262" t="str">
            <v>V_KEYWORD_EQTY_200018673_NI_PRE_PREF</v>
          </cell>
        </row>
        <row r="263">
          <cell r="A263" t="str">
            <v>Vector|||200018673|||EQTY|||PREF_DIV|||False|||</v>
          </cell>
          <cell r="C263" t="str">
            <v>V_KEYWORD_EQTY_200018673_PREF_DIV</v>
          </cell>
        </row>
        <row r="264">
          <cell r="A264" t="str">
            <v>Vector|||200018673|||EQTY|||NET_EARNING|||False|||</v>
          </cell>
          <cell r="C264" t="str">
            <v>V_KEYWORD_EQTY_200018673_NET_EARNING</v>
          </cell>
        </row>
        <row r="265">
          <cell r="A265" t="str">
            <v>Vector|||200018673|||EQTY|||TAX_EXC|||False|||</v>
          </cell>
          <cell r="C265" t="str">
            <v>V_KEYWORD_EQTY_200018673_TAX_EXC</v>
          </cell>
        </row>
        <row r="266">
          <cell r="A266" t="str">
            <v>Vector|||200018673|||EQTY|||NET_INC|||False|||</v>
          </cell>
          <cell r="C266" t="str">
            <v>V_KEYWORD_EQTY_200018673_NET_INC</v>
          </cell>
        </row>
        <row r="267">
          <cell r="A267" t="str">
            <v>Vector|||200018673|||EQTY|||EPS|||False|||</v>
          </cell>
          <cell r="C267" t="str">
            <v>V_KEYWORD_EQTY_200018673_EPS</v>
          </cell>
        </row>
        <row r="268">
          <cell r="A268" t="str">
            <v>Vector|||200018673|||EQTY|||EPS_FUL_DIL|||False|||</v>
          </cell>
          <cell r="C268" t="str">
            <v>V_KEYWORD_EQTY_200018673_EPS_FUL_DIL</v>
          </cell>
        </row>
        <row r="269">
          <cell r="A269" t="str">
            <v>Vector|||200018673|||EQTY|||EPS_POST_BASIC|||False|||</v>
          </cell>
          <cell r="C269" t="str">
            <v>V_KEYWORD_EQTY_200018673_EPS_POST_BASIC</v>
          </cell>
        </row>
        <row r="270">
          <cell r="A270" t="str">
            <v>Vector|||200018673|||EQTY|||FULLY_DIL_EPS|||False|||</v>
          </cell>
          <cell r="C270" t="str">
            <v>V_KEYWORD_EQTY_200018673_FULLY_DIL_EPS</v>
          </cell>
        </row>
        <row r="271">
          <cell r="A271" t="str">
            <v>Vector|||200018673|||EQTY|||COMMON_DIV_PAID|||False|||</v>
          </cell>
          <cell r="C271" t="str">
            <v>V_KEYWORD_EQTY_200018673_COMMON_DIV_PAID</v>
          </cell>
        </row>
        <row r="272">
          <cell r="A272" t="str">
            <v>Vector|||200018673|||EQTY|||DPS|||False|||</v>
          </cell>
          <cell r="C272" t="str">
            <v>V_KEYWORD_EQTY_200018673_DPS</v>
          </cell>
        </row>
        <row r="273">
          <cell r="A273" t="str">
            <v>Vector|||200018673|||EQTY|||SH|||False|||</v>
          </cell>
          <cell r="C273" t="str">
            <v>V_KEYWORD_EQTY_200018673_SH</v>
          </cell>
        </row>
        <row r="274">
          <cell r="A274" t="str">
            <v>Vector|||200018673|||EQTY|||DILUTE_SHARES|||False|||</v>
          </cell>
          <cell r="C274" t="str">
            <v>V_KEYWORD_EQTY_200018673_DILUTE_SHARES</v>
          </cell>
        </row>
        <row r="275">
          <cell r="A275" t="str">
            <v>Vector|||200018673|||EQTY|||NON_OP_ADD|||False|||</v>
          </cell>
          <cell r="C275" t="str">
            <v>V_KEYWORD_EQTY_200018673_NON_OP_ADD</v>
          </cell>
        </row>
        <row r="277">
          <cell r="A277" t="str">
            <v>Vector|||200018673|||EQTY|||MARGIN_TAX_RATE|||False|||</v>
          </cell>
          <cell r="C277" t="str">
            <v>V_KEYWORD_EQTY_200018673_MARGIN_TAX_RATE</v>
          </cell>
        </row>
        <row r="278">
          <cell r="A278" t="str">
            <v>Vector|||200018673|||EQTY|||NI_CONS|||False|||</v>
          </cell>
          <cell r="C278" t="str">
            <v>V_KEYWORD_EQTY_200018673_NI_CONS</v>
          </cell>
        </row>
        <row r="280">
          <cell r="A280" t="str">
            <v>Vector|||200018673|||EQTY|||BVPS|||False|||</v>
          </cell>
          <cell r="C280" t="str">
            <v>V_KEYWORD_EQTY_200018673_BVPS</v>
          </cell>
        </row>
        <row r="282">
          <cell r="A282" t="str">
            <v>Vector|||200018673|||EQTY|||CF_NI_PRE_PREF|||False|||</v>
          </cell>
          <cell r="C282" t="str">
            <v>V_KEYWORD_EQTY_200018673_CF_NI_PRE_PREF</v>
          </cell>
        </row>
        <row r="284">
          <cell r="A284" t="str">
            <v>Scalar|||200018673|||EQTY|||BETA_ANALYST|||False|||</v>
          </cell>
          <cell r="C284" t="str">
            <v>V_KEYWORD_EQTY_200018673_BETA_ANALYST</v>
          </cell>
        </row>
        <row r="285">
          <cell r="A285" t="str">
            <v>Scalar|||200018673|||EQTY|||MKT_EQ_RISK_PREM|||False|||</v>
          </cell>
          <cell r="C285" t="str">
            <v>V_KEYWORD_EQTY_200018673_MKT_EQ_RISK_PREM</v>
          </cell>
        </row>
        <row r="286">
          <cell r="A286" t="str">
            <v>Scalar|||200018673|||EQTY|||RISK_FR_RATE|||False|||</v>
          </cell>
          <cell r="C286" t="str">
            <v>V_KEYWORD_EQTY_200018673_RISK_FR_RATE</v>
          </cell>
        </row>
      </sheetData>
      <sheetData sheetId="9">
        <row r="1">
          <cell r="A1" t="str">
            <v>Issuer: Silergy Corp.</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row>
        <row r="4">
          <cell r="A4" t="str">
            <v>Issuer: Silergy Corp.</v>
          </cell>
        </row>
        <row r="5">
          <cell r="A5" t="str">
            <v>Reference Data</v>
          </cell>
        </row>
        <row r="6">
          <cell r="B6" t="str">
            <v>Issuer Name</v>
          </cell>
          <cell r="C6" t="str">
            <v>Issuer Name</v>
          </cell>
          <cell r="E6" t="str">
            <v>Silergy Corp.</v>
          </cell>
        </row>
        <row r="7">
          <cell r="B7" t="str">
            <v>Reporting Currency</v>
          </cell>
          <cell r="C7" t="str">
            <v>CURRENCY_ISO</v>
          </cell>
          <cell r="E7" t="str">
            <v>TWD</v>
          </cell>
        </row>
        <row r="8">
          <cell r="A8" t="str">
            <v>General Information</v>
          </cell>
        </row>
        <row r="9">
          <cell r="B9" t="str">
            <v>M&amp;A probability (1 = high, 3 = low)</v>
          </cell>
          <cell r="C9" t="str">
            <v>MA_PROB</v>
          </cell>
        </row>
        <row r="10">
          <cell r="A10" t="str">
            <v>Income Statement</v>
          </cell>
        </row>
        <row r="11">
          <cell r="B11" t="str">
            <v>Sales, net revenue</v>
          </cell>
          <cell r="C11" t="str">
            <v>SALES</v>
          </cell>
          <cell r="D11" t="e">
            <v>#NAME?</v>
          </cell>
        </row>
        <row r="12">
          <cell r="B12" t="str">
            <v>Compensation &amp; benfits expense</v>
          </cell>
          <cell r="C12" t="str">
            <v>PERSONNEL</v>
          </cell>
          <cell r="D12" t="e">
            <v>#NAME?</v>
          </cell>
        </row>
        <row r="13">
          <cell r="B13" t="str">
            <v>Cost of goods sold, COGS</v>
          </cell>
          <cell r="C13" t="str">
            <v>COST_GD_SD</v>
          </cell>
          <cell r="D13" t="e">
            <v>#NAME?</v>
          </cell>
        </row>
        <row r="14">
          <cell r="B14" t="str">
            <v>SG&amp;A, selling, general and admin. expense</v>
          </cell>
          <cell r="C14" t="str">
            <v>SEL_GL_AD</v>
          </cell>
          <cell r="D14" t="e">
            <v>#NAME?</v>
          </cell>
        </row>
        <row r="15">
          <cell r="B15" t="str">
            <v>Total operating expense</v>
          </cell>
          <cell r="C15" t="str">
            <v>OP_COST</v>
          </cell>
          <cell r="D15" t="e">
            <v>#NAME?</v>
          </cell>
        </row>
        <row r="16">
          <cell r="B16" t="str">
            <v>R&amp;D expense</v>
          </cell>
          <cell r="C16" t="str">
            <v>RD_EXP</v>
          </cell>
          <cell r="D16" t="e">
            <v>#NAME?</v>
          </cell>
        </row>
        <row r="17">
          <cell r="B17" t="str">
            <v>Other operating income/(expense) (incl. leases)</v>
          </cell>
          <cell r="C17" t="str">
            <v>OTH_OP_INC_EXP</v>
          </cell>
          <cell r="D17" t="e">
            <v>#NAME?</v>
          </cell>
        </row>
        <row r="18">
          <cell r="B18" t="str">
            <v>Total operating expense (incl. D&amp;A)</v>
          </cell>
          <cell r="C18" t="str">
            <v>TOT_OPS_EXP_DDA</v>
          </cell>
          <cell r="D18" t="e">
            <v>#NAME?</v>
          </cell>
        </row>
        <row r="19">
          <cell r="B19" t="str">
            <v>Total operating expense (excl. D&amp;A)</v>
          </cell>
          <cell r="C19" t="str">
            <v>TOT_OPS_EXP</v>
          </cell>
          <cell r="D19" t="e">
            <v>#NAME?</v>
          </cell>
        </row>
        <row r="20">
          <cell r="B20" t="str">
            <v>EBITDA</v>
          </cell>
          <cell r="C20" t="str">
            <v>EBITDA_CALC</v>
          </cell>
          <cell r="D20" t="e">
            <v>#NAME?</v>
          </cell>
        </row>
        <row r="21">
          <cell r="B21" t="str">
            <v>Depreciation</v>
          </cell>
          <cell r="C21" t="str">
            <v>DEPREC</v>
          </cell>
          <cell r="D21" t="e">
            <v>#NAME?</v>
          </cell>
        </row>
        <row r="22">
          <cell r="B22" t="str">
            <v>Amortization</v>
          </cell>
          <cell r="C22" t="str">
            <v>GOODWILL_AMORT</v>
          </cell>
          <cell r="D22" t="e">
            <v>#NAME?</v>
          </cell>
        </row>
        <row r="23">
          <cell r="B23" t="str">
            <v>EBIT, operating profit</v>
          </cell>
          <cell r="C23" t="str">
            <v>EBIT</v>
          </cell>
          <cell r="D23" t="e">
            <v>#NAME?</v>
          </cell>
        </row>
        <row r="24">
          <cell r="B24" t="str">
            <v>Interest income</v>
          </cell>
          <cell r="C24" t="str">
            <v>INT_INC_IND</v>
          </cell>
          <cell r="D24" t="e">
            <v>#NAME?</v>
          </cell>
        </row>
        <row r="25">
          <cell r="B25" t="str">
            <v>Interest expense</v>
          </cell>
          <cell r="C25" t="str">
            <v>INT_EXP_IND</v>
          </cell>
          <cell r="D25" t="e">
            <v>#NAME?</v>
          </cell>
        </row>
        <row r="26">
          <cell r="B26" t="str">
            <v>Net interest income/(expense)</v>
          </cell>
          <cell r="C26" t="str">
            <v>NET_INT_EXP</v>
          </cell>
          <cell r="D26" t="e">
            <v>#NAME?</v>
          </cell>
        </row>
        <row r="27">
          <cell r="B27" t="str">
            <v>Income/(loss) from unconsolidated subs &amp; associates</v>
          </cell>
          <cell r="C27" t="str">
            <v>ASSOCIATE</v>
          </cell>
          <cell r="D27" t="e">
            <v>#NAME?</v>
          </cell>
        </row>
        <row r="28">
          <cell r="B28" t="str">
            <v>Profit/(loss) on disposals of assets, pre-tax</v>
          </cell>
          <cell r="C28" t="str">
            <v>PROFIT_ON_DISP</v>
          </cell>
          <cell r="D28" t="e">
            <v>#NAME?</v>
          </cell>
        </row>
        <row r="29">
          <cell r="B29" t="str">
            <v>Other non-ops income/(expense)</v>
          </cell>
          <cell r="C29" t="str">
            <v>OTH_COST_INC</v>
          </cell>
          <cell r="D29" t="e">
            <v>#NAME?</v>
          </cell>
        </row>
        <row r="30">
          <cell r="B30" t="str">
            <v>Pre-tax profit</v>
          </cell>
          <cell r="C30" t="str">
            <v>PT_PROF</v>
          </cell>
          <cell r="D30" t="e">
            <v>#NAME?</v>
          </cell>
        </row>
        <row r="31">
          <cell r="A31" t="str">
            <v>Additional Income Statement Items</v>
          </cell>
        </row>
        <row r="32">
          <cell r="B32" t="str">
            <v>Contribution margin ratio</v>
          </cell>
          <cell r="C32" t="str">
            <v>CONTRIB_MARGIN_RATIO</v>
          </cell>
          <cell r="D32" t="e">
            <v>#NAME?</v>
          </cell>
        </row>
        <row r="33">
          <cell r="B33" t="str">
            <v>Lease payments</v>
          </cell>
          <cell r="C33" t="str">
            <v>LEASE_PAY</v>
          </cell>
          <cell r="D33" t="e">
            <v>#NAME?</v>
          </cell>
        </row>
        <row r="34">
          <cell r="B34" t="str">
            <v>Lease payments (deemed interest portion)</v>
          </cell>
          <cell r="C34" t="str">
            <v>LEASE_DEEM_INT</v>
          </cell>
          <cell r="D34" t="e">
            <v>#NAME?</v>
          </cell>
        </row>
        <row r="35">
          <cell r="B35" t="str">
            <v>Lease payments (deemed depreciation portion)</v>
          </cell>
          <cell r="C35" t="str">
            <v>LEASE_DEEM_DEPR</v>
          </cell>
          <cell r="D35" t="e">
            <v>#NAME?</v>
          </cell>
        </row>
        <row r="36">
          <cell r="B36" t="str">
            <v>Gross interest charge</v>
          </cell>
          <cell r="C36" t="str">
            <v>NET_INT_CH</v>
          </cell>
          <cell r="D36" t="e">
            <v>#NAME?</v>
          </cell>
        </row>
        <row r="37">
          <cell r="B37" t="str">
            <v>Income from associates (operating)</v>
          </cell>
          <cell r="C37" t="str">
            <v>ASSOCIATE_OP</v>
          </cell>
          <cell r="D37" t="e">
            <v>#NAME?</v>
          </cell>
        </row>
        <row r="38">
          <cell r="A38" t="str">
            <v>Balance Sheet</v>
          </cell>
        </row>
        <row r="39">
          <cell r="B39" t="str">
            <v>Cash &amp; cash equivalents</v>
          </cell>
          <cell r="C39" t="str">
            <v>CASH_EQ</v>
          </cell>
          <cell r="D39" t="e">
            <v>#NAME?</v>
          </cell>
        </row>
        <row r="40">
          <cell r="B40" t="str">
            <v>Accounts receivable</v>
          </cell>
          <cell r="C40" t="str">
            <v>DEBTORS</v>
          </cell>
          <cell r="D40" t="e">
            <v>#NAME?</v>
          </cell>
        </row>
        <row r="41">
          <cell r="B41" t="str">
            <v>Inventory</v>
          </cell>
          <cell r="C41" t="str">
            <v>STOCKS</v>
          </cell>
          <cell r="D41" t="e">
            <v>#NAME?</v>
          </cell>
        </row>
        <row r="42">
          <cell r="B42" t="str">
            <v>Other current assets</v>
          </cell>
          <cell r="C42" t="str">
            <v>OTH_CUR_ASS</v>
          </cell>
          <cell r="D42" t="e">
            <v>#NAME?</v>
          </cell>
        </row>
        <row r="43">
          <cell r="B43" t="str">
            <v>Total current assets</v>
          </cell>
          <cell r="C43" t="str">
            <v>CUR_ASS</v>
          </cell>
          <cell r="D43" t="e">
            <v>#NAME?</v>
          </cell>
        </row>
        <row r="44">
          <cell r="B44" t="str">
            <v>Gross fixed assets, PP&amp;E</v>
          </cell>
          <cell r="C44" t="str">
            <v>GR_FIX_ASS</v>
          </cell>
          <cell r="D44" t="e">
            <v>#NAME?</v>
          </cell>
        </row>
        <row r="45">
          <cell r="B45" t="str">
            <v>Accumulated depreciation</v>
          </cell>
          <cell r="C45" t="str">
            <v>ACC_DDA</v>
          </cell>
          <cell r="D45" t="e">
            <v>#NAME?</v>
          </cell>
        </row>
        <row r="46">
          <cell r="B46" t="str">
            <v>Net PP&amp;E</v>
          </cell>
          <cell r="C46" t="str">
            <v>NET_FIX_ASS</v>
          </cell>
          <cell r="D46" t="e">
            <v>#NAME?</v>
          </cell>
        </row>
        <row r="47">
          <cell r="B47" t="str">
            <v>Gross intangibles</v>
          </cell>
          <cell r="C47" t="str">
            <v>GR_INTANG</v>
          </cell>
          <cell r="D47" t="e">
            <v>#NAME?</v>
          </cell>
        </row>
        <row r="48">
          <cell r="B48" t="str">
            <v>Accumulated amortization</v>
          </cell>
          <cell r="C48" t="str">
            <v>ACC_AMORT</v>
          </cell>
          <cell r="D48" t="e">
            <v>#NAME?</v>
          </cell>
        </row>
        <row r="49">
          <cell r="B49" t="str">
            <v>Net intangible assets</v>
          </cell>
          <cell r="C49" t="str">
            <v>NET_INTANG</v>
          </cell>
          <cell r="D49" t="e">
            <v>#NAME?</v>
          </cell>
        </row>
        <row r="50">
          <cell r="B50" t="str">
            <v>Equity method investments</v>
          </cell>
          <cell r="C50" t="str">
            <v>FIX_ASS_INV</v>
          </cell>
          <cell r="D50" t="e">
            <v>#NAME?</v>
          </cell>
        </row>
        <row r="51">
          <cell r="B51" t="str">
            <v>Investments in securities</v>
          </cell>
          <cell r="C51" t="str">
            <v>INV_SECUR</v>
          </cell>
          <cell r="D51" t="e">
            <v>#NAME?</v>
          </cell>
        </row>
        <row r="52">
          <cell r="B52" t="str">
            <v>Other long-term assets</v>
          </cell>
          <cell r="C52" t="str">
            <v>OTH_LT_ASS</v>
          </cell>
          <cell r="D52" t="e">
            <v>#NAME?</v>
          </cell>
        </row>
        <row r="53">
          <cell r="B53" t="str">
            <v>Total assets</v>
          </cell>
          <cell r="C53" t="str">
            <v>TOT_ASSET</v>
          </cell>
          <cell r="D53" t="e">
            <v>#NAME?</v>
          </cell>
        </row>
        <row r="54">
          <cell r="B54" t="str">
            <v>Accounts payable</v>
          </cell>
          <cell r="C54" t="str">
            <v>ACC_PAY_GQ</v>
          </cell>
          <cell r="D54" t="e">
            <v>#NAME?</v>
          </cell>
        </row>
        <row r="55">
          <cell r="B55" t="str">
            <v>Short-term debt</v>
          </cell>
          <cell r="C55" t="str">
            <v>SHORT_T_DEBT</v>
          </cell>
          <cell r="D55" t="e">
            <v>#NAME?</v>
          </cell>
        </row>
        <row r="56">
          <cell r="B56" t="str">
            <v>Other current liabilities</v>
          </cell>
          <cell r="C56" t="str">
            <v>OTH_CUR_LIABS</v>
          </cell>
          <cell r="D56" t="e">
            <v>#NAME?</v>
          </cell>
        </row>
        <row r="57">
          <cell r="B57" t="str">
            <v>Total current liabilities</v>
          </cell>
          <cell r="C57" t="str">
            <v>SHORT_TERM_LIABS</v>
          </cell>
          <cell r="D57" t="e">
            <v>#NAME?</v>
          </cell>
        </row>
        <row r="58">
          <cell r="B58" t="str">
            <v>Long-term  debt</v>
          </cell>
          <cell r="C58" t="str">
            <v>LT_DEBT</v>
          </cell>
          <cell r="D58" t="e">
            <v>#NAME?</v>
          </cell>
        </row>
        <row r="59">
          <cell r="B59" t="str">
            <v>Other long-term liabilities</v>
          </cell>
          <cell r="C59" t="str">
            <v>OTH_LT_CRED_GQ</v>
          </cell>
          <cell r="D59" t="e">
            <v>#NAME?</v>
          </cell>
        </row>
        <row r="60">
          <cell r="B60" t="str">
            <v>Total long-term liabilities</v>
          </cell>
          <cell r="C60" t="str">
            <v>TOT_LT_LIAB</v>
          </cell>
          <cell r="D60" t="e">
            <v>#NAME?</v>
          </cell>
        </row>
        <row r="61">
          <cell r="B61" t="str">
            <v>Total liabilities</v>
          </cell>
          <cell r="C61" t="str">
            <v>TOT_LIAB</v>
          </cell>
          <cell r="D61" t="e">
            <v>#NAME?</v>
          </cell>
        </row>
        <row r="62">
          <cell r="B62" t="str">
            <v>Preferred shares</v>
          </cell>
          <cell r="C62" t="str">
            <v>PREF_SH</v>
          </cell>
          <cell r="D62" t="e">
            <v>#NAME?</v>
          </cell>
        </row>
        <row r="63">
          <cell r="B63" t="str">
            <v>Total common equity</v>
          </cell>
          <cell r="C63" t="str">
            <v>ORD_SH_FUND</v>
          </cell>
          <cell r="D63" t="e">
            <v>#NAME?</v>
          </cell>
        </row>
        <row r="64">
          <cell r="B64" t="str">
            <v>Minority interest</v>
          </cell>
          <cell r="C64" t="str">
            <v>MINORITIES</v>
          </cell>
          <cell r="D64" t="e">
            <v>#NAME?</v>
          </cell>
        </row>
        <row r="65">
          <cell r="B65" t="str">
            <v>Total shareholders' equity</v>
          </cell>
          <cell r="C65" t="str">
            <v>EQ</v>
          </cell>
          <cell r="D65" t="e">
            <v>#NAME?</v>
          </cell>
        </row>
        <row r="66">
          <cell r="B66" t="str">
            <v>Total liabilities and equity</v>
          </cell>
          <cell r="C66" t="str">
            <v>TOT_LIAB_EQ</v>
          </cell>
          <cell r="D66" t="e">
            <v>#NAME?</v>
          </cell>
        </row>
        <row r="67">
          <cell r="A67" t="str">
            <v>Additional Balance Sheet Items</v>
          </cell>
        </row>
        <row r="68">
          <cell r="B68" t="str">
            <v>Total US$ debt (in US$)</v>
          </cell>
          <cell r="C68" t="str">
            <v>TOT_USD_DEBT</v>
          </cell>
        </row>
        <row r="69">
          <cell r="B69" t="str">
            <v>% US$ debt hedged (principal)</v>
          </cell>
          <cell r="C69" t="str">
            <v>TOT_PCT_USD_DEBT_HEDGED</v>
          </cell>
        </row>
        <row r="70">
          <cell r="B70" t="str">
            <v>% Floating debt (local currency debt)</v>
          </cell>
          <cell r="C70" t="str">
            <v>FLOATING_PCT_LOCAL_DEBT</v>
          </cell>
        </row>
        <row r="71">
          <cell r="B71" t="str">
            <v>% floating debt hedged (rates)</v>
          </cell>
          <cell r="C71" t="str">
            <v>FLOATING_PCT_LOCAL_DEBT_HEDGED</v>
          </cell>
        </row>
        <row r="72">
          <cell r="B72" t="str">
            <v>Net debt</v>
          </cell>
          <cell r="C72" t="str">
            <v>NET_DEBT</v>
          </cell>
          <cell r="D72" t="e">
            <v>#NAME?</v>
          </cell>
        </row>
        <row r="73">
          <cell r="B73" t="str">
            <v>Capitalized leases</v>
          </cell>
          <cell r="C73" t="str">
            <v>CAP_LEASES</v>
          </cell>
          <cell r="D73" t="e">
            <v>#NAME?</v>
          </cell>
        </row>
        <row r="74">
          <cell r="B74" t="str">
            <v>Deferred income taxes</v>
          </cell>
          <cell r="C74" t="str">
            <v>DEF_INC_TAX</v>
          </cell>
          <cell r="D74" t="e">
            <v>#NAME?</v>
          </cell>
        </row>
        <row r="75">
          <cell r="B75" t="str">
            <v>Associates (mkt value) used in EV calculation</v>
          </cell>
          <cell r="C75" t="str">
            <v>MV_ASSOCIATES</v>
          </cell>
          <cell r="D75" t="e">
            <v>#NAME?</v>
          </cell>
        </row>
        <row r="76">
          <cell r="B76" t="str">
            <v>Net debt adjustment</v>
          </cell>
          <cell r="C76" t="str">
            <v>NET_DEBT_ADJ</v>
          </cell>
          <cell r="D76" t="e">
            <v>#NAME?</v>
          </cell>
        </row>
        <row r="77">
          <cell r="B77" t="str">
            <v>Company borrowing margin</v>
          </cell>
          <cell r="C77" t="str">
            <v>CO_BOR_MARGIN</v>
          </cell>
        </row>
        <row r="78">
          <cell r="B78" t="str">
            <v>Unfunded pensions &amp; other provisions</v>
          </cell>
          <cell r="C78" t="str">
            <v>UNF_PENS</v>
          </cell>
          <cell r="D78" t="e">
            <v>#NAME?</v>
          </cell>
        </row>
        <row r="79">
          <cell r="B79" t="str">
            <v>Unfunded pension liabilities (off balance sheet)</v>
          </cell>
          <cell r="C79" t="str">
            <v>UNF_PENS_OFF</v>
          </cell>
          <cell r="D79" t="e">
            <v>#NAME?</v>
          </cell>
        </row>
        <row r="80">
          <cell r="B80" t="str">
            <v>Unfunded pension liabilities &amp; other, used in EV</v>
          </cell>
          <cell r="C80" t="str">
            <v>UNF_PENS_LIAB_OTH</v>
          </cell>
          <cell r="D80" t="e">
            <v>#NAME?</v>
          </cell>
        </row>
        <row r="81">
          <cell r="B81" t="str">
            <v>Adjustment for unfunded pensions &amp; goodwill</v>
          </cell>
          <cell r="C81" t="str">
            <v>ADJ_UNF_PENS_GOOD</v>
          </cell>
          <cell r="D81" t="e">
            <v>#NAME?</v>
          </cell>
        </row>
        <row r="82">
          <cell r="B82" t="str">
            <v>Other GCI adjustments</v>
          </cell>
          <cell r="C82" t="str">
            <v>OTH_GCI_ADJ</v>
          </cell>
          <cell r="D82" t="e">
            <v>#NAME?</v>
          </cell>
        </row>
        <row r="83">
          <cell r="B83" t="str">
            <v>GCI inflator</v>
          </cell>
          <cell r="C83" t="str">
            <v>GCI_INFL</v>
          </cell>
        </row>
        <row r="84">
          <cell r="B84" t="str">
            <v>Minority interest</v>
          </cell>
          <cell r="C84" t="str">
            <v>BAL_MINO_INT</v>
          </cell>
          <cell r="D84" t="e">
            <v>#NAME?</v>
          </cell>
        </row>
        <row r="85">
          <cell r="A85" t="str">
            <v>Cash Flow Statement</v>
          </cell>
        </row>
        <row r="86">
          <cell r="B86" t="str">
            <v>Minority interest add-back</v>
          </cell>
          <cell r="C86" t="str">
            <v>CF_INC_MINORITY</v>
          </cell>
          <cell r="D86" t="e">
            <v>#NAME?</v>
          </cell>
        </row>
        <row r="87">
          <cell r="B87" t="str">
            <v>Depreciation &amp; amortization add-back</v>
          </cell>
          <cell r="C87" t="str">
            <v>DEPR_AMORT</v>
          </cell>
          <cell r="D87" t="e">
            <v>#NAME?</v>
          </cell>
        </row>
        <row r="88">
          <cell r="B88" t="str">
            <v>(Increase)/decrease in working capital</v>
          </cell>
          <cell r="C88" t="str">
            <v>WORK_CAP</v>
          </cell>
          <cell r="D88" t="e">
            <v>#NAME?</v>
          </cell>
        </row>
        <row r="89">
          <cell r="B89" t="str">
            <v>Other operating cash flow items</v>
          </cell>
          <cell r="C89" t="str">
            <v>OTH_OP_CF</v>
          </cell>
          <cell r="D89" t="e">
            <v>#NAME?</v>
          </cell>
        </row>
        <row r="90">
          <cell r="B90" t="str">
            <v>Cash flow from operating activities</v>
          </cell>
          <cell r="C90" t="str">
            <v>CF_OPS</v>
          </cell>
          <cell r="D90" t="e">
            <v>#NAME?</v>
          </cell>
        </row>
        <row r="91">
          <cell r="B91" t="str">
            <v>Capital expenditures, Capex</v>
          </cell>
          <cell r="C91" t="str">
            <v>CAPEX</v>
          </cell>
          <cell r="D91" t="e">
            <v>#NAME?</v>
          </cell>
        </row>
        <row r="92">
          <cell r="B92" t="str">
            <v>Acquisitions</v>
          </cell>
          <cell r="C92" t="str">
            <v>ACQ</v>
          </cell>
          <cell r="D92" t="e">
            <v>#NAME?</v>
          </cell>
        </row>
        <row r="93">
          <cell r="B93" t="str">
            <v>Divestitures</v>
          </cell>
          <cell r="C93" t="str">
            <v>DIVEST</v>
          </cell>
          <cell r="D93" t="e">
            <v>#NAME?</v>
          </cell>
        </row>
        <row r="94">
          <cell r="B94" t="str">
            <v>Other investing cash flow items</v>
          </cell>
          <cell r="C94" t="str">
            <v>OTH_INV_CF</v>
          </cell>
          <cell r="D94" t="e">
            <v>#NAME?</v>
          </cell>
        </row>
        <row r="95">
          <cell r="B95" t="str">
            <v>Cash flow from investing</v>
          </cell>
          <cell r="C95" t="str">
            <v>CF_INV</v>
          </cell>
          <cell r="D95" t="e">
            <v>#NAME?</v>
          </cell>
        </row>
        <row r="96">
          <cell r="B96" t="str">
            <v>Dividends paid</v>
          </cell>
          <cell r="C96" t="str">
            <v>DIV_PAID</v>
          </cell>
          <cell r="D96" t="e">
            <v>#NAME?</v>
          </cell>
        </row>
        <row r="97">
          <cell r="B97" t="str">
            <v>Common stock issuance/(repurchase)</v>
          </cell>
          <cell r="C97" t="str">
            <v>SH_REPUR</v>
          </cell>
          <cell r="D97" t="e">
            <v>#NAME?</v>
          </cell>
        </row>
        <row r="98">
          <cell r="B98" t="str">
            <v>Increase/(decrease) in total debt</v>
          </cell>
          <cell r="C98" t="str">
            <v>CHG_LT_DEBT</v>
          </cell>
          <cell r="D98" t="e">
            <v>#NAME?</v>
          </cell>
        </row>
        <row r="99">
          <cell r="B99" t="str">
            <v>Other financing cash flow items</v>
          </cell>
          <cell r="C99" t="str">
            <v>OTH_FIN_CF</v>
          </cell>
          <cell r="D99" t="e">
            <v>#NAME?</v>
          </cell>
        </row>
        <row r="100">
          <cell r="B100" t="str">
            <v>Cash flow from financing</v>
          </cell>
          <cell r="C100" t="str">
            <v>CF_FIN</v>
          </cell>
          <cell r="D100" t="e">
            <v>#NAME?</v>
          </cell>
        </row>
        <row r="101">
          <cell r="B101" t="str">
            <v>Total cash flow</v>
          </cell>
          <cell r="C101" t="str">
            <v>TOT_CF</v>
          </cell>
          <cell r="D101" t="e">
            <v>#NAME?</v>
          </cell>
        </row>
        <row r="102">
          <cell r="A102" t="str">
            <v>Additional Cash Flow Items</v>
          </cell>
        </row>
        <row r="103">
          <cell r="B103" t="str">
            <v>Associate and JV add-back</v>
          </cell>
          <cell r="C103" t="str">
            <v>ASSOC_JV_ADDBK</v>
          </cell>
          <cell r="D103" t="e">
            <v>#NAME?</v>
          </cell>
        </row>
        <row r="104">
          <cell r="B104" t="str">
            <v>Profit/(loss) on sale of assets</v>
          </cell>
          <cell r="C104" t="str">
            <v>PL_SALE_ASSETS</v>
          </cell>
          <cell r="D104" t="e">
            <v>#NAME?</v>
          </cell>
        </row>
        <row r="105">
          <cell r="B105" t="str">
            <v>Other non-cash adjustments</v>
          </cell>
          <cell r="C105" t="str">
            <v>OTH_NONCASH_ADJ</v>
          </cell>
          <cell r="D105" t="e">
            <v>#NAME?</v>
          </cell>
        </row>
        <row r="106">
          <cell r="B106" t="str">
            <v>Other DACF adjustments</v>
          </cell>
          <cell r="C106" t="str">
            <v>OTH_DACF_ADJ</v>
          </cell>
          <cell r="D106" t="e">
            <v>#NAME?</v>
          </cell>
        </row>
        <row r="107">
          <cell r="B107" t="str">
            <v>Cash interest expense</v>
          </cell>
          <cell r="C107" t="str">
            <v>CASH_INT_EXP</v>
          </cell>
          <cell r="D107" t="e">
            <v>#NAME?</v>
          </cell>
        </row>
        <row r="108">
          <cell r="B108" t="str">
            <v>Cash tax expense</v>
          </cell>
          <cell r="C108" t="str">
            <v>CASH_TAX_EXP</v>
          </cell>
          <cell r="D108" t="e">
            <v>#NAME?</v>
          </cell>
        </row>
        <row r="109">
          <cell r="B109" t="str">
            <v>Dividends received from associates/JVs</v>
          </cell>
          <cell r="C109" t="str">
            <v>DIVDS_ASSOC_JV</v>
          </cell>
          <cell r="D109" t="e">
            <v>#NAME?</v>
          </cell>
        </row>
        <row r="110">
          <cell r="B110" t="str">
            <v>Capex maintenance</v>
          </cell>
          <cell r="C110" t="str">
            <v>CAPEX_MAINTENANCE</v>
          </cell>
          <cell r="D110" t="e">
            <v>#NAME?</v>
          </cell>
        </row>
        <row r="111">
          <cell r="B111" t="str">
            <v>Capex expansion</v>
          </cell>
          <cell r="C111" t="str">
            <v>CAPEX_EXPANSION</v>
          </cell>
          <cell r="D111" t="e">
            <v>#NAME?</v>
          </cell>
        </row>
        <row r="112">
          <cell r="B112" t="str">
            <v>Non-PP&amp;E capex</v>
          </cell>
          <cell r="C112" t="str">
            <v>NONPPE_CAPEX</v>
          </cell>
          <cell r="D112" t="e">
            <v>#NAME?</v>
          </cell>
        </row>
        <row r="113">
          <cell r="B113" t="str">
            <v>Dividends paid to minorities</v>
          </cell>
          <cell r="C113" t="str">
            <v>DIVDS_PD_MINORITIES</v>
          </cell>
          <cell r="D113" t="e">
            <v>#NAME?</v>
          </cell>
        </row>
        <row r="114">
          <cell r="A114" t="str">
            <v>Other Items</v>
          </cell>
        </row>
        <row r="115">
          <cell r="B115" t="str">
            <v>Number of employees</v>
          </cell>
          <cell r="C115" t="str">
            <v>EMPLOYEES</v>
          </cell>
        </row>
        <row r="116">
          <cell r="A116" t="str">
            <v>Geographical Breakdown</v>
          </cell>
        </row>
        <row r="117">
          <cell r="B117" t="str">
            <v>Sales - % Canada</v>
          </cell>
          <cell r="C117" t="str">
            <v>SALES_CANADA</v>
          </cell>
        </row>
        <row r="118">
          <cell r="B118" t="str">
            <v>Sales - % United States</v>
          </cell>
          <cell r="C118" t="str">
            <v>SALES_US</v>
          </cell>
        </row>
        <row r="119">
          <cell r="B119" t="str">
            <v>Sales - % Other North Americas</v>
          </cell>
          <cell r="C119" t="str">
            <v>SALES_OTH_NO_AMER</v>
          </cell>
        </row>
        <row r="120">
          <cell r="B120" t="str">
            <v>Sales - % Argentina</v>
          </cell>
          <cell r="C120" t="str">
            <v>SALES_ARGENTINA</v>
          </cell>
        </row>
        <row r="121">
          <cell r="B121" t="str">
            <v>Sales - % Brazil</v>
          </cell>
          <cell r="C121" t="str">
            <v>SALES_BRAZIL</v>
          </cell>
        </row>
        <row r="122">
          <cell r="B122" t="str">
            <v>Sales - % Chile</v>
          </cell>
          <cell r="C122" t="str">
            <v>SALES_CHILE</v>
          </cell>
        </row>
        <row r="123">
          <cell r="B123" t="str">
            <v>Sales - % Colombia</v>
          </cell>
          <cell r="C123" t="str">
            <v>SALES_COLOMBIA</v>
          </cell>
        </row>
        <row r="124">
          <cell r="B124" t="str">
            <v>Sales - % Mexico</v>
          </cell>
          <cell r="C124" t="str">
            <v>SALES_MEXICO</v>
          </cell>
        </row>
        <row r="125">
          <cell r="B125" t="str">
            <v>Sales - % Venezuela</v>
          </cell>
          <cell r="C125" t="str">
            <v>SALES_VENEZUELA</v>
          </cell>
        </row>
        <row r="126">
          <cell r="B126" t="str">
            <v>Sales - % Other Latin Americas</v>
          </cell>
          <cell r="C126" t="str">
            <v>SALES_OTH_LATAM</v>
          </cell>
        </row>
        <row r="127">
          <cell r="B127" t="str">
            <v>Sales - % Austria</v>
          </cell>
          <cell r="C127" t="str">
            <v>SALES_AUSTRIA</v>
          </cell>
        </row>
        <row r="128">
          <cell r="B128" t="str">
            <v>Sales - % Belgium</v>
          </cell>
          <cell r="C128" t="str">
            <v>SALES_BEL</v>
          </cell>
        </row>
        <row r="129">
          <cell r="B129" t="str">
            <v>Sales - % France</v>
          </cell>
          <cell r="C129" t="str">
            <v>SALES_FRA</v>
          </cell>
        </row>
        <row r="130">
          <cell r="B130" t="str">
            <v>Sales - % Germany</v>
          </cell>
          <cell r="C130" t="str">
            <v>SALES_GER</v>
          </cell>
        </row>
        <row r="131">
          <cell r="B131" t="str">
            <v>Sales - % Greece</v>
          </cell>
          <cell r="C131" t="str">
            <v>SALES_GRE</v>
          </cell>
        </row>
        <row r="132">
          <cell r="B132" t="str">
            <v>Sales - % Ireland</v>
          </cell>
          <cell r="C132" t="str">
            <v>SALES_IRE</v>
          </cell>
        </row>
        <row r="133">
          <cell r="B133" t="str">
            <v>Sales - % Italy</v>
          </cell>
          <cell r="C133" t="str">
            <v>SALES_ITA</v>
          </cell>
        </row>
        <row r="134">
          <cell r="B134" t="str">
            <v>Sales - % Netherlands</v>
          </cell>
          <cell r="C134" t="str">
            <v>SALES_NETH</v>
          </cell>
        </row>
        <row r="135">
          <cell r="B135" t="str">
            <v>Sales - % Norway</v>
          </cell>
          <cell r="C135" t="str">
            <v>SALES_NOR</v>
          </cell>
        </row>
        <row r="136">
          <cell r="B136" t="str">
            <v>Sales - % Portugal</v>
          </cell>
          <cell r="C136" t="str">
            <v>SALES_POR</v>
          </cell>
        </row>
        <row r="137">
          <cell r="B137" t="str">
            <v>Sales - % Spain</v>
          </cell>
          <cell r="C137" t="str">
            <v>SALES_SPA</v>
          </cell>
        </row>
        <row r="138">
          <cell r="B138" t="str">
            <v>Sales - % Sweden</v>
          </cell>
          <cell r="C138" t="str">
            <v>SALES_SWE</v>
          </cell>
        </row>
        <row r="139">
          <cell r="B139" t="str">
            <v>Sales - % Switzerland</v>
          </cell>
          <cell r="C139" t="str">
            <v>SALES_SWIT</v>
          </cell>
        </row>
        <row r="140">
          <cell r="B140" t="str">
            <v>Sales - % UK</v>
          </cell>
          <cell r="C140" t="str">
            <v>SALES_UK</v>
          </cell>
        </row>
        <row r="141">
          <cell r="B141" t="str">
            <v>Sales - % Other Western Europe</v>
          </cell>
          <cell r="C141" t="str">
            <v>SALES_OTH_WEST_EURO</v>
          </cell>
        </row>
        <row r="142">
          <cell r="B142" t="str">
            <v>Sales - % Poland</v>
          </cell>
          <cell r="C142" t="str">
            <v>SALES_POLAND</v>
          </cell>
        </row>
        <row r="143">
          <cell r="B143" t="str">
            <v>Sales - % Russia</v>
          </cell>
          <cell r="C143" t="str">
            <v>SALES_RUSSIA</v>
          </cell>
        </row>
        <row r="144">
          <cell r="B144" t="str">
            <v>Sales - % Turkey</v>
          </cell>
          <cell r="C144" t="str">
            <v>SALES_TURKEY</v>
          </cell>
        </row>
        <row r="145">
          <cell r="B145" t="str">
            <v>Sales - % Other CEE</v>
          </cell>
          <cell r="C145" t="str">
            <v>SALES_OTH_CEE</v>
          </cell>
        </row>
        <row r="146">
          <cell r="B146" t="str">
            <v>Sales - % Saudi Arabia</v>
          </cell>
          <cell r="C146" t="str">
            <v>SALES_SAUDI_ARABIA</v>
          </cell>
        </row>
        <row r="147">
          <cell r="B147" t="str">
            <v>Sales - % United Arab Emirates</v>
          </cell>
          <cell r="C147" t="str">
            <v>SALES_UAE</v>
          </cell>
        </row>
        <row r="148">
          <cell r="B148" t="str">
            <v>Sales - % Other Middle East</v>
          </cell>
          <cell r="C148" t="str">
            <v>SALES_OTH_ME</v>
          </cell>
        </row>
        <row r="149">
          <cell r="B149" t="str">
            <v>Sales - % Nigeria</v>
          </cell>
          <cell r="C149" t="str">
            <v>SALES_NIGERIA</v>
          </cell>
        </row>
        <row r="150">
          <cell r="B150" t="str">
            <v>Sales - % South Africa</v>
          </cell>
          <cell r="C150" t="str">
            <v>SALES_SO_AFRICA</v>
          </cell>
        </row>
        <row r="151">
          <cell r="B151" t="str">
            <v>Sales - % Other Africa</v>
          </cell>
          <cell r="C151" t="str">
            <v>SALES_OTH_AFRICA</v>
          </cell>
        </row>
        <row r="152">
          <cell r="B152" t="str">
            <v>Sales - % Hong Kong</v>
          </cell>
          <cell r="C152" t="str">
            <v>SALES_HONG_KONG</v>
          </cell>
        </row>
        <row r="153">
          <cell r="B153" t="str">
            <v>Sales - % Japan</v>
          </cell>
          <cell r="C153" t="str">
            <v>SALES_JAPAN</v>
          </cell>
        </row>
        <row r="154">
          <cell r="B154" t="str">
            <v>Sales - % Singapore</v>
          </cell>
          <cell r="C154" t="str">
            <v>SALES_SINGAPORE</v>
          </cell>
        </row>
        <row r="155">
          <cell r="B155" t="str">
            <v>Sales - % South Korea</v>
          </cell>
          <cell r="C155" t="str">
            <v>SALES_SK</v>
          </cell>
        </row>
        <row r="156">
          <cell r="B156" t="str">
            <v>Sales - % Taiwan</v>
          </cell>
          <cell r="C156" t="str">
            <v>SALES_TAIWAN</v>
          </cell>
        </row>
        <row r="157">
          <cell r="B157" t="str">
            <v>Sales - % Other Developed Asia</v>
          </cell>
          <cell r="C157" t="str">
            <v>SALES_OTH_DEV_ASIA</v>
          </cell>
        </row>
        <row r="158">
          <cell r="B158" t="str">
            <v>Sales - % China</v>
          </cell>
          <cell r="C158" t="str">
            <v>SALES_CHINA</v>
          </cell>
        </row>
        <row r="159">
          <cell r="B159" t="str">
            <v>Sales - % India</v>
          </cell>
          <cell r="C159" t="str">
            <v>SALES_INDIA</v>
          </cell>
        </row>
        <row r="160">
          <cell r="B160" t="str">
            <v>Sales - % Indonesia</v>
          </cell>
          <cell r="C160" t="str">
            <v>SALES_INDONESIA</v>
          </cell>
        </row>
        <row r="161">
          <cell r="B161" t="str">
            <v>Sales - % Thailand</v>
          </cell>
          <cell r="C161" t="str">
            <v>SALES_THAILAND</v>
          </cell>
        </row>
        <row r="162">
          <cell r="B162" t="str">
            <v>Sales - % Other Emerging Asia</v>
          </cell>
          <cell r="C162" t="str">
            <v>SALES_OTH_EMERG_ASIA</v>
          </cell>
        </row>
        <row r="163">
          <cell r="B163" t="str">
            <v>Sales - % Australia</v>
          </cell>
          <cell r="C163" t="str">
            <v>SALES_AUSTRA</v>
          </cell>
        </row>
        <row r="164">
          <cell r="B164" t="str">
            <v>Sales - % New Zealand</v>
          </cell>
          <cell r="C164" t="str">
            <v>SALES_NZ</v>
          </cell>
        </row>
        <row r="165">
          <cell r="B165" t="str">
            <v>Sales - % Others</v>
          </cell>
          <cell r="C165" t="str">
            <v>SALES_OTHER</v>
          </cell>
        </row>
        <row r="166">
          <cell r="B166" t="str">
            <v>% of CoGS from U.S. (GS estimate)</v>
          </cell>
          <cell r="C166" t="str">
            <v>COGS_PCT_US</v>
          </cell>
        </row>
        <row r="167">
          <cell r="B167" t="str">
            <v>% of CoGS from non-U.S. (GS estimate)</v>
          </cell>
          <cell r="C167" t="str">
            <v>COGS_PCT_ROW</v>
          </cell>
        </row>
        <row r="168">
          <cell r="B168" t="str">
            <v>% of SG&amp;A from U.S. (GS estimate)</v>
          </cell>
          <cell r="C168" t="str">
            <v>SGA_PCT_US</v>
          </cell>
        </row>
        <row r="169">
          <cell r="B169" t="str">
            <v>% of SG&amp;A from non-U.S. (GS estimate)</v>
          </cell>
          <cell r="C169" t="str">
            <v>SGA_PCT_ROW</v>
          </cell>
        </row>
        <row r="170">
          <cell r="B170" t="str">
            <v>Sales -% Consumer (C)</v>
          </cell>
          <cell r="C170" t="str">
            <v>SALES_CONS</v>
          </cell>
        </row>
        <row r="171">
          <cell r="B171" t="str">
            <v>Sales -% Industry (I)</v>
          </cell>
          <cell r="C171" t="str">
            <v>SALES_IND</v>
          </cell>
        </row>
        <row r="172">
          <cell r="B172" t="str">
            <v>Sales -% Government (G)</v>
          </cell>
          <cell r="C172" t="str">
            <v>SALES_GOV</v>
          </cell>
        </row>
        <row r="173">
          <cell r="B173" t="str">
            <v>Sales - % Industry Sub-Segment: Financial Services</v>
          </cell>
          <cell r="C173" t="str">
            <v>SALES_FINAN</v>
          </cell>
        </row>
        <row r="174">
          <cell r="B174" t="str">
            <v>Sales - % Industry Sub-Segment: Oil &amp; Gas</v>
          </cell>
          <cell r="C174" t="str">
            <v>SALES_OIL_GAS</v>
          </cell>
        </row>
        <row r="175">
          <cell r="A175" t="str">
            <v>Commodities Exposure - Expense</v>
          </cell>
        </row>
        <row r="176">
          <cell r="B176" t="str">
            <v>Expense - % Oil/Petrol/Fuel</v>
          </cell>
          <cell r="C176" t="str">
            <v>EXP_OIL_PETRO_FUEL</v>
          </cell>
        </row>
        <row r="177">
          <cell r="B177" t="str">
            <v>Expense - % Oil derivatives/NGLs/plastics</v>
          </cell>
          <cell r="C177" t="str">
            <v>EXP_OIL_DERIV_NGLS_PLASTICS</v>
          </cell>
        </row>
        <row r="178">
          <cell r="B178" t="str">
            <v>Expense - % Gold</v>
          </cell>
          <cell r="C178" t="str">
            <v>EXP_GOLD</v>
          </cell>
        </row>
        <row r="179">
          <cell r="B179" t="str">
            <v>Expense - % Copper</v>
          </cell>
          <cell r="C179" t="str">
            <v>EXP_COPPER</v>
          </cell>
        </row>
        <row r="180">
          <cell r="B180" t="str">
            <v>Expense - % Silver</v>
          </cell>
          <cell r="C180" t="str">
            <v>EXP_SILVER</v>
          </cell>
        </row>
        <row r="181">
          <cell r="B181" t="str">
            <v>Expense - % Platinum</v>
          </cell>
          <cell r="C181" t="str">
            <v>EXP_PLATINUM</v>
          </cell>
        </row>
        <row r="182">
          <cell r="B182" t="str">
            <v>Expense - % Palladium</v>
          </cell>
          <cell r="C182" t="str">
            <v>EXP_PALLADIUM</v>
          </cell>
        </row>
        <row r="183">
          <cell r="B183" t="str">
            <v>Expense - % Aluminium</v>
          </cell>
          <cell r="C183" t="str">
            <v>EXP_ALUMINIUM</v>
          </cell>
        </row>
        <row r="184">
          <cell r="B184" t="str">
            <v>Expense - % Nickel</v>
          </cell>
          <cell r="C184" t="str">
            <v>EXP_NICKEL</v>
          </cell>
        </row>
        <row r="185">
          <cell r="B185" t="str">
            <v>Expense - % Zinc</v>
          </cell>
          <cell r="C185" t="str">
            <v>EXP_ZINC</v>
          </cell>
        </row>
        <row r="186">
          <cell r="B186" t="str">
            <v>Expense - % Paper/pulp</v>
          </cell>
          <cell r="C186" t="str">
            <v>EXP_PAPER_PULP</v>
          </cell>
        </row>
        <row r="187">
          <cell r="B187" t="str">
            <v>Expense - % Glass</v>
          </cell>
          <cell r="C187" t="str">
            <v>EXP_GLASS</v>
          </cell>
        </row>
        <row r="188">
          <cell r="B188" t="str">
            <v>Expense - % Water</v>
          </cell>
          <cell r="C188" t="str">
            <v>EXP_WATER</v>
          </cell>
        </row>
        <row r="189">
          <cell r="B189" t="str">
            <v>Expense - % Other commodity</v>
          </cell>
          <cell r="C189" t="str">
            <v>EXP_OTH_COMMODITY</v>
          </cell>
        </row>
        <row r="190">
          <cell r="B190" t="str">
            <v>Expense - % Other (Non-Commodity) cost</v>
          </cell>
          <cell r="C190" t="str">
            <v>EXP_OTH_COST</v>
          </cell>
        </row>
        <row r="191">
          <cell r="A191" t="str">
            <v>FX Exposure - Sales</v>
          </cell>
        </row>
        <row r="192">
          <cell r="B192" t="str">
            <v>Sales - % FX: British Pounds/Pence</v>
          </cell>
          <cell r="C192" t="str">
            <v>SALES_FX_GPB</v>
          </cell>
        </row>
        <row r="193">
          <cell r="B193" t="str">
            <v>Sales - % FX: Euro</v>
          </cell>
          <cell r="C193" t="str">
            <v>SALES_FX_EUR</v>
          </cell>
        </row>
        <row r="194">
          <cell r="B194" t="str">
            <v>Sales - % FX: New Russian Ruble</v>
          </cell>
          <cell r="C194" t="str">
            <v>SALES_FX_RUB</v>
          </cell>
        </row>
        <row r="195">
          <cell r="B195" t="str">
            <v>Sales - % FX: U.S. Dollar</v>
          </cell>
          <cell r="C195" t="str">
            <v>SALES_FX_USD</v>
          </cell>
        </row>
        <row r="196">
          <cell r="B196" t="str">
            <v>Sales - % FX: Brazilian Real</v>
          </cell>
          <cell r="C196" t="str">
            <v>SALES_FX_BRL</v>
          </cell>
        </row>
        <row r="197">
          <cell r="B197" t="str">
            <v>Sales - % FX: Japanese Yen</v>
          </cell>
          <cell r="C197" t="str">
            <v>SALES_FX_YEN</v>
          </cell>
        </row>
        <row r="198">
          <cell r="B198" t="str">
            <v>Sales - % FX: Chinese Renminbi</v>
          </cell>
          <cell r="C198" t="str">
            <v>SALES_FX_CNY</v>
          </cell>
        </row>
        <row r="199">
          <cell r="B199" t="str">
            <v>Sales - % FX: Indian Rupee</v>
          </cell>
          <cell r="C199" t="str">
            <v>SALES_FX_INR</v>
          </cell>
        </row>
        <row r="200">
          <cell r="B200" t="str">
            <v>Sales - % FX: South Korean Won</v>
          </cell>
          <cell r="C200" t="str">
            <v>SALES_FX_KRW</v>
          </cell>
        </row>
        <row r="201">
          <cell r="B201" t="str">
            <v>Sales - % FX: Taiwan Dollar</v>
          </cell>
          <cell r="C201" t="str">
            <v>SALES_FX_TWD</v>
          </cell>
        </row>
        <row r="202">
          <cell r="B202" t="str">
            <v>Sales - % FX: Other Currency</v>
          </cell>
          <cell r="C202" t="str">
            <v>SALES_FX_OTH</v>
          </cell>
        </row>
        <row r="203">
          <cell r="A203" t="str">
            <v>Items to be removed</v>
          </cell>
        </row>
        <row r="204">
          <cell r="B204" t="str">
            <v>Sales - Total % Americas</v>
          </cell>
          <cell r="C204" t="str">
            <v>SALES_TOT_AM</v>
          </cell>
        </row>
        <row r="205">
          <cell r="B205" t="str">
            <v>Sales - % Other Americas</v>
          </cell>
          <cell r="C205" t="str">
            <v>SALES_OTH_AM</v>
          </cell>
        </row>
        <row r="206">
          <cell r="B206" t="str">
            <v>Sales - Total % EMEA</v>
          </cell>
          <cell r="C206" t="str">
            <v>SALES_TOT_EMEA</v>
          </cell>
        </row>
        <row r="207">
          <cell r="B207" t="str">
            <v>Sales - % Western Europe-Ex UK</v>
          </cell>
          <cell r="C207" t="str">
            <v>SALES_EU_EX_UK</v>
          </cell>
        </row>
        <row r="208">
          <cell r="B208" t="str">
            <v>Sales - % Central &amp; Eastern Europe</v>
          </cell>
          <cell r="C208" t="str">
            <v>SALES_CEE</v>
          </cell>
        </row>
        <row r="209">
          <cell r="B209" t="str">
            <v>Sales - % Middle East</v>
          </cell>
          <cell r="C209" t="str">
            <v>SALES_ME</v>
          </cell>
        </row>
        <row r="210">
          <cell r="B210" t="str">
            <v>Sales - % Total Africa</v>
          </cell>
          <cell r="C210" t="str">
            <v>SALES_TOT_AFRICA</v>
          </cell>
        </row>
        <row r="211">
          <cell r="B211" t="str">
            <v>Sales - % Other EMEA</v>
          </cell>
          <cell r="C211" t="str">
            <v>SALES_OTH_EMEA</v>
          </cell>
        </row>
        <row r="212">
          <cell r="B212" t="str">
            <v>Sales - Total % Asia (incl Australia &amp; New Zealand)</v>
          </cell>
          <cell r="C212" t="str">
            <v>SALES_TOT_ASIA</v>
          </cell>
        </row>
        <row r="213">
          <cell r="B213" t="str">
            <v>Sales - % Other Asia</v>
          </cell>
          <cell r="C213" t="str">
            <v>SALES_OTH_AEJ</v>
          </cell>
        </row>
        <row r="214">
          <cell r="A214" t="str">
            <v>Security: Silergy Corp.</v>
          </cell>
        </row>
        <row r="215">
          <cell r="A215" t="str">
            <v>Reference Data</v>
          </cell>
        </row>
        <row r="216">
          <cell r="B216" t="str">
            <v>Ticker</v>
          </cell>
          <cell r="C216" t="str">
            <v>Ticker</v>
          </cell>
          <cell r="E216" t="str">
            <v>6415.TW</v>
          </cell>
        </row>
        <row r="217">
          <cell r="B217" t="str">
            <v>Security Name</v>
          </cell>
          <cell r="C217" t="str">
            <v>Security Name</v>
          </cell>
          <cell r="E217" t="str">
            <v>Silergy Corp.</v>
          </cell>
        </row>
        <row r="218">
          <cell r="B218" t="str">
            <v>Interim Type</v>
          </cell>
          <cell r="C218" t="str">
            <v>Interim Type</v>
          </cell>
          <cell r="E218" t="str">
            <v>Q</v>
          </cell>
        </row>
        <row r="219">
          <cell r="B219" t="str">
            <v>Publishing Currency</v>
          </cell>
          <cell r="C219" t="str">
            <v>PUB_CURRENCY_ISO</v>
          </cell>
          <cell r="E219" t="str">
            <v>TWD</v>
          </cell>
        </row>
        <row r="220">
          <cell r="B220" t="str">
            <v>Pricing Currency</v>
          </cell>
          <cell r="C220" t="str">
            <v>PRICE_CURRENCY_ISO</v>
          </cell>
          <cell r="E220" t="str">
            <v>TWD</v>
          </cell>
        </row>
        <row r="221">
          <cell r="B221" t="str">
            <v>Reporting Currency</v>
          </cell>
          <cell r="C221" t="str">
            <v>CURRENCY_ISO</v>
          </cell>
          <cell r="E221" t="str">
            <v>TWD</v>
          </cell>
        </row>
        <row r="222">
          <cell r="A222" t="str">
            <v>General Information</v>
          </cell>
        </row>
        <row r="223">
          <cell r="B223" t="str">
            <v>Asia ex. Japan Investment List</v>
          </cell>
          <cell r="C223" t="str">
            <v>AEJ_LIST</v>
          </cell>
        </row>
        <row r="224">
          <cell r="B224" t="str">
            <v>Asia ex. Japan Conviction List</v>
          </cell>
          <cell r="C224" t="str">
            <v>AEJ_CONVICTION</v>
          </cell>
        </row>
        <row r="225">
          <cell r="B225" t="str">
            <v>Legal rating</v>
          </cell>
          <cell r="C225" t="str">
            <v>LEGAL_RATING</v>
          </cell>
        </row>
        <row r="226">
          <cell r="B226" t="str">
            <v>Target price</v>
          </cell>
          <cell r="C226" t="str">
            <v>TARGET_PRICE</v>
          </cell>
          <cell r="D226" t="e">
            <v>#NAME?</v>
          </cell>
        </row>
        <row r="227">
          <cell r="B227" t="str">
            <v>Target price period</v>
          </cell>
          <cell r="C227" t="str">
            <v>TP_PERIOD</v>
          </cell>
        </row>
        <row r="228">
          <cell r="B228" t="str">
            <v>Fundamental value</v>
          </cell>
          <cell r="C228" t="str">
            <v>TARGET_PRICE_FUNDAMENTAL</v>
          </cell>
          <cell r="D228" t="e">
            <v>#NAME?</v>
          </cell>
        </row>
        <row r="229">
          <cell r="B229" t="str">
            <v>M&amp;A value</v>
          </cell>
          <cell r="C229" t="str">
            <v>TARGET_PRICE_MA</v>
          </cell>
          <cell r="D229" t="e">
            <v>#NAME?</v>
          </cell>
        </row>
        <row r="230">
          <cell r="B230" t="str">
            <v>Current shares outstanding (mn)</v>
          </cell>
          <cell r="C230" t="str">
            <v>NUM_SH</v>
          </cell>
        </row>
        <row r="231">
          <cell r="B231" t="str">
            <v>Free float</v>
          </cell>
          <cell r="C231" t="str">
            <v>FREE_FLOAT</v>
          </cell>
        </row>
        <row r="232">
          <cell r="B232" t="str">
            <v>Foreign ownership</v>
          </cell>
          <cell r="C232" t="str">
            <v>FOREIGN_HOLDNG</v>
          </cell>
        </row>
        <row r="233">
          <cell r="B233" t="str">
            <v>Catalyst 1 date</v>
          </cell>
          <cell r="C233" t="str">
            <v>CATALYST1_DATE</v>
          </cell>
        </row>
        <row r="234">
          <cell r="B234" t="str">
            <v>Catalyst 1 description</v>
          </cell>
          <cell r="C234" t="str">
            <v>CATALYST1_EVENT</v>
          </cell>
        </row>
        <row r="235">
          <cell r="B235" t="str">
            <v>Catalyst 2 date</v>
          </cell>
          <cell r="C235" t="str">
            <v>CATALYST2_DATE</v>
          </cell>
        </row>
        <row r="236">
          <cell r="B236" t="str">
            <v>Catalyst 2 description</v>
          </cell>
          <cell r="C236" t="str">
            <v>CATALYST2_EVENT</v>
          </cell>
        </row>
        <row r="237">
          <cell r="B237" t="str">
            <v>Catalyst 3 date</v>
          </cell>
          <cell r="C237" t="str">
            <v>CATALYST3_DATE</v>
          </cell>
        </row>
        <row r="238">
          <cell r="B238" t="str">
            <v>Catalyst 3 description</v>
          </cell>
          <cell r="C238" t="str">
            <v>CATALYST3_EVENT</v>
          </cell>
        </row>
        <row r="239">
          <cell r="B239" t="str">
            <v>Catalyst 4 date</v>
          </cell>
          <cell r="C239" t="str">
            <v>CATALYST4_DATE</v>
          </cell>
        </row>
        <row r="240">
          <cell r="B240" t="str">
            <v>Catalyst 4 description</v>
          </cell>
          <cell r="C240" t="str">
            <v>CATALYST4_EVENT</v>
          </cell>
        </row>
        <row r="241">
          <cell r="B241" t="str">
            <v>Catalyst 5 date</v>
          </cell>
          <cell r="C241" t="str">
            <v>CATALYST5_DATE</v>
          </cell>
        </row>
        <row r="242">
          <cell r="B242" t="str">
            <v>Catalyst 5 description</v>
          </cell>
          <cell r="C242" t="str">
            <v>CATALYST5_EVENT</v>
          </cell>
        </row>
        <row r="243">
          <cell r="B243" t="str">
            <v>Target price multiple</v>
          </cell>
          <cell r="C243" t="str">
            <v>PRI_TARG_MULT</v>
          </cell>
        </row>
        <row r="244">
          <cell r="B244" t="str">
            <v>Target price methodology</v>
          </cell>
          <cell r="C244" t="str">
            <v>PRI_TARG_METH</v>
          </cell>
        </row>
        <row r="245">
          <cell r="A245" t="str">
            <v>Publishing Items</v>
          </cell>
        </row>
        <row r="246">
          <cell r="B246" t="str">
            <v>Book value per share, BVPS (Pub)</v>
          </cell>
          <cell r="C246" t="str">
            <v>BVPS_PUB</v>
          </cell>
          <cell r="D246" t="e">
            <v>#NAME?</v>
          </cell>
        </row>
        <row r="247">
          <cell r="B247" t="str">
            <v>DPS, dividend per share (Pub)</v>
          </cell>
          <cell r="C247" t="str">
            <v>DPS_PUB</v>
          </cell>
          <cell r="D247" t="e">
            <v>#NAME?</v>
          </cell>
        </row>
        <row r="248">
          <cell r="B248" t="str">
            <v>Special dividend per share</v>
          </cell>
          <cell r="C248" t="str">
            <v>DPS_SPECIAL_PUB</v>
          </cell>
          <cell r="D248" t="e">
            <v>#NAME?</v>
          </cell>
        </row>
        <row r="249">
          <cell r="B249" t="str">
            <v>EBITDA (Pub)</v>
          </cell>
          <cell r="C249" t="str">
            <v>EBITDA_PUB</v>
          </cell>
          <cell r="D249" t="e">
            <v>#NAME?</v>
          </cell>
        </row>
        <row r="250">
          <cell r="B250" t="str">
            <v>EPS (Pub)</v>
          </cell>
          <cell r="C250" t="str">
            <v>EPS_PUB</v>
          </cell>
          <cell r="D250" t="e">
            <v>#NAME?</v>
          </cell>
        </row>
        <row r="251">
          <cell r="B251" t="str">
            <v>EV adjustment (Pub)</v>
          </cell>
          <cell r="C251" t="str">
            <v>EV_ADJ_PUB</v>
          </cell>
          <cell r="D251" t="e">
            <v>#NAME?</v>
          </cell>
        </row>
        <row r="252">
          <cell r="B252" t="str">
            <v>Net debt (Pub)</v>
          </cell>
          <cell r="C252" t="str">
            <v>NET_DEBT_PUB</v>
          </cell>
          <cell r="D252" t="e">
            <v>#NAME?</v>
          </cell>
        </row>
        <row r="253">
          <cell r="B253" t="str">
            <v>Net income (Pub)</v>
          </cell>
          <cell r="C253" t="str">
            <v>NI_PUB</v>
          </cell>
          <cell r="D253" t="e">
            <v>#NAME?</v>
          </cell>
        </row>
        <row r="254">
          <cell r="B254" t="str">
            <v>EBIT, operating profit (Pub)</v>
          </cell>
          <cell r="C254" t="str">
            <v>EBIT_PUB</v>
          </cell>
          <cell r="D254" t="e">
            <v>#NAME?</v>
          </cell>
        </row>
        <row r="255">
          <cell r="B255" t="str">
            <v>Pre-tax profit (Pub)</v>
          </cell>
          <cell r="C255" t="str">
            <v>PTP_PUB</v>
          </cell>
          <cell r="D255" t="e">
            <v>#NAME?</v>
          </cell>
        </row>
        <row r="256">
          <cell r="B256" t="str">
            <v>Sales, revenue (Pub)</v>
          </cell>
          <cell r="C256" t="str">
            <v>REVS_PUB</v>
          </cell>
          <cell r="D256" t="e">
            <v>#NAME?</v>
          </cell>
        </row>
        <row r="257">
          <cell r="B257" t="str">
            <v>Total shareholders' equity (Pub)</v>
          </cell>
          <cell r="C257" t="str">
            <v>EQ_PUB</v>
          </cell>
          <cell r="D257" t="e">
            <v>#NAME?</v>
          </cell>
        </row>
        <row r="258">
          <cell r="B258" t="str">
            <v>EPS (consensus)</v>
          </cell>
          <cell r="C258" t="str">
            <v>EPS_CONS_PUB</v>
          </cell>
          <cell r="D258" t="e">
            <v>#NAME?</v>
          </cell>
        </row>
        <row r="259">
          <cell r="A259" t="str">
            <v>Income Statement</v>
          </cell>
        </row>
        <row r="260">
          <cell r="B260" t="str">
            <v>Provision for income tax</v>
          </cell>
          <cell r="C260" t="str">
            <v>PROV_INC_TAX</v>
          </cell>
          <cell r="D260" t="e">
            <v>#NAME?</v>
          </cell>
        </row>
        <row r="261">
          <cell r="B261" t="str">
            <v>Minority interest</v>
          </cell>
          <cell r="C261" t="str">
            <v>INC_MINORITY</v>
          </cell>
          <cell r="D261" t="e">
            <v>#NAME?</v>
          </cell>
        </row>
        <row r="262">
          <cell r="B262" t="str">
            <v>Net income (pre-preferred dividends)</v>
          </cell>
          <cell r="C262" t="str">
            <v>NI_PRE_PREF</v>
          </cell>
          <cell r="D262" t="e">
            <v>#NAME?</v>
          </cell>
        </row>
        <row r="263">
          <cell r="B263" t="str">
            <v>Preferred dividends</v>
          </cell>
          <cell r="C263" t="str">
            <v>PREF_DIV</v>
          </cell>
          <cell r="D263" t="e">
            <v>#NAME?</v>
          </cell>
        </row>
        <row r="264">
          <cell r="B264" t="str">
            <v>Net income (pre-exceptionals)</v>
          </cell>
          <cell r="C264" t="str">
            <v>NET_EARNING</v>
          </cell>
          <cell r="D264" t="e">
            <v>#NAME?</v>
          </cell>
        </row>
        <row r="265">
          <cell r="B265" t="str">
            <v>Post-tax exceptionals</v>
          </cell>
          <cell r="C265" t="str">
            <v>TAX_EXC</v>
          </cell>
          <cell r="D265" t="e">
            <v>#NAME?</v>
          </cell>
        </row>
        <row r="266">
          <cell r="B266" t="str">
            <v>Net income (post-exceptionals)</v>
          </cell>
          <cell r="C266" t="str">
            <v>NET_INC</v>
          </cell>
          <cell r="D266" t="e">
            <v>#NAME?</v>
          </cell>
        </row>
        <row r="267">
          <cell r="B267" t="str">
            <v>EPS (pre-exceptionals, basic)</v>
          </cell>
          <cell r="C267" t="str">
            <v>EPS</v>
          </cell>
          <cell r="D267" t="e">
            <v>#NAME?</v>
          </cell>
        </row>
        <row r="268">
          <cell r="B268" t="str">
            <v>EPS (pre-exceptionals, diluted)</v>
          </cell>
          <cell r="C268" t="str">
            <v>EPS_FUL_DIL</v>
          </cell>
          <cell r="D268" t="e">
            <v>#NAME?</v>
          </cell>
        </row>
        <row r="269">
          <cell r="B269" t="str">
            <v>EPS (post-exceptionals, basic)</v>
          </cell>
          <cell r="C269" t="str">
            <v>EPS_POST_BASIC</v>
          </cell>
          <cell r="D269" t="e">
            <v>#NAME?</v>
          </cell>
        </row>
        <row r="270">
          <cell r="B270" t="str">
            <v>EPS (post-exceptionals, diluted)</v>
          </cell>
          <cell r="C270" t="str">
            <v>FULLY_DIL_EPS</v>
          </cell>
          <cell r="D270" t="e">
            <v>#NAME?</v>
          </cell>
        </row>
        <row r="271">
          <cell r="B271" t="str">
            <v>Common dividends paid</v>
          </cell>
          <cell r="C271" t="str">
            <v>COMMON_DIV_PAID</v>
          </cell>
          <cell r="D271" t="e">
            <v>#NAME?</v>
          </cell>
        </row>
        <row r="272">
          <cell r="B272" t="str">
            <v>DPS, dividend per share</v>
          </cell>
          <cell r="C272" t="str">
            <v>DPS</v>
          </cell>
          <cell r="D272" t="e">
            <v>#NAME?</v>
          </cell>
        </row>
        <row r="273">
          <cell r="B273" t="str">
            <v>Weighted average shares outstanding, basic</v>
          </cell>
          <cell r="C273" t="str">
            <v>SH</v>
          </cell>
        </row>
        <row r="274">
          <cell r="B274" t="str">
            <v>Diluted average shares outstanding (mn)</v>
          </cell>
          <cell r="C274" t="str">
            <v>DILUTE_SHARES</v>
          </cell>
        </row>
        <row r="275">
          <cell r="B275" t="str">
            <v>Period-end shares outstanding</v>
          </cell>
          <cell r="C275" t="str">
            <v>NON_OP_ADD</v>
          </cell>
        </row>
        <row r="276">
          <cell r="A276" t="str">
            <v>Additional Income Statement Items</v>
          </cell>
        </row>
        <row r="277">
          <cell r="B277" t="str">
            <v>Marginal tax rate</v>
          </cell>
          <cell r="C277" t="str">
            <v>MARGIN_TAX_RATE</v>
          </cell>
        </row>
        <row r="278">
          <cell r="B278" t="str">
            <v>Net income (consensus) (Pub)</v>
          </cell>
          <cell r="C278" t="str">
            <v>NI_CONS</v>
          </cell>
          <cell r="D278" t="e">
            <v>#NAME?</v>
          </cell>
        </row>
        <row r="279">
          <cell r="A279" t="str">
            <v>Balance Sheet</v>
          </cell>
        </row>
        <row r="280">
          <cell r="B280" t="str">
            <v>BVPS, book value per share</v>
          </cell>
          <cell r="C280" t="str">
            <v>BVPS</v>
          </cell>
          <cell r="D280" t="e">
            <v>#NAME?</v>
          </cell>
        </row>
        <row r="281">
          <cell r="A281" t="str">
            <v>Cash Flow Statement</v>
          </cell>
        </row>
        <row r="282">
          <cell r="B282" t="str">
            <v>Net income (pre-preferred dividends)</v>
          </cell>
          <cell r="C282" t="str">
            <v>CF_NI_PRE_PREF</v>
          </cell>
          <cell r="D282" t="e">
            <v>#NAME?</v>
          </cell>
        </row>
        <row r="283">
          <cell r="A283" t="str">
            <v>Other Items</v>
          </cell>
        </row>
        <row r="284">
          <cell r="B284" t="str">
            <v>Beta</v>
          </cell>
          <cell r="C284" t="str">
            <v>BETA_ANALYST</v>
          </cell>
        </row>
        <row r="285">
          <cell r="B285" t="str">
            <v>Market equity risk premium</v>
          </cell>
          <cell r="C285" t="str">
            <v>MKT_EQ_RISK_PREM</v>
          </cell>
        </row>
        <row r="286">
          <cell r="B286" t="str">
            <v>Risk-free rate</v>
          </cell>
          <cell r="C286" t="str">
            <v>RISK_FR_RATE</v>
          </cell>
        </row>
      </sheetData>
      <sheetData sheetId="10">
        <row r="1">
          <cell r="A1" t="str">
            <v>Issuer: Silergy Corp.</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cell r="S1">
            <v>2007</v>
          </cell>
          <cell r="T1">
            <v>2008</v>
          </cell>
          <cell r="U1">
            <v>2009</v>
          </cell>
          <cell r="V1">
            <v>2010</v>
          </cell>
          <cell r="W1">
            <v>2011</v>
          </cell>
          <cell r="X1">
            <v>2012</v>
          </cell>
          <cell r="Y1">
            <v>2013</v>
          </cell>
          <cell r="Z1">
            <v>2014</v>
          </cell>
          <cell r="AA1">
            <v>2015</v>
          </cell>
          <cell r="AB1">
            <v>2016</v>
          </cell>
          <cell r="AC1">
            <v>2017</v>
          </cell>
          <cell r="AD1">
            <v>2018</v>
          </cell>
          <cell r="AE1">
            <v>2019</v>
          </cell>
          <cell r="AF1">
            <v>2020</v>
          </cell>
          <cell r="AG1" t="str">
            <v>2021</v>
          </cell>
          <cell r="AI1" t="str">
            <v>2010 Q1</v>
          </cell>
          <cell r="AJ1" t="str">
            <v>2010 Q2</v>
          </cell>
          <cell r="AK1" t="str">
            <v>2010 Q3</v>
          </cell>
          <cell r="AL1" t="str">
            <v>2010 Q4</v>
          </cell>
          <cell r="AM1" t="str">
            <v>2011 Q1</v>
          </cell>
          <cell r="AN1" t="str">
            <v>2011 Q2</v>
          </cell>
          <cell r="AO1" t="str">
            <v>2011 Q3</v>
          </cell>
          <cell r="AP1" t="str">
            <v>2011 Q4</v>
          </cell>
          <cell r="AQ1" t="str">
            <v>2012 Q1</v>
          </cell>
          <cell r="AR1" t="str">
            <v>2012 Q2</v>
          </cell>
          <cell r="AS1" t="str">
            <v>2012 Q3</v>
          </cell>
          <cell r="AT1" t="str">
            <v>2012 Q4</v>
          </cell>
          <cell r="AU1" t="str">
            <v>2013 Q1</v>
          </cell>
          <cell r="AV1" t="str">
            <v>2013 Q2</v>
          </cell>
          <cell r="AW1" t="str">
            <v>2013 Q3</v>
          </cell>
          <cell r="AX1" t="str">
            <v>2013 Q4</v>
          </cell>
          <cell r="AY1" t="str">
            <v>2014 Q1</v>
          </cell>
          <cell r="AZ1" t="str">
            <v>2014 Q2</v>
          </cell>
          <cell r="BA1" t="str">
            <v>2014 Q3</v>
          </cell>
          <cell r="BB1" t="str">
            <v>2014 Q4</v>
          </cell>
          <cell r="BC1" t="str">
            <v>2015 Q1</v>
          </cell>
          <cell r="BD1" t="str">
            <v>2015 Q2</v>
          </cell>
          <cell r="BE1" t="str">
            <v>2015 Q3</v>
          </cell>
          <cell r="BF1" t="str">
            <v>2015 Q4</v>
          </cell>
          <cell r="BG1" t="str">
            <v>2016 Q1</v>
          </cell>
          <cell r="BH1" t="str">
            <v>2016 Q2</v>
          </cell>
          <cell r="BI1" t="str">
            <v>2016 Q3</v>
          </cell>
          <cell r="BJ1" t="str">
            <v>2016 Q4</v>
          </cell>
          <cell r="BK1" t="str">
            <v>2017 Q1</v>
          </cell>
          <cell r="BL1" t="str">
            <v>2017 Q2</v>
          </cell>
          <cell r="BM1" t="str">
            <v>2017 Q3</v>
          </cell>
          <cell r="BN1" t="str">
            <v>2017 Q4</v>
          </cell>
          <cell r="BO1" t="str">
            <v>2018 Q1</v>
          </cell>
          <cell r="BP1" t="str">
            <v>2018 Q2</v>
          </cell>
          <cell r="BQ1" t="str">
            <v>2018 Q3</v>
          </cell>
          <cell r="BR1" t="str">
            <v>2018 Q4</v>
          </cell>
          <cell r="BS1" t="str">
            <v>2019 Q1</v>
          </cell>
          <cell r="BT1" t="str">
            <v>2019 Q2</v>
          </cell>
          <cell r="BU1" t="str">
            <v>2019 Q3</v>
          </cell>
          <cell r="BV1" t="str">
            <v>2019 Q4</v>
          </cell>
          <cell r="BW1" t="str">
            <v>2020 Q1</v>
          </cell>
          <cell r="BX1" t="str">
            <v>2020 Q2</v>
          </cell>
          <cell r="BY1" t="str">
            <v>2020 Q3</v>
          </cell>
          <cell r="BZ1" t="str">
            <v>2020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Actual</v>
          </cell>
          <cell r="R2" t="str">
            <v>Actual</v>
          </cell>
          <cell r="S2" t="str">
            <v>Actual</v>
          </cell>
          <cell r="T2" t="str">
            <v>Actual</v>
          </cell>
          <cell r="U2" t="str">
            <v>Actual</v>
          </cell>
          <cell r="V2" t="str">
            <v>Actual</v>
          </cell>
          <cell r="W2" t="str">
            <v>Actual</v>
          </cell>
          <cell r="X2" t="str">
            <v>Actual</v>
          </cell>
          <cell r="Y2" t="str">
            <v>Actual</v>
          </cell>
          <cell r="Z2" t="str">
            <v>Actual</v>
          </cell>
          <cell r="AA2" t="str">
            <v>Actual</v>
          </cell>
          <cell r="AB2" t="str">
            <v>Actual</v>
          </cell>
          <cell r="AC2" t="str">
            <v>Actual</v>
          </cell>
          <cell r="AD2" t="str">
            <v>Actual</v>
          </cell>
          <cell r="AE2" t="str">
            <v>Estimate</v>
          </cell>
          <cell r="AF2" t="str">
            <v>Estimate</v>
          </cell>
          <cell r="AG2" t="str">
            <v>Estimate</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Actual</v>
          </cell>
          <cell r="AZ2" t="str">
            <v>Actual</v>
          </cell>
          <cell r="BA2" t="str">
            <v>Actual</v>
          </cell>
          <cell r="BB2" t="str">
            <v>Actual</v>
          </cell>
          <cell r="BC2" t="str">
            <v>Actual</v>
          </cell>
          <cell r="BD2" t="str">
            <v>Actual</v>
          </cell>
          <cell r="BE2" t="str">
            <v>Actual</v>
          </cell>
          <cell r="BF2" t="str">
            <v>Actual</v>
          </cell>
          <cell r="BG2" t="str">
            <v>Actual</v>
          </cell>
          <cell r="BH2" t="str">
            <v>Actual</v>
          </cell>
          <cell r="BI2" t="str">
            <v>Actual</v>
          </cell>
          <cell r="BJ2" t="str">
            <v>Actual</v>
          </cell>
          <cell r="BK2" t="str">
            <v>Actual</v>
          </cell>
          <cell r="BL2" t="str">
            <v>Actual</v>
          </cell>
          <cell r="BM2" t="str">
            <v>Actual</v>
          </cell>
          <cell r="BN2" t="str">
            <v>Actual</v>
          </cell>
          <cell r="BO2" t="str">
            <v>Actual</v>
          </cell>
          <cell r="BP2" t="str">
            <v>Actual</v>
          </cell>
          <cell r="BQ2" t="str">
            <v>Actual</v>
          </cell>
          <cell r="BR2" t="str">
            <v>Actual</v>
          </cell>
          <cell r="BS2" t="str">
            <v>Estimate</v>
          </cell>
          <cell r="BT2" t="str">
            <v>Estimate</v>
          </cell>
          <cell r="BU2" t="str">
            <v>Estimate</v>
          </cell>
          <cell r="BV2" t="str">
            <v>Estimate</v>
          </cell>
          <cell r="BW2" t="str">
            <v>Estimate</v>
          </cell>
          <cell r="BX2" t="str">
            <v>Estimate</v>
          </cell>
          <cell r="BY2" t="str">
            <v>Estimate</v>
          </cell>
          <cell r="BZ2" t="str">
            <v>Estimate</v>
          </cell>
        </row>
        <row r="3">
          <cell r="F3">
            <v>34699</v>
          </cell>
          <cell r="G3">
            <v>35064</v>
          </cell>
          <cell r="H3">
            <v>35430</v>
          </cell>
          <cell r="I3">
            <v>35795</v>
          </cell>
          <cell r="J3">
            <v>36160</v>
          </cell>
          <cell r="K3">
            <v>36525</v>
          </cell>
          <cell r="L3">
            <v>36891</v>
          </cell>
          <cell r="M3">
            <v>37256</v>
          </cell>
          <cell r="N3">
            <v>37621</v>
          </cell>
          <cell r="O3">
            <v>37986</v>
          </cell>
          <cell r="P3">
            <v>38352</v>
          </cell>
          <cell r="Q3">
            <v>38717</v>
          </cell>
          <cell r="R3">
            <v>39082</v>
          </cell>
          <cell r="S3">
            <v>39447</v>
          </cell>
          <cell r="T3">
            <v>39813</v>
          </cell>
          <cell r="U3">
            <v>40178</v>
          </cell>
          <cell r="V3">
            <v>40543</v>
          </cell>
          <cell r="W3">
            <v>40908</v>
          </cell>
          <cell r="X3">
            <v>41274</v>
          </cell>
          <cell r="Y3">
            <v>41639</v>
          </cell>
          <cell r="Z3">
            <v>42004</v>
          </cell>
          <cell r="AA3">
            <v>42369</v>
          </cell>
          <cell r="AB3">
            <v>42735</v>
          </cell>
          <cell r="AC3">
            <v>43100</v>
          </cell>
          <cell r="AD3">
            <v>43465</v>
          </cell>
          <cell r="AE3">
            <v>43830</v>
          </cell>
          <cell r="AF3">
            <v>44196</v>
          </cell>
          <cell r="AG3">
            <v>44561</v>
          </cell>
          <cell r="AI3">
            <v>40268</v>
          </cell>
          <cell r="AJ3">
            <v>40359</v>
          </cell>
          <cell r="AK3">
            <v>40451</v>
          </cell>
          <cell r="AL3">
            <v>40543</v>
          </cell>
          <cell r="AM3">
            <v>40633</v>
          </cell>
          <cell r="AN3">
            <v>40724</v>
          </cell>
          <cell r="AO3">
            <v>40816</v>
          </cell>
          <cell r="AP3">
            <v>40908</v>
          </cell>
          <cell r="AQ3">
            <v>40999</v>
          </cell>
          <cell r="AR3">
            <v>41090</v>
          </cell>
          <cell r="AS3">
            <v>41182</v>
          </cell>
          <cell r="AT3">
            <v>41274</v>
          </cell>
          <cell r="AU3">
            <v>41364</v>
          </cell>
          <cell r="AV3">
            <v>41455</v>
          </cell>
          <cell r="AW3">
            <v>41547</v>
          </cell>
          <cell r="AX3">
            <v>41639</v>
          </cell>
          <cell r="AY3">
            <v>41729</v>
          </cell>
          <cell r="AZ3">
            <v>41820</v>
          </cell>
          <cell r="BA3">
            <v>41912</v>
          </cell>
          <cell r="BB3">
            <v>42004</v>
          </cell>
          <cell r="BC3">
            <v>42094</v>
          </cell>
          <cell r="BD3">
            <v>42185</v>
          </cell>
          <cell r="BE3">
            <v>42277</v>
          </cell>
          <cell r="BF3">
            <v>42369</v>
          </cell>
          <cell r="BG3">
            <v>42460</v>
          </cell>
          <cell r="BH3">
            <v>42551</v>
          </cell>
          <cell r="BI3">
            <v>42643</v>
          </cell>
          <cell r="BJ3">
            <v>42735</v>
          </cell>
          <cell r="BK3">
            <v>42825</v>
          </cell>
          <cell r="BL3">
            <v>42916</v>
          </cell>
          <cell r="BM3">
            <v>43008</v>
          </cell>
          <cell r="BN3">
            <v>43100</v>
          </cell>
          <cell r="BO3">
            <v>43190</v>
          </cell>
          <cell r="BP3">
            <v>43281</v>
          </cell>
          <cell r="BQ3">
            <v>43373</v>
          </cell>
          <cell r="BR3">
            <v>43465</v>
          </cell>
          <cell r="BS3">
            <v>43555</v>
          </cell>
          <cell r="BT3">
            <v>43646</v>
          </cell>
          <cell r="BU3">
            <v>43738</v>
          </cell>
          <cell r="BV3">
            <v>43830</v>
          </cell>
          <cell r="BW3">
            <v>43921</v>
          </cell>
          <cell r="BX3">
            <v>44012</v>
          </cell>
          <cell r="BY3">
            <v>44104</v>
          </cell>
          <cell r="BZ3">
            <v>44196</v>
          </cell>
        </row>
        <row r="4">
          <cell r="A4" t="str">
            <v>Issuer: Silergy Corp.</v>
          </cell>
        </row>
        <row r="5">
          <cell r="A5" t="str">
            <v>Reference Data</v>
          </cell>
        </row>
        <row r="6">
          <cell r="B6" t="str">
            <v>Issuer Name</v>
          </cell>
          <cell r="C6" t="str">
            <v>Issuer Name</v>
          </cell>
          <cell r="E6" t="str">
            <v>Silergy Corp.</v>
          </cell>
        </row>
        <row r="7">
          <cell r="B7" t="str">
            <v>Reporting Currency</v>
          </cell>
          <cell r="C7" t="str">
            <v>CURRENCY_ISO</v>
          </cell>
          <cell r="E7" t="str">
            <v>TWD</v>
          </cell>
        </row>
        <row r="8">
          <cell r="A8" t="str">
            <v>General Information</v>
          </cell>
        </row>
        <row r="9">
          <cell r="B9" t="str">
            <v>M&amp;A probability (1 = high, 3 = low)</v>
          </cell>
          <cell r="C9" t="str">
            <v>MA_PROB</v>
          </cell>
          <cell r="E9">
            <v>3</v>
          </cell>
        </row>
        <row r="10">
          <cell r="A10" t="str">
            <v>Income Statement</v>
          </cell>
        </row>
        <row r="11">
          <cell r="B11" t="str">
            <v>Sales, net revenue</v>
          </cell>
          <cell r="C11" t="str">
            <v>SALES</v>
          </cell>
          <cell r="D11" t="str">
            <v>TWD</v>
          </cell>
          <cell r="V11">
            <v>1818.067</v>
          </cell>
          <cell r="W11">
            <v>2498.5</v>
          </cell>
          <cell r="X11">
            <v>3984.2960000000003</v>
          </cell>
          <cell r="Y11">
            <v>5812.7710000000006</v>
          </cell>
          <cell r="Z11">
            <v>8426.4580000000005</v>
          </cell>
          <cell r="AA11">
            <v>10696.232</v>
          </cell>
          <cell r="AB11">
            <v>14611.778</v>
          </cell>
          <cell r="AC11">
            <v>22366.252</v>
          </cell>
          <cell r="AD11">
            <v>25931.851999999999</v>
          </cell>
          <cell r="AE11">
            <v>37457.781593058884</v>
          </cell>
          <cell r="AF11">
            <v>42472.22938903825</v>
          </cell>
          <cell r="AG11">
            <v>46377.408790786125</v>
          </cell>
          <cell r="AI11">
            <v>555.95000000000005</v>
          </cell>
          <cell r="AJ11">
            <v>825.91499999999996</v>
          </cell>
          <cell r="AK11">
            <v>590.34799999999996</v>
          </cell>
          <cell r="AL11">
            <v>676.70899999999995</v>
          </cell>
          <cell r="AM11">
            <v>547.30899999999997</v>
          </cell>
          <cell r="AN11">
            <v>762.25599999999997</v>
          </cell>
          <cell r="AO11">
            <v>833.94600000000003</v>
          </cell>
          <cell r="AP11">
            <v>984.12099999999998</v>
          </cell>
          <cell r="AQ11">
            <v>1102.6880000000001</v>
          </cell>
          <cell r="AR11">
            <v>1395.8119999999999</v>
          </cell>
          <cell r="AS11">
            <v>1769.566</v>
          </cell>
          <cell r="AT11">
            <v>2214.73</v>
          </cell>
          <cell r="AU11">
            <v>2785.7190000000001</v>
          </cell>
          <cell r="AV11">
            <v>3027.0520000000001</v>
          </cell>
          <cell r="AW11">
            <v>3836.1390000000001</v>
          </cell>
          <cell r="AX11">
            <v>4590.3190000000004</v>
          </cell>
          <cell r="AY11">
            <v>4651.2280000000001</v>
          </cell>
          <cell r="AZ11">
            <v>6045.0039999999999</v>
          </cell>
          <cell r="BA11">
            <v>5909.6149999999998</v>
          </cell>
          <cell r="BB11">
            <v>8702.1630000000005</v>
          </cell>
          <cell r="BC11">
            <v>10031.683000000001</v>
          </cell>
          <cell r="BD11">
            <v>12334.569</v>
          </cell>
          <cell r="BE11">
            <v>11976.353999999999</v>
          </cell>
          <cell r="BF11">
            <v>13955.498</v>
          </cell>
          <cell r="BG11" t="e">
            <v>#REF!</v>
          </cell>
          <cell r="BH11" t="e">
            <v>#REF!</v>
          </cell>
          <cell r="BI11" t="e">
            <v>#REF!</v>
          </cell>
          <cell r="BJ11" t="e">
            <v>#REF!</v>
          </cell>
          <cell r="BK11" t="e">
            <v>#REF!</v>
          </cell>
          <cell r="BL11" t="e">
            <v>#REF!</v>
          </cell>
          <cell r="BM11" t="e">
            <v>#REF!</v>
          </cell>
          <cell r="BN11" t="e">
            <v>#REF!</v>
          </cell>
          <cell r="BO11" t="e">
            <v>#REF!</v>
          </cell>
          <cell r="BP11" t="e">
            <v>#REF!</v>
          </cell>
          <cell r="BQ11" t="e">
            <v>#REF!</v>
          </cell>
          <cell r="BR11" t="e">
            <v>#REF!</v>
          </cell>
          <cell r="BS11">
            <v>15903.779136411917</v>
          </cell>
          <cell r="BT11">
            <v>21554.002456646966</v>
          </cell>
          <cell r="BU11">
            <v>18164.887566945181</v>
          </cell>
          <cell r="BV11">
            <v>24307.341822093069</v>
          </cell>
          <cell r="BW11">
            <v>20362.198739783518</v>
          </cell>
          <cell r="BX11">
            <v>26015.21005100261</v>
          </cell>
          <cell r="BY11" t="e">
            <v>#REF!</v>
          </cell>
          <cell r="BZ11" t="e">
            <v>#REF!</v>
          </cell>
        </row>
        <row r="12">
          <cell r="B12" t="str">
            <v>Compensation &amp; benfits expense</v>
          </cell>
          <cell r="C12" t="str">
            <v>PERSONNEL</v>
          </cell>
          <cell r="D12" t="str">
            <v>TWD</v>
          </cell>
        </row>
        <row r="13">
          <cell r="B13" t="str">
            <v>Cost of goods sold, COGS</v>
          </cell>
          <cell r="C13" t="str">
            <v>COST_GD_SD</v>
          </cell>
          <cell r="D13" t="str">
            <v>TWD</v>
          </cell>
          <cell r="V13">
            <v>-1426.0900000000001</v>
          </cell>
          <cell r="W13">
            <v>-1975.7399999999998</v>
          </cell>
          <cell r="X13">
            <v>-3243.1149999999998</v>
          </cell>
          <cell r="Y13">
            <v>-4845.6900000000005</v>
          </cell>
          <cell r="Z13">
            <v>-7137.04</v>
          </cell>
          <cell r="AA13">
            <v>-8932.8549999999996</v>
          </cell>
          <cell r="AB13">
            <v>-11931.643</v>
          </cell>
          <cell r="AC13">
            <v>-17563.489000000001</v>
          </cell>
          <cell r="AD13">
            <v>-21018.737000000001</v>
          </cell>
          <cell r="AE13">
            <v>-29451.158027451245</v>
          </cell>
          <cell r="AF13">
            <v>-33230.992023473831</v>
          </cell>
          <cell r="AG13">
            <v>-36174.794298851659</v>
          </cell>
          <cell r="AI13">
            <v>-406.00400000000002</v>
          </cell>
          <cell r="AJ13">
            <v>-599.26400000000001</v>
          </cell>
          <cell r="AK13">
            <v>-465.54500000000002</v>
          </cell>
          <cell r="AL13">
            <v>-550.66499999999996</v>
          </cell>
          <cell r="AM13">
            <v>-439.245</v>
          </cell>
          <cell r="AN13">
            <v>-596.36599999999999</v>
          </cell>
          <cell r="AO13">
            <v>-656.27700000000004</v>
          </cell>
          <cell r="AP13">
            <v>-769.81299999999999</v>
          </cell>
          <cell r="AQ13">
            <v>-867.06399999999996</v>
          </cell>
          <cell r="AR13">
            <v>-1108.6759999999999</v>
          </cell>
          <cell r="AS13">
            <v>-1429.615</v>
          </cell>
          <cell r="AT13">
            <v>-1813.5</v>
          </cell>
          <cell r="AU13">
            <v>-2345.2820000000002</v>
          </cell>
          <cell r="AV13">
            <v>-2500.4079999999999</v>
          </cell>
          <cell r="AW13">
            <v>-3274.5259999999998</v>
          </cell>
          <cell r="AX13">
            <v>-3862.5140000000001</v>
          </cell>
          <cell r="AY13">
            <v>-3929.1860000000001</v>
          </cell>
          <cell r="AZ13">
            <v>-5003.6689999999999</v>
          </cell>
          <cell r="BA13">
            <v>-4921.6329999999998</v>
          </cell>
          <cell r="BB13">
            <v>-7010.01</v>
          </cell>
          <cell r="BC13">
            <v>-7961.9650000000001</v>
          </cell>
          <cell r="BD13">
            <v>-9601.5239999999994</v>
          </cell>
          <cell r="BE13">
            <v>-9656.2939999999999</v>
          </cell>
          <cell r="BF13">
            <v>-11362.442999999999</v>
          </cell>
          <cell r="BG13" t="e">
            <v>#REF!</v>
          </cell>
          <cell r="BH13" t="e">
            <v>#REF!</v>
          </cell>
          <cell r="BI13" t="e">
            <v>#REF!</v>
          </cell>
          <cell r="BJ13" t="e">
            <v>#REF!</v>
          </cell>
          <cell r="BK13" t="e">
            <v>#REF!</v>
          </cell>
          <cell r="BL13" t="e">
            <v>#REF!</v>
          </cell>
          <cell r="BM13" t="e">
            <v>#REF!</v>
          </cell>
          <cell r="BN13" t="e">
            <v>#REF!</v>
          </cell>
          <cell r="BO13" t="e">
            <v>#REF!</v>
          </cell>
          <cell r="BP13" t="e">
            <v>#REF!</v>
          </cell>
          <cell r="BQ13" t="e">
            <v>#REF!</v>
          </cell>
          <cell r="BR13" t="e">
            <v>#REF!</v>
          </cell>
          <cell r="BS13">
            <v>-12515.916461003411</v>
          </cell>
          <cell r="BT13">
            <v>-16935.241566447836</v>
          </cell>
          <cell r="BU13">
            <v>-14224.305082442002</v>
          </cell>
          <cell r="BV13">
            <v>-19006.686941031829</v>
          </cell>
          <cell r="BW13">
            <v>-15888.37482282463</v>
          </cell>
          <cell r="BX13">
            <v>-20286.419476027026</v>
          </cell>
          <cell r="BY13" t="e">
            <v>#REF!</v>
          </cell>
          <cell r="BZ13" t="e">
            <v>#REF!</v>
          </cell>
        </row>
        <row r="14">
          <cell r="B14" t="str">
            <v>SG&amp;A, selling, general and admin. expense</v>
          </cell>
          <cell r="C14" t="str">
            <v>SEL_GL_AD</v>
          </cell>
          <cell r="D14" t="str">
            <v>TWD</v>
          </cell>
          <cell r="V14">
            <v>-118.30099999999995</v>
          </cell>
          <cell r="W14">
            <v>-144.7240000000001</v>
          </cell>
          <cell r="X14">
            <v>-173.25800000000007</v>
          </cell>
          <cell r="Y14">
            <v>-204.36600000000021</v>
          </cell>
          <cell r="Z14">
            <v>-250.36800000000056</v>
          </cell>
          <cell r="AA14">
            <v>-381.37100000000004</v>
          </cell>
          <cell r="AB14">
            <v>-510.78300000000024</v>
          </cell>
          <cell r="AC14">
            <v>-251.39000000000067</v>
          </cell>
          <cell r="AD14">
            <v>-473.57199999999966</v>
          </cell>
          <cell r="AE14">
            <v>-733.31200000000001</v>
          </cell>
          <cell r="AF14">
            <v>-733.31200000000001</v>
          </cell>
          <cell r="AG14">
            <v>-733.31200000000001</v>
          </cell>
          <cell r="AI14">
            <v>-33.258000000000038</v>
          </cell>
          <cell r="AJ14">
            <v>-74.713999999999942</v>
          </cell>
          <cell r="AK14">
            <v>-51.994999999999948</v>
          </cell>
          <cell r="AL14">
            <v>-54.021999999999977</v>
          </cell>
          <cell r="AM14">
            <v>-40.636999999999965</v>
          </cell>
          <cell r="AN14">
            <v>-55.847999999999999</v>
          </cell>
          <cell r="AO14">
            <v>-61.891999999999982</v>
          </cell>
          <cell r="AP14">
            <v>-56.408999999999978</v>
          </cell>
          <cell r="AQ14">
            <v>-69.947000000000145</v>
          </cell>
          <cell r="AR14">
            <v>-74.776999999999973</v>
          </cell>
          <cell r="AS14">
            <v>-80.718000000000032</v>
          </cell>
          <cell r="AT14">
            <v>-92.540000000000035</v>
          </cell>
          <cell r="AU14">
            <v>-101.12599999999989</v>
          </cell>
          <cell r="AV14">
            <v>-103.24000000000029</v>
          </cell>
          <cell r="AW14">
            <v>-104.47600000000023</v>
          </cell>
          <cell r="AX14">
            <v>-145.89200000000031</v>
          </cell>
          <cell r="AY14">
            <v>-127.25299999999996</v>
          </cell>
          <cell r="AZ14">
            <v>-254.11800000000005</v>
          </cell>
          <cell r="BA14">
            <v>-143.376</v>
          </cell>
          <cell r="BB14">
            <v>-367.40700000000027</v>
          </cell>
          <cell r="BC14">
            <v>-109.76400000000072</v>
          </cell>
          <cell r="BD14">
            <v>-141.62599999999998</v>
          </cell>
          <cell r="BE14">
            <v>-263.07999999999947</v>
          </cell>
          <cell r="BF14">
            <v>-210.49200000000025</v>
          </cell>
          <cell r="BG14" t="e">
            <v>#REF!</v>
          </cell>
          <cell r="BH14" t="e">
            <v>#REF!</v>
          </cell>
          <cell r="BI14" t="e">
            <v>#REF!</v>
          </cell>
          <cell r="BJ14" t="e">
            <v>#REF!</v>
          </cell>
          <cell r="BK14" t="e">
            <v>#REF!</v>
          </cell>
          <cell r="BL14" t="e">
            <v>#REF!</v>
          </cell>
          <cell r="BM14" t="e">
            <v>#REF!</v>
          </cell>
          <cell r="BN14" t="e">
            <v>#REF!</v>
          </cell>
          <cell r="BO14" t="e">
            <v>#REF!</v>
          </cell>
          <cell r="BP14" t="e">
            <v>#REF!</v>
          </cell>
          <cell r="BQ14" t="e">
            <v>#REF!</v>
          </cell>
          <cell r="BR14" t="e">
            <v>#REF!</v>
          </cell>
          <cell r="BS14">
            <v>-366.65600000000001</v>
          </cell>
          <cell r="BT14">
            <v>-366.65600000000001</v>
          </cell>
          <cell r="BU14">
            <v>-366.65600000000001</v>
          </cell>
          <cell r="BV14">
            <v>-366.65600000000001</v>
          </cell>
          <cell r="BW14">
            <v>-366.65600000000001</v>
          </cell>
          <cell r="BX14">
            <v>-366.65600000000001</v>
          </cell>
          <cell r="BY14" t="e">
            <v>#REF!</v>
          </cell>
          <cell r="BZ14" t="e">
            <v>#REF!</v>
          </cell>
        </row>
        <row r="15">
          <cell r="B15" t="str">
            <v>Total operating expense</v>
          </cell>
          <cell r="C15" t="str">
            <v>OP_COST</v>
          </cell>
          <cell r="D15" t="str">
            <v>TWD</v>
          </cell>
          <cell r="V15">
            <v>-1544.3910000000001</v>
          </cell>
          <cell r="W15">
            <v>-2120.4639999999999</v>
          </cell>
          <cell r="X15">
            <v>-3416.373</v>
          </cell>
          <cell r="Y15">
            <v>-5050.0560000000005</v>
          </cell>
          <cell r="Z15">
            <v>-7387.4080000000004</v>
          </cell>
          <cell r="AA15">
            <v>-9314.2259999999987</v>
          </cell>
          <cell r="AB15">
            <v>-12442.425999999999</v>
          </cell>
          <cell r="AC15">
            <v>-17814.879000000001</v>
          </cell>
          <cell r="AD15">
            <v>-21492.309000000001</v>
          </cell>
          <cell r="AE15">
            <v>-30184.470027451247</v>
          </cell>
          <cell r="AF15">
            <v>-33964.304023473829</v>
          </cell>
          <cell r="AG15">
            <v>-36908.106298851657</v>
          </cell>
          <cell r="AI15">
            <v>-439.26200000000006</v>
          </cell>
          <cell r="AJ15">
            <v>-673.97799999999995</v>
          </cell>
          <cell r="AK15">
            <v>-517.54</v>
          </cell>
          <cell r="AL15">
            <v>-604.6869999999999</v>
          </cell>
          <cell r="AM15">
            <v>-479.88199999999995</v>
          </cell>
          <cell r="AN15">
            <v>-652.21399999999994</v>
          </cell>
          <cell r="AO15">
            <v>-718.16899999999998</v>
          </cell>
          <cell r="AP15">
            <v>-826.22199999999998</v>
          </cell>
          <cell r="AQ15">
            <v>-937.01100000000008</v>
          </cell>
          <cell r="AR15">
            <v>-1183.453</v>
          </cell>
          <cell r="AS15">
            <v>-1510.3330000000001</v>
          </cell>
          <cell r="AT15">
            <v>-1906.04</v>
          </cell>
          <cell r="AU15">
            <v>-2446.4079999999999</v>
          </cell>
          <cell r="AV15">
            <v>-2603.6480000000001</v>
          </cell>
          <cell r="AW15">
            <v>-3379.002</v>
          </cell>
          <cell r="AX15">
            <v>-4008.4060000000004</v>
          </cell>
          <cell r="AY15">
            <v>-4056.4390000000003</v>
          </cell>
          <cell r="AZ15">
            <v>-5257.7870000000003</v>
          </cell>
          <cell r="BA15">
            <v>-5065.009</v>
          </cell>
          <cell r="BB15">
            <v>-7377.4170000000004</v>
          </cell>
          <cell r="BC15">
            <v>-8071.7290000000012</v>
          </cell>
          <cell r="BD15">
            <v>-9743.15</v>
          </cell>
          <cell r="BE15">
            <v>-9919.3739999999998</v>
          </cell>
          <cell r="BF15">
            <v>-11572.934999999999</v>
          </cell>
          <cell r="BG15" t="e">
            <v>#REF!</v>
          </cell>
          <cell r="BH15" t="e">
            <v>#REF!</v>
          </cell>
          <cell r="BI15" t="e">
            <v>#REF!</v>
          </cell>
          <cell r="BJ15" t="e">
            <v>#REF!</v>
          </cell>
          <cell r="BK15" t="e">
            <v>#REF!</v>
          </cell>
          <cell r="BL15" t="e">
            <v>#REF!</v>
          </cell>
          <cell r="BM15" t="e">
            <v>#REF!</v>
          </cell>
          <cell r="BN15" t="e">
            <v>#REF!</v>
          </cell>
          <cell r="BO15" t="e">
            <v>#REF!</v>
          </cell>
          <cell r="BP15" t="e">
            <v>#REF!</v>
          </cell>
          <cell r="BQ15" t="e">
            <v>#REF!</v>
          </cell>
          <cell r="BR15" t="e">
            <v>#REF!</v>
          </cell>
          <cell r="BS15">
            <v>-12882.572461003412</v>
          </cell>
          <cell r="BT15">
            <v>-17301.897566447835</v>
          </cell>
          <cell r="BU15">
            <v>-14590.961082442003</v>
          </cell>
          <cell r="BV15">
            <v>-19373.342941031828</v>
          </cell>
          <cell r="BW15">
            <v>-16255.03082282463</v>
          </cell>
          <cell r="BX15">
            <v>-20653.075476027025</v>
          </cell>
          <cell r="BY15" t="e">
            <v>#REF!</v>
          </cell>
          <cell r="BZ15" t="e">
            <v>#REF!</v>
          </cell>
        </row>
        <row r="16">
          <cell r="B16" t="str">
            <v>R&amp;D expense</v>
          </cell>
          <cell r="C16" t="str">
            <v>RD_EXP</v>
          </cell>
          <cell r="D16" t="str">
            <v>TWD</v>
          </cell>
          <cell r="V16">
            <v>-99.575000000000003</v>
          </cell>
          <cell r="W16">
            <v>-131.114</v>
          </cell>
          <cell r="X16">
            <v>-163.37200000000001</v>
          </cell>
          <cell r="Y16">
            <v>-251.041</v>
          </cell>
          <cell r="Z16">
            <v>-392.27100000000002</v>
          </cell>
          <cell r="AA16">
            <v>-502.14</v>
          </cell>
          <cell r="AB16">
            <v>-694.39699999999993</v>
          </cell>
          <cell r="AC16">
            <v>-1168.1570000000002</v>
          </cell>
          <cell r="AD16">
            <v>-1362.345</v>
          </cell>
          <cell r="AE16">
            <v>0</v>
          </cell>
          <cell r="AF16">
            <v>0</v>
          </cell>
          <cell r="AG16">
            <v>0</v>
          </cell>
          <cell r="AI16">
            <v>-7.4870000000000001</v>
          </cell>
          <cell r="AJ16">
            <v>-21.047999999999998</v>
          </cell>
          <cell r="AK16">
            <v>-23.933</v>
          </cell>
          <cell r="AL16">
            <v>-32.213000000000001</v>
          </cell>
          <cell r="AM16">
            <v>-37.395000000000003</v>
          </cell>
          <cell r="AN16">
            <v>-38.533999999999999</v>
          </cell>
          <cell r="AO16">
            <v>-45.459000000000003</v>
          </cell>
          <cell r="AP16">
            <v>-54.116</v>
          </cell>
          <cell r="AQ16">
            <v>-51.664999999999999</v>
          </cell>
          <cell r="AR16">
            <v>-79.448999999999998</v>
          </cell>
          <cell r="AS16">
            <v>-67.912999999999997</v>
          </cell>
          <cell r="AT16">
            <v>-95.459000000000003</v>
          </cell>
          <cell r="AU16">
            <v>-101.739</v>
          </cell>
          <cell r="AV16">
            <v>-149.30199999999999</v>
          </cell>
          <cell r="AW16">
            <v>-149.19300000000001</v>
          </cell>
          <cell r="AX16">
            <v>-243.078</v>
          </cell>
          <cell r="AY16">
            <v>-236.73599999999999</v>
          </cell>
          <cell r="AZ16">
            <v>-265.404</v>
          </cell>
          <cell r="BA16">
            <v>-273.56700000000001</v>
          </cell>
          <cell r="BB16">
            <v>-420.83</v>
          </cell>
          <cell r="BC16">
            <v>-535.01499999999999</v>
          </cell>
          <cell r="BD16">
            <v>-633.14200000000005</v>
          </cell>
          <cell r="BE16">
            <v>-544.46199999999999</v>
          </cell>
          <cell r="BF16">
            <v>-817.88300000000004</v>
          </cell>
          <cell r="BG16" t="e">
            <v>#REF!</v>
          </cell>
          <cell r="BH16" t="e">
            <v>#REF!</v>
          </cell>
          <cell r="BI16" t="e">
            <v>#REF!</v>
          </cell>
          <cell r="BJ16" t="e">
            <v>#REF!</v>
          </cell>
          <cell r="BK16" t="e">
            <v>#REF!</v>
          </cell>
          <cell r="BL16" t="e">
            <v>#REF!</v>
          </cell>
          <cell r="BM16" t="e">
            <v>#REF!</v>
          </cell>
          <cell r="BN16" t="e">
            <v>#REF!</v>
          </cell>
          <cell r="BO16" t="e">
            <v>#REF!</v>
          </cell>
          <cell r="BP16" t="e">
            <v>#REF!</v>
          </cell>
          <cell r="BQ16" t="e">
            <v>#REF!</v>
          </cell>
          <cell r="BR16" t="e">
            <v>#REF!</v>
          </cell>
          <cell r="BS16">
            <v>0</v>
          </cell>
          <cell r="BT16">
            <v>0</v>
          </cell>
          <cell r="BU16">
            <v>0</v>
          </cell>
          <cell r="BV16">
            <v>0</v>
          </cell>
          <cell r="BW16">
            <v>0</v>
          </cell>
          <cell r="BX16">
            <v>0</v>
          </cell>
          <cell r="BY16" t="e">
            <v>#REF!</v>
          </cell>
          <cell r="BZ16" t="e">
            <v>#REF!</v>
          </cell>
        </row>
        <row r="17">
          <cell r="B17" t="str">
            <v>Other operating income/(expense) (incl. leases)</v>
          </cell>
          <cell r="C17" t="str">
            <v>OTH_OP_INC_EXP</v>
          </cell>
          <cell r="D17" t="str">
            <v>TWD</v>
          </cell>
        </row>
        <row r="18">
          <cell r="B18" t="str">
            <v>Total operating expense (incl. D&amp;A)</v>
          </cell>
          <cell r="C18" t="str">
            <v>TOT_OPS_EXP_DDA</v>
          </cell>
          <cell r="D18" t="str">
            <v>TWD</v>
          </cell>
          <cell r="V18">
            <v>-1643.9660000000001</v>
          </cell>
          <cell r="W18">
            <v>-2251.578</v>
          </cell>
          <cell r="X18">
            <v>-3579.7449999999999</v>
          </cell>
          <cell r="Y18">
            <v>-5301.0970000000007</v>
          </cell>
          <cell r="Z18">
            <v>-7779.6790000000001</v>
          </cell>
          <cell r="AA18">
            <v>-9816.3659999999982</v>
          </cell>
          <cell r="AB18">
            <v>-13136.823</v>
          </cell>
          <cell r="AC18">
            <v>-18983.036</v>
          </cell>
          <cell r="AD18">
            <v>-22854.654000000002</v>
          </cell>
          <cell r="AE18">
            <v>-30184.470027451247</v>
          </cell>
          <cell r="AF18">
            <v>-33964.304023473829</v>
          </cell>
          <cell r="AG18">
            <v>-36908.106298851657</v>
          </cell>
          <cell r="AI18">
            <v>-446.74900000000008</v>
          </cell>
          <cell r="AJ18">
            <v>-695.02599999999995</v>
          </cell>
          <cell r="AK18">
            <v>-541.47299999999996</v>
          </cell>
          <cell r="AL18">
            <v>-636.89999999999986</v>
          </cell>
          <cell r="AM18">
            <v>-517.27699999999993</v>
          </cell>
          <cell r="AN18">
            <v>-690.74799999999993</v>
          </cell>
          <cell r="AO18">
            <v>-763.62799999999993</v>
          </cell>
          <cell r="AP18">
            <v>-880.33799999999997</v>
          </cell>
          <cell r="AQ18">
            <v>-988.67600000000004</v>
          </cell>
          <cell r="AR18">
            <v>-1262.902</v>
          </cell>
          <cell r="AS18">
            <v>-1578.2460000000001</v>
          </cell>
          <cell r="AT18">
            <v>-2001.499</v>
          </cell>
          <cell r="AU18">
            <v>-2548.1469999999999</v>
          </cell>
          <cell r="AV18">
            <v>-2752.9500000000003</v>
          </cell>
          <cell r="AW18">
            <v>-3528.1950000000002</v>
          </cell>
          <cell r="AX18">
            <v>-4251.4840000000004</v>
          </cell>
          <cell r="AY18">
            <v>-4293.1750000000002</v>
          </cell>
          <cell r="AZ18">
            <v>-5523.1910000000007</v>
          </cell>
          <cell r="BA18">
            <v>-5338.576</v>
          </cell>
          <cell r="BB18">
            <v>-7798.2470000000003</v>
          </cell>
          <cell r="BC18">
            <v>-8606.7440000000006</v>
          </cell>
          <cell r="BD18">
            <v>-10376.291999999999</v>
          </cell>
          <cell r="BE18">
            <v>-10463.835999999999</v>
          </cell>
          <cell r="BF18">
            <v>-12390.817999999999</v>
          </cell>
          <cell r="BG18" t="e">
            <v>#REF!</v>
          </cell>
          <cell r="BH18" t="e">
            <v>#REF!</v>
          </cell>
          <cell r="BI18" t="e">
            <v>#REF!</v>
          </cell>
          <cell r="BJ18" t="e">
            <v>#REF!</v>
          </cell>
          <cell r="BK18" t="e">
            <v>#REF!</v>
          </cell>
          <cell r="BL18" t="e">
            <v>#REF!</v>
          </cell>
          <cell r="BM18" t="e">
            <v>#REF!</v>
          </cell>
          <cell r="BN18" t="e">
            <v>#REF!</v>
          </cell>
          <cell r="BO18" t="e">
            <v>#REF!</v>
          </cell>
          <cell r="BP18" t="e">
            <v>#REF!</v>
          </cell>
          <cell r="BQ18" t="e">
            <v>#REF!</v>
          </cell>
          <cell r="BR18" t="e">
            <v>#REF!</v>
          </cell>
          <cell r="BS18">
            <v>-12882.572461003412</v>
          </cell>
          <cell r="BT18">
            <v>-17301.897566447835</v>
          </cell>
          <cell r="BU18">
            <v>-14590.961082442003</v>
          </cell>
          <cell r="BV18">
            <v>-19373.342941031828</v>
          </cell>
          <cell r="BW18">
            <v>-16255.03082282463</v>
          </cell>
          <cell r="BX18">
            <v>-20653.075476027025</v>
          </cell>
          <cell r="BY18" t="e">
            <v>#REF!</v>
          </cell>
          <cell r="BZ18" t="e">
            <v>#REF!</v>
          </cell>
        </row>
        <row r="19">
          <cell r="B19" t="str">
            <v>Total operating expense (excl. D&amp;A)</v>
          </cell>
          <cell r="C19" t="str">
            <v>TOT_OPS_EXP</v>
          </cell>
          <cell r="D19" t="str">
            <v>TWD</v>
          </cell>
          <cell r="V19">
            <v>-1643.9660000000001</v>
          </cell>
          <cell r="W19">
            <v>-2251.578</v>
          </cell>
          <cell r="X19">
            <v>-3579.7449999999999</v>
          </cell>
          <cell r="Y19">
            <v>-5301.0970000000007</v>
          </cell>
          <cell r="Z19">
            <v>-7779.6790000000001</v>
          </cell>
          <cell r="AA19">
            <v>-9816.3659999999982</v>
          </cell>
          <cell r="AB19">
            <v>-13136.823</v>
          </cell>
          <cell r="AC19">
            <v>-18983.036</v>
          </cell>
          <cell r="AD19">
            <v>-22854.654000000002</v>
          </cell>
          <cell r="AE19">
            <v>-30184.470027451247</v>
          </cell>
          <cell r="AF19">
            <v>-33964.304023473829</v>
          </cell>
          <cell r="AG19">
            <v>-36908.106298851657</v>
          </cell>
          <cell r="AI19">
            <v>-446.74900000000008</v>
          </cell>
          <cell r="AJ19">
            <v>-695.02599999999995</v>
          </cell>
          <cell r="AK19">
            <v>-541.47299999999996</v>
          </cell>
          <cell r="AL19">
            <v>-636.89999999999986</v>
          </cell>
          <cell r="AM19">
            <v>-517.27699999999993</v>
          </cell>
          <cell r="AN19">
            <v>-690.74799999999993</v>
          </cell>
          <cell r="AO19">
            <v>-763.62799999999993</v>
          </cell>
          <cell r="AP19">
            <v>-880.33799999999997</v>
          </cell>
          <cell r="AQ19">
            <v>-988.67600000000004</v>
          </cell>
          <cell r="AR19">
            <v>-1262.902</v>
          </cell>
          <cell r="AS19">
            <v>-1578.2460000000001</v>
          </cell>
          <cell r="AT19">
            <v>-2001.499</v>
          </cell>
          <cell r="AU19">
            <v>-2548.1469999999999</v>
          </cell>
          <cell r="AV19">
            <v>-2752.9500000000003</v>
          </cell>
          <cell r="AW19">
            <v>-3528.1950000000002</v>
          </cell>
          <cell r="AX19">
            <v>-4251.4840000000004</v>
          </cell>
          <cell r="AY19">
            <v>-4293.1750000000002</v>
          </cell>
          <cell r="AZ19">
            <v>-5523.1910000000007</v>
          </cell>
          <cell r="BA19">
            <v>-5338.576</v>
          </cell>
          <cell r="BB19">
            <v>-7798.2470000000003</v>
          </cell>
          <cell r="BC19">
            <v>-8606.7440000000006</v>
          </cell>
          <cell r="BD19">
            <v>-10376.291999999999</v>
          </cell>
          <cell r="BE19">
            <v>-10463.835999999999</v>
          </cell>
          <cell r="BF19">
            <v>-12390.817999999999</v>
          </cell>
          <cell r="BG19" t="e">
            <v>#REF!</v>
          </cell>
          <cell r="BH19" t="e">
            <v>#REF!</v>
          </cell>
          <cell r="BI19" t="e">
            <v>#REF!</v>
          </cell>
          <cell r="BJ19" t="e">
            <v>#REF!</v>
          </cell>
          <cell r="BK19" t="e">
            <v>#REF!</v>
          </cell>
          <cell r="BL19" t="e">
            <v>#REF!</v>
          </cell>
          <cell r="BM19" t="e">
            <v>#REF!</v>
          </cell>
          <cell r="BN19" t="e">
            <v>#REF!</v>
          </cell>
          <cell r="BO19" t="e">
            <v>#REF!</v>
          </cell>
          <cell r="BP19" t="e">
            <v>#REF!</v>
          </cell>
          <cell r="BQ19" t="e">
            <v>#REF!</v>
          </cell>
          <cell r="BR19" t="e">
            <v>#REF!</v>
          </cell>
          <cell r="BS19">
            <v>-12882.572461003412</v>
          </cell>
          <cell r="BT19">
            <v>-17301.897566447835</v>
          </cell>
          <cell r="BU19">
            <v>-14590.961082442003</v>
          </cell>
          <cell r="BV19">
            <v>-19373.342941031828</v>
          </cell>
          <cell r="BW19">
            <v>-16255.03082282463</v>
          </cell>
          <cell r="BX19">
            <v>-20653.075476027025</v>
          </cell>
          <cell r="BY19" t="e">
            <v>#REF!</v>
          </cell>
          <cell r="BZ19" t="e">
            <v>#REF!</v>
          </cell>
        </row>
        <row r="20">
          <cell r="B20" t="str">
            <v>EBITDA</v>
          </cell>
          <cell r="C20" t="str">
            <v>EBITDA_CALC</v>
          </cell>
          <cell r="D20" t="str">
            <v>TWD</v>
          </cell>
          <cell r="V20">
            <v>174.10099999999991</v>
          </cell>
          <cell r="W20">
            <v>246.92200000000014</v>
          </cell>
          <cell r="X20">
            <v>404.55100000000039</v>
          </cell>
          <cell r="Y20">
            <v>511.67399999999992</v>
          </cell>
          <cell r="Z20">
            <v>646.779</v>
          </cell>
          <cell r="AA20">
            <v>879.86600000000044</v>
          </cell>
          <cell r="AB20">
            <v>1474.9549999999999</v>
          </cell>
          <cell r="AC20">
            <v>3383.2159999999981</v>
          </cell>
          <cell r="AD20">
            <v>3077.1979999999985</v>
          </cell>
          <cell r="AE20">
            <v>7273.3115656076388</v>
          </cell>
          <cell r="AF20">
            <v>8507.9253655644188</v>
          </cell>
          <cell r="AG20">
            <v>9469.3024919344662</v>
          </cell>
          <cell r="AI20">
            <v>109.20099999999999</v>
          </cell>
          <cell r="AJ20">
            <v>130.88900000000001</v>
          </cell>
          <cell r="AK20">
            <v>48.875</v>
          </cell>
          <cell r="AL20">
            <v>39.808999999999997</v>
          </cell>
          <cell r="AM20">
            <v>30.031999999999996</v>
          </cell>
          <cell r="AN20">
            <v>71.507999999999981</v>
          </cell>
          <cell r="AO20">
            <v>70.317999999999998</v>
          </cell>
          <cell r="AP20">
            <v>103.78300000000002</v>
          </cell>
          <cell r="AQ20">
            <v>114.012</v>
          </cell>
          <cell r="AR20">
            <v>132.91</v>
          </cell>
          <cell r="AS20">
            <v>191.32</v>
          </cell>
          <cell r="AT20">
            <v>213.23099999999999</v>
          </cell>
          <cell r="AU20">
            <v>237.572</v>
          </cell>
          <cell r="AV20">
            <v>274.10199999999998</v>
          </cell>
          <cell r="AW20">
            <v>307.94400000000007</v>
          </cell>
          <cell r="AX20">
            <v>338.83499999999998</v>
          </cell>
          <cell r="AY20">
            <v>358.053</v>
          </cell>
          <cell r="AZ20">
            <v>521.81299999999999</v>
          </cell>
          <cell r="BA20">
            <v>571.03899999999999</v>
          </cell>
          <cell r="BB20">
            <v>903.91599999999994</v>
          </cell>
          <cell r="BC20">
            <v>1424.9390000000001</v>
          </cell>
          <cell r="BD20">
            <v>1958.277</v>
          </cell>
          <cell r="BE20">
            <v>1512.518</v>
          </cell>
          <cell r="BF20">
            <v>1564.68</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v>3021.2066754085054</v>
          </cell>
          <cell r="BT20">
            <v>4252.1048901991289</v>
          </cell>
          <cell r="BU20">
            <v>3573.9264845031776</v>
          </cell>
          <cell r="BV20">
            <v>4933.9988810612394</v>
          </cell>
          <cell r="BW20">
            <v>4107.1679169588879</v>
          </cell>
          <cell r="BX20">
            <v>5362.1345749755856</v>
          </cell>
          <cell r="BY20" t="e">
            <v>#REF!</v>
          </cell>
          <cell r="BZ20" t="e">
            <v>#REF!</v>
          </cell>
        </row>
        <row r="21">
          <cell r="B21" t="str">
            <v>Depreciation</v>
          </cell>
          <cell r="C21" t="str">
            <v>DEPREC</v>
          </cell>
          <cell r="D21" t="str">
            <v>TWD</v>
          </cell>
          <cell r="V21">
            <v>0</v>
          </cell>
          <cell r="W21">
            <v>0</v>
          </cell>
          <cell r="X21">
            <v>0</v>
          </cell>
          <cell r="Y21">
            <v>0</v>
          </cell>
          <cell r="Z21">
            <v>0</v>
          </cell>
          <cell r="AA21">
            <v>0</v>
          </cell>
          <cell r="AB21">
            <v>0</v>
          </cell>
          <cell r="AC21">
            <v>0</v>
          </cell>
          <cell r="AD21">
            <v>0</v>
          </cell>
          <cell r="AE21">
            <v>0</v>
          </cell>
          <cell r="AF21">
            <v>0</v>
          </cell>
          <cell r="AG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t="e">
            <v>#REF!</v>
          </cell>
          <cell r="BH21" t="e">
            <v>#REF!</v>
          </cell>
          <cell r="BI21" t="e">
            <v>#REF!</v>
          </cell>
          <cell r="BJ21" t="e">
            <v>#REF!</v>
          </cell>
          <cell r="BK21" t="e">
            <v>#REF!</v>
          </cell>
          <cell r="BL21" t="e">
            <v>#REF!</v>
          </cell>
          <cell r="BM21" t="e">
            <v>#REF!</v>
          </cell>
          <cell r="BN21" t="e">
            <v>#REF!</v>
          </cell>
          <cell r="BO21" t="e">
            <v>#REF!</v>
          </cell>
          <cell r="BP21" t="e">
            <v>#REF!</v>
          </cell>
          <cell r="BQ21" t="e">
            <v>#REF!</v>
          </cell>
          <cell r="BR21" t="e">
            <v>#REF!</v>
          </cell>
          <cell r="BS21">
            <v>0</v>
          </cell>
          <cell r="BT21">
            <v>0</v>
          </cell>
          <cell r="BU21">
            <v>0</v>
          </cell>
          <cell r="BV21">
            <v>0</v>
          </cell>
          <cell r="BW21">
            <v>0</v>
          </cell>
          <cell r="BX21">
            <v>0</v>
          </cell>
          <cell r="BY21" t="e">
            <v>#REF!</v>
          </cell>
          <cell r="BZ21" t="e">
            <v>#REF!</v>
          </cell>
        </row>
        <row r="22">
          <cell r="B22" t="str">
            <v>Amortization</v>
          </cell>
          <cell r="C22" t="str">
            <v>GOODWILL_AMORT</v>
          </cell>
          <cell r="D22" t="str">
            <v>TWD</v>
          </cell>
          <cell r="V22">
            <v>0</v>
          </cell>
          <cell r="W22">
            <v>0</v>
          </cell>
          <cell r="X22">
            <v>0</v>
          </cell>
          <cell r="Y22">
            <v>0</v>
          </cell>
          <cell r="Z22">
            <v>0</v>
          </cell>
          <cell r="AA22">
            <v>0</v>
          </cell>
          <cell r="AB22">
            <v>0</v>
          </cell>
          <cell r="AC22">
            <v>0</v>
          </cell>
          <cell r="AD22">
            <v>0</v>
          </cell>
          <cell r="AE22">
            <v>0</v>
          </cell>
          <cell r="AF22">
            <v>0</v>
          </cell>
          <cell r="AG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t="e">
            <v>#REF!</v>
          </cell>
          <cell r="BH22" t="e">
            <v>#REF!</v>
          </cell>
          <cell r="BI22" t="e">
            <v>#REF!</v>
          </cell>
          <cell r="BJ22" t="e">
            <v>#REF!</v>
          </cell>
          <cell r="BK22" t="e">
            <v>#REF!</v>
          </cell>
          <cell r="BL22" t="e">
            <v>#REF!</v>
          </cell>
          <cell r="BM22" t="e">
            <v>#REF!</v>
          </cell>
          <cell r="BN22" t="e">
            <v>#REF!</v>
          </cell>
          <cell r="BO22" t="e">
            <v>#REF!</v>
          </cell>
          <cell r="BP22" t="e">
            <v>#REF!</v>
          </cell>
          <cell r="BQ22" t="e">
            <v>#REF!</v>
          </cell>
          <cell r="BR22" t="e">
            <v>#REF!</v>
          </cell>
          <cell r="BS22">
            <v>0</v>
          </cell>
          <cell r="BT22">
            <v>0</v>
          </cell>
          <cell r="BU22">
            <v>0</v>
          </cell>
          <cell r="BV22">
            <v>0</v>
          </cell>
          <cell r="BW22">
            <v>0</v>
          </cell>
          <cell r="BX22">
            <v>0</v>
          </cell>
          <cell r="BY22" t="e">
            <v>#REF!</v>
          </cell>
          <cell r="BZ22" t="e">
            <v>#REF!</v>
          </cell>
        </row>
        <row r="23">
          <cell r="B23" t="str">
            <v>EBIT, operating profit</v>
          </cell>
          <cell r="C23" t="str">
            <v>EBIT</v>
          </cell>
          <cell r="D23" t="str">
            <v>TWD</v>
          </cell>
          <cell r="V23">
            <v>174.10099999999991</v>
          </cell>
          <cell r="W23">
            <v>246.92200000000014</v>
          </cell>
          <cell r="X23">
            <v>404.55100000000039</v>
          </cell>
          <cell r="Y23">
            <v>511.67399999999992</v>
          </cell>
          <cell r="Z23">
            <v>646.779</v>
          </cell>
          <cell r="AA23">
            <v>879.86600000000044</v>
          </cell>
          <cell r="AB23">
            <v>1474.9549999999999</v>
          </cell>
          <cell r="AC23">
            <v>3383.2159999999981</v>
          </cell>
          <cell r="AD23">
            <v>3077.1979999999985</v>
          </cell>
          <cell r="AE23">
            <v>7273.3115656076388</v>
          </cell>
          <cell r="AF23">
            <v>8507.9253655644188</v>
          </cell>
          <cell r="AG23">
            <v>9469.3024919344662</v>
          </cell>
          <cell r="AI23">
            <v>109.20099999999999</v>
          </cell>
          <cell r="AJ23">
            <v>130.88900000000001</v>
          </cell>
          <cell r="AK23">
            <v>48.875</v>
          </cell>
          <cell r="AL23">
            <v>39.808999999999997</v>
          </cell>
          <cell r="AM23">
            <v>30.031999999999996</v>
          </cell>
          <cell r="AN23">
            <v>71.507999999999981</v>
          </cell>
          <cell r="AO23">
            <v>70.317999999999998</v>
          </cell>
          <cell r="AP23">
            <v>103.78300000000002</v>
          </cell>
          <cell r="AQ23">
            <v>114.012</v>
          </cell>
          <cell r="AR23">
            <v>132.91</v>
          </cell>
          <cell r="AS23">
            <v>191.32</v>
          </cell>
          <cell r="AT23">
            <v>213.23099999999999</v>
          </cell>
          <cell r="AU23">
            <v>237.572</v>
          </cell>
          <cell r="AV23">
            <v>274.10199999999998</v>
          </cell>
          <cell r="AW23">
            <v>307.94400000000007</v>
          </cell>
          <cell r="AX23">
            <v>338.83499999999998</v>
          </cell>
          <cell r="AY23">
            <v>358.053</v>
          </cell>
          <cell r="AZ23">
            <v>521.81299999999999</v>
          </cell>
          <cell r="BA23">
            <v>571.03899999999999</v>
          </cell>
          <cell r="BB23">
            <v>903.91599999999994</v>
          </cell>
          <cell r="BC23">
            <v>1424.9390000000001</v>
          </cell>
          <cell r="BD23">
            <v>1958.277</v>
          </cell>
          <cell r="BE23">
            <v>1512.518</v>
          </cell>
          <cell r="BF23">
            <v>1564.68</v>
          </cell>
          <cell r="BG23" t="e">
            <v>#REF!</v>
          </cell>
          <cell r="BH23" t="e">
            <v>#REF!</v>
          </cell>
          <cell r="BI23" t="e">
            <v>#REF!</v>
          </cell>
          <cell r="BJ23" t="e">
            <v>#REF!</v>
          </cell>
          <cell r="BK23" t="e">
            <v>#REF!</v>
          </cell>
          <cell r="BL23" t="e">
            <v>#REF!</v>
          </cell>
          <cell r="BM23" t="e">
            <v>#REF!</v>
          </cell>
          <cell r="BN23" t="e">
            <v>#REF!</v>
          </cell>
          <cell r="BO23" t="e">
            <v>#REF!</v>
          </cell>
          <cell r="BP23" t="e">
            <v>#REF!</v>
          </cell>
          <cell r="BQ23" t="e">
            <v>#REF!</v>
          </cell>
          <cell r="BR23" t="e">
            <v>#REF!</v>
          </cell>
          <cell r="BS23">
            <v>3021.2066754085054</v>
          </cell>
          <cell r="BT23">
            <v>4252.1048901991289</v>
          </cell>
          <cell r="BU23">
            <v>3573.9264845031776</v>
          </cell>
          <cell r="BV23">
            <v>4933.9988810612394</v>
          </cell>
          <cell r="BW23">
            <v>4107.1679169588879</v>
          </cell>
          <cell r="BX23">
            <v>5362.1345749755856</v>
          </cell>
          <cell r="BY23" t="e">
            <v>#REF!</v>
          </cell>
          <cell r="BZ23" t="e">
            <v>#REF!</v>
          </cell>
        </row>
        <row r="24">
          <cell r="B24" t="str">
            <v>Interest income</v>
          </cell>
          <cell r="C24" t="str">
            <v>INT_INC_IND</v>
          </cell>
          <cell r="D24" t="str">
            <v>TWD</v>
          </cell>
          <cell r="V24">
            <v>0</v>
          </cell>
          <cell r="W24">
            <v>0</v>
          </cell>
          <cell r="X24">
            <v>0</v>
          </cell>
          <cell r="Y24">
            <v>0</v>
          </cell>
          <cell r="Z24">
            <v>0</v>
          </cell>
          <cell r="AA24">
            <v>0</v>
          </cell>
          <cell r="AB24">
            <v>0</v>
          </cell>
          <cell r="AC24">
            <v>0</v>
          </cell>
          <cell r="AD24">
            <v>0</v>
          </cell>
          <cell r="AE24">
            <v>0</v>
          </cell>
          <cell r="AF24">
            <v>0</v>
          </cell>
          <cell r="AG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t="e">
            <v>#REF!</v>
          </cell>
          <cell r="BH24" t="e">
            <v>#REF!</v>
          </cell>
          <cell r="BI24" t="e">
            <v>#REF!</v>
          </cell>
          <cell r="BJ24" t="e">
            <v>#REF!</v>
          </cell>
          <cell r="BK24" t="e">
            <v>#REF!</v>
          </cell>
          <cell r="BL24" t="e">
            <v>#REF!</v>
          </cell>
          <cell r="BM24" t="e">
            <v>#REF!</v>
          </cell>
          <cell r="BN24" t="e">
            <v>#REF!</v>
          </cell>
          <cell r="BO24" t="e">
            <v>#REF!</v>
          </cell>
          <cell r="BP24" t="e">
            <v>#REF!</v>
          </cell>
          <cell r="BQ24" t="e">
            <v>#REF!</v>
          </cell>
          <cell r="BR24" t="e">
            <v>#REF!</v>
          </cell>
          <cell r="BS24">
            <v>0</v>
          </cell>
          <cell r="BT24">
            <v>0</v>
          </cell>
          <cell r="BU24">
            <v>0</v>
          </cell>
          <cell r="BV24">
            <v>0</v>
          </cell>
          <cell r="BW24">
            <v>0</v>
          </cell>
          <cell r="BX24">
            <v>0</v>
          </cell>
          <cell r="BY24" t="e">
            <v>#REF!</v>
          </cell>
          <cell r="BZ24" t="e">
            <v>#REF!</v>
          </cell>
        </row>
        <row r="25">
          <cell r="B25" t="str">
            <v>Interest expense</v>
          </cell>
          <cell r="C25" t="str">
            <v>INT_EXP_IND</v>
          </cell>
          <cell r="D25" t="str">
            <v>TWD</v>
          </cell>
          <cell r="V25">
            <v>-9.2249999999999996</v>
          </cell>
          <cell r="W25">
            <v>-7.3390000000000004</v>
          </cell>
          <cell r="X25">
            <v>-7.1859999999999999</v>
          </cell>
          <cell r="Y25">
            <v>-7.1849999999999996</v>
          </cell>
          <cell r="Z25">
            <v>-12.772</v>
          </cell>
          <cell r="AA25">
            <v>-17.588999999999999</v>
          </cell>
          <cell r="AB25">
            <v>-28.519999999999996</v>
          </cell>
          <cell r="AC25">
            <v>-64.896999999999991</v>
          </cell>
          <cell r="AD25">
            <v>-225.92400000000001</v>
          </cell>
          <cell r="AE25">
            <v>-251.566</v>
          </cell>
          <cell r="AF25">
            <v>-251.566</v>
          </cell>
          <cell r="AG25">
            <v>-251.56599999999997</v>
          </cell>
          <cell r="AI25">
            <v>-1.9510000000000001</v>
          </cell>
          <cell r="AJ25">
            <v>-1.8440000000000001</v>
          </cell>
          <cell r="AK25">
            <v>0</v>
          </cell>
          <cell r="AL25">
            <v>-1.4999999999999999E-2</v>
          </cell>
          <cell r="AM25">
            <v>-0.67300000000000004</v>
          </cell>
          <cell r="AN25">
            <v>-1.177</v>
          </cell>
          <cell r="AO25">
            <v>-4.298</v>
          </cell>
          <cell r="AP25">
            <v>-4.9269999999999996</v>
          </cell>
          <cell r="AQ25">
            <v>-3.7640000000000002</v>
          </cell>
          <cell r="AR25">
            <v>-3.5750000000000002</v>
          </cell>
          <cell r="AS25">
            <v>-3.625</v>
          </cell>
          <cell r="AT25">
            <v>-3.5609999999999999</v>
          </cell>
          <cell r="AU25">
            <v>-2.1240000000000001</v>
          </cell>
          <cell r="AV25">
            <v>-5.0609999999999999</v>
          </cell>
          <cell r="AW25">
            <v>-7.4039999999999999</v>
          </cell>
          <cell r="AX25">
            <v>-5.3680000000000003</v>
          </cell>
          <cell r="AY25">
            <v>-9.0739999999999998</v>
          </cell>
          <cell r="AZ25">
            <v>-8.5150000000000006</v>
          </cell>
          <cell r="BA25">
            <v>-18.553999999999998</v>
          </cell>
          <cell r="BB25">
            <v>-9.9659999999999993</v>
          </cell>
          <cell r="BC25">
            <v>-26.908000000000001</v>
          </cell>
          <cell r="BD25">
            <v>-37.988999999999997</v>
          </cell>
          <cell r="BE25">
            <v>-100.14100000000001</v>
          </cell>
          <cell r="BF25">
            <v>-125.783</v>
          </cell>
          <cell r="BG25" t="e">
            <v>#REF!</v>
          </cell>
          <cell r="BH25" t="e">
            <v>#REF!</v>
          </cell>
          <cell r="BI25" t="e">
            <v>#REF!</v>
          </cell>
          <cell r="BJ25" t="e">
            <v>#REF!</v>
          </cell>
          <cell r="BK25" t="e">
            <v>#REF!</v>
          </cell>
          <cell r="BL25" t="e">
            <v>#REF!</v>
          </cell>
          <cell r="BM25" t="e">
            <v>#REF!</v>
          </cell>
          <cell r="BN25" t="e">
            <v>#REF!</v>
          </cell>
          <cell r="BO25" t="e">
            <v>#REF!</v>
          </cell>
          <cell r="BP25" t="e">
            <v>#REF!</v>
          </cell>
          <cell r="BQ25" t="e">
            <v>#REF!</v>
          </cell>
          <cell r="BR25" t="e">
            <v>#REF!</v>
          </cell>
          <cell r="BS25">
            <v>-125.783</v>
          </cell>
          <cell r="BT25">
            <v>-125.783</v>
          </cell>
          <cell r="BU25">
            <v>-125.783</v>
          </cell>
          <cell r="BV25">
            <v>-125.783</v>
          </cell>
          <cell r="BW25">
            <v>-125.783</v>
          </cell>
          <cell r="BX25">
            <v>-125.78299999999999</v>
          </cell>
          <cell r="BY25" t="e">
            <v>#REF!</v>
          </cell>
          <cell r="BZ25" t="e">
            <v>#REF!</v>
          </cell>
        </row>
        <row r="26">
          <cell r="B26" t="str">
            <v>Net interest income/(expense)</v>
          </cell>
          <cell r="C26" t="str">
            <v>NET_INT_EXP</v>
          </cell>
          <cell r="D26" t="str">
            <v>TWD</v>
          </cell>
          <cell r="V26">
            <v>-9.2249999999999996</v>
          </cell>
          <cell r="W26">
            <v>-7.3390000000000004</v>
          </cell>
          <cell r="X26">
            <v>-7.1859999999999999</v>
          </cell>
          <cell r="Y26">
            <v>-7.1849999999999996</v>
          </cell>
          <cell r="Z26">
            <v>-12.772</v>
          </cell>
          <cell r="AA26">
            <v>-17.588999999999999</v>
          </cell>
          <cell r="AB26">
            <v>-28.519999999999996</v>
          </cell>
          <cell r="AC26">
            <v>-64.896999999999991</v>
          </cell>
          <cell r="AD26">
            <v>-225.92400000000001</v>
          </cell>
          <cell r="AE26">
            <v>-251.566</v>
          </cell>
          <cell r="AF26">
            <v>-251.566</v>
          </cell>
          <cell r="AG26">
            <v>-251.56599999999997</v>
          </cell>
          <cell r="AI26">
            <v>-1.9510000000000001</v>
          </cell>
          <cell r="AJ26">
            <v>-1.8440000000000001</v>
          </cell>
          <cell r="AK26">
            <v>0</v>
          </cell>
          <cell r="AL26">
            <v>-1.4999999999999999E-2</v>
          </cell>
          <cell r="AM26">
            <v>-0.67300000000000004</v>
          </cell>
          <cell r="AN26">
            <v>-1.177</v>
          </cell>
          <cell r="AO26">
            <v>-4.298</v>
          </cell>
          <cell r="AP26">
            <v>-4.9269999999999996</v>
          </cell>
          <cell r="AQ26">
            <v>-3.7640000000000002</v>
          </cell>
          <cell r="AR26">
            <v>-3.5750000000000002</v>
          </cell>
          <cell r="AS26">
            <v>-3.625</v>
          </cell>
          <cell r="AT26">
            <v>-3.5609999999999999</v>
          </cell>
          <cell r="AU26">
            <v>-2.1240000000000001</v>
          </cell>
          <cell r="AV26">
            <v>-5.0609999999999999</v>
          </cell>
          <cell r="AW26">
            <v>-7.4039999999999999</v>
          </cell>
          <cell r="AX26">
            <v>-5.3680000000000003</v>
          </cell>
          <cell r="AY26">
            <v>-9.0739999999999998</v>
          </cell>
          <cell r="AZ26">
            <v>-8.5150000000000006</v>
          </cell>
          <cell r="BA26">
            <v>-18.553999999999998</v>
          </cell>
          <cell r="BB26">
            <v>-9.9659999999999993</v>
          </cell>
          <cell r="BC26">
            <v>-26.908000000000001</v>
          </cell>
          <cell r="BD26">
            <v>-37.988999999999997</v>
          </cell>
          <cell r="BE26">
            <v>-100.14100000000001</v>
          </cell>
          <cell r="BF26">
            <v>-125.783</v>
          </cell>
          <cell r="BG26" t="e">
            <v>#REF!</v>
          </cell>
          <cell r="BH26" t="e">
            <v>#REF!</v>
          </cell>
          <cell r="BI26" t="e">
            <v>#REF!</v>
          </cell>
          <cell r="BJ26" t="e">
            <v>#REF!</v>
          </cell>
          <cell r="BK26" t="e">
            <v>#REF!</v>
          </cell>
          <cell r="BL26" t="e">
            <v>#REF!</v>
          </cell>
          <cell r="BM26" t="e">
            <v>#REF!</v>
          </cell>
          <cell r="BN26" t="e">
            <v>#REF!</v>
          </cell>
          <cell r="BO26" t="e">
            <v>#REF!</v>
          </cell>
          <cell r="BP26" t="e">
            <v>#REF!</v>
          </cell>
          <cell r="BQ26" t="e">
            <v>#REF!</v>
          </cell>
          <cell r="BR26" t="e">
            <v>#REF!</v>
          </cell>
          <cell r="BS26">
            <v>-125.783</v>
          </cell>
          <cell r="BT26">
            <v>-125.783</v>
          </cell>
          <cell r="BU26">
            <v>-125.783</v>
          </cell>
          <cell r="BV26">
            <v>-125.783</v>
          </cell>
          <cell r="BW26">
            <v>-125.783</v>
          </cell>
          <cell r="BX26">
            <v>-125.78299999999999</v>
          </cell>
          <cell r="BY26" t="e">
            <v>#REF!</v>
          </cell>
          <cell r="BZ26" t="e">
            <v>#REF!</v>
          </cell>
        </row>
        <row r="27">
          <cell r="B27" t="str">
            <v>Income/(loss) from unconsolidated subs &amp; associates</v>
          </cell>
          <cell r="C27" t="str">
            <v>ASSOCIATE</v>
          </cell>
          <cell r="D27" t="str">
            <v>TWD</v>
          </cell>
          <cell r="V27">
            <v>0</v>
          </cell>
          <cell r="W27">
            <v>0</v>
          </cell>
          <cell r="X27">
            <v>0</v>
          </cell>
          <cell r="Y27">
            <v>0</v>
          </cell>
          <cell r="Z27">
            <v>0</v>
          </cell>
          <cell r="AA27">
            <v>0</v>
          </cell>
          <cell r="AB27">
            <v>0</v>
          </cell>
          <cell r="AC27">
            <v>0</v>
          </cell>
          <cell r="AD27">
            <v>0</v>
          </cell>
          <cell r="AE27">
            <v>0</v>
          </cell>
          <cell r="AF27">
            <v>0</v>
          </cell>
          <cell r="AG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t="e">
            <v>#REF!</v>
          </cell>
          <cell r="BH27" t="e">
            <v>#REF!</v>
          </cell>
          <cell r="BI27" t="e">
            <v>#REF!</v>
          </cell>
          <cell r="BJ27" t="e">
            <v>#REF!</v>
          </cell>
          <cell r="BK27" t="e">
            <v>#REF!</v>
          </cell>
          <cell r="BL27" t="e">
            <v>#REF!</v>
          </cell>
          <cell r="BM27" t="e">
            <v>#REF!</v>
          </cell>
          <cell r="BN27" t="e">
            <v>#REF!</v>
          </cell>
          <cell r="BO27" t="e">
            <v>#REF!</v>
          </cell>
          <cell r="BP27" t="e">
            <v>#REF!</v>
          </cell>
          <cell r="BQ27" t="e">
            <v>#REF!</v>
          </cell>
          <cell r="BR27" t="e">
            <v>#REF!</v>
          </cell>
          <cell r="BS27">
            <v>0</v>
          </cell>
          <cell r="BT27">
            <v>0</v>
          </cell>
          <cell r="BU27">
            <v>0</v>
          </cell>
          <cell r="BV27">
            <v>0</v>
          </cell>
          <cell r="BW27">
            <v>0</v>
          </cell>
          <cell r="BX27">
            <v>0</v>
          </cell>
          <cell r="BY27" t="e">
            <v>#REF!</v>
          </cell>
          <cell r="BZ27" t="e">
            <v>#REF!</v>
          </cell>
        </row>
        <row r="28">
          <cell r="B28" t="str">
            <v>Profit/(loss) on disposals of assets, pre-tax</v>
          </cell>
          <cell r="C28" t="str">
            <v>PROFIT_ON_DISP</v>
          </cell>
          <cell r="D28" t="str">
            <v>TWD</v>
          </cell>
          <cell r="V28">
            <v>0</v>
          </cell>
          <cell r="W28">
            <v>0</v>
          </cell>
          <cell r="X28">
            <v>0</v>
          </cell>
          <cell r="Y28">
            <v>0</v>
          </cell>
          <cell r="Z28">
            <v>0</v>
          </cell>
          <cell r="AA28">
            <v>0</v>
          </cell>
          <cell r="AB28">
            <v>0</v>
          </cell>
          <cell r="AC28">
            <v>0</v>
          </cell>
          <cell r="AD28">
            <v>0</v>
          </cell>
          <cell r="AE28">
            <v>0</v>
          </cell>
          <cell r="AF28">
            <v>0</v>
          </cell>
          <cell r="AG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t="e">
            <v>#REF!</v>
          </cell>
          <cell r="BH28" t="e">
            <v>#REF!</v>
          </cell>
          <cell r="BI28" t="e">
            <v>#REF!</v>
          </cell>
          <cell r="BJ28" t="e">
            <v>#REF!</v>
          </cell>
          <cell r="BK28" t="e">
            <v>#REF!</v>
          </cell>
          <cell r="BL28" t="e">
            <v>#REF!</v>
          </cell>
          <cell r="BM28" t="e">
            <v>#REF!</v>
          </cell>
          <cell r="BN28" t="e">
            <v>#REF!</v>
          </cell>
          <cell r="BO28" t="e">
            <v>#REF!</v>
          </cell>
          <cell r="BP28" t="e">
            <v>#REF!</v>
          </cell>
          <cell r="BQ28" t="e">
            <v>#REF!</v>
          </cell>
          <cell r="BR28" t="e">
            <v>#REF!</v>
          </cell>
          <cell r="BS28">
            <v>0</v>
          </cell>
          <cell r="BT28">
            <v>0</v>
          </cell>
          <cell r="BU28">
            <v>0</v>
          </cell>
          <cell r="BV28">
            <v>0</v>
          </cell>
          <cell r="BW28">
            <v>0</v>
          </cell>
          <cell r="BX28">
            <v>0</v>
          </cell>
          <cell r="BY28" t="e">
            <v>#REF!</v>
          </cell>
          <cell r="BZ28" t="e">
            <v>#REF!</v>
          </cell>
        </row>
        <row r="29">
          <cell r="B29" t="str">
            <v>Other non-ops income/(expense)</v>
          </cell>
          <cell r="C29" t="str">
            <v>OTH_COST_INC</v>
          </cell>
          <cell r="D29" t="str">
            <v>TWD</v>
          </cell>
          <cell r="V29">
            <v>5.3290705182007514E-15</v>
          </cell>
          <cell r="W29">
            <v>1.7763568394002505E-15</v>
          </cell>
          <cell r="X29">
            <v>-0.15699999999996095</v>
          </cell>
          <cell r="Y29">
            <v>-2.6645352591003757E-15</v>
          </cell>
          <cell r="Z29">
            <v>6.5725203057809267E-14</v>
          </cell>
          <cell r="AA29">
            <v>5.6843418860808015E-14</v>
          </cell>
          <cell r="AB29">
            <v>1.4210854715202004E-14</v>
          </cell>
          <cell r="AC29">
            <v>-3.979039320256561E-13</v>
          </cell>
          <cell r="AD29">
            <v>2.8421709430404007E-14</v>
          </cell>
          <cell r="AE29">
            <v>200.0000000000002</v>
          </cell>
          <cell r="AF29">
            <v>399.99999999999932</v>
          </cell>
          <cell r="AG29">
            <v>199.99999999999926</v>
          </cell>
          <cell r="AI29">
            <v>6.6613381477509392E-15</v>
          </cell>
          <cell r="AJ29">
            <v>-2.2426505097428162E-14</v>
          </cell>
          <cell r="AK29">
            <v>0</v>
          </cell>
          <cell r="AL29">
            <v>-5.6898930012039273E-16</v>
          </cell>
          <cell r="AM29">
            <v>1.7763568394002505E-15</v>
          </cell>
          <cell r="AN29">
            <v>7.5495165674510645E-15</v>
          </cell>
          <cell r="AO29">
            <v>-1.7763568394002505E-15</v>
          </cell>
          <cell r="AP29">
            <v>-7.1054273576010019E-15</v>
          </cell>
          <cell r="AQ29">
            <v>4.4408920985006262E-15</v>
          </cell>
          <cell r="AR29">
            <v>1.1546319456101628E-14</v>
          </cell>
          <cell r="AS29">
            <v>-0.15699999999998226</v>
          </cell>
          <cell r="AT29">
            <v>-7.1054273576010019E-15</v>
          </cell>
          <cell r="AU29">
            <v>4.8849813083506888E-15</v>
          </cell>
          <cell r="AV29">
            <v>2.1316282072803006E-14</v>
          </cell>
          <cell r="AW29">
            <v>3.5527136788005009E-15</v>
          </cell>
          <cell r="AX29">
            <v>5.3290705182007514E-15</v>
          </cell>
          <cell r="AY29">
            <v>-1.2434497875801753E-14</v>
          </cell>
          <cell r="AZ29">
            <v>1.4210854715202004E-14</v>
          </cell>
          <cell r="BA29">
            <v>2.4868995751603507E-14</v>
          </cell>
          <cell r="BB29">
            <v>-8.8817841970012523E-15</v>
          </cell>
          <cell r="BC29">
            <v>-1.2789769243681803E-13</v>
          </cell>
          <cell r="BD29">
            <v>-3.5527136788005009E-14</v>
          </cell>
          <cell r="BE29">
            <v>-7.1054273576010019E-14</v>
          </cell>
          <cell r="BF29">
            <v>-1.2789769243681803E-13</v>
          </cell>
          <cell r="BG29" t="e">
            <v>#REF!</v>
          </cell>
          <cell r="BH29" t="e">
            <v>#REF!</v>
          </cell>
          <cell r="BI29" t="e">
            <v>#REF!</v>
          </cell>
          <cell r="BJ29" t="e">
            <v>#REF!</v>
          </cell>
          <cell r="BK29" t="e">
            <v>#REF!</v>
          </cell>
          <cell r="BL29" t="e">
            <v>#REF!</v>
          </cell>
          <cell r="BM29" t="e">
            <v>#REF!</v>
          </cell>
          <cell r="BN29" t="e">
            <v>#REF!</v>
          </cell>
          <cell r="BO29" t="e">
            <v>#REF!</v>
          </cell>
          <cell r="BP29" t="e">
            <v>#REF!</v>
          </cell>
          <cell r="BQ29" t="e">
            <v>#REF!</v>
          </cell>
          <cell r="BR29" t="e">
            <v>#REF!</v>
          </cell>
          <cell r="BS29">
            <v>100.0000000000001</v>
          </cell>
          <cell r="BT29">
            <v>99.999999999999645</v>
          </cell>
          <cell r="BU29">
            <v>200.00000000000011</v>
          </cell>
          <cell r="BV29">
            <v>199.99999999999966</v>
          </cell>
          <cell r="BW29">
            <v>100.0000000000001</v>
          </cell>
          <cell r="BX29">
            <v>99.999999999999631</v>
          </cell>
          <cell r="BY29" t="e">
            <v>#REF!</v>
          </cell>
          <cell r="BZ29" t="e">
            <v>#REF!</v>
          </cell>
        </row>
        <row r="30">
          <cell r="B30" t="str">
            <v>Pre-tax profit</v>
          </cell>
          <cell r="C30" t="str">
            <v>PT_PROF</v>
          </cell>
          <cell r="D30" t="str">
            <v>TWD</v>
          </cell>
          <cell r="V30">
            <v>164.87599999999992</v>
          </cell>
          <cell r="W30">
            <v>239.58300000000014</v>
          </cell>
          <cell r="X30">
            <v>397.20800000000042</v>
          </cell>
          <cell r="Y30">
            <v>504.48899999999992</v>
          </cell>
          <cell r="Z30">
            <v>634.00700000000006</v>
          </cell>
          <cell r="AA30">
            <v>862.2770000000005</v>
          </cell>
          <cell r="AB30">
            <v>1446.4349999999999</v>
          </cell>
          <cell r="AC30">
            <v>3318.3189999999977</v>
          </cell>
          <cell r="AD30">
            <v>2851.2739999999985</v>
          </cell>
          <cell r="AE30">
            <v>7221.745565607639</v>
          </cell>
          <cell r="AF30">
            <v>8656.3593655644181</v>
          </cell>
          <cell r="AG30">
            <v>9417.7364919344654</v>
          </cell>
          <cell r="AI30">
            <v>107.25</v>
          </cell>
          <cell r="AJ30">
            <v>129.04499999999999</v>
          </cell>
          <cell r="AK30">
            <v>48.875</v>
          </cell>
          <cell r="AL30">
            <v>39.793999999999997</v>
          </cell>
          <cell r="AM30">
            <v>29.358999999999998</v>
          </cell>
          <cell r="AN30">
            <v>70.330999999999989</v>
          </cell>
          <cell r="AO30">
            <v>66.02</v>
          </cell>
          <cell r="AP30">
            <v>98.856000000000009</v>
          </cell>
          <cell r="AQ30">
            <v>110.248</v>
          </cell>
          <cell r="AR30">
            <v>129.33500000000001</v>
          </cell>
          <cell r="AS30">
            <v>187.53800000000001</v>
          </cell>
          <cell r="AT30">
            <v>209.67</v>
          </cell>
          <cell r="AU30">
            <v>235.44800000000001</v>
          </cell>
          <cell r="AV30">
            <v>269.041</v>
          </cell>
          <cell r="AW30">
            <v>300.54000000000008</v>
          </cell>
          <cell r="AX30">
            <v>333.46699999999998</v>
          </cell>
          <cell r="AY30">
            <v>348.97899999999998</v>
          </cell>
          <cell r="AZ30">
            <v>513.298</v>
          </cell>
          <cell r="BA30">
            <v>552.48500000000001</v>
          </cell>
          <cell r="BB30">
            <v>893.94999999999993</v>
          </cell>
          <cell r="BC30">
            <v>1398.0309999999999</v>
          </cell>
          <cell r="BD30">
            <v>1920.288</v>
          </cell>
          <cell r="BE30">
            <v>1412.377</v>
          </cell>
          <cell r="BF30">
            <v>1438.8969999999999</v>
          </cell>
          <cell r="BG30" t="e">
            <v>#REF!</v>
          </cell>
          <cell r="BH30" t="e">
            <v>#REF!</v>
          </cell>
          <cell r="BI30" t="e">
            <v>#REF!</v>
          </cell>
          <cell r="BJ30" t="e">
            <v>#REF!</v>
          </cell>
          <cell r="BK30" t="e">
            <v>#REF!</v>
          </cell>
          <cell r="BL30" t="e">
            <v>#REF!</v>
          </cell>
          <cell r="BM30" t="e">
            <v>#REF!</v>
          </cell>
          <cell r="BN30" t="e">
            <v>#REF!</v>
          </cell>
          <cell r="BO30" t="e">
            <v>#REF!</v>
          </cell>
          <cell r="BP30" t="e">
            <v>#REF!</v>
          </cell>
          <cell r="BQ30" t="e">
            <v>#REF!</v>
          </cell>
          <cell r="BR30" t="e">
            <v>#REF!</v>
          </cell>
          <cell r="BS30">
            <v>2995.4236754085055</v>
          </cell>
          <cell r="BT30">
            <v>4226.3218901991286</v>
          </cell>
          <cell r="BU30">
            <v>3648.1434845031777</v>
          </cell>
          <cell r="BV30">
            <v>5008.2158810612391</v>
          </cell>
          <cell r="BW30">
            <v>4081.384916958888</v>
          </cell>
          <cell r="BX30">
            <v>5336.3515749755852</v>
          </cell>
          <cell r="BY30" t="e">
            <v>#REF!</v>
          </cell>
          <cell r="BZ30" t="e">
            <v>#REF!</v>
          </cell>
        </row>
        <row r="31">
          <cell r="A31" t="str">
            <v>Additional Income Statement Items</v>
          </cell>
        </row>
        <row r="32">
          <cell r="B32" t="str">
            <v>Contribution margin ratio</v>
          </cell>
          <cell r="C32" t="str">
            <v>CONTRIB_MARGIN_RATIO</v>
          </cell>
          <cell r="D32" t="str">
            <v>TWD</v>
          </cell>
        </row>
        <row r="33">
          <cell r="B33" t="str">
            <v>Lease payments</v>
          </cell>
          <cell r="C33" t="str">
            <v>LEASE_PAY</v>
          </cell>
          <cell r="D33" t="str">
            <v>TWD</v>
          </cell>
          <cell r="V33">
            <v>0</v>
          </cell>
          <cell r="W33">
            <v>0</v>
          </cell>
          <cell r="X33">
            <v>0</v>
          </cell>
          <cell r="Y33">
            <v>0</v>
          </cell>
          <cell r="Z33">
            <v>0</v>
          </cell>
          <cell r="AA33">
            <v>0</v>
          </cell>
          <cell r="AB33">
            <v>0</v>
          </cell>
          <cell r="AC33">
            <v>0</v>
          </cell>
          <cell r="AD33">
            <v>0</v>
          </cell>
          <cell r="AE33">
            <v>0</v>
          </cell>
          <cell r="AF33">
            <v>0</v>
          </cell>
          <cell r="AG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row>
        <row r="34">
          <cell r="B34" t="str">
            <v>Lease payments (deemed interest portion)</v>
          </cell>
          <cell r="C34" t="str">
            <v>LEASE_DEEM_INT</v>
          </cell>
          <cell r="D34" t="str">
            <v>TWD</v>
          </cell>
        </row>
        <row r="35">
          <cell r="B35" t="str">
            <v>Lease payments (deemed depreciation portion)</v>
          </cell>
          <cell r="C35" t="str">
            <v>LEASE_DEEM_DEPR</v>
          </cell>
          <cell r="D35" t="str">
            <v>TWD</v>
          </cell>
        </row>
        <row r="36">
          <cell r="B36" t="str">
            <v>Gross interest charge</v>
          </cell>
          <cell r="C36" t="str">
            <v>NET_INT_CH</v>
          </cell>
          <cell r="D36" t="str">
            <v>TWD</v>
          </cell>
          <cell r="V36">
            <v>-9.2249999999999996</v>
          </cell>
          <cell r="W36">
            <v>-7.3390000000000004</v>
          </cell>
          <cell r="X36">
            <v>-7.1859999999999999</v>
          </cell>
          <cell r="Y36">
            <v>-7.1849999999999996</v>
          </cell>
          <cell r="Z36">
            <v>-12.772</v>
          </cell>
          <cell r="AA36">
            <v>-17.588999999999999</v>
          </cell>
          <cell r="AB36">
            <v>-28.519999999999996</v>
          </cell>
          <cell r="AC36">
            <v>-64.896999999999991</v>
          </cell>
          <cell r="AD36">
            <v>-225.92400000000001</v>
          </cell>
          <cell r="AE36">
            <v>-251.566</v>
          </cell>
          <cell r="AF36">
            <v>-251.566</v>
          </cell>
          <cell r="AG36">
            <v>-251.56599999999997</v>
          </cell>
          <cell r="AI36">
            <v>-1.9510000000000001</v>
          </cell>
          <cell r="AJ36">
            <v>-1.8440000000000001</v>
          </cell>
          <cell r="AK36">
            <v>0</v>
          </cell>
          <cell r="AL36">
            <v>-1.4999999999999999E-2</v>
          </cell>
          <cell r="AM36">
            <v>-0.67300000000000004</v>
          </cell>
          <cell r="AN36">
            <v>-1.177</v>
          </cell>
          <cell r="AO36">
            <v>-4.298</v>
          </cell>
          <cell r="AP36">
            <v>-4.9269999999999996</v>
          </cell>
          <cell r="AQ36">
            <v>-3.7640000000000002</v>
          </cell>
          <cell r="AR36">
            <v>-3.5750000000000002</v>
          </cell>
          <cell r="AS36">
            <v>-3.625</v>
          </cell>
          <cell r="AT36">
            <v>-3.5609999999999999</v>
          </cell>
          <cell r="AU36">
            <v>-2.1240000000000001</v>
          </cell>
          <cell r="AV36">
            <v>-5.0609999999999999</v>
          </cell>
          <cell r="AW36">
            <v>-7.4039999999999999</v>
          </cell>
          <cell r="AX36">
            <v>-5.3680000000000003</v>
          </cell>
          <cell r="AY36">
            <v>-9.0739999999999998</v>
          </cell>
          <cell r="AZ36">
            <v>-8.5150000000000006</v>
          </cell>
          <cell r="BA36">
            <v>-18.553999999999998</v>
          </cell>
          <cell r="BB36">
            <v>-9.9659999999999993</v>
          </cell>
          <cell r="BC36">
            <v>-26.908000000000001</v>
          </cell>
          <cell r="BD36">
            <v>-37.988999999999997</v>
          </cell>
          <cell r="BE36">
            <v>-100.14100000000001</v>
          </cell>
          <cell r="BF36">
            <v>-125.783</v>
          </cell>
          <cell r="BG36" t="e">
            <v>#REF!</v>
          </cell>
          <cell r="BH36" t="e">
            <v>#REF!</v>
          </cell>
          <cell r="BI36" t="e">
            <v>#REF!</v>
          </cell>
          <cell r="BJ36" t="e">
            <v>#REF!</v>
          </cell>
          <cell r="BK36" t="e">
            <v>#REF!</v>
          </cell>
          <cell r="BL36" t="e">
            <v>#REF!</v>
          </cell>
          <cell r="BM36" t="e">
            <v>#REF!</v>
          </cell>
          <cell r="BN36" t="e">
            <v>#REF!</v>
          </cell>
          <cell r="BO36" t="e">
            <v>#REF!</v>
          </cell>
          <cell r="BP36" t="e">
            <v>#REF!</v>
          </cell>
          <cell r="BQ36" t="e">
            <v>#REF!</v>
          </cell>
          <cell r="BR36" t="e">
            <v>#REF!</v>
          </cell>
          <cell r="BS36">
            <v>-125.783</v>
          </cell>
          <cell r="BT36">
            <v>-125.783</v>
          </cell>
          <cell r="BU36">
            <v>-125.783</v>
          </cell>
          <cell r="BV36">
            <v>-125.783</v>
          </cell>
          <cell r="BW36">
            <v>-125.783</v>
          </cell>
          <cell r="BX36">
            <v>-125.78299999999999</v>
          </cell>
          <cell r="BY36" t="e">
            <v>#REF!</v>
          </cell>
          <cell r="BZ36" t="e">
            <v>#REF!</v>
          </cell>
        </row>
        <row r="37">
          <cell r="B37" t="str">
            <v>Income from associates (operating)</v>
          </cell>
          <cell r="C37" t="str">
            <v>ASSOCIATE_OP</v>
          </cell>
          <cell r="D37" t="str">
            <v>TWD</v>
          </cell>
        </row>
        <row r="38">
          <cell r="A38" t="str">
            <v>Balance Sheet</v>
          </cell>
        </row>
        <row r="39">
          <cell r="B39" t="str">
            <v>Cash &amp; cash equivalents</v>
          </cell>
          <cell r="C39" t="str">
            <v>CASH_EQ</v>
          </cell>
          <cell r="D39" t="str">
            <v>TWD</v>
          </cell>
          <cell r="V39">
            <v>188.27799999999999</v>
          </cell>
          <cell r="W39">
            <v>335.75700000000001</v>
          </cell>
          <cell r="X39">
            <v>524.21500000000003</v>
          </cell>
          <cell r="Y39">
            <v>1692.037</v>
          </cell>
          <cell r="Z39">
            <v>899.54600000000005</v>
          </cell>
          <cell r="AA39">
            <v>1966.9659999999999</v>
          </cell>
          <cell r="AB39">
            <v>2653.67</v>
          </cell>
          <cell r="AC39">
            <v>3199.2170000000001</v>
          </cell>
          <cell r="AD39">
            <v>4824.5742523269837</v>
          </cell>
          <cell r="AE39">
            <v>7568.6150821182891</v>
          </cell>
          <cell r="AF39">
            <v>11830.771726426719</v>
          </cell>
          <cell r="AG39">
            <v>16696.817481070422</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t="e">
            <v>#REF!</v>
          </cell>
          <cell r="BH39" t="e">
            <v>#REF!</v>
          </cell>
          <cell r="BI39" t="e">
            <v>#REF!</v>
          </cell>
          <cell r="BJ39" t="e">
            <v>#REF!</v>
          </cell>
          <cell r="BK39" t="e">
            <v>#REF!</v>
          </cell>
          <cell r="BL39" t="e">
            <v>#REF!</v>
          </cell>
          <cell r="BM39" t="e">
            <v>#REF!</v>
          </cell>
          <cell r="BN39" t="e">
            <v>#REF!</v>
          </cell>
          <cell r="BO39" t="e">
            <v>#REF!</v>
          </cell>
          <cell r="BP39" t="e">
            <v>#REF!</v>
          </cell>
          <cell r="BQ39" t="e">
            <v>#REF!</v>
          </cell>
          <cell r="BR39" t="e">
            <v>#REF!</v>
          </cell>
          <cell r="BS39">
            <v>0</v>
          </cell>
          <cell r="BT39">
            <v>0</v>
          </cell>
          <cell r="BU39">
            <v>0</v>
          </cell>
          <cell r="BV39">
            <v>0</v>
          </cell>
          <cell r="BW39">
            <v>0</v>
          </cell>
          <cell r="BX39">
            <v>0</v>
          </cell>
          <cell r="BY39" t="e">
            <v>#REF!</v>
          </cell>
          <cell r="BZ39" t="e">
            <v>#REF!</v>
          </cell>
        </row>
        <row r="40">
          <cell r="B40" t="str">
            <v>Accounts receivable</v>
          </cell>
          <cell r="C40" t="str">
            <v>DEBTORS</v>
          </cell>
          <cell r="D40" t="str">
            <v>TWD</v>
          </cell>
          <cell r="V40">
            <v>1041.6279999999999</v>
          </cell>
          <cell r="W40">
            <v>924.59199999999998</v>
          </cell>
          <cell r="X40">
            <v>994.21199999999999</v>
          </cell>
          <cell r="Y40">
            <v>1180.7240000000002</v>
          </cell>
          <cell r="Z40">
            <v>2375.3900000000003</v>
          </cell>
          <cell r="AA40">
            <v>2973.2390000000005</v>
          </cell>
          <cell r="AB40">
            <v>3679.6530000000002</v>
          </cell>
          <cell r="AC40">
            <v>5592.03</v>
          </cell>
          <cell r="AD40">
            <v>5374.8815703881901</v>
          </cell>
          <cell r="AE40">
            <v>7763.8550440654299</v>
          </cell>
          <cell r="AF40">
            <v>8803.1970488047427</v>
          </cell>
          <cell r="AG40">
            <v>9612.6215664024166</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t="e">
            <v>#REF!</v>
          </cell>
          <cell r="BH40" t="e">
            <v>#REF!</v>
          </cell>
          <cell r="BI40" t="e">
            <v>#REF!</v>
          </cell>
          <cell r="BJ40" t="e">
            <v>#REF!</v>
          </cell>
          <cell r="BK40" t="e">
            <v>#REF!</v>
          </cell>
          <cell r="BL40" t="e">
            <v>#REF!</v>
          </cell>
          <cell r="BM40" t="e">
            <v>#REF!</v>
          </cell>
          <cell r="BN40" t="e">
            <v>#REF!</v>
          </cell>
          <cell r="BO40" t="e">
            <v>#REF!</v>
          </cell>
          <cell r="BP40" t="e">
            <v>#REF!</v>
          </cell>
          <cell r="BQ40" t="e">
            <v>#REF!</v>
          </cell>
          <cell r="BR40" t="e">
            <v>#REF!</v>
          </cell>
          <cell r="BS40">
            <v>0</v>
          </cell>
          <cell r="BT40">
            <v>0</v>
          </cell>
          <cell r="BU40">
            <v>0</v>
          </cell>
          <cell r="BV40">
            <v>0</v>
          </cell>
          <cell r="BW40">
            <v>0</v>
          </cell>
          <cell r="BX40">
            <v>0</v>
          </cell>
          <cell r="BY40" t="e">
            <v>#REF!</v>
          </cell>
          <cell r="BZ40" t="e">
            <v>#REF!</v>
          </cell>
        </row>
        <row r="41">
          <cell r="B41" t="str">
            <v>Inventory</v>
          </cell>
          <cell r="C41" t="str">
            <v>STOCKS</v>
          </cell>
          <cell r="D41" t="str">
            <v>TWD</v>
          </cell>
          <cell r="V41">
            <v>220.59800000000001</v>
          </cell>
          <cell r="W41">
            <v>472.339</v>
          </cell>
          <cell r="X41">
            <v>747.673</v>
          </cell>
          <cell r="Y41">
            <v>767.91499999999996</v>
          </cell>
          <cell r="Z41">
            <v>895.69299999999998</v>
          </cell>
          <cell r="AA41">
            <v>896.96199999999999</v>
          </cell>
          <cell r="AB41">
            <v>2828.3620000000001</v>
          </cell>
          <cell r="AC41">
            <v>2621.8440000000001</v>
          </cell>
          <cell r="AD41">
            <v>3261.2098458860314</v>
          </cell>
          <cell r="AE41">
            <v>4569.5612696362023</v>
          </cell>
          <cell r="AF41">
            <v>5156.0299924544952</v>
          </cell>
          <cell r="AG41">
            <v>5612.7823160981034</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#REF!</v>
          </cell>
          <cell r="BH41" t="e">
            <v>#REF!</v>
          </cell>
          <cell r="BI41" t="e">
            <v>#REF!</v>
          </cell>
          <cell r="BJ41" t="e">
            <v>#REF!</v>
          </cell>
          <cell r="BK41" t="e">
            <v>#REF!</v>
          </cell>
          <cell r="BL41" t="e">
            <v>#REF!</v>
          </cell>
          <cell r="BM41" t="e">
            <v>#REF!</v>
          </cell>
          <cell r="BN41" t="e">
            <v>#REF!</v>
          </cell>
          <cell r="BO41" t="e">
            <v>#REF!</v>
          </cell>
          <cell r="BP41" t="e">
            <v>#REF!</v>
          </cell>
          <cell r="BQ41" t="e">
            <v>#REF!</v>
          </cell>
          <cell r="BR41" t="e">
            <v>#REF!</v>
          </cell>
          <cell r="BS41">
            <v>0</v>
          </cell>
          <cell r="BT41">
            <v>0</v>
          </cell>
          <cell r="BU41">
            <v>0</v>
          </cell>
          <cell r="BV41">
            <v>0</v>
          </cell>
          <cell r="BW41">
            <v>0</v>
          </cell>
          <cell r="BX41">
            <v>0</v>
          </cell>
          <cell r="BY41" t="e">
            <v>#REF!</v>
          </cell>
          <cell r="BZ41" t="e">
            <v>#REF!</v>
          </cell>
        </row>
        <row r="42">
          <cell r="B42" t="str">
            <v>Other current assets</v>
          </cell>
          <cell r="C42" t="str">
            <v>OTH_CUR_ASS</v>
          </cell>
          <cell r="D42" t="str">
            <v>TWD</v>
          </cell>
          <cell r="V42">
            <v>76.682000000000016</v>
          </cell>
          <cell r="W42">
            <v>89.736999999999853</v>
          </cell>
          <cell r="X42">
            <v>0.8819999999996071</v>
          </cell>
          <cell r="Y42">
            <v>125.73999999999978</v>
          </cell>
          <cell r="Z42">
            <v>33.763999999999214</v>
          </cell>
          <cell r="AA42">
            <v>179.92999999999938</v>
          </cell>
          <cell r="AB42">
            <v>156.1820000000007</v>
          </cell>
          <cell r="AC42">
            <v>222.36399999999958</v>
          </cell>
          <cell r="AD42">
            <v>257.81299156103523</v>
          </cell>
          <cell r="AE42">
            <v>372.40312530498704</v>
          </cell>
          <cell r="AF42">
            <v>422.2564789068856</v>
          </cell>
          <cell r="AG42">
            <v>461.08154948599986</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#REF!</v>
          </cell>
          <cell r="BH42" t="e">
            <v>#REF!</v>
          </cell>
          <cell r="BI42" t="e">
            <v>#REF!</v>
          </cell>
          <cell r="BJ42" t="e">
            <v>#REF!</v>
          </cell>
          <cell r="BK42" t="e">
            <v>#REF!</v>
          </cell>
          <cell r="BL42" t="e">
            <v>#REF!</v>
          </cell>
          <cell r="BM42" t="e">
            <v>#REF!</v>
          </cell>
          <cell r="BN42" t="e">
            <v>#REF!</v>
          </cell>
          <cell r="BO42" t="e">
            <v>#REF!</v>
          </cell>
          <cell r="BP42" t="e">
            <v>#REF!</v>
          </cell>
          <cell r="BQ42" t="e">
            <v>#REF!</v>
          </cell>
          <cell r="BR42" t="e">
            <v>#REF!</v>
          </cell>
          <cell r="BS42">
            <v>0</v>
          </cell>
          <cell r="BT42">
            <v>0</v>
          </cell>
          <cell r="BU42">
            <v>0</v>
          </cell>
          <cell r="BV42">
            <v>0</v>
          </cell>
          <cell r="BW42">
            <v>0</v>
          </cell>
          <cell r="BX42">
            <v>0</v>
          </cell>
          <cell r="BY42" t="e">
            <v>#REF!</v>
          </cell>
          <cell r="BZ42" t="e">
            <v>#REF!</v>
          </cell>
        </row>
        <row r="43">
          <cell r="B43" t="str">
            <v>Total current assets</v>
          </cell>
          <cell r="C43" t="str">
            <v>CUR_ASS</v>
          </cell>
          <cell r="D43" t="str">
            <v>TWD</v>
          </cell>
          <cell r="V43">
            <v>1527.1859999999999</v>
          </cell>
          <cell r="W43">
            <v>1822.4249999999997</v>
          </cell>
          <cell r="X43">
            <v>2266.982</v>
          </cell>
          <cell r="Y43">
            <v>3766.4160000000002</v>
          </cell>
          <cell r="Z43">
            <v>4204.393</v>
          </cell>
          <cell r="AA43">
            <v>6017.0969999999988</v>
          </cell>
          <cell r="AB43">
            <v>9317.867000000002</v>
          </cell>
          <cell r="AC43">
            <v>11635.455</v>
          </cell>
          <cell r="AD43">
            <v>13718.47866016224</v>
          </cell>
          <cell r="AE43">
            <v>20274.434521124906</v>
          </cell>
          <cell r="AF43">
            <v>26212.255246592846</v>
          </cell>
          <cell r="AG43">
            <v>32383.302913056941</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t="e">
            <v>#REF!</v>
          </cell>
          <cell r="BH43" t="e">
            <v>#REF!</v>
          </cell>
          <cell r="BI43" t="e">
            <v>#REF!</v>
          </cell>
          <cell r="BJ43" t="e">
            <v>#REF!</v>
          </cell>
          <cell r="BK43" t="e">
            <v>#REF!</v>
          </cell>
          <cell r="BL43" t="e">
            <v>#REF!</v>
          </cell>
          <cell r="BM43" t="e">
            <v>#REF!</v>
          </cell>
          <cell r="BN43" t="e">
            <v>#REF!</v>
          </cell>
          <cell r="BO43" t="e">
            <v>#REF!</v>
          </cell>
          <cell r="BP43" t="e">
            <v>#REF!</v>
          </cell>
          <cell r="BQ43" t="e">
            <v>#REF!</v>
          </cell>
          <cell r="BR43" t="e">
            <v>#REF!</v>
          </cell>
          <cell r="BS43">
            <v>0</v>
          </cell>
          <cell r="BT43">
            <v>0</v>
          </cell>
          <cell r="BU43">
            <v>0</v>
          </cell>
          <cell r="BV43">
            <v>0</v>
          </cell>
          <cell r="BW43">
            <v>0</v>
          </cell>
          <cell r="BX43">
            <v>0</v>
          </cell>
          <cell r="BY43" t="e">
            <v>#REF!</v>
          </cell>
          <cell r="BZ43" t="e">
            <v>#REF!</v>
          </cell>
        </row>
        <row r="44">
          <cell r="B44" t="str">
            <v>Gross fixed assets, PP&amp;E</v>
          </cell>
          <cell r="C44" t="str">
            <v>GR_FIX_ASS</v>
          </cell>
          <cell r="D44" t="str">
            <v>TWD</v>
          </cell>
          <cell r="V44">
            <v>868.99700000000007</v>
          </cell>
          <cell r="W44">
            <v>982.74299999999994</v>
          </cell>
          <cell r="X44">
            <v>1259.029</v>
          </cell>
          <cell r="Y44">
            <v>1510.3899999999999</v>
          </cell>
          <cell r="Z44">
            <v>1965.5169999999998</v>
          </cell>
          <cell r="AA44">
            <v>2347.7629999999999</v>
          </cell>
          <cell r="AB44">
            <v>3298.087</v>
          </cell>
          <cell r="AC44">
            <v>4969.9320000000007</v>
          </cell>
          <cell r="AD44">
            <v>6969.9320000000007</v>
          </cell>
          <cell r="AE44">
            <v>8969.9320000000007</v>
          </cell>
          <cell r="AF44">
            <v>10969.932000000001</v>
          </cell>
          <cell r="AG44">
            <v>12969.932000000001</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t="e">
            <v>#REF!</v>
          </cell>
          <cell r="BH44" t="e">
            <v>#REF!</v>
          </cell>
          <cell r="BI44" t="e">
            <v>#REF!</v>
          </cell>
          <cell r="BJ44" t="e">
            <v>#REF!</v>
          </cell>
          <cell r="BK44" t="e">
            <v>#REF!</v>
          </cell>
          <cell r="BL44" t="e">
            <v>#REF!</v>
          </cell>
          <cell r="BM44" t="e">
            <v>#REF!</v>
          </cell>
          <cell r="BN44" t="e">
            <v>#REF!</v>
          </cell>
          <cell r="BO44" t="e">
            <v>#REF!</v>
          </cell>
          <cell r="BP44" t="e">
            <v>#REF!</v>
          </cell>
          <cell r="BQ44" t="e">
            <v>#REF!</v>
          </cell>
          <cell r="BR44" t="e">
            <v>#REF!</v>
          </cell>
          <cell r="BS44">
            <v>0</v>
          </cell>
          <cell r="BT44">
            <v>0</v>
          </cell>
          <cell r="BU44">
            <v>0</v>
          </cell>
          <cell r="BV44">
            <v>0</v>
          </cell>
          <cell r="BW44">
            <v>0</v>
          </cell>
          <cell r="BX44">
            <v>0</v>
          </cell>
          <cell r="BY44" t="e">
            <v>#REF!</v>
          </cell>
          <cell r="BZ44" t="e">
            <v>#REF!</v>
          </cell>
        </row>
        <row r="45">
          <cell r="B45" t="str">
            <v>Accumulated depreciation</v>
          </cell>
          <cell r="C45" t="str">
            <v>ACC_DDA</v>
          </cell>
          <cell r="D45" t="str">
            <v>TWD</v>
          </cell>
          <cell r="V45">
            <v>-396.50299999999999</v>
          </cell>
          <cell r="W45">
            <v>-466.37799999999999</v>
          </cell>
          <cell r="X45">
            <v>-562.91300000000001</v>
          </cell>
          <cell r="Y45">
            <v>-651.53</v>
          </cell>
          <cell r="Z45">
            <v>-842.745</v>
          </cell>
          <cell r="AA45">
            <v>-1069.9110000000001</v>
          </cell>
          <cell r="AB45">
            <v>-1352.193</v>
          </cell>
          <cell r="AC45">
            <v>-1789.018</v>
          </cell>
          <cell r="AD45">
            <v>-1789.018</v>
          </cell>
          <cell r="AE45">
            <v>-1789.018</v>
          </cell>
          <cell r="AF45">
            <v>-1789.018</v>
          </cell>
          <cell r="AG45">
            <v>-1789.018</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t="e">
            <v>#REF!</v>
          </cell>
          <cell r="BH45" t="e">
            <v>#REF!</v>
          </cell>
          <cell r="BI45" t="e">
            <v>#REF!</v>
          </cell>
          <cell r="BJ45" t="e">
            <v>#REF!</v>
          </cell>
          <cell r="BK45" t="e">
            <v>#REF!</v>
          </cell>
          <cell r="BL45" t="e">
            <v>#REF!</v>
          </cell>
          <cell r="BM45" t="e">
            <v>#REF!</v>
          </cell>
          <cell r="BN45" t="e">
            <v>#REF!</v>
          </cell>
          <cell r="BO45" t="e">
            <v>#REF!</v>
          </cell>
          <cell r="BP45" t="e">
            <v>#REF!</v>
          </cell>
          <cell r="BQ45" t="e">
            <v>#REF!</v>
          </cell>
          <cell r="BR45" t="e">
            <v>#REF!</v>
          </cell>
          <cell r="BS45">
            <v>0</v>
          </cell>
          <cell r="BT45">
            <v>0</v>
          </cell>
          <cell r="BU45">
            <v>0</v>
          </cell>
          <cell r="BV45">
            <v>0</v>
          </cell>
          <cell r="BW45">
            <v>0</v>
          </cell>
          <cell r="BX45">
            <v>0</v>
          </cell>
          <cell r="BY45" t="e">
            <v>#REF!</v>
          </cell>
          <cell r="BZ45" t="e">
            <v>#REF!</v>
          </cell>
        </row>
        <row r="46">
          <cell r="B46" t="str">
            <v>Net PP&amp;E</v>
          </cell>
          <cell r="C46" t="str">
            <v>NET_FIX_ASS</v>
          </cell>
          <cell r="D46" t="str">
            <v>TWD</v>
          </cell>
          <cell r="V46">
            <v>472.49400000000009</v>
          </cell>
          <cell r="W46">
            <v>516.36500000000001</v>
          </cell>
          <cell r="X46">
            <v>696.11599999999999</v>
          </cell>
          <cell r="Y46">
            <v>858.8599999999999</v>
          </cell>
          <cell r="Z46">
            <v>1122.7719999999999</v>
          </cell>
          <cell r="AA46">
            <v>1277.8519999999999</v>
          </cell>
          <cell r="AB46">
            <v>1945.894</v>
          </cell>
          <cell r="AC46">
            <v>3180.9140000000007</v>
          </cell>
          <cell r="AD46">
            <v>5180.9140000000007</v>
          </cell>
          <cell r="AE46">
            <v>7180.9140000000007</v>
          </cell>
          <cell r="AF46">
            <v>9180.9140000000007</v>
          </cell>
          <cell r="AG46">
            <v>11180.914000000001</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t="e">
            <v>#REF!</v>
          </cell>
          <cell r="BH46" t="e">
            <v>#REF!</v>
          </cell>
          <cell r="BI46" t="e">
            <v>#REF!</v>
          </cell>
          <cell r="BJ46" t="e">
            <v>#REF!</v>
          </cell>
          <cell r="BK46" t="e">
            <v>#REF!</v>
          </cell>
          <cell r="BL46" t="e">
            <v>#REF!</v>
          </cell>
          <cell r="BM46" t="e">
            <v>#REF!</v>
          </cell>
          <cell r="BN46" t="e">
            <v>#REF!</v>
          </cell>
          <cell r="BO46" t="e">
            <v>#REF!</v>
          </cell>
          <cell r="BP46" t="e">
            <v>#REF!</v>
          </cell>
          <cell r="BQ46" t="e">
            <v>#REF!</v>
          </cell>
          <cell r="BR46" t="e">
            <v>#REF!</v>
          </cell>
          <cell r="BS46">
            <v>0</v>
          </cell>
          <cell r="BT46">
            <v>0</v>
          </cell>
          <cell r="BU46">
            <v>0</v>
          </cell>
          <cell r="BV46">
            <v>0</v>
          </cell>
          <cell r="BW46">
            <v>0</v>
          </cell>
          <cell r="BX46">
            <v>0</v>
          </cell>
          <cell r="BY46" t="e">
            <v>#REF!</v>
          </cell>
          <cell r="BZ46" t="e">
            <v>#REF!</v>
          </cell>
        </row>
        <row r="47">
          <cell r="B47" t="str">
            <v>Gross intangibles</v>
          </cell>
          <cell r="C47" t="str">
            <v>GR_INTANG</v>
          </cell>
          <cell r="D47" t="str">
            <v>TWD</v>
          </cell>
          <cell r="V47">
            <v>23.384</v>
          </cell>
          <cell r="W47">
            <v>3.5000000000000003E-2</v>
          </cell>
          <cell r="X47">
            <v>3.9E-2</v>
          </cell>
          <cell r="Y47">
            <v>2.7E-2</v>
          </cell>
          <cell r="Z47">
            <v>1.4999999999999999E-2</v>
          </cell>
          <cell r="AA47">
            <v>6.0000000000000001E-3</v>
          </cell>
          <cell r="AB47">
            <v>1E-3</v>
          </cell>
          <cell r="AC47">
            <v>392.42399999999998</v>
          </cell>
          <cell r="AD47">
            <v>-33267.151999999995</v>
          </cell>
          <cell r="AE47">
            <v>-66926.727999999988</v>
          </cell>
          <cell r="AF47">
            <v>-100586.30399999997</v>
          </cell>
          <cell r="AG47">
            <v>-134245.87999999998</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t="e">
            <v>#REF!</v>
          </cell>
          <cell r="BH47" t="e">
            <v>#REF!</v>
          </cell>
          <cell r="BI47" t="e">
            <v>#REF!</v>
          </cell>
          <cell r="BJ47" t="e">
            <v>#REF!</v>
          </cell>
          <cell r="BK47" t="e">
            <v>#REF!</v>
          </cell>
          <cell r="BL47" t="e">
            <v>#REF!</v>
          </cell>
          <cell r="BM47" t="e">
            <v>#REF!</v>
          </cell>
          <cell r="BN47" t="e">
            <v>#REF!</v>
          </cell>
          <cell r="BO47" t="e">
            <v>#REF!</v>
          </cell>
          <cell r="BP47" t="e">
            <v>#REF!</v>
          </cell>
          <cell r="BQ47" t="e">
            <v>#REF!</v>
          </cell>
          <cell r="BR47" t="e">
            <v>#REF!</v>
          </cell>
          <cell r="BS47">
            <v>0</v>
          </cell>
          <cell r="BT47">
            <v>0</v>
          </cell>
          <cell r="BU47">
            <v>0</v>
          </cell>
          <cell r="BV47">
            <v>0</v>
          </cell>
          <cell r="BW47">
            <v>0</v>
          </cell>
          <cell r="BX47">
            <v>0</v>
          </cell>
          <cell r="BY47" t="e">
            <v>#REF!</v>
          </cell>
          <cell r="BZ47" t="e">
            <v>#REF!</v>
          </cell>
        </row>
        <row r="48">
          <cell r="B48" t="str">
            <v>Accumulated amortization</v>
          </cell>
          <cell r="C48" t="str">
            <v>ACC_AMORT</v>
          </cell>
          <cell r="D48" t="str">
            <v>TWD</v>
          </cell>
          <cell r="V48">
            <v>0</v>
          </cell>
          <cell r="W48">
            <v>0</v>
          </cell>
          <cell r="X48">
            <v>0</v>
          </cell>
          <cell r="Y48">
            <v>0</v>
          </cell>
          <cell r="Z48">
            <v>0</v>
          </cell>
          <cell r="AA48">
            <v>0</v>
          </cell>
          <cell r="AB48">
            <v>0</v>
          </cell>
          <cell r="AC48">
            <v>0</v>
          </cell>
          <cell r="AD48">
            <v>0</v>
          </cell>
          <cell r="AE48">
            <v>0</v>
          </cell>
          <cell r="AF48">
            <v>0</v>
          </cell>
          <cell r="AG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t="e">
            <v>#REF!</v>
          </cell>
          <cell r="BH48" t="e">
            <v>#REF!</v>
          </cell>
          <cell r="BI48" t="e">
            <v>#REF!</v>
          </cell>
          <cell r="BJ48" t="e">
            <v>#REF!</v>
          </cell>
          <cell r="BK48" t="e">
            <v>#REF!</v>
          </cell>
          <cell r="BL48" t="e">
            <v>#REF!</v>
          </cell>
          <cell r="BM48" t="e">
            <v>#REF!</v>
          </cell>
          <cell r="BN48" t="e">
            <v>#REF!</v>
          </cell>
          <cell r="BO48" t="e">
            <v>#REF!</v>
          </cell>
          <cell r="BP48" t="e">
            <v>#REF!</v>
          </cell>
          <cell r="BQ48" t="e">
            <v>#REF!</v>
          </cell>
          <cell r="BR48" t="e">
            <v>#REF!</v>
          </cell>
          <cell r="BS48">
            <v>0</v>
          </cell>
          <cell r="BT48">
            <v>0</v>
          </cell>
          <cell r="BU48">
            <v>0</v>
          </cell>
          <cell r="BV48">
            <v>0</v>
          </cell>
          <cell r="BW48">
            <v>0</v>
          </cell>
          <cell r="BX48">
            <v>0</v>
          </cell>
          <cell r="BY48" t="e">
            <v>#REF!</v>
          </cell>
          <cell r="BZ48" t="e">
            <v>#REF!</v>
          </cell>
        </row>
        <row r="49">
          <cell r="B49" t="str">
            <v>Net intangible assets</v>
          </cell>
          <cell r="C49" t="str">
            <v>NET_INTANG</v>
          </cell>
          <cell r="D49" t="str">
            <v>TWD</v>
          </cell>
          <cell r="V49">
            <v>23.384</v>
          </cell>
          <cell r="W49">
            <v>3.5000000000000003E-2</v>
          </cell>
          <cell r="X49">
            <v>3.9E-2</v>
          </cell>
          <cell r="Y49">
            <v>2.7E-2</v>
          </cell>
          <cell r="Z49">
            <v>1.4999999999999999E-2</v>
          </cell>
          <cell r="AA49">
            <v>6.0000000000000001E-3</v>
          </cell>
          <cell r="AB49">
            <v>1E-3</v>
          </cell>
          <cell r="AC49">
            <v>392.42399999999998</v>
          </cell>
          <cell r="AD49">
            <v>-33267.151999999995</v>
          </cell>
          <cell r="AE49">
            <v>-66926.727999999988</v>
          </cell>
          <cell r="AF49">
            <v>-100586.30399999997</v>
          </cell>
          <cell r="AG49">
            <v>-134245.87999999998</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t="e">
            <v>#REF!</v>
          </cell>
          <cell r="BH49" t="e">
            <v>#REF!</v>
          </cell>
          <cell r="BI49" t="e">
            <v>#REF!</v>
          </cell>
          <cell r="BJ49" t="e">
            <v>#REF!</v>
          </cell>
          <cell r="BK49" t="e">
            <v>#REF!</v>
          </cell>
          <cell r="BL49" t="e">
            <v>#REF!</v>
          </cell>
          <cell r="BM49" t="e">
            <v>#REF!</v>
          </cell>
          <cell r="BN49" t="e">
            <v>#REF!</v>
          </cell>
          <cell r="BO49" t="e">
            <v>#REF!</v>
          </cell>
          <cell r="BP49" t="e">
            <v>#REF!</v>
          </cell>
          <cell r="BQ49" t="e">
            <v>#REF!</v>
          </cell>
          <cell r="BR49" t="e">
            <v>#REF!</v>
          </cell>
          <cell r="BS49">
            <v>0</v>
          </cell>
          <cell r="BT49">
            <v>0</v>
          </cell>
          <cell r="BU49">
            <v>0</v>
          </cell>
          <cell r="BV49">
            <v>0</v>
          </cell>
          <cell r="BW49">
            <v>0</v>
          </cell>
          <cell r="BX49">
            <v>0</v>
          </cell>
          <cell r="BY49" t="e">
            <v>#REF!</v>
          </cell>
          <cell r="BZ49" t="e">
            <v>#REF!</v>
          </cell>
        </row>
        <row r="50">
          <cell r="B50" t="str">
            <v>Equity method investments</v>
          </cell>
          <cell r="C50" t="str">
            <v>FIX_ASS_INV</v>
          </cell>
          <cell r="D50" t="str">
            <v>TWD</v>
          </cell>
        </row>
        <row r="51">
          <cell r="B51" t="str">
            <v>Investments in securities</v>
          </cell>
          <cell r="C51" t="str">
            <v>INV_SECUR</v>
          </cell>
          <cell r="D51" t="str">
            <v>TWD</v>
          </cell>
          <cell r="V51">
            <v>14.954000000000001</v>
          </cell>
          <cell r="W51">
            <v>13.682</v>
          </cell>
          <cell r="X51">
            <v>0.98199999999999998</v>
          </cell>
          <cell r="Y51">
            <v>0.39200000000000002</v>
          </cell>
          <cell r="Z51">
            <v>114.81</v>
          </cell>
          <cell r="AA51">
            <v>193.94800000000001</v>
          </cell>
          <cell r="AB51">
            <v>177.04499999999999</v>
          </cell>
          <cell r="AC51">
            <v>308.048</v>
          </cell>
          <cell r="AD51">
            <v>308.048</v>
          </cell>
          <cell r="AE51">
            <v>308.048</v>
          </cell>
          <cell r="AF51">
            <v>308.048</v>
          </cell>
          <cell r="AG51">
            <v>308.048</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t="e">
            <v>#REF!</v>
          </cell>
          <cell r="BH51" t="e">
            <v>#REF!</v>
          </cell>
          <cell r="BI51" t="e">
            <v>#REF!</v>
          </cell>
          <cell r="BJ51" t="e">
            <v>#REF!</v>
          </cell>
          <cell r="BK51" t="e">
            <v>#REF!</v>
          </cell>
          <cell r="BL51" t="e">
            <v>#REF!</v>
          </cell>
          <cell r="BM51" t="e">
            <v>#REF!</v>
          </cell>
          <cell r="BN51" t="e">
            <v>#REF!</v>
          </cell>
          <cell r="BO51" t="e">
            <v>#REF!</v>
          </cell>
          <cell r="BP51" t="e">
            <v>#REF!</v>
          </cell>
          <cell r="BQ51" t="e">
            <v>#REF!</v>
          </cell>
          <cell r="BR51" t="e">
            <v>#REF!</v>
          </cell>
          <cell r="BS51">
            <v>0</v>
          </cell>
          <cell r="BT51">
            <v>0</v>
          </cell>
          <cell r="BU51">
            <v>0</v>
          </cell>
          <cell r="BV51">
            <v>0</v>
          </cell>
          <cell r="BW51">
            <v>0</v>
          </cell>
          <cell r="BX51">
            <v>0</v>
          </cell>
          <cell r="BY51" t="e">
            <v>#REF!</v>
          </cell>
          <cell r="BZ51" t="e">
            <v>#REF!</v>
          </cell>
        </row>
        <row r="52">
          <cell r="B52" t="str">
            <v>Other long-term assets</v>
          </cell>
          <cell r="C52" t="str">
            <v>OTH_LT_ASS</v>
          </cell>
          <cell r="D52" t="str">
            <v>TWD</v>
          </cell>
          <cell r="V52">
            <v>19.630999999999879</v>
          </cell>
          <cell r="W52">
            <v>22.969999999999672</v>
          </cell>
          <cell r="X52">
            <v>38.12900000000009</v>
          </cell>
          <cell r="Y52">
            <v>39.552999999998612</v>
          </cell>
          <cell r="Z52">
            <v>151.8490000000009</v>
          </cell>
          <cell r="AA52">
            <v>147.39100000000028</v>
          </cell>
          <cell r="AB52">
            <v>195.73200000000051</v>
          </cell>
          <cell r="AC52">
            <v>209.46900000000073</v>
          </cell>
          <cell r="AD52">
            <v>33869.044999999991</v>
          </cell>
          <cell r="AE52">
            <v>67528.620999999999</v>
          </cell>
          <cell r="AF52">
            <v>101188.197</v>
          </cell>
          <cell r="AG52">
            <v>134847.77299999996</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t="e">
            <v>#REF!</v>
          </cell>
          <cell r="BH52" t="e">
            <v>#REF!</v>
          </cell>
          <cell r="BI52" t="e">
            <v>#REF!</v>
          </cell>
          <cell r="BJ52" t="e">
            <v>#REF!</v>
          </cell>
          <cell r="BK52" t="e">
            <v>#REF!</v>
          </cell>
          <cell r="BL52" t="e">
            <v>#REF!</v>
          </cell>
          <cell r="BM52" t="e">
            <v>#REF!</v>
          </cell>
          <cell r="BN52" t="e">
            <v>#REF!</v>
          </cell>
          <cell r="BO52" t="e">
            <v>#REF!</v>
          </cell>
          <cell r="BP52" t="e">
            <v>#REF!</v>
          </cell>
          <cell r="BQ52" t="e">
            <v>#REF!</v>
          </cell>
          <cell r="BR52" t="e">
            <v>#REF!</v>
          </cell>
          <cell r="BS52">
            <v>0</v>
          </cell>
          <cell r="BT52">
            <v>0</v>
          </cell>
          <cell r="BU52">
            <v>0</v>
          </cell>
          <cell r="BV52">
            <v>0</v>
          </cell>
          <cell r="BW52">
            <v>0</v>
          </cell>
          <cell r="BX52">
            <v>0</v>
          </cell>
          <cell r="BY52" t="e">
            <v>#REF!</v>
          </cell>
          <cell r="BZ52" t="e">
            <v>#REF!</v>
          </cell>
        </row>
        <row r="53">
          <cell r="B53" t="str">
            <v>Total assets</v>
          </cell>
          <cell r="C53" t="str">
            <v>TOT_ASSET</v>
          </cell>
          <cell r="D53" t="str">
            <v>TWD</v>
          </cell>
          <cell r="V53">
            <v>2057.6489999999999</v>
          </cell>
          <cell r="W53">
            <v>2375.4769999999994</v>
          </cell>
          <cell r="X53">
            <v>3002.248</v>
          </cell>
          <cell r="Y53">
            <v>4665.2479999999987</v>
          </cell>
          <cell r="Z53">
            <v>5593.8390000000009</v>
          </cell>
          <cell r="AA53">
            <v>7636.293999999999</v>
          </cell>
          <cell r="AB53">
            <v>11636.539000000002</v>
          </cell>
          <cell r="AC53">
            <v>15726.310000000001</v>
          </cell>
          <cell r="AD53">
            <v>19809.333660162236</v>
          </cell>
          <cell r="AE53">
            <v>28365.289521124905</v>
          </cell>
          <cell r="AF53">
            <v>36303.110246592863</v>
          </cell>
          <cell r="AG53">
            <v>44474.157913056944</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t="e">
            <v>#REF!</v>
          </cell>
          <cell r="BH53" t="e">
            <v>#REF!</v>
          </cell>
          <cell r="BI53" t="e">
            <v>#REF!</v>
          </cell>
          <cell r="BJ53" t="e">
            <v>#REF!</v>
          </cell>
          <cell r="BK53" t="e">
            <v>#REF!</v>
          </cell>
          <cell r="BL53" t="e">
            <v>#REF!</v>
          </cell>
          <cell r="BM53" t="e">
            <v>#REF!</v>
          </cell>
          <cell r="BN53" t="e">
            <v>#REF!</v>
          </cell>
          <cell r="BO53" t="e">
            <v>#REF!</v>
          </cell>
          <cell r="BP53" t="e">
            <v>#REF!</v>
          </cell>
          <cell r="BQ53" t="e">
            <v>#REF!</v>
          </cell>
          <cell r="BR53" t="e">
            <v>#REF!</v>
          </cell>
          <cell r="BS53">
            <v>0</v>
          </cell>
          <cell r="BT53">
            <v>0</v>
          </cell>
          <cell r="BU53">
            <v>0</v>
          </cell>
          <cell r="BV53">
            <v>0</v>
          </cell>
          <cell r="BW53">
            <v>0</v>
          </cell>
          <cell r="BX53">
            <v>0</v>
          </cell>
          <cell r="BY53" t="e">
            <v>#REF!</v>
          </cell>
          <cell r="BZ53" t="e">
            <v>#REF!</v>
          </cell>
        </row>
        <row r="54">
          <cell r="B54" t="str">
            <v>Accounts payable</v>
          </cell>
          <cell r="C54" t="str">
            <v>ACC_PAY_GQ</v>
          </cell>
          <cell r="D54" t="str">
            <v>TWD</v>
          </cell>
          <cell r="V54">
            <v>363.20600000000002</v>
          </cell>
          <cell r="W54">
            <v>544.303</v>
          </cell>
          <cell r="X54">
            <v>879.79599999999994</v>
          </cell>
          <cell r="Y54">
            <v>1042.1009999999999</v>
          </cell>
          <cell r="Z54">
            <v>1349.752</v>
          </cell>
          <cell r="AA54">
            <v>2296.3560000000002</v>
          </cell>
          <cell r="AB54">
            <v>4923.8200000000006</v>
          </cell>
          <cell r="AC54">
            <v>5006.3379999999997</v>
          </cell>
          <cell r="AD54">
            <v>6620.2966601622402</v>
          </cell>
          <cell r="AE54">
            <v>8536.579155244799</v>
          </cell>
          <cell r="AF54">
            <v>8515.7424892446797</v>
          </cell>
          <cell r="AG54">
            <v>8028.1225822946199</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t="e">
            <v>#REF!</v>
          </cell>
          <cell r="BH54" t="e">
            <v>#REF!</v>
          </cell>
          <cell r="BI54" t="e">
            <v>#REF!</v>
          </cell>
          <cell r="BJ54" t="e">
            <v>#REF!</v>
          </cell>
          <cell r="BK54" t="e">
            <v>#REF!</v>
          </cell>
          <cell r="BL54" t="e">
            <v>#REF!</v>
          </cell>
          <cell r="BM54" t="e">
            <v>#REF!</v>
          </cell>
          <cell r="BN54" t="e">
            <v>#REF!</v>
          </cell>
          <cell r="BO54" t="e">
            <v>#REF!</v>
          </cell>
          <cell r="BP54" t="e">
            <v>#REF!</v>
          </cell>
          <cell r="BQ54" t="e">
            <v>#REF!</v>
          </cell>
          <cell r="BR54" t="e">
            <v>#REF!</v>
          </cell>
          <cell r="BS54">
            <v>0</v>
          </cell>
          <cell r="BT54">
            <v>0</v>
          </cell>
          <cell r="BU54">
            <v>0</v>
          </cell>
          <cell r="BV54">
            <v>0</v>
          </cell>
          <cell r="BW54">
            <v>0</v>
          </cell>
          <cell r="BX54">
            <v>0</v>
          </cell>
          <cell r="BY54" t="e">
            <v>#REF!</v>
          </cell>
          <cell r="BZ54" t="e">
            <v>#REF!</v>
          </cell>
        </row>
        <row r="55">
          <cell r="B55" t="str">
            <v>Short-term debt</v>
          </cell>
          <cell r="C55" t="str">
            <v>SHORT_T_DEBT</v>
          </cell>
          <cell r="D55" t="str">
            <v>TWD</v>
          </cell>
          <cell r="V55">
            <v>87.548000000000002</v>
          </cell>
          <cell r="W55">
            <v>62.415999999999997</v>
          </cell>
          <cell r="X55">
            <v>102.642</v>
          </cell>
          <cell r="Y55">
            <v>488.92899999999997</v>
          </cell>
          <cell r="Z55">
            <v>521.57100000000003</v>
          </cell>
          <cell r="AA55">
            <v>683.23900000000003</v>
          </cell>
          <cell r="AB55">
            <v>904.34799999999996</v>
          </cell>
          <cell r="AC55">
            <v>1347.8810000000001</v>
          </cell>
          <cell r="AD55">
            <v>1347.8810000000001</v>
          </cell>
          <cell r="AE55">
            <v>1347.8810000000001</v>
          </cell>
          <cell r="AF55">
            <v>1347.8810000000001</v>
          </cell>
          <cell r="AG55">
            <v>1347.8810000000001</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t="e">
            <v>#REF!</v>
          </cell>
          <cell r="BH55" t="e">
            <v>#REF!</v>
          </cell>
          <cell r="BI55" t="e">
            <v>#REF!</v>
          </cell>
          <cell r="BJ55" t="e">
            <v>#REF!</v>
          </cell>
          <cell r="BK55" t="e">
            <v>#REF!</v>
          </cell>
          <cell r="BL55" t="e">
            <v>#REF!</v>
          </cell>
          <cell r="BM55" t="e">
            <v>#REF!</v>
          </cell>
          <cell r="BN55" t="e">
            <v>#REF!</v>
          </cell>
          <cell r="BO55" t="e">
            <v>#REF!</v>
          </cell>
          <cell r="BP55" t="e">
            <v>#REF!</v>
          </cell>
          <cell r="BQ55" t="e">
            <v>#REF!</v>
          </cell>
          <cell r="BR55" t="e">
            <v>#REF!</v>
          </cell>
          <cell r="BS55">
            <v>0</v>
          </cell>
          <cell r="BT55">
            <v>0</v>
          </cell>
          <cell r="BU55">
            <v>0</v>
          </cell>
          <cell r="BV55">
            <v>0</v>
          </cell>
          <cell r="BW55">
            <v>0</v>
          </cell>
          <cell r="BX55">
            <v>0</v>
          </cell>
          <cell r="BY55" t="e">
            <v>#REF!</v>
          </cell>
          <cell r="BZ55" t="e">
            <v>#REF!</v>
          </cell>
        </row>
        <row r="56">
          <cell r="B56" t="str">
            <v>Other current liabilities</v>
          </cell>
          <cell r="C56" t="str">
            <v>OTH_CUR_LIABS</v>
          </cell>
          <cell r="D56" t="str">
            <v>TWD</v>
          </cell>
          <cell r="V56">
            <v>45.158999999999992</v>
          </cell>
          <cell r="W56">
            <v>63.806000000000097</v>
          </cell>
          <cell r="X56">
            <v>69.899000000000058</v>
          </cell>
          <cell r="Y56">
            <v>250.91599999999983</v>
          </cell>
          <cell r="Z56">
            <v>425.46899999999994</v>
          </cell>
          <cell r="AA56">
            <v>759.82600000000002</v>
          </cell>
          <cell r="AB56">
            <v>830.15999999999985</v>
          </cell>
          <cell r="AC56">
            <v>1351.271</v>
          </cell>
          <cell r="AD56">
            <v>1351.2710000000009</v>
          </cell>
          <cell r="AE56">
            <v>1351.271</v>
          </cell>
          <cell r="AF56">
            <v>1351.271</v>
          </cell>
          <cell r="AG56">
            <v>1351.271</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t="e">
            <v>#REF!</v>
          </cell>
          <cell r="BH56" t="e">
            <v>#REF!</v>
          </cell>
          <cell r="BI56" t="e">
            <v>#REF!</v>
          </cell>
          <cell r="BJ56" t="e">
            <v>#REF!</v>
          </cell>
          <cell r="BK56" t="e">
            <v>#REF!</v>
          </cell>
          <cell r="BL56" t="e">
            <v>#REF!</v>
          </cell>
          <cell r="BM56" t="e">
            <v>#REF!</v>
          </cell>
          <cell r="BN56" t="e">
            <v>#REF!</v>
          </cell>
          <cell r="BO56" t="e">
            <v>#REF!</v>
          </cell>
          <cell r="BP56" t="e">
            <v>#REF!</v>
          </cell>
          <cell r="BQ56" t="e">
            <v>#REF!</v>
          </cell>
          <cell r="BR56" t="e">
            <v>#REF!</v>
          </cell>
          <cell r="BS56">
            <v>0</v>
          </cell>
          <cell r="BT56">
            <v>0</v>
          </cell>
          <cell r="BU56">
            <v>0</v>
          </cell>
          <cell r="BV56">
            <v>0</v>
          </cell>
          <cell r="BW56">
            <v>0</v>
          </cell>
          <cell r="BX56">
            <v>0</v>
          </cell>
          <cell r="BY56" t="e">
            <v>#REF!</v>
          </cell>
          <cell r="BZ56" t="e">
            <v>#REF!</v>
          </cell>
        </row>
        <row r="57">
          <cell r="B57" t="str">
            <v>Total current liabilities</v>
          </cell>
          <cell r="C57" t="str">
            <v>SHORT_TERM_LIABS</v>
          </cell>
          <cell r="D57" t="str">
            <v>TWD</v>
          </cell>
          <cell r="V57">
            <v>495.91300000000001</v>
          </cell>
          <cell r="W57">
            <v>670.52500000000009</v>
          </cell>
          <cell r="X57">
            <v>1052.337</v>
          </cell>
          <cell r="Y57">
            <v>1781.9459999999997</v>
          </cell>
          <cell r="Z57">
            <v>2296.7919999999999</v>
          </cell>
          <cell r="AA57">
            <v>3739.4210000000003</v>
          </cell>
          <cell r="AB57">
            <v>6658.3280000000004</v>
          </cell>
          <cell r="AC57">
            <v>7705.49</v>
          </cell>
          <cell r="AD57">
            <v>9319.4486601622411</v>
          </cell>
          <cell r="AE57">
            <v>11235.731155244799</v>
          </cell>
          <cell r="AF57">
            <v>11214.89448924468</v>
          </cell>
          <cell r="AG57">
            <v>10727.27458229462</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t="e">
            <v>#REF!</v>
          </cell>
          <cell r="BH57" t="e">
            <v>#REF!</v>
          </cell>
          <cell r="BI57" t="e">
            <v>#REF!</v>
          </cell>
          <cell r="BJ57" t="e">
            <v>#REF!</v>
          </cell>
          <cell r="BK57" t="e">
            <v>#REF!</v>
          </cell>
          <cell r="BL57" t="e">
            <v>#REF!</v>
          </cell>
          <cell r="BM57" t="e">
            <v>#REF!</v>
          </cell>
          <cell r="BN57" t="e">
            <v>#REF!</v>
          </cell>
          <cell r="BO57" t="e">
            <v>#REF!</v>
          </cell>
          <cell r="BP57" t="e">
            <v>#REF!</v>
          </cell>
          <cell r="BQ57" t="e">
            <v>#REF!</v>
          </cell>
          <cell r="BR57" t="e">
            <v>#REF!</v>
          </cell>
          <cell r="BS57">
            <v>0</v>
          </cell>
          <cell r="BT57">
            <v>0</v>
          </cell>
          <cell r="BU57">
            <v>0</v>
          </cell>
          <cell r="BV57">
            <v>0</v>
          </cell>
          <cell r="BW57">
            <v>0</v>
          </cell>
          <cell r="BX57">
            <v>0</v>
          </cell>
          <cell r="BY57" t="e">
            <v>#REF!</v>
          </cell>
          <cell r="BZ57" t="e">
            <v>#REF!</v>
          </cell>
        </row>
        <row r="58">
          <cell r="B58" t="str">
            <v>Long-term  debt</v>
          </cell>
          <cell r="C58" t="str">
            <v>LT_DEBT</v>
          </cell>
          <cell r="D58" t="str">
            <v>TWD</v>
          </cell>
          <cell r="V58">
            <v>25.411999999999999</v>
          </cell>
          <cell r="W58">
            <v>17.218</v>
          </cell>
          <cell r="X58">
            <v>0</v>
          </cell>
          <cell r="Y58">
            <v>0</v>
          </cell>
          <cell r="Z58">
            <v>0</v>
          </cell>
          <cell r="AA58">
            <v>0</v>
          </cell>
          <cell r="AB58">
            <v>0</v>
          </cell>
          <cell r="AC58">
            <v>0</v>
          </cell>
          <cell r="AD58">
            <v>0</v>
          </cell>
          <cell r="AE58">
            <v>0</v>
          </cell>
          <cell r="AF58">
            <v>0</v>
          </cell>
          <cell r="AG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t="e">
            <v>#REF!</v>
          </cell>
          <cell r="BH58" t="e">
            <v>#REF!</v>
          </cell>
          <cell r="BI58" t="e">
            <v>#REF!</v>
          </cell>
          <cell r="BJ58" t="e">
            <v>#REF!</v>
          </cell>
          <cell r="BK58" t="e">
            <v>#REF!</v>
          </cell>
          <cell r="BL58" t="e">
            <v>#REF!</v>
          </cell>
          <cell r="BM58" t="e">
            <v>#REF!</v>
          </cell>
          <cell r="BN58" t="e">
            <v>#REF!</v>
          </cell>
          <cell r="BO58" t="e">
            <v>#REF!</v>
          </cell>
          <cell r="BP58" t="e">
            <v>#REF!</v>
          </cell>
          <cell r="BQ58" t="e">
            <v>#REF!</v>
          </cell>
          <cell r="BR58" t="e">
            <v>#REF!</v>
          </cell>
          <cell r="BS58">
            <v>0</v>
          </cell>
          <cell r="BT58">
            <v>0</v>
          </cell>
          <cell r="BU58">
            <v>0</v>
          </cell>
          <cell r="BV58">
            <v>0</v>
          </cell>
          <cell r="BW58">
            <v>0</v>
          </cell>
          <cell r="BX58">
            <v>0</v>
          </cell>
          <cell r="BY58" t="e">
            <v>#REF!</v>
          </cell>
          <cell r="BZ58" t="e">
            <v>#REF!</v>
          </cell>
        </row>
        <row r="59">
          <cell r="B59" t="str">
            <v>Other long-term liabilities</v>
          </cell>
          <cell r="C59" t="str">
            <v>OTH_LT_CRED_GQ</v>
          </cell>
          <cell r="D59" t="str">
            <v>TWD</v>
          </cell>
          <cell r="V59">
            <v>40.389000000000046</v>
          </cell>
          <cell r="W59">
            <v>26.362000000000041</v>
          </cell>
          <cell r="X59">
            <v>28.255000000000109</v>
          </cell>
          <cell r="Y59">
            <v>33.497000000000071</v>
          </cell>
          <cell r="Z59">
            <v>49.349999999999909</v>
          </cell>
          <cell r="AA59">
            <v>65.890000000000327</v>
          </cell>
          <cell r="AB59">
            <v>82.955999999999221</v>
          </cell>
          <cell r="AC59">
            <v>532.30099999999948</v>
          </cell>
          <cell r="AD59">
            <v>532.30099999999948</v>
          </cell>
          <cell r="AE59">
            <v>532.30099999999948</v>
          </cell>
          <cell r="AF59">
            <v>532.30099999999948</v>
          </cell>
          <cell r="AG59">
            <v>532.30099999999948</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t="e">
            <v>#REF!</v>
          </cell>
          <cell r="BH59" t="e">
            <v>#REF!</v>
          </cell>
          <cell r="BI59" t="e">
            <v>#REF!</v>
          </cell>
          <cell r="BJ59" t="e">
            <v>#REF!</v>
          </cell>
          <cell r="BK59" t="e">
            <v>#REF!</v>
          </cell>
          <cell r="BL59" t="e">
            <v>#REF!</v>
          </cell>
          <cell r="BM59" t="e">
            <v>#REF!</v>
          </cell>
          <cell r="BN59" t="e">
            <v>#REF!</v>
          </cell>
          <cell r="BO59" t="e">
            <v>#REF!</v>
          </cell>
          <cell r="BP59" t="e">
            <v>#REF!</v>
          </cell>
          <cell r="BQ59" t="e">
            <v>#REF!</v>
          </cell>
          <cell r="BR59" t="e">
            <v>#REF!</v>
          </cell>
          <cell r="BS59">
            <v>0</v>
          </cell>
          <cell r="BT59">
            <v>0</v>
          </cell>
          <cell r="BU59">
            <v>0</v>
          </cell>
          <cell r="BV59">
            <v>0</v>
          </cell>
          <cell r="BW59">
            <v>0</v>
          </cell>
          <cell r="BX59">
            <v>0</v>
          </cell>
          <cell r="BY59" t="e">
            <v>#REF!</v>
          </cell>
          <cell r="BZ59" t="e">
            <v>#REF!</v>
          </cell>
        </row>
        <row r="60">
          <cell r="B60" t="str">
            <v>Total long-term liabilities</v>
          </cell>
          <cell r="C60" t="str">
            <v>TOT_LT_LIAB</v>
          </cell>
          <cell r="D60" t="str">
            <v>TWD</v>
          </cell>
          <cell r="V60">
            <v>65.801000000000045</v>
          </cell>
          <cell r="W60">
            <v>43.580000000000041</v>
          </cell>
          <cell r="X60">
            <v>28.255000000000109</v>
          </cell>
          <cell r="Y60">
            <v>33.497000000000071</v>
          </cell>
          <cell r="Z60">
            <v>49.349999999999909</v>
          </cell>
          <cell r="AA60">
            <v>65.890000000000327</v>
          </cell>
          <cell r="AB60">
            <v>82.955999999999221</v>
          </cell>
          <cell r="AC60">
            <v>532.30099999999948</v>
          </cell>
          <cell r="AD60">
            <v>532.30099999999948</v>
          </cell>
          <cell r="AE60">
            <v>532.30099999999948</v>
          </cell>
          <cell r="AF60">
            <v>532.30099999999948</v>
          </cell>
          <cell r="AG60">
            <v>532.30099999999948</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t="e">
            <v>#REF!</v>
          </cell>
          <cell r="BH60" t="e">
            <v>#REF!</v>
          </cell>
          <cell r="BI60" t="e">
            <v>#REF!</v>
          </cell>
          <cell r="BJ60" t="e">
            <v>#REF!</v>
          </cell>
          <cell r="BK60" t="e">
            <v>#REF!</v>
          </cell>
          <cell r="BL60" t="e">
            <v>#REF!</v>
          </cell>
          <cell r="BM60" t="e">
            <v>#REF!</v>
          </cell>
          <cell r="BN60" t="e">
            <v>#REF!</v>
          </cell>
          <cell r="BO60" t="e">
            <v>#REF!</v>
          </cell>
          <cell r="BP60" t="e">
            <v>#REF!</v>
          </cell>
          <cell r="BQ60" t="e">
            <v>#REF!</v>
          </cell>
          <cell r="BR60" t="e">
            <v>#REF!</v>
          </cell>
          <cell r="BS60">
            <v>0</v>
          </cell>
          <cell r="BT60">
            <v>0</v>
          </cell>
          <cell r="BU60">
            <v>0</v>
          </cell>
          <cell r="BV60">
            <v>0</v>
          </cell>
          <cell r="BW60">
            <v>0</v>
          </cell>
          <cell r="BX60">
            <v>0</v>
          </cell>
          <cell r="BY60" t="e">
            <v>#REF!</v>
          </cell>
          <cell r="BZ60" t="e">
            <v>#REF!</v>
          </cell>
        </row>
        <row r="61">
          <cell r="B61" t="str">
            <v>Total liabilities</v>
          </cell>
          <cell r="C61" t="str">
            <v>TOT_LIAB</v>
          </cell>
          <cell r="D61" t="str">
            <v>TWD</v>
          </cell>
          <cell r="V61">
            <v>561.71400000000006</v>
          </cell>
          <cell r="W61">
            <v>714.10500000000013</v>
          </cell>
          <cell r="X61">
            <v>1080.5920000000001</v>
          </cell>
          <cell r="Y61">
            <v>1815.4429999999998</v>
          </cell>
          <cell r="Z61">
            <v>2346.1419999999998</v>
          </cell>
          <cell r="AA61">
            <v>3805.3110000000006</v>
          </cell>
          <cell r="AB61">
            <v>6741.2839999999997</v>
          </cell>
          <cell r="AC61">
            <v>8237.7909999999993</v>
          </cell>
          <cell r="AD61">
            <v>9851.7496601622406</v>
          </cell>
          <cell r="AE61">
            <v>11768.032155244799</v>
          </cell>
          <cell r="AF61">
            <v>11747.195489244679</v>
          </cell>
          <cell r="AG61">
            <v>11259.575582294619</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t="e">
            <v>#REF!</v>
          </cell>
          <cell r="BH61" t="e">
            <v>#REF!</v>
          </cell>
          <cell r="BI61" t="e">
            <v>#REF!</v>
          </cell>
          <cell r="BJ61" t="e">
            <v>#REF!</v>
          </cell>
          <cell r="BK61" t="e">
            <v>#REF!</v>
          </cell>
          <cell r="BL61" t="e">
            <v>#REF!</v>
          </cell>
          <cell r="BM61" t="e">
            <v>#REF!</v>
          </cell>
          <cell r="BN61" t="e">
            <v>#REF!</v>
          </cell>
          <cell r="BO61" t="e">
            <v>#REF!</v>
          </cell>
          <cell r="BP61" t="e">
            <v>#REF!</v>
          </cell>
          <cell r="BQ61" t="e">
            <v>#REF!</v>
          </cell>
          <cell r="BR61" t="e">
            <v>#REF!</v>
          </cell>
          <cell r="BS61">
            <v>0</v>
          </cell>
          <cell r="BT61">
            <v>0</v>
          </cell>
          <cell r="BU61">
            <v>0</v>
          </cell>
          <cell r="BV61">
            <v>0</v>
          </cell>
          <cell r="BW61">
            <v>0</v>
          </cell>
          <cell r="BX61">
            <v>0</v>
          </cell>
          <cell r="BY61" t="e">
            <v>#REF!</v>
          </cell>
          <cell r="BZ61" t="e">
            <v>#REF!</v>
          </cell>
        </row>
        <row r="62">
          <cell r="B62" t="str">
            <v>Preferred shares</v>
          </cell>
          <cell r="C62" t="str">
            <v>PREF_SH</v>
          </cell>
          <cell r="D62" t="str">
            <v>TWD</v>
          </cell>
          <cell r="V62">
            <v>0</v>
          </cell>
          <cell r="W62">
            <v>0</v>
          </cell>
          <cell r="X62">
            <v>0</v>
          </cell>
          <cell r="Y62">
            <v>0</v>
          </cell>
          <cell r="Z62">
            <v>0</v>
          </cell>
          <cell r="AA62">
            <v>0</v>
          </cell>
          <cell r="AB62">
            <v>0</v>
          </cell>
          <cell r="AC62">
            <v>0</v>
          </cell>
          <cell r="AD62">
            <v>0</v>
          </cell>
          <cell r="AE62">
            <v>0</v>
          </cell>
          <cell r="AF62">
            <v>0</v>
          </cell>
          <cell r="AG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t="e">
            <v>#REF!</v>
          </cell>
          <cell r="BH62" t="e">
            <v>#REF!</v>
          </cell>
          <cell r="BI62" t="e">
            <v>#REF!</v>
          </cell>
          <cell r="BJ62" t="e">
            <v>#REF!</v>
          </cell>
          <cell r="BK62" t="e">
            <v>#REF!</v>
          </cell>
          <cell r="BL62" t="e">
            <v>#REF!</v>
          </cell>
          <cell r="BM62" t="e">
            <v>#REF!</v>
          </cell>
          <cell r="BN62" t="e">
            <v>#REF!</v>
          </cell>
          <cell r="BO62" t="e">
            <v>#REF!</v>
          </cell>
          <cell r="BP62" t="e">
            <v>#REF!</v>
          </cell>
          <cell r="BQ62" t="e">
            <v>#REF!</v>
          </cell>
          <cell r="BR62" t="e">
            <v>#REF!</v>
          </cell>
          <cell r="BS62">
            <v>0</v>
          </cell>
          <cell r="BT62">
            <v>0</v>
          </cell>
          <cell r="BU62">
            <v>0</v>
          </cell>
          <cell r="BV62">
            <v>0</v>
          </cell>
          <cell r="BW62">
            <v>0</v>
          </cell>
          <cell r="BX62">
            <v>0</v>
          </cell>
          <cell r="BY62" t="e">
            <v>#REF!</v>
          </cell>
          <cell r="BZ62" t="e">
            <v>#REF!</v>
          </cell>
        </row>
        <row r="63">
          <cell r="B63" t="str">
            <v>Total common equity</v>
          </cell>
          <cell r="C63" t="str">
            <v>ORD_SH_FUND</v>
          </cell>
          <cell r="D63" t="str">
            <v>TWD</v>
          </cell>
          <cell r="V63">
            <v>1463.923</v>
          </cell>
          <cell r="W63">
            <v>1641.64</v>
          </cell>
          <cell r="X63">
            <v>1911.4649999999999</v>
          </cell>
          <cell r="Y63">
            <v>2839.7249999999995</v>
          </cell>
          <cell r="Z63">
            <v>3244.8040000000001</v>
          </cell>
          <cell r="AA63">
            <v>3817.0750000000003</v>
          </cell>
          <cell r="AB63">
            <v>4877.1679999999997</v>
          </cell>
          <cell r="AC63">
            <v>7457.8290000000006</v>
          </cell>
          <cell r="AD63">
            <v>9948.7009999999991</v>
          </cell>
          <cell r="AE63">
            <v>16588.374365880103</v>
          </cell>
          <cell r="AF63">
            <v>24547.031757348159</v>
          </cell>
          <cell r="AG63">
            <v>33205.699330762327</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t="e">
            <v>#REF!</v>
          </cell>
          <cell r="BH63" t="e">
            <v>#REF!</v>
          </cell>
          <cell r="BI63" t="e">
            <v>#REF!</v>
          </cell>
          <cell r="BJ63" t="e">
            <v>#REF!</v>
          </cell>
          <cell r="BK63" t="e">
            <v>#REF!</v>
          </cell>
          <cell r="BL63" t="e">
            <v>#REF!</v>
          </cell>
          <cell r="BM63" t="e">
            <v>#REF!</v>
          </cell>
          <cell r="BN63" t="e">
            <v>#REF!</v>
          </cell>
          <cell r="BO63" t="e">
            <v>#REF!</v>
          </cell>
          <cell r="BP63" t="e">
            <v>#REF!</v>
          </cell>
          <cell r="BQ63" t="e">
            <v>#REF!</v>
          </cell>
          <cell r="BR63" t="e">
            <v>#REF!</v>
          </cell>
          <cell r="BS63">
            <v>0</v>
          </cell>
          <cell r="BT63">
            <v>0</v>
          </cell>
          <cell r="BU63">
            <v>0</v>
          </cell>
          <cell r="BV63">
            <v>0</v>
          </cell>
          <cell r="BW63">
            <v>0</v>
          </cell>
          <cell r="BX63">
            <v>0</v>
          </cell>
          <cell r="BY63" t="e">
            <v>#REF!</v>
          </cell>
          <cell r="BZ63" t="e">
            <v>#REF!</v>
          </cell>
        </row>
        <row r="64">
          <cell r="B64" t="str">
            <v>Minority interest</v>
          </cell>
          <cell r="C64" t="str">
            <v>MINORITIES</v>
          </cell>
          <cell r="D64" t="str">
            <v>TWD</v>
          </cell>
          <cell r="V64">
            <v>32.012</v>
          </cell>
          <cell r="W64">
            <v>19.731999999999999</v>
          </cell>
          <cell r="X64">
            <v>10.191000000000001</v>
          </cell>
          <cell r="Y64">
            <v>10.08</v>
          </cell>
          <cell r="Z64">
            <v>2.8929999999999998</v>
          </cell>
          <cell r="AA64">
            <v>13.907999999999999</v>
          </cell>
          <cell r="AB64">
            <v>18.087</v>
          </cell>
          <cell r="AC64">
            <v>30.69</v>
          </cell>
          <cell r="AD64">
            <v>8.8830000000000027</v>
          </cell>
          <cell r="AE64">
            <v>8.8830000000000027</v>
          </cell>
          <cell r="AF64">
            <v>8.8830000000000027</v>
          </cell>
          <cell r="AG64">
            <v>8.8830000000000027</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t="e">
            <v>#REF!</v>
          </cell>
          <cell r="BH64" t="e">
            <v>#REF!</v>
          </cell>
          <cell r="BI64" t="e">
            <v>#REF!</v>
          </cell>
          <cell r="BJ64" t="e">
            <v>#REF!</v>
          </cell>
          <cell r="BK64" t="e">
            <v>#REF!</v>
          </cell>
          <cell r="BL64" t="e">
            <v>#REF!</v>
          </cell>
          <cell r="BM64" t="e">
            <v>#REF!</v>
          </cell>
          <cell r="BN64" t="e">
            <v>#REF!</v>
          </cell>
          <cell r="BO64" t="e">
            <v>#REF!</v>
          </cell>
          <cell r="BP64" t="e">
            <v>#REF!</v>
          </cell>
          <cell r="BQ64" t="e">
            <v>#REF!</v>
          </cell>
          <cell r="BR64" t="e">
            <v>#REF!</v>
          </cell>
          <cell r="BS64">
            <v>0</v>
          </cell>
          <cell r="BT64">
            <v>0</v>
          </cell>
          <cell r="BU64">
            <v>0</v>
          </cell>
          <cell r="BV64">
            <v>0</v>
          </cell>
          <cell r="BW64">
            <v>0</v>
          </cell>
          <cell r="BX64">
            <v>0</v>
          </cell>
          <cell r="BY64" t="e">
            <v>#REF!</v>
          </cell>
          <cell r="BZ64" t="e">
            <v>#REF!</v>
          </cell>
        </row>
        <row r="65">
          <cell r="B65" t="str">
            <v>Total shareholders' equity</v>
          </cell>
          <cell r="C65" t="str">
            <v>EQ</v>
          </cell>
          <cell r="D65" t="str">
            <v>TWD</v>
          </cell>
          <cell r="V65">
            <v>1495.9349999999999</v>
          </cell>
          <cell r="W65">
            <v>1661.3720000000001</v>
          </cell>
          <cell r="X65">
            <v>1921.6559999999999</v>
          </cell>
          <cell r="Y65">
            <v>2849.8049999999994</v>
          </cell>
          <cell r="Z65">
            <v>3247.6970000000001</v>
          </cell>
          <cell r="AA65">
            <v>3830.9830000000002</v>
          </cell>
          <cell r="AB65">
            <v>4895.2550000000001</v>
          </cell>
          <cell r="AC65">
            <v>7488.5190000000002</v>
          </cell>
          <cell r="AD65">
            <v>9957.5839999999989</v>
          </cell>
          <cell r="AE65">
            <v>16597.257365880105</v>
          </cell>
          <cell r="AF65">
            <v>24555.91475734816</v>
          </cell>
          <cell r="AG65">
            <v>33214.582330762329</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t="e">
            <v>#REF!</v>
          </cell>
          <cell r="BH65" t="e">
            <v>#REF!</v>
          </cell>
          <cell r="BI65" t="e">
            <v>#REF!</v>
          </cell>
          <cell r="BJ65" t="e">
            <v>#REF!</v>
          </cell>
          <cell r="BK65" t="e">
            <v>#REF!</v>
          </cell>
          <cell r="BL65" t="e">
            <v>#REF!</v>
          </cell>
          <cell r="BM65" t="e">
            <v>#REF!</v>
          </cell>
          <cell r="BN65" t="e">
            <v>#REF!</v>
          </cell>
          <cell r="BO65" t="e">
            <v>#REF!</v>
          </cell>
          <cell r="BP65" t="e">
            <v>#REF!</v>
          </cell>
          <cell r="BQ65" t="e">
            <v>#REF!</v>
          </cell>
          <cell r="BR65" t="e">
            <v>#REF!</v>
          </cell>
          <cell r="BS65">
            <v>0</v>
          </cell>
          <cell r="BT65">
            <v>0</v>
          </cell>
          <cell r="BU65">
            <v>0</v>
          </cell>
          <cell r="BV65">
            <v>0</v>
          </cell>
          <cell r="BW65">
            <v>0</v>
          </cell>
          <cell r="BX65">
            <v>0</v>
          </cell>
          <cell r="BY65" t="e">
            <v>#REF!</v>
          </cell>
          <cell r="BZ65" t="e">
            <v>#REF!</v>
          </cell>
        </row>
        <row r="66">
          <cell r="B66" t="str">
            <v>Total liabilities and equity</v>
          </cell>
          <cell r="C66" t="str">
            <v>TOT_LIAB_EQ</v>
          </cell>
          <cell r="D66" t="str">
            <v>TWD</v>
          </cell>
          <cell r="V66">
            <v>2057.6489999999999</v>
          </cell>
          <cell r="W66">
            <v>2375.4770000000003</v>
          </cell>
          <cell r="X66">
            <v>3002.248</v>
          </cell>
          <cell r="Y66">
            <v>4665.2479999999996</v>
          </cell>
          <cell r="Z66">
            <v>5593.8389999999999</v>
          </cell>
          <cell r="AA66">
            <v>7636.2940000000008</v>
          </cell>
          <cell r="AB66">
            <v>11636.539000000001</v>
          </cell>
          <cell r="AC66">
            <v>15726.31</v>
          </cell>
          <cell r="AD66">
            <v>19809.33366016224</v>
          </cell>
          <cell r="AE66">
            <v>28365.289521124905</v>
          </cell>
          <cell r="AF66">
            <v>36303.110246592842</v>
          </cell>
          <cell r="AG66">
            <v>44474.157913056944</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t="e">
            <v>#REF!</v>
          </cell>
          <cell r="BH66" t="e">
            <v>#REF!</v>
          </cell>
          <cell r="BI66" t="e">
            <v>#REF!</v>
          </cell>
          <cell r="BJ66" t="e">
            <v>#REF!</v>
          </cell>
          <cell r="BK66" t="e">
            <v>#REF!</v>
          </cell>
          <cell r="BL66" t="e">
            <v>#REF!</v>
          </cell>
          <cell r="BM66" t="e">
            <v>#REF!</v>
          </cell>
          <cell r="BN66" t="e">
            <v>#REF!</v>
          </cell>
          <cell r="BO66" t="e">
            <v>#REF!</v>
          </cell>
          <cell r="BP66" t="e">
            <v>#REF!</v>
          </cell>
          <cell r="BQ66" t="e">
            <v>#REF!</v>
          </cell>
          <cell r="BR66" t="e">
            <v>#REF!</v>
          </cell>
          <cell r="BS66">
            <v>0</v>
          </cell>
          <cell r="BT66">
            <v>0</v>
          </cell>
          <cell r="BU66">
            <v>0</v>
          </cell>
          <cell r="BV66">
            <v>0</v>
          </cell>
          <cell r="BW66">
            <v>0</v>
          </cell>
          <cell r="BX66">
            <v>0</v>
          </cell>
          <cell r="BY66" t="e">
            <v>#REF!</v>
          </cell>
          <cell r="BZ66" t="e">
            <v>#REF!</v>
          </cell>
        </row>
        <row r="67">
          <cell r="A67" t="str">
            <v>Additional Balance Sheet Items</v>
          </cell>
        </row>
        <row r="68">
          <cell r="B68" t="str">
            <v>Total US$ debt (in US$)</v>
          </cell>
          <cell r="C68" t="str">
            <v>TOT_USD_DEBT</v>
          </cell>
          <cell r="V68">
            <v>0</v>
          </cell>
          <cell r="W68">
            <v>0</v>
          </cell>
          <cell r="X68">
            <v>0</v>
          </cell>
          <cell r="Y68">
            <v>0</v>
          </cell>
          <cell r="Z68">
            <v>0</v>
          </cell>
          <cell r="AA68">
            <v>0</v>
          </cell>
          <cell r="AB68">
            <v>0</v>
          </cell>
          <cell r="AC68">
            <v>0</v>
          </cell>
          <cell r="AD68">
            <v>0</v>
          </cell>
          <cell r="AE68">
            <v>0</v>
          </cell>
          <cell r="AF68">
            <v>0</v>
          </cell>
          <cell r="AG68">
            <v>0</v>
          </cell>
        </row>
        <row r="69">
          <cell r="B69" t="str">
            <v>% US$ debt hedged (principal)</v>
          </cell>
          <cell r="C69" t="str">
            <v>TOT_PCT_USD_DEBT_HEDGED</v>
          </cell>
          <cell r="V69">
            <v>0</v>
          </cell>
          <cell r="W69">
            <v>0</v>
          </cell>
          <cell r="X69">
            <v>0</v>
          </cell>
          <cell r="Y69">
            <v>0</v>
          </cell>
          <cell r="Z69">
            <v>0</v>
          </cell>
          <cell r="AA69">
            <v>0</v>
          </cell>
          <cell r="AB69">
            <v>0</v>
          </cell>
          <cell r="AC69">
            <v>0</v>
          </cell>
          <cell r="AD69">
            <v>0</v>
          </cell>
          <cell r="AE69">
            <v>0</v>
          </cell>
          <cell r="AF69">
            <v>0</v>
          </cell>
          <cell r="AG69">
            <v>0</v>
          </cell>
        </row>
        <row r="70">
          <cell r="B70" t="str">
            <v>% Floating debt (local currency debt)</v>
          </cell>
          <cell r="C70" t="str">
            <v>FLOATING_PCT_LOCAL_DEBT</v>
          </cell>
          <cell r="V70">
            <v>0</v>
          </cell>
          <cell r="W70">
            <v>0</v>
          </cell>
          <cell r="X70">
            <v>0</v>
          </cell>
          <cell r="Y70">
            <v>0</v>
          </cell>
          <cell r="Z70">
            <v>0</v>
          </cell>
          <cell r="AA70">
            <v>0</v>
          </cell>
          <cell r="AB70">
            <v>0</v>
          </cell>
          <cell r="AC70">
            <v>0</v>
          </cell>
          <cell r="AD70">
            <v>0</v>
          </cell>
          <cell r="AE70">
            <v>0</v>
          </cell>
          <cell r="AF70">
            <v>0</v>
          </cell>
          <cell r="AG70">
            <v>0</v>
          </cell>
        </row>
        <row r="71">
          <cell r="B71" t="str">
            <v>% floating debt hedged (rates)</v>
          </cell>
          <cell r="C71" t="str">
            <v>FLOATING_PCT_LOCAL_DEBT_HEDGED</v>
          </cell>
          <cell r="V71">
            <v>0</v>
          </cell>
          <cell r="W71">
            <v>0</v>
          </cell>
          <cell r="X71">
            <v>0</v>
          </cell>
          <cell r="Y71">
            <v>0</v>
          </cell>
          <cell r="Z71">
            <v>0</v>
          </cell>
          <cell r="AA71">
            <v>0</v>
          </cell>
          <cell r="AB71">
            <v>0</v>
          </cell>
          <cell r="AC71">
            <v>0</v>
          </cell>
          <cell r="AD71">
            <v>0</v>
          </cell>
          <cell r="AE71">
            <v>0</v>
          </cell>
          <cell r="AF71">
            <v>0</v>
          </cell>
          <cell r="AG71">
            <v>0</v>
          </cell>
        </row>
        <row r="72">
          <cell r="B72" t="str">
            <v>Net debt</v>
          </cell>
          <cell r="C72" t="str">
            <v>NET_DEBT</v>
          </cell>
          <cell r="D72" t="str">
            <v>TWD</v>
          </cell>
          <cell r="V72">
            <v>-75.317999999999984</v>
          </cell>
          <cell r="W72">
            <v>-256.12299999999999</v>
          </cell>
          <cell r="X72">
            <v>-421.57300000000004</v>
          </cell>
          <cell r="Y72">
            <v>-1203.1080000000002</v>
          </cell>
          <cell r="Z72">
            <v>-377.97500000000002</v>
          </cell>
          <cell r="AA72">
            <v>-1283.7269999999999</v>
          </cell>
          <cell r="AB72">
            <v>-1749.3220000000001</v>
          </cell>
          <cell r="AC72">
            <v>-1851.336</v>
          </cell>
          <cell r="AD72">
            <v>-3476.6932523269834</v>
          </cell>
          <cell r="AE72">
            <v>-6220.7340821182888</v>
          </cell>
          <cell r="AF72">
            <v>-10482.89072642672</v>
          </cell>
          <cell r="AG72">
            <v>-15348.936481070423</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t="e">
            <v>#REF!</v>
          </cell>
          <cell r="BH72" t="e">
            <v>#REF!</v>
          </cell>
          <cell r="BI72" t="e">
            <v>#REF!</v>
          </cell>
          <cell r="BJ72" t="e">
            <v>#REF!</v>
          </cell>
          <cell r="BK72" t="e">
            <v>#REF!</v>
          </cell>
          <cell r="BL72" t="e">
            <v>#REF!</v>
          </cell>
          <cell r="BM72" t="e">
            <v>#REF!</v>
          </cell>
          <cell r="BN72" t="e">
            <v>#REF!</v>
          </cell>
          <cell r="BO72" t="e">
            <v>#REF!</v>
          </cell>
          <cell r="BP72" t="e">
            <v>#REF!</v>
          </cell>
          <cell r="BQ72" t="e">
            <v>#REF!</v>
          </cell>
          <cell r="BR72" t="e">
            <v>#REF!</v>
          </cell>
          <cell r="BS72">
            <v>0</v>
          </cell>
          <cell r="BT72">
            <v>0</v>
          </cell>
          <cell r="BU72">
            <v>0</v>
          </cell>
          <cell r="BV72">
            <v>0</v>
          </cell>
          <cell r="BW72">
            <v>0</v>
          </cell>
          <cell r="BX72">
            <v>0</v>
          </cell>
          <cell r="BY72" t="e">
            <v>#REF!</v>
          </cell>
          <cell r="BZ72" t="e">
            <v>#REF!</v>
          </cell>
        </row>
        <row r="73">
          <cell r="B73" t="str">
            <v>Capitalized leases</v>
          </cell>
          <cell r="C73" t="str">
            <v>CAP_LEASES</v>
          </cell>
          <cell r="D73" t="str">
            <v>TWD</v>
          </cell>
          <cell r="V73">
            <v>0</v>
          </cell>
          <cell r="W73">
            <v>0</v>
          </cell>
          <cell r="X73">
            <v>0</v>
          </cell>
          <cell r="Y73">
            <v>0</v>
          </cell>
          <cell r="Z73">
            <v>0</v>
          </cell>
          <cell r="AA73">
            <v>0</v>
          </cell>
          <cell r="AB73">
            <v>0</v>
          </cell>
          <cell r="AC73">
            <v>0</v>
          </cell>
          <cell r="AD73">
            <v>0</v>
          </cell>
          <cell r="AE73">
            <v>0</v>
          </cell>
          <cell r="AF73">
            <v>0</v>
          </cell>
          <cell r="AG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row>
        <row r="74">
          <cell r="B74" t="str">
            <v>Deferred income taxes</v>
          </cell>
          <cell r="C74" t="str">
            <v>DEF_INC_TAX</v>
          </cell>
          <cell r="D74" t="str">
            <v>TWD</v>
          </cell>
        </row>
        <row r="75">
          <cell r="B75" t="str">
            <v>Associates (mkt value) used in EV calculation</v>
          </cell>
          <cell r="C75" t="str">
            <v>MV_ASSOCIATES</v>
          </cell>
          <cell r="D75" t="str">
            <v>TWD</v>
          </cell>
          <cell r="V75">
            <v>0</v>
          </cell>
          <cell r="W75">
            <v>0</v>
          </cell>
          <cell r="X75">
            <v>0</v>
          </cell>
          <cell r="Y75">
            <v>0</v>
          </cell>
          <cell r="Z75">
            <v>0</v>
          </cell>
          <cell r="AA75">
            <v>0</v>
          </cell>
          <cell r="AB75">
            <v>0</v>
          </cell>
          <cell r="AC75">
            <v>0</v>
          </cell>
          <cell r="AD75">
            <v>0</v>
          </cell>
          <cell r="AE75">
            <v>0</v>
          </cell>
          <cell r="AF75">
            <v>0</v>
          </cell>
          <cell r="AG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row>
        <row r="76">
          <cell r="B76" t="str">
            <v>Net debt adjustment</v>
          </cell>
          <cell r="C76" t="str">
            <v>NET_DEBT_ADJ</v>
          </cell>
          <cell r="D76" t="str">
            <v>TWD</v>
          </cell>
        </row>
        <row r="77">
          <cell r="B77" t="str">
            <v>Company borrowing margin</v>
          </cell>
          <cell r="C77" t="str">
            <v>CO_BOR_MARGIN</v>
          </cell>
          <cell r="V77">
            <v>0</v>
          </cell>
          <cell r="W77">
            <v>0</v>
          </cell>
          <cell r="X77">
            <v>0</v>
          </cell>
          <cell r="Y77">
            <v>0</v>
          </cell>
          <cell r="Z77">
            <v>0</v>
          </cell>
          <cell r="AA77">
            <v>0</v>
          </cell>
          <cell r="AB77">
            <v>3.1536532396820693E-2</v>
          </cell>
          <cell r="AC77">
            <v>4.8147425477471667E-2</v>
          </cell>
          <cell r="AD77">
            <v>0</v>
          </cell>
          <cell r="AE77">
            <v>0</v>
          </cell>
          <cell r="AF77">
            <v>0</v>
          </cell>
          <cell r="AG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t="e">
            <v>#VALUE!</v>
          </cell>
          <cell r="BH77" t="e">
            <v>#VALUE!</v>
          </cell>
          <cell r="BI77" t="e">
            <v>#VALUE!</v>
          </cell>
          <cell r="BJ77" t="e">
            <v>#VALUE!</v>
          </cell>
          <cell r="BK77" t="e">
            <v>#VALUE!</v>
          </cell>
          <cell r="BL77" t="e">
            <v>#VALUE!</v>
          </cell>
          <cell r="BM77" t="e">
            <v>#VALUE!</v>
          </cell>
          <cell r="BN77" t="e">
            <v>#VALUE!</v>
          </cell>
          <cell r="BO77" t="e">
            <v>#VALUE!</v>
          </cell>
          <cell r="BP77" t="e">
            <v>#VALUE!</v>
          </cell>
          <cell r="BQ77">
            <v>0</v>
          </cell>
          <cell r="BR77">
            <v>0</v>
          </cell>
          <cell r="BS77">
            <v>0</v>
          </cell>
          <cell r="BT77">
            <v>0</v>
          </cell>
          <cell r="BU77">
            <v>0</v>
          </cell>
          <cell r="BV77">
            <v>0</v>
          </cell>
          <cell r="BW77">
            <v>0</v>
          </cell>
          <cell r="BX77">
            <v>0</v>
          </cell>
          <cell r="BY77">
            <v>0</v>
          </cell>
          <cell r="BZ77">
            <v>0</v>
          </cell>
        </row>
        <row r="78">
          <cell r="B78" t="str">
            <v>Unfunded pensions &amp; other provisions</v>
          </cell>
          <cell r="C78" t="str">
            <v>UNF_PENS</v>
          </cell>
          <cell r="D78" t="str">
            <v>TWD</v>
          </cell>
          <cell r="V78">
            <v>0</v>
          </cell>
          <cell r="W78">
            <v>0</v>
          </cell>
          <cell r="X78">
            <v>0</v>
          </cell>
          <cell r="Y78">
            <v>0</v>
          </cell>
          <cell r="Z78">
            <v>0</v>
          </cell>
          <cell r="AA78">
            <v>0</v>
          </cell>
          <cell r="AB78">
            <v>0</v>
          </cell>
          <cell r="AC78">
            <v>0</v>
          </cell>
          <cell r="AD78">
            <v>0</v>
          </cell>
          <cell r="AE78">
            <v>0</v>
          </cell>
          <cell r="AF78">
            <v>0</v>
          </cell>
          <cell r="AG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row>
        <row r="79">
          <cell r="B79" t="str">
            <v>Unfunded pension liabilities (off balance sheet)</v>
          </cell>
          <cell r="C79" t="str">
            <v>UNF_PENS_OFF</v>
          </cell>
          <cell r="D79" t="str">
            <v>TWD</v>
          </cell>
        </row>
        <row r="80">
          <cell r="B80" t="str">
            <v>Unfunded pension liabilities &amp; other, used in EV</v>
          </cell>
          <cell r="C80" t="str">
            <v>UNF_PENS_LIAB_OTH</v>
          </cell>
          <cell r="D80" t="str">
            <v>TWD</v>
          </cell>
          <cell r="V80">
            <v>0</v>
          </cell>
          <cell r="W80">
            <v>0</v>
          </cell>
          <cell r="X80">
            <v>0</v>
          </cell>
          <cell r="Y80">
            <v>0</v>
          </cell>
          <cell r="Z80">
            <v>0</v>
          </cell>
          <cell r="AA80">
            <v>0</v>
          </cell>
          <cell r="AB80">
            <v>0</v>
          </cell>
          <cell r="AC80">
            <v>0</v>
          </cell>
          <cell r="AD80">
            <v>0</v>
          </cell>
          <cell r="AE80">
            <v>0</v>
          </cell>
          <cell r="AF80">
            <v>0</v>
          </cell>
          <cell r="AG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row>
        <row r="81">
          <cell r="B81" t="str">
            <v>Adjustment for unfunded pensions &amp; goodwill</v>
          </cell>
          <cell r="C81" t="str">
            <v>ADJ_UNF_PENS_GOOD</v>
          </cell>
          <cell r="D81" t="str">
            <v>TWD</v>
          </cell>
          <cell r="V81">
            <v>-23.384</v>
          </cell>
          <cell r="W81">
            <v>-3.5000000000000003E-2</v>
          </cell>
          <cell r="X81">
            <v>-3.9E-2</v>
          </cell>
          <cell r="Y81">
            <v>-2.7E-2</v>
          </cell>
          <cell r="Z81">
            <v>-1.4999999999999999E-2</v>
          </cell>
          <cell r="AA81">
            <v>-6.0000000000000001E-3</v>
          </cell>
          <cell r="AB81">
            <v>-1E-3</v>
          </cell>
          <cell r="AC81">
            <v>-392.42399999999998</v>
          </cell>
          <cell r="AD81">
            <v>33267.151999999995</v>
          </cell>
          <cell r="AE81">
            <v>66926.727999999988</v>
          </cell>
          <cell r="AF81">
            <v>100586.30399999997</v>
          </cell>
          <cell r="AG81">
            <v>134245.87999999998</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t="e">
            <v>#REF!</v>
          </cell>
          <cell r="BH81" t="e">
            <v>#REF!</v>
          </cell>
          <cell r="BI81" t="e">
            <v>#REF!</v>
          </cell>
          <cell r="BJ81" t="e">
            <v>#REF!</v>
          </cell>
          <cell r="BK81" t="e">
            <v>#REF!</v>
          </cell>
          <cell r="BL81" t="e">
            <v>#REF!</v>
          </cell>
          <cell r="BM81" t="e">
            <v>#REF!</v>
          </cell>
          <cell r="BN81" t="e">
            <v>#REF!</v>
          </cell>
          <cell r="BO81" t="e">
            <v>#REF!</v>
          </cell>
          <cell r="BP81" t="e">
            <v>#REF!</v>
          </cell>
          <cell r="BQ81" t="e">
            <v>#REF!</v>
          </cell>
          <cell r="BR81" t="e">
            <v>#REF!</v>
          </cell>
          <cell r="BS81">
            <v>0</v>
          </cell>
          <cell r="BT81">
            <v>0</v>
          </cell>
          <cell r="BU81">
            <v>0</v>
          </cell>
          <cell r="BV81">
            <v>0</v>
          </cell>
          <cell r="BW81">
            <v>0</v>
          </cell>
          <cell r="BX81">
            <v>0</v>
          </cell>
          <cell r="BY81" t="e">
            <v>#REF!</v>
          </cell>
          <cell r="BZ81" t="e">
            <v>#REF!</v>
          </cell>
        </row>
        <row r="82">
          <cell r="B82" t="str">
            <v>Other GCI adjustments</v>
          </cell>
          <cell r="C82" t="str">
            <v>OTH_GCI_ADJ</v>
          </cell>
          <cell r="D82" t="str">
            <v>TWD</v>
          </cell>
        </row>
        <row r="83">
          <cell r="B83" t="str">
            <v>GCI inflator</v>
          </cell>
          <cell r="C83" t="str">
            <v>GCI_INFL</v>
          </cell>
          <cell r="V83">
            <v>1</v>
          </cell>
          <cell r="W83">
            <v>1</v>
          </cell>
          <cell r="X83">
            <v>1</v>
          </cell>
          <cell r="Y83">
            <v>1</v>
          </cell>
          <cell r="Z83">
            <v>1</v>
          </cell>
          <cell r="AA83">
            <v>1</v>
          </cell>
          <cell r="AB83">
            <v>1</v>
          </cell>
          <cell r="AC83">
            <v>1</v>
          </cell>
          <cell r="AD83">
            <v>1</v>
          </cell>
          <cell r="AE83">
            <v>1</v>
          </cell>
          <cell r="AF83">
            <v>1</v>
          </cell>
          <cell r="AG83">
            <v>1</v>
          </cell>
          <cell r="AI83">
            <v>13</v>
          </cell>
          <cell r="AJ83">
            <v>13</v>
          </cell>
          <cell r="AK83">
            <v>13</v>
          </cell>
          <cell r="AL83">
            <v>13</v>
          </cell>
          <cell r="AM83">
            <v>13</v>
          </cell>
          <cell r="AN83">
            <v>13</v>
          </cell>
          <cell r="AO83">
            <v>13</v>
          </cell>
          <cell r="AP83">
            <v>13</v>
          </cell>
          <cell r="AQ83">
            <v>13</v>
          </cell>
          <cell r="AR83">
            <v>13</v>
          </cell>
          <cell r="AS83">
            <v>13</v>
          </cell>
          <cell r="AT83">
            <v>13</v>
          </cell>
          <cell r="AU83">
            <v>13</v>
          </cell>
          <cell r="AV83">
            <v>14</v>
          </cell>
          <cell r="AW83">
            <v>15</v>
          </cell>
          <cell r="AX83">
            <v>16</v>
          </cell>
          <cell r="AY83">
            <v>17</v>
          </cell>
          <cell r="AZ83">
            <v>18</v>
          </cell>
          <cell r="BA83">
            <v>19</v>
          </cell>
          <cell r="BB83">
            <v>20</v>
          </cell>
          <cell r="BC83">
            <v>21</v>
          </cell>
          <cell r="BD83">
            <v>22</v>
          </cell>
          <cell r="BE83">
            <v>23</v>
          </cell>
          <cell r="BF83">
            <v>24</v>
          </cell>
          <cell r="BG83">
            <v>25</v>
          </cell>
          <cell r="BH83">
            <v>26</v>
          </cell>
          <cell r="BI83">
            <v>27</v>
          </cell>
          <cell r="BJ83">
            <v>28</v>
          </cell>
          <cell r="BK83">
            <v>29</v>
          </cell>
          <cell r="BL83">
            <v>30</v>
          </cell>
          <cell r="BM83">
            <v>31</v>
          </cell>
          <cell r="BN83">
            <v>32</v>
          </cell>
          <cell r="BO83">
            <v>33</v>
          </cell>
          <cell r="BP83">
            <v>34</v>
          </cell>
          <cell r="BQ83">
            <v>35</v>
          </cell>
          <cell r="BR83">
            <v>36</v>
          </cell>
          <cell r="BS83">
            <v>37</v>
          </cell>
          <cell r="BT83">
            <v>38</v>
          </cell>
          <cell r="BU83">
            <v>39</v>
          </cell>
          <cell r="BV83">
            <v>40</v>
          </cell>
          <cell r="BW83">
            <v>40</v>
          </cell>
          <cell r="BX83">
            <v>40</v>
          </cell>
          <cell r="BY83">
            <v>40</v>
          </cell>
          <cell r="BZ83">
            <v>40</v>
          </cell>
        </row>
        <row r="84">
          <cell r="B84" t="str">
            <v>Minority interest</v>
          </cell>
          <cell r="C84" t="str">
            <v>BAL_MINO_INT</v>
          </cell>
          <cell r="D84" t="str">
            <v>TWD</v>
          </cell>
          <cell r="V84">
            <v>32.012</v>
          </cell>
          <cell r="W84">
            <v>19.731999999999999</v>
          </cell>
          <cell r="X84">
            <v>10.191000000000001</v>
          </cell>
          <cell r="Y84">
            <v>10.08</v>
          </cell>
          <cell r="Z84">
            <v>2.8929999999999998</v>
          </cell>
          <cell r="AA84">
            <v>13.907999999999999</v>
          </cell>
          <cell r="AB84">
            <v>18.087</v>
          </cell>
          <cell r="AC84">
            <v>30.69</v>
          </cell>
          <cell r="AD84">
            <v>8.8830000000000027</v>
          </cell>
          <cell r="AE84">
            <v>8.8830000000000027</v>
          </cell>
          <cell r="AF84">
            <v>8.8830000000000027</v>
          </cell>
          <cell r="AG84">
            <v>8.8830000000000027</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t="e">
            <v>#REF!</v>
          </cell>
          <cell r="BH84" t="e">
            <v>#REF!</v>
          </cell>
          <cell r="BI84" t="e">
            <v>#REF!</v>
          </cell>
          <cell r="BJ84" t="e">
            <v>#REF!</v>
          </cell>
          <cell r="BK84" t="e">
            <v>#REF!</v>
          </cell>
          <cell r="BL84" t="e">
            <v>#REF!</v>
          </cell>
          <cell r="BM84" t="e">
            <v>#REF!</v>
          </cell>
          <cell r="BN84" t="e">
            <v>#REF!</v>
          </cell>
          <cell r="BO84" t="e">
            <v>#REF!</v>
          </cell>
          <cell r="BP84" t="e">
            <v>#REF!</v>
          </cell>
          <cell r="BQ84" t="e">
            <v>#REF!</v>
          </cell>
          <cell r="BR84" t="e">
            <v>#REF!</v>
          </cell>
          <cell r="BS84">
            <v>0</v>
          </cell>
          <cell r="BT84">
            <v>0</v>
          </cell>
          <cell r="BU84">
            <v>0</v>
          </cell>
          <cell r="BV84">
            <v>0</v>
          </cell>
          <cell r="BW84">
            <v>0</v>
          </cell>
          <cell r="BX84">
            <v>0</v>
          </cell>
          <cell r="BY84" t="e">
            <v>#REF!</v>
          </cell>
          <cell r="BZ84" t="e">
            <v>#REF!</v>
          </cell>
        </row>
        <row r="85">
          <cell r="A85" t="str">
            <v>Cash Flow Statement</v>
          </cell>
        </row>
        <row r="86">
          <cell r="B86" t="str">
            <v>Minority interest add-back</v>
          </cell>
          <cell r="C86" t="str">
            <v>CF_INC_MINORITY</v>
          </cell>
          <cell r="D86" t="str">
            <v>TWD</v>
          </cell>
          <cell r="V86">
            <v>5.601</v>
          </cell>
          <cell r="W86">
            <v>5.5869999999999997</v>
          </cell>
          <cell r="X86">
            <v>7.3699999999999992</v>
          </cell>
          <cell r="Y86">
            <v>-0.3680000000000001</v>
          </cell>
          <cell r="Z86">
            <v>4.8280000000000003</v>
          </cell>
          <cell r="AA86">
            <v>-1.889</v>
          </cell>
          <cell r="AB86">
            <v>-0.84799999999999986</v>
          </cell>
          <cell r="AC86">
            <v>-12.56</v>
          </cell>
          <cell r="AD86">
            <v>-21.806999999999999</v>
          </cell>
          <cell r="AE86">
            <v>0</v>
          </cell>
          <cell r="AF86">
            <v>0</v>
          </cell>
          <cell r="AG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t="e">
            <v>#REF!</v>
          </cell>
          <cell r="BH86" t="e">
            <v>#REF!</v>
          </cell>
          <cell r="BI86" t="e">
            <v>#REF!</v>
          </cell>
          <cell r="BJ86" t="e">
            <v>#REF!</v>
          </cell>
          <cell r="BK86" t="e">
            <v>#REF!</v>
          </cell>
          <cell r="BL86" t="e">
            <v>#REF!</v>
          </cell>
          <cell r="BM86" t="e">
            <v>#REF!</v>
          </cell>
          <cell r="BN86" t="e">
            <v>#REF!</v>
          </cell>
          <cell r="BO86" t="e">
            <v>#REF!</v>
          </cell>
          <cell r="BP86" t="e">
            <v>#REF!</v>
          </cell>
          <cell r="BQ86" t="e">
            <v>#REF!</v>
          </cell>
          <cell r="BR86" t="e">
            <v>#REF!</v>
          </cell>
          <cell r="BS86">
            <v>0</v>
          </cell>
          <cell r="BT86">
            <v>0</v>
          </cell>
          <cell r="BU86">
            <v>0</v>
          </cell>
          <cell r="BV86">
            <v>0</v>
          </cell>
          <cell r="BW86">
            <v>0</v>
          </cell>
          <cell r="BX86">
            <v>0</v>
          </cell>
          <cell r="BY86" t="e">
            <v>#REF!</v>
          </cell>
          <cell r="BZ86" t="e">
            <v>#REF!</v>
          </cell>
        </row>
        <row r="87">
          <cell r="B87" t="str">
            <v>Depreciation &amp; amortization add-back</v>
          </cell>
          <cell r="C87" t="str">
            <v>DEPR_AMORT</v>
          </cell>
          <cell r="D87" t="str">
            <v>TWD</v>
          </cell>
          <cell r="V87">
            <v>0</v>
          </cell>
          <cell r="W87">
            <v>0</v>
          </cell>
          <cell r="X87">
            <v>0</v>
          </cell>
          <cell r="Y87">
            <v>0</v>
          </cell>
          <cell r="Z87">
            <v>0</v>
          </cell>
          <cell r="AA87">
            <v>0</v>
          </cell>
          <cell r="AB87">
            <v>0</v>
          </cell>
          <cell r="AC87">
            <v>0</v>
          </cell>
          <cell r="AD87">
            <v>0</v>
          </cell>
          <cell r="AE87">
            <v>0</v>
          </cell>
          <cell r="AF87">
            <v>0</v>
          </cell>
          <cell r="AG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t="e">
            <v>#REF!</v>
          </cell>
          <cell r="BH87" t="e">
            <v>#REF!</v>
          </cell>
          <cell r="BI87" t="e">
            <v>#REF!</v>
          </cell>
          <cell r="BJ87" t="e">
            <v>#REF!</v>
          </cell>
          <cell r="BK87" t="e">
            <v>#REF!</v>
          </cell>
          <cell r="BL87" t="e">
            <v>#REF!</v>
          </cell>
          <cell r="BM87" t="e">
            <v>#REF!</v>
          </cell>
          <cell r="BN87" t="e">
            <v>#REF!</v>
          </cell>
          <cell r="BO87" t="e">
            <v>#REF!</v>
          </cell>
          <cell r="BP87" t="e">
            <v>#REF!</v>
          </cell>
          <cell r="BQ87" t="e">
            <v>#REF!</v>
          </cell>
          <cell r="BR87" t="e">
            <v>#REF!</v>
          </cell>
          <cell r="BS87">
            <v>0</v>
          </cell>
          <cell r="BT87">
            <v>0</v>
          </cell>
          <cell r="BU87">
            <v>0</v>
          </cell>
          <cell r="BV87">
            <v>0</v>
          </cell>
          <cell r="BW87">
            <v>0</v>
          </cell>
          <cell r="BX87">
            <v>0</v>
          </cell>
          <cell r="BY87" t="e">
            <v>#REF!</v>
          </cell>
          <cell r="BZ87" t="e">
            <v>#REF!</v>
          </cell>
        </row>
        <row r="88">
          <cell r="B88" t="str">
            <v>(Increase)/decrease in working capital</v>
          </cell>
          <cell r="C88" t="str">
            <v>WORK_CAP</v>
          </cell>
          <cell r="D88" t="str">
            <v>TWD</v>
          </cell>
          <cell r="V88">
            <v>-634.66999999999985</v>
          </cell>
          <cell r="W88">
            <v>46.391999999999939</v>
          </cell>
          <cell r="X88">
            <v>-9.4610000000000696</v>
          </cell>
          <cell r="Y88">
            <v>-44.449000000000183</v>
          </cell>
          <cell r="Z88">
            <v>-1014.7930000000001</v>
          </cell>
          <cell r="AA88">
            <v>347.4860000000001</v>
          </cell>
          <cell r="AB88">
            <v>-10.349999999999454</v>
          </cell>
          <cell r="AC88">
            <v>-1623.3410000000003</v>
          </cell>
          <cell r="AD88">
            <v>1191.7412438880187</v>
          </cell>
          <cell r="AE88">
            <v>-1781.0424023448518</v>
          </cell>
          <cell r="AF88">
            <v>-1646.6473935577251</v>
          </cell>
          <cell r="AG88">
            <v>-1753.796748191342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t="e">
            <v>#REF!</v>
          </cell>
          <cell r="BH88" t="e">
            <v>#REF!</v>
          </cell>
          <cell r="BI88" t="e">
            <v>#REF!</v>
          </cell>
          <cell r="BJ88" t="e">
            <v>#REF!</v>
          </cell>
          <cell r="BK88" t="e">
            <v>#REF!</v>
          </cell>
          <cell r="BL88" t="e">
            <v>#REF!</v>
          </cell>
          <cell r="BM88" t="e">
            <v>#REF!</v>
          </cell>
          <cell r="BN88" t="e">
            <v>#REF!</v>
          </cell>
          <cell r="BO88" t="e">
            <v>#REF!</v>
          </cell>
          <cell r="BP88" t="e">
            <v>#REF!</v>
          </cell>
          <cell r="BQ88" t="e">
            <v>#REF!</v>
          </cell>
          <cell r="BR88" t="e">
            <v>#REF!</v>
          </cell>
          <cell r="BS88">
            <v>0</v>
          </cell>
          <cell r="BT88">
            <v>0</v>
          </cell>
          <cell r="BU88">
            <v>0</v>
          </cell>
          <cell r="BV88">
            <v>0</v>
          </cell>
          <cell r="BW88">
            <v>0</v>
          </cell>
          <cell r="BX88">
            <v>0</v>
          </cell>
          <cell r="BY88" t="e">
            <v>#REF!</v>
          </cell>
          <cell r="BZ88" t="e">
            <v>#REF!</v>
          </cell>
        </row>
        <row r="89">
          <cell r="B89" t="str">
            <v>Other operating cash flow items</v>
          </cell>
          <cell r="C89" t="str">
            <v>OTH_OP_CF</v>
          </cell>
          <cell r="D89" t="str">
            <v>TWD</v>
          </cell>
          <cell r="V89">
            <v>670.3069999999999</v>
          </cell>
          <cell r="W89">
            <v>-217.54600000000005</v>
          </cell>
          <cell r="X89">
            <v>-87.400000000000375</v>
          </cell>
          <cell r="Y89">
            <v>272.15200000000027</v>
          </cell>
          <cell r="Z89">
            <v>261.01800000000014</v>
          </cell>
          <cell r="AA89">
            <v>594.25799999999947</v>
          </cell>
          <cell r="AB89">
            <v>355.99399999999974</v>
          </cell>
          <cell r="AC89">
            <v>1170.6230000000019</v>
          </cell>
          <cell r="AD89">
            <v>-33695.024991561026</v>
          </cell>
          <cell r="AE89">
            <v>-33774.166133743944</v>
          </cell>
          <cell r="AF89">
            <v>-33709.429353601896</v>
          </cell>
          <cell r="AG89">
            <v>-33698.401070579115</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t="e">
            <v>#REF!</v>
          </cell>
          <cell r="BH89" t="e">
            <v>#REF!</v>
          </cell>
          <cell r="BI89" t="e">
            <v>#REF!</v>
          </cell>
          <cell r="BJ89" t="e">
            <v>#REF!</v>
          </cell>
          <cell r="BK89" t="e">
            <v>#REF!</v>
          </cell>
          <cell r="BL89" t="e">
            <v>#REF!</v>
          </cell>
          <cell r="BM89" t="e">
            <v>#REF!</v>
          </cell>
          <cell r="BN89" t="e">
            <v>#REF!</v>
          </cell>
          <cell r="BO89" t="e">
            <v>#REF!</v>
          </cell>
          <cell r="BP89" t="e">
            <v>#REF!</v>
          </cell>
          <cell r="BQ89" t="e">
            <v>#REF!</v>
          </cell>
          <cell r="BR89" t="e">
            <v>#REF!</v>
          </cell>
          <cell r="BS89">
            <v>0</v>
          </cell>
          <cell r="BT89">
            <v>0</v>
          </cell>
          <cell r="BU89">
            <v>0</v>
          </cell>
          <cell r="BV89">
            <v>0</v>
          </cell>
          <cell r="BW89">
            <v>0</v>
          </cell>
          <cell r="BX89">
            <v>0</v>
          </cell>
          <cell r="BY89" t="e">
            <v>#REF!</v>
          </cell>
          <cell r="BZ89" t="e">
            <v>#REF!</v>
          </cell>
        </row>
        <row r="90">
          <cell r="B90" t="str">
            <v>Cash flow from operating activities</v>
          </cell>
          <cell r="C90" t="str">
            <v>CF_OPS</v>
          </cell>
          <cell r="D90" t="str">
            <v>TWD</v>
          </cell>
          <cell r="V90">
            <v>185.06399999999999</v>
          </cell>
          <cell r="W90">
            <v>72.436000000000007</v>
          </cell>
          <cell r="X90">
            <v>256.78300000000002</v>
          </cell>
          <cell r="Y90">
            <v>667.83299999999997</v>
          </cell>
          <cell r="Z90">
            <v>-182.851</v>
          </cell>
          <cell r="AA90">
            <v>1701.4870000000001</v>
          </cell>
          <cell r="AB90">
            <v>1615.549</v>
          </cell>
          <cell r="AC90">
            <v>2436.2759999999998</v>
          </cell>
          <cell r="AD90">
            <v>-30034.218747673011</v>
          </cell>
          <cell r="AE90">
            <v>-28915.535170208688</v>
          </cell>
          <cell r="AF90">
            <v>-27397.419355691563</v>
          </cell>
          <cell r="AG90">
            <v>-26793.530245356291</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t="e">
            <v>#REF!</v>
          </cell>
          <cell r="BH90" t="e">
            <v>#REF!</v>
          </cell>
          <cell r="BI90" t="e">
            <v>#REF!</v>
          </cell>
          <cell r="BJ90" t="e">
            <v>#REF!</v>
          </cell>
          <cell r="BK90" t="e">
            <v>#REF!</v>
          </cell>
          <cell r="BL90" t="e">
            <v>#REF!</v>
          </cell>
          <cell r="BM90" t="e">
            <v>#REF!</v>
          </cell>
          <cell r="BN90" t="e">
            <v>#REF!</v>
          </cell>
          <cell r="BO90" t="e">
            <v>#REF!</v>
          </cell>
          <cell r="BP90" t="e">
            <v>#REF!</v>
          </cell>
          <cell r="BQ90" t="e">
            <v>#REF!</v>
          </cell>
          <cell r="BR90" t="e">
            <v>#REF!</v>
          </cell>
          <cell r="BS90">
            <v>0</v>
          </cell>
          <cell r="BT90">
            <v>0</v>
          </cell>
          <cell r="BU90">
            <v>0</v>
          </cell>
          <cell r="BV90">
            <v>0</v>
          </cell>
          <cell r="BW90">
            <v>0</v>
          </cell>
          <cell r="BX90">
            <v>0</v>
          </cell>
          <cell r="BY90" t="e">
            <v>#REF!</v>
          </cell>
          <cell r="BZ90" t="e">
            <v>#REF!</v>
          </cell>
        </row>
        <row r="91">
          <cell r="B91" t="str">
            <v>Capital expenditures, Capex</v>
          </cell>
          <cell r="C91" t="str">
            <v>CAPEX</v>
          </cell>
          <cell r="D91" t="str">
            <v>TWD</v>
          </cell>
          <cell r="V91">
            <v>-73.933999999999997</v>
          </cell>
          <cell r="W91">
            <v>-196.626</v>
          </cell>
          <cell r="X91">
            <v>-292.94299999999998</v>
          </cell>
          <cell r="Y91">
            <v>-318.54399999999998</v>
          </cell>
          <cell r="Z91">
            <v>-355.495</v>
          </cell>
          <cell r="AA91">
            <v>-410.54</v>
          </cell>
          <cell r="AB91">
            <v>-940.82500000000005</v>
          </cell>
          <cell r="AC91">
            <v>-1718.2539999999999</v>
          </cell>
          <cell r="AD91">
            <v>-2000</v>
          </cell>
          <cell r="AE91">
            <v>-2000</v>
          </cell>
          <cell r="AF91">
            <v>-2000</v>
          </cell>
          <cell r="AG91">
            <v>-2000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t="e">
            <v>#REF!</v>
          </cell>
          <cell r="BH91" t="e">
            <v>#REF!</v>
          </cell>
          <cell r="BI91" t="e">
            <v>#REF!</v>
          </cell>
          <cell r="BJ91" t="e">
            <v>#REF!</v>
          </cell>
          <cell r="BK91" t="e">
            <v>#REF!</v>
          </cell>
          <cell r="BL91" t="e">
            <v>#REF!</v>
          </cell>
          <cell r="BM91" t="e">
            <v>#REF!</v>
          </cell>
          <cell r="BN91" t="e">
            <v>#REF!</v>
          </cell>
          <cell r="BO91" t="e">
            <v>#REF!</v>
          </cell>
          <cell r="BP91" t="e">
            <v>#REF!</v>
          </cell>
          <cell r="BQ91" t="e">
            <v>#REF!</v>
          </cell>
          <cell r="BR91" t="e">
            <v>#REF!</v>
          </cell>
          <cell r="BS91">
            <v>0</v>
          </cell>
          <cell r="BT91">
            <v>0</v>
          </cell>
          <cell r="BU91">
            <v>0</v>
          </cell>
          <cell r="BV91">
            <v>0</v>
          </cell>
          <cell r="BW91">
            <v>0</v>
          </cell>
          <cell r="BX91">
            <v>0</v>
          </cell>
          <cell r="BY91" t="e">
            <v>#REF!</v>
          </cell>
          <cell r="BZ91" t="e">
            <v>#REF!</v>
          </cell>
        </row>
        <row r="92">
          <cell r="B92" t="str">
            <v>Acquisitions</v>
          </cell>
          <cell r="C92" t="str">
            <v>ACQ</v>
          </cell>
          <cell r="D92" t="str">
            <v>TWD</v>
          </cell>
          <cell r="V92">
            <v>0</v>
          </cell>
          <cell r="W92">
            <v>-84.08</v>
          </cell>
          <cell r="X92">
            <v>-280.77300000000002</v>
          </cell>
          <cell r="Y92">
            <v>-983</v>
          </cell>
          <cell r="Z92">
            <v>-10176.932999999999</v>
          </cell>
          <cell r="AA92">
            <v>-14849.116</v>
          </cell>
          <cell r="AB92">
            <v>-19013.404999999999</v>
          </cell>
          <cell r="AC92">
            <v>-33627.596999999994</v>
          </cell>
          <cell r="AD92">
            <v>0</v>
          </cell>
          <cell r="AE92">
            <v>0</v>
          </cell>
          <cell r="AF92">
            <v>0</v>
          </cell>
          <cell r="AG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t="e">
            <v>#REF!</v>
          </cell>
          <cell r="BH92" t="e">
            <v>#REF!</v>
          </cell>
          <cell r="BI92" t="e">
            <v>#REF!</v>
          </cell>
          <cell r="BJ92" t="e">
            <v>#REF!</v>
          </cell>
          <cell r="BK92" t="e">
            <v>#REF!</v>
          </cell>
          <cell r="BL92" t="e">
            <v>#REF!</v>
          </cell>
          <cell r="BM92" t="e">
            <v>#REF!</v>
          </cell>
          <cell r="BN92" t="e">
            <v>#REF!</v>
          </cell>
          <cell r="BO92" t="e">
            <v>#REF!</v>
          </cell>
          <cell r="BP92" t="e">
            <v>#REF!</v>
          </cell>
          <cell r="BQ92" t="e">
            <v>#REF!</v>
          </cell>
          <cell r="BR92" t="e">
            <v>#REF!</v>
          </cell>
          <cell r="BS92">
            <v>0</v>
          </cell>
          <cell r="BT92">
            <v>0</v>
          </cell>
          <cell r="BU92">
            <v>0</v>
          </cell>
          <cell r="BV92">
            <v>0</v>
          </cell>
          <cell r="BW92">
            <v>0</v>
          </cell>
          <cell r="BX92">
            <v>0</v>
          </cell>
          <cell r="BY92" t="e">
            <v>#REF!</v>
          </cell>
          <cell r="BZ92" t="e">
            <v>#REF!</v>
          </cell>
        </row>
        <row r="93">
          <cell r="B93" t="str">
            <v>Divestitures</v>
          </cell>
          <cell r="C93" t="str">
            <v>DIVEST</v>
          </cell>
          <cell r="D93" t="str">
            <v>TWD</v>
          </cell>
          <cell r="V93">
            <v>0</v>
          </cell>
          <cell r="W93">
            <v>0</v>
          </cell>
          <cell r="X93">
            <v>0</v>
          </cell>
          <cell r="Y93">
            <v>0</v>
          </cell>
          <cell r="Z93">
            <v>0</v>
          </cell>
          <cell r="AA93">
            <v>0</v>
          </cell>
          <cell r="AB93">
            <v>0</v>
          </cell>
          <cell r="AC93">
            <v>0</v>
          </cell>
          <cell r="AD93">
            <v>0</v>
          </cell>
          <cell r="AE93">
            <v>0</v>
          </cell>
          <cell r="AF93">
            <v>0</v>
          </cell>
          <cell r="AG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t="e">
            <v>#REF!</v>
          </cell>
          <cell r="BH93" t="e">
            <v>#REF!</v>
          </cell>
          <cell r="BI93" t="e">
            <v>#REF!</v>
          </cell>
          <cell r="BJ93" t="e">
            <v>#REF!</v>
          </cell>
          <cell r="BK93" t="e">
            <v>#REF!</v>
          </cell>
          <cell r="BL93" t="e">
            <v>#REF!</v>
          </cell>
          <cell r="BM93" t="e">
            <v>#REF!</v>
          </cell>
          <cell r="BN93" t="e">
            <v>#REF!</v>
          </cell>
          <cell r="BO93" t="e">
            <v>#REF!</v>
          </cell>
          <cell r="BP93" t="e">
            <v>#REF!</v>
          </cell>
          <cell r="BQ93" t="e">
            <v>#REF!</v>
          </cell>
          <cell r="BR93" t="e">
            <v>#REF!</v>
          </cell>
          <cell r="BS93">
            <v>0</v>
          </cell>
          <cell r="BT93">
            <v>0</v>
          </cell>
          <cell r="BU93">
            <v>0</v>
          </cell>
          <cell r="BV93">
            <v>0</v>
          </cell>
          <cell r="BW93">
            <v>0</v>
          </cell>
          <cell r="BX93">
            <v>0</v>
          </cell>
          <cell r="BY93" t="e">
            <v>#REF!</v>
          </cell>
          <cell r="BZ93" t="e">
            <v>#REF!</v>
          </cell>
        </row>
        <row r="94">
          <cell r="B94" t="str">
            <v>Other investing cash flow items</v>
          </cell>
          <cell r="C94" t="str">
            <v>OTH_INV_CF</v>
          </cell>
          <cell r="D94" t="str">
            <v>TWD</v>
          </cell>
          <cell r="V94">
            <v>-647.01800000000003</v>
          </cell>
          <cell r="W94">
            <v>367.92699999999996</v>
          </cell>
          <cell r="X94">
            <v>394.12200000000001</v>
          </cell>
          <cell r="Y94">
            <v>262.46300000000008</v>
          </cell>
          <cell r="Z94">
            <v>10701.856</v>
          </cell>
          <cell r="AA94">
            <v>13327.655999999999</v>
          </cell>
          <cell r="AB94">
            <v>18694.365999999998</v>
          </cell>
          <cell r="AC94">
            <v>33659.575999999994</v>
          </cell>
          <cell r="AD94">
            <v>33659.575999999994</v>
          </cell>
          <cell r="AE94">
            <v>33659.575999999994</v>
          </cell>
          <cell r="AF94">
            <v>33659.575999999994</v>
          </cell>
          <cell r="AG94">
            <v>33659.575999999994</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t="e">
            <v>#REF!</v>
          </cell>
          <cell r="BH94" t="e">
            <v>#REF!</v>
          </cell>
          <cell r="BI94" t="e">
            <v>#REF!</v>
          </cell>
          <cell r="BJ94" t="e">
            <v>#REF!</v>
          </cell>
          <cell r="BK94" t="e">
            <v>#REF!</v>
          </cell>
          <cell r="BL94" t="e">
            <v>#REF!</v>
          </cell>
          <cell r="BM94" t="e">
            <v>#REF!</v>
          </cell>
          <cell r="BN94" t="e">
            <v>#REF!</v>
          </cell>
          <cell r="BO94" t="e">
            <v>#REF!</v>
          </cell>
          <cell r="BP94" t="e">
            <v>#REF!</v>
          </cell>
          <cell r="BQ94" t="e">
            <v>#REF!</v>
          </cell>
          <cell r="BR94" t="e">
            <v>#REF!</v>
          </cell>
          <cell r="BS94">
            <v>0</v>
          </cell>
          <cell r="BT94">
            <v>0</v>
          </cell>
          <cell r="BU94">
            <v>0</v>
          </cell>
          <cell r="BV94">
            <v>0</v>
          </cell>
          <cell r="BW94">
            <v>0</v>
          </cell>
          <cell r="BX94">
            <v>0</v>
          </cell>
          <cell r="BY94" t="e">
            <v>#REF!</v>
          </cell>
          <cell r="BZ94" t="e">
            <v>#REF!</v>
          </cell>
        </row>
        <row r="95">
          <cell r="B95" t="str">
            <v>Cash flow from investing</v>
          </cell>
          <cell r="C95" t="str">
            <v>CF_INV</v>
          </cell>
          <cell r="D95" t="str">
            <v>TWD</v>
          </cell>
          <cell r="V95">
            <v>-720.952</v>
          </cell>
          <cell r="W95">
            <v>87.221000000000004</v>
          </cell>
          <cell r="X95">
            <v>-179.59399999999999</v>
          </cell>
          <cell r="Y95">
            <v>-1039.0809999999999</v>
          </cell>
          <cell r="Z95">
            <v>169.428</v>
          </cell>
          <cell r="AA95">
            <v>-1932</v>
          </cell>
          <cell r="AB95">
            <v>-1259.864</v>
          </cell>
          <cell r="AC95">
            <v>-1686.2750000000001</v>
          </cell>
          <cell r="AD95">
            <v>31659.575999999994</v>
          </cell>
          <cell r="AE95">
            <v>31659.575999999994</v>
          </cell>
          <cell r="AF95">
            <v>31659.575999999994</v>
          </cell>
          <cell r="AG95">
            <v>31659.575999999994</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#REF!</v>
          </cell>
          <cell r="BH95" t="e">
            <v>#REF!</v>
          </cell>
          <cell r="BI95" t="e">
            <v>#REF!</v>
          </cell>
          <cell r="BJ95" t="e">
            <v>#REF!</v>
          </cell>
          <cell r="BK95" t="e">
            <v>#REF!</v>
          </cell>
          <cell r="BL95" t="e">
            <v>#REF!</v>
          </cell>
          <cell r="BM95" t="e">
            <v>#REF!</v>
          </cell>
          <cell r="BN95" t="e">
            <v>#REF!</v>
          </cell>
          <cell r="BO95" t="e">
            <v>#REF!</v>
          </cell>
          <cell r="BP95" t="e">
            <v>#REF!</v>
          </cell>
          <cell r="BQ95" t="e">
            <v>#REF!</v>
          </cell>
          <cell r="BR95" t="e">
            <v>#REF!</v>
          </cell>
          <cell r="BS95">
            <v>0</v>
          </cell>
          <cell r="BT95">
            <v>0</v>
          </cell>
          <cell r="BU95">
            <v>0</v>
          </cell>
          <cell r="BV95">
            <v>0</v>
          </cell>
          <cell r="BW95">
            <v>0</v>
          </cell>
          <cell r="BX95">
            <v>0</v>
          </cell>
          <cell r="BY95" t="e">
            <v>#REF!</v>
          </cell>
          <cell r="BZ95" t="e">
            <v>#REF!</v>
          </cell>
        </row>
        <row r="96">
          <cell r="B96" t="str">
            <v>Dividends paid</v>
          </cell>
          <cell r="C96" t="str">
            <v>DIV_PAID</v>
          </cell>
          <cell r="D96" t="str">
            <v>TWD</v>
          </cell>
          <cell r="V96">
            <v>0</v>
          </cell>
          <cell r="W96">
            <v>0</v>
          </cell>
          <cell r="X96">
            <v>0</v>
          </cell>
          <cell r="Y96">
            <v>0</v>
          </cell>
          <cell r="Z96">
            <v>0</v>
          </cell>
          <cell r="AA96">
            <v>0</v>
          </cell>
          <cell r="AB96">
            <v>0</v>
          </cell>
          <cell r="AC96">
            <v>0</v>
          </cell>
          <cell r="AD96">
            <v>0</v>
          </cell>
          <cell r="AE96">
            <v>0</v>
          </cell>
          <cell r="AF96">
            <v>0</v>
          </cell>
          <cell r="AG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t="e">
            <v>#REF!</v>
          </cell>
          <cell r="BH96" t="e">
            <v>#REF!</v>
          </cell>
          <cell r="BI96" t="e">
            <v>#REF!</v>
          </cell>
          <cell r="BJ96" t="e">
            <v>#REF!</v>
          </cell>
          <cell r="BK96" t="e">
            <v>#REF!</v>
          </cell>
          <cell r="BL96" t="e">
            <v>#REF!</v>
          </cell>
          <cell r="BM96" t="e">
            <v>#REF!</v>
          </cell>
          <cell r="BN96" t="e">
            <v>#REF!</v>
          </cell>
          <cell r="BO96" t="e">
            <v>#REF!</v>
          </cell>
          <cell r="BP96" t="e">
            <v>#REF!</v>
          </cell>
          <cell r="BQ96" t="e">
            <v>#REF!</v>
          </cell>
          <cell r="BR96" t="e">
            <v>#REF!</v>
          </cell>
          <cell r="BS96">
            <v>0</v>
          </cell>
          <cell r="BT96">
            <v>0</v>
          </cell>
          <cell r="BU96">
            <v>0</v>
          </cell>
          <cell r="BV96">
            <v>0</v>
          </cell>
          <cell r="BW96">
            <v>0</v>
          </cell>
          <cell r="BX96">
            <v>0</v>
          </cell>
          <cell r="BY96" t="e">
            <v>#REF!</v>
          </cell>
          <cell r="BZ96" t="e">
            <v>#REF!</v>
          </cell>
        </row>
        <row r="97">
          <cell r="B97" t="str">
            <v>Common stock issuance/(repurchase)</v>
          </cell>
          <cell r="C97" t="str">
            <v>SH_REPUR</v>
          </cell>
          <cell r="D97" t="str">
            <v>TWD</v>
          </cell>
          <cell r="V97">
            <v>0</v>
          </cell>
          <cell r="W97">
            <v>0</v>
          </cell>
          <cell r="X97">
            <v>0</v>
          </cell>
          <cell r="Y97">
            <v>617.16899999999998</v>
          </cell>
          <cell r="Z97">
            <v>0</v>
          </cell>
          <cell r="AA97">
            <v>0</v>
          </cell>
          <cell r="AB97">
            <v>0</v>
          </cell>
          <cell r="AC97">
            <v>0</v>
          </cell>
          <cell r="AD97">
            <v>0</v>
          </cell>
          <cell r="AE97">
            <v>0</v>
          </cell>
          <cell r="AF97">
            <v>0</v>
          </cell>
          <cell r="AG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t="e">
            <v>#REF!</v>
          </cell>
          <cell r="BH97" t="e">
            <v>#REF!</v>
          </cell>
          <cell r="BI97" t="e">
            <v>#REF!</v>
          </cell>
          <cell r="BJ97" t="e">
            <v>#REF!</v>
          </cell>
          <cell r="BK97" t="e">
            <v>#REF!</v>
          </cell>
          <cell r="BL97" t="e">
            <v>#REF!</v>
          </cell>
          <cell r="BM97" t="e">
            <v>#REF!</v>
          </cell>
          <cell r="BN97" t="e">
            <v>#REF!</v>
          </cell>
          <cell r="BO97" t="e">
            <v>#REF!</v>
          </cell>
          <cell r="BP97" t="e">
            <v>#REF!</v>
          </cell>
          <cell r="BQ97" t="e">
            <v>#REF!</v>
          </cell>
          <cell r="BR97" t="e">
            <v>#REF!</v>
          </cell>
          <cell r="BS97">
            <v>0</v>
          </cell>
          <cell r="BT97">
            <v>0</v>
          </cell>
          <cell r="BU97">
            <v>0</v>
          </cell>
          <cell r="BV97">
            <v>0</v>
          </cell>
          <cell r="BW97">
            <v>0</v>
          </cell>
          <cell r="BX97">
            <v>0</v>
          </cell>
          <cell r="BY97" t="e">
            <v>#REF!</v>
          </cell>
          <cell r="BZ97" t="e">
            <v>#REF!</v>
          </cell>
        </row>
        <row r="98">
          <cell r="B98" t="str">
            <v>Increase/(decrease) in total debt</v>
          </cell>
          <cell r="C98" t="str">
            <v>CHG_LT_DEBT</v>
          </cell>
          <cell r="D98" t="str">
            <v>TWD</v>
          </cell>
          <cell r="V98">
            <v>0</v>
          </cell>
          <cell r="W98">
            <v>0</v>
          </cell>
          <cell r="X98">
            <v>0</v>
          </cell>
          <cell r="Y98">
            <v>0</v>
          </cell>
          <cell r="Z98">
            <v>0</v>
          </cell>
          <cell r="AA98">
            <v>0</v>
          </cell>
          <cell r="AB98">
            <v>0</v>
          </cell>
          <cell r="AC98">
            <v>0</v>
          </cell>
          <cell r="AD98">
            <v>0</v>
          </cell>
          <cell r="AE98">
            <v>0</v>
          </cell>
          <cell r="AF98">
            <v>0</v>
          </cell>
          <cell r="AG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t="e">
            <v>#REF!</v>
          </cell>
          <cell r="BH98" t="e">
            <v>#REF!</v>
          </cell>
          <cell r="BI98" t="e">
            <v>#REF!</v>
          </cell>
          <cell r="BJ98" t="e">
            <v>#REF!</v>
          </cell>
          <cell r="BK98" t="e">
            <v>#REF!</v>
          </cell>
          <cell r="BL98" t="e">
            <v>#REF!</v>
          </cell>
          <cell r="BM98" t="e">
            <v>#REF!</v>
          </cell>
          <cell r="BN98" t="e">
            <v>#REF!</v>
          </cell>
          <cell r="BO98" t="e">
            <v>#REF!</v>
          </cell>
          <cell r="BP98" t="e">
            <v>#REF!</v>
          </cell>
          <cell r="BQ98" t="e">
            <v>#REF!</v>
          </cell>
          <cell r="BR98" t="e">
            <v>#REF!</v>
          </cell>
          <cell r="BS98">
            <v>0</v>
          </cell>
          <cell r="BT98">
            <v>0</v>
          </cell>
          <cell r="BU98">
            <v>0</v>
          </cell>
          <cell r="BV98">
            <v>0</v>
          </cell>
          <cell r="BW98">
            <v>0</v>
          </cell>
          <cell r="BX98">
            <v>0</v>
          </cell>
          <cell r="BY98" t="e">
            <v>#REF!</v>
          </cell>
          <cell r="BZ98" t="e">
            <v>#REF!</v>
          </cell>
        </row>
        <row r="99">
          <cell r="B99" t="str">
            <v>Other financing cash flow items</v>
          </cell>
          <cell r="C99" t="str">
            <v>OTH_FIN_CF</v>
          </cell>
          <cell r="D99" t="str">
            <v>TWD</v>
          </cell>
          <cell r="V99">
            <v>-16.154</v>
          </cell>
          <cell r="W99">
            <v>-12.177999999999983</v>
          </cell>
          <cell r="X99">
            <v>111.26900000000001</v>
          </cell>
          <cell r="Y99">
            <v>921.90100000000018</v>
          </cell>
          <cell r="Z99">
            <v>-779.06799999999998</v>
          </cell>
          <cell r="AA99">
            <v>1297.9329999999998</v>
          </cell>
          <cell r="AB99">
            <v>331.01900000000023</v>
          </cell>
          <cell r="AC99">
            <v>-204.4539999999997</v>
          </cell>
          <cell r="AD99">
            <v>0</v>
          </cell>
          <cell r="AE99">
            <v>0</v>
          </cell>
          <cell r="AF99">
            <v>0</v>
          </cell>
          <cell r="AG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#REF!</v>
          </cell>
          <cell r="BH99" t="e">
            <v>#REF!</v>
          </cell>
          <cell r="BI99" t="e">
            <v>#REF!</v>
          </cell>
          <cell r="BJ99" t="e">
            <v>#REF!</v>
          </cell>
          <cell r="BK99" t="e">
            <v>#REF!</v>
          </cell>
          <cell r="BL99" t="e">
            <v>#REF!</v>
          </cell>
          <cell r="BM99" t="e">
            <v>#REF!</v>
          </cell>
          <cell r="BN99" t="e">
            <v>#REF!</v>
          </cell>
          <cell r="BO99" t="e">
            <v>#REF!</v>
          </cell>
          <cell r="BP99" t="e">
            <v>#REF!</v>
          </cell>
          <cell r="BQ99" t="e">
            <v>#REF!</v>
          </cell>
          <cell r="BR99" t="e">
            <v>#REF!</v>
          </cell>
          <cell r="BS99">
            <v>0</v>
          </cell>
          <cell r="BT99">
            <v>0</v>
          </cell>
          <cell r="BU99">
            <v>0</v>
          </cell>
          <cell r="BV99">
            <v>0</v>
          </cell>
          <cell r="BW99">
            <v>0</v>
          </cell>
          <cell r="BX99">
            <v>0</v>
          </cell>
          <cell r="BY99" t="e">
            <v>#REF!</v>
          </cell>
          <cell r="BZ99" t="e">
            <v>#REF!</v>
          </cell>
        </row>
        <row r="100">
          <cell r="B100" t="str">
            <v>Cash flow from financing</v>
          </cell>
          <cell r="C100" t="str">
            <v>CF_FIN</v>
          </cell>
          <cell r="D100" t="str">
            <v>TWD</v>
          </cell>
          <cell r="V100">
            <v>-16.154</v>
          </cell>
          <cell r="W100">
            <v>-12.177999999999983</v>
          </cell>
          <cell r="X100">
            <v>111.26900000000001</v>
          </cell>
          <cell r="Y100">
            <v>1539.0700000000002</v>
          </cell>
          <cell r="Z100">
            <v>-779.06799999999998</v>
          </cell>
          <cell r="AA100">
            <v>1297.9329999999998</v>
          </cell>
          <cell r="AB100">
            <v>331.01900000000023</v>
          </cell>
          <cell r="AC100">
            <v>-204.4539999999997</v>
          </cell>
          <cell r="AD100">
            <v>0</v>
          </cell>
          <cell r="AE100">
            <v>0</v>
          </cell>
          <cell r="AF100">
            <v>0</v>
          </cell>
          <cell r="AG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t="e">
            <v>#REF!</v>
          </cell>
          <cell r="BH100" t="e">
            <v>#REF!</v>
          </cell>
          <cell r="BI100" t="e">
            <v>#REF!</v>
          </cell>
          <cell r="BJ100" t="e">
            <v>#REF!</v>
          </cell>
          <cell r="BK100" t="e">
            <v>#REF!</v>
          </cell>
          <cell r="BL100" t="e">
            <v>#REF!</v>
          </cell>
          <cell r="BM100" t="e">
            <v>#REF!</v>
          </cell>
          <cell r="BN100" t="e">
            <v>#REF!</v>
          </cell>
          <cell r="BO100" t="e">
            <v>#REF!</v>
          </cell>
          <cell r="BP100" t="e">
            <v>#REF!</v>
          </cell>
          <cell r="BQ100" t="e">
            <v>#REF!</v>
          </cell>
          <cell r="BR100" t="e">
            <v>#REF!</v>
          </cell>
          <cell r="BS100">
            <v>0</v>
          </cell>
          <cell r="BT100">
            <v>0</v>
          </cell>
          <cell r="BU100">
            <v>0</v>
          </cell>
          <cell r="BV100">
            <v>0</v>
          </cell>
          <cell r="BW100">
            <v>0</v>
          </cell>
          <cell r="BX100">
            <v>0</v>
          </cell>
          <cell r="BY100" t="e">
            <v>#REF!</v>
          </cell>
          <cell r="BZ100" t="e">
            <v>#REF!</v>
          </cell>
        </row>
        <row r="101">
          <cell r="B101" t="str">
            <v>Total cash flow</v>
          </cell>
          <cell r="C101" t="str">
            <v>TOT_CF</v>
          </cell>
          <cell r="D101" t="str">
            <v>TWD</v>
          </cell>
          <cell r="V101">
            <v>-552.04200000000003</v>
          </cell>
          <cell r="W101">
            <v>147.47900000000004</v>
          </cell>
          <cell r="X101">
            <v>188.45800000000003</v>
          </cell>
          <cell r="Y101">
            <v>1167.8220000000001</v>
          </cell>
          <cell r="Z101">
            <v>-792.49099999999999</v>
          </cell>
          <cell r="AA101">
            <v>1067.4199999999998</v>
          </cell>
          <cell r="AB101">
            <v>686.70400000000018</v>
          </cell>
          <cell r="AC101">
            <v>545.54700000000003</v>
          </cell>
          <cell r="AD101">
            <v>1625.3572523269831</v>
          </cell>
          <cell r="AE101">
            <v>2744.0408297913054</v>
          </cell>
          <cell r="AF101">
            <v>4262.1566443084303</v>
          </cell>
          <cell r="AG101">
            <v>4866.0457546437028</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t="e">
            <v>#REF!</v>
          </cell>
          <cell r="BH101" t="e">
            <v>#REF!</v>
          </cell>
          <cell r="BI101" t="e">
            <v>#REF!</v>
          </cell>
          <cell r="BJ101" t="e">
            <v>#REF!</v>
          </cell>
          <cell r="BK101" t="e">
            <v>#REF!</v>
          </cell>
          <cell r="BL101" t="e">
            <v>#REF!</v>
          </cell>
          <cell r="BM101" t="e">
            <v>#REF!</v>
          </cell>
          <cell r="BN101" t="e">
            <v>#REF!</v>
          </cell>
          <cell r="BO101" t="e">
            <v>#REF!</v>
          </cell>
          <cell r="BP101" t="e">
            <v>#REF!</v>
          </cell>
          <cell r="BQ101" t="e">
            <v>#REF!</v>
          </cell>
          <cell r="BR101" t="e">
            <v>#REF!</v>
          </cell>
          <cell r="BS101">
            <v>0</v>
          </cell>
          <cell r="BT101">
            <v>0</v>
          </cell>
          <cell r="BU101">
            <v>0</v>
          </cell>
          <cell r="BV101">
            <v>0</v>
          </cell>
          <cell r="BW101">
            <v>0</v>
          </cell>
          <cell r="BX101">
            <v>0</v>
          </cell>
          <cell r="BY101" t="e">
            <v>#REF!</v>
          </cell>
          <cell r="BZ101" t="e">
            <v>#REF!</v>
          </cell>
        </row>
        <row r="102">
          <cell r="A102" t="str">
            <v>Additional Cash Flow Items</v>
          </cell>
        </row>
        <row r="103">
          <cell r="B103" t="str">
            <v>Associate and JV add-back</v>
          </cell>
          <cell r="C103" t="str">
            <v>ASSOC_JV_ADDBK</v>
          </cell>
          <cell r="D103" t="str">
            <v>TWD</v>
          </cell>
        </row>
        <row r="104">
          <cell r="B104" t="str">
            <v>Profit/(loss) on sale of assets</v>
          </cell>
          <cell r="C104" t="str">
            <v>PL_SALE_ASSETS</v>
          </cell>
          <cell r="D104" t="str">
            <v>TWD</v>
          </cell>
        </row>
        <row r="105">
          <cell r="B105" t="str">
            <v>Other non-cash adjustments</v>
          </cell>
          <cell r="C105" t="str">
            <v>OTH_NONCASH_ADJ</v>
          </cell>
          <cell r="D105" t="str">
            <v>TWD</v>
          </cell>
        </row>
        <row r="106">
          <cell r="B106" t="str">
            <v>Other DACF adjustments</v>
          </cell>
          <cell r="C106" t="str">
            <v>OTH_DACF_ADJ</v>
          </cell>
          <cell r="D106" t="str">
            <v>TWD</v>
          </cell>
        </row>
        <row r="107">
          <cell r="B107" t="str">
            <v>Cash interest expense</v>
          </cell>
          <cell r="C107" t="str">
            <v>CASH_INT_EXP</v>
          </cell>
          <cell r="D107" t="str">
            <v>TWD</v>
          </cell>
        </row>
        <row r="108">
          <cell r="B108" t="str">
            <v>Cash tax expense</v>
          </cell>
          <cell r="C108" t="str">
            <v>CASH_TAX_EXP</v>
          </cell>
          <cell r="D108" t="str">
            <v>TWD</v>
          </cell>
        </row>
        <row r="109">
          <cell r="B109" t="str">
            <v>Dividends received from associates/JVs</v>
          </cell>
          <cell r="C109" t="str">
            <v>DIVDS_ASSOC_JV</v>
          </cell>
          <cell r="D109" t="str">
            <v>TWD</v>
          </cell>
        </row>
        <row r="110">
          <cell r="B110" t="str">
            <v>Capex maintenance</v>
          </cell>
          <cell r="C110" t="str">
            <v>CAPEX_MAINTENANCE</v>
          </cell>
          <cell r="D110" t="str">
            <v>TWD</v>
          </cell>
        </row>
        <row r="111">
          <cell r="B111" t="str">
            <v>Capex expansion</v>
          </cell>
          <cell r="C111" t="str">
            <v>CAPEX_EXPANSION</v>
          </cell>
          <cell r="D111" t="str">
            <v>TWD</v>
          </cell>
        </row>
        <row r="112">
          <cell r="B112" t="str">
            <v>Non-PP&amp;E capex</v>
          </cell>
          <cell r="C112" t="str">
            <v>NONPPE_CAPEX</v>
          </cell>
          <cell r="D112" t="str">
            <v>TWD</v>
          </cell>
        </row>
        <row r="113">
          <cell r="B113" t="str">
            <v>Dividends paid to minorities</v>
          </cell>
          <cell r="C113" t="str">
            <v>DIVDS_PD_MINORITIES</v>
          </cell>
          <cell r="D113" t="str">
            <v>TWD</v>
          </cell>
        </row>
        <row r="114">
          <cell r="A114" t="str">
            <v>Other Items</v>
          </cell>
        </row>
        <row r="115">
          <cell r="B115" t="str">
            <v>Number of employees</v>
          </cell>
          <cell r="C115" t="str">
            <v>EMPLOYEES</v>
          </cell>
          <cell r="V115">
            <v>16.004999999999999</v>
          </cell>
          <cell r="W115">
            <v>16.004999999999999</v>
          </cell>
          <cell r="X115">
            <v>16.004999999999999</v>
          </cell>
          <cell r="Y115">
            <v>16.004999999999999</v>
          </cell>
          <cell r="Z115">
            <v>16.004999999999999</v>
          </cell>
          <cell r="AA115">
            <v>16.004999999999999</v>
          </cell>
          <cell r="AB115">
            <v>16.004999999999999</v>
          </cell>
          <cell r="AC115">
            <v>17.257999999999999</v>
          </cell>
          <cell r="AD115">
            <v>17.257999999999999</v>
          </cell>
        </row>
        <row r="116">
          <cell r="A116" t="str">
            <v>Geographical Breakdown</v>
          </cell>
        </row>
        <row r="117">
          <cell r="B117" t="str">
            <v>Sales - % Canada</v>
          </cell>
          <cell r="C117" t="str">
            <v>SALES_CANADA</v>
          </cell>
        </row>
        <row r="118">
          <cell r="B118" t="str">
            <v>Sales - % United States</v>
          </cell>
          <cell r="C118" t="str">
            <v>SALES_US</v>
          </cell>
          <cell r="V118">
            <v>0.1</v>
          </cell>
          <cell r="W118">
            <v>0.1</v>
          </cell>
          <cell r="X118">
            <v>0.1</v>
          </cell>
          <cell r="Y118">
            <v>0.1</v>
          </cell>
          <cell r="Z118">
            <v>0.1</v>
          </cell>
          <cell r="AA118">
            <v>0.1</v>
          </cell>
          <cell r="AB118">
            <v>0.1</v>
          </cell>
          <cell r="AC118">
            <v>0.1</v>
          </cell>
          <cell r="AD118">
            <v>0.1</v>
          </cell>
          <cell r="AE118">
            <v>0.1</v>
          </cell>
          <cell r="AF118">
            <v>0.1</v>
          </cell>
          <cell r="AG118">
            <v>0.1</v>
          </cell>
        </row>
        <row r="119">
          <cell r="B119" t="str">
            <v>Sales - % Other North Americas</v>
          </cell>
          <cell r="C119" t="str">
            <v>SALES_OTH_NO_AMER</v>
          </cell>
        </row>
        <row r="120">
          <cell r="B120" t="str">
            <v>Sales - % Argentina</v>
          </cell>
          <cell r="C120" t="str">
            <v>SALES_ARGENTINA</v>
          </cell>
        </row>
        <row r="121">
          <cell r="B121" t="str">
            <v>Sales - % Brazil</v>
          </cell>
          <cell r="C121" t="str">
            <v>SALES_BRAZIL</v>
          </cell>
        </row>
        <row r="122">
          <cell r="B122" t="str">
            <v>Sales - % Chile</v>
          </cell>
          <cell r="C122" t="str">
            <v>SALES_CHILE</v>
          </cell>
        </row>
        <row r="123">
          <cell r="B123" t="str">
            <v>Sales - % Colombia</v>
          </cell>
          <cell r="C123" t="str">
            <v>SALES_COLOMBIA</v>
          </cell>
        </row>
        <row r="124">
          <cell r="B124" t="str">
            <v>Sales - % Mexico</v>
          </cell>
          <cell r="C124" t="str">
            <v>SALES_MEXICO</v>
          </cell>
        </row>
        <row r="125">
          <cell r="B125" t="str">
            <v>Sales - % Venezuela</v>
          </cell>
          <cell r="C125" t="str">
            <v>SALES_VENEZUELA</v>
          </cell>
        </row>
        <row r="126">
          <cell r="B126" t="str">
            <v>Sales - % Other Latin Americas</v>
          </cell>
          <cell r="C126" t="str">
            <v>SALES_OTH_LATAM</v>
          </cell>
        </row>
        <row r="127">
          <cell r="B127" t="str">
            <v>Sales - % Austria</v>
          </cell>
          <cell r="C127" t="str">
            <v>SALES_AUSTRIA</v>
          </cell>
        </row>
        <row r="128">
          <cell r="B128" t="str">
            <v>Sales - % Belgium</v>
          </cell>
          <cell r="C128" t="str">
            <v>SALES_BEL</v>
          </cell>
        </row>
        <row r="129">
          <cell r="B129" t="str">
            <v>Sales - % France</v>
          </cell>
          <cell r="C129" t="str">
            <v>SALES_FRA</v>
          </cell>
        </row>
        <row r="130">
          <cell r="B130" t="str">
            <v>Sales - % Germany</v>
          </cell>
          <cell r="C130" t="str">
            <v>SALES_GER</v>
          </cell>
        </row>
        <row r="131">
          <cell r="B131" t="str">
            <v>Sales - % Greece</v>
          </cell>
          <cell r="C131" t="str">
            <v>SALES_GRE</v>
          </cell>
        </row>
        <row r="132">
          <cell r="B132" t="str">
            <v>Sales - % Ireland</v>
          </cell>
          <cell r="C132" t="str">
            <v>SALES_IRE</v>
          </cell>
        </row>
        <row r="133">
          <cell r="B133" t="str">
            <v>Sales - % Italy</v>
          </cell>
          <cell r="C133" t="str">
            <v>SALES_ITA</v>
          </cell>
        </row>
        <row r="134">
          <cell r="B134" t="str">
            <v>Sales - % Netherlands</v>
          </cell>
          <cell r="C134" t="str">
            <v>SALES_NETH</v>
          </cell>
        </row>
        <row r="135">
          <cell r="B135" t="str">
            <v>Sales - % Norway</v>
          </cell>
          <cell r="C135" t="str">
            <v>SALES_NOR</v>
          </cell>
        </row>
        <row r="136">
          <cell r="B136" t="str">
            <v>Sales - % Portugal</v>
          </cell>
          <cell r="C136" t="str">
            <v>SALES_POR</v>
          </cell>
        </row>
        <row r="137">
          <cell r="B137" t="str">
            <v>Sales - % Spain</v>
          </cell>
          <cell r="C137" t="str">
            <v>SALES_SPA</v>
          </cell>
        </row>
        <row r="138">
          <cell r="B138" t="str">
            <v>Sales - % Sweden</v>
          </cell>
          <cell r="C138" t="str">
            <v>SALES_SWE</v>
          </cell>
        </row>
        <row r="139">
          <cell r="B139" t="str">
            <v>Sales - % Switzerland</v>
          </cell>
          <cell r="C139" t="str">
            <v>SALES_SWIT</v>
          </cell>
        </row>
        <row r="140">
          <cell r="B140" t="str">
            <v>Sales - % UK</v>
          </cell>
          <cell r="C140" t="str">
            <v>SALES_UK</v>
          </cell>
          <cell r="V140">
            <v>0.1</v>
          </cell>
          <cell r="W140">
            <v>0.1</v>
          </cell>
          <cell r="X140">
            <v>0.1</v>
          </cell>
          <cell r="Y140">
            <v>0.1</v>
          </cell>
          <cell r="Z140">
            <v>0.1</v>
          </cell>
          <cell r="AA140">
            <v>0.1</v>
          </cell>
          <cell r="AB140">
            <v>0.1</v>
          </cell>
          <cell r="AC140">
            <v>0.1</v>
          </cell>
          <cell r="AD140">
            <v>0.1</v>
          </cell>
          <cell r="AE140">
            <v>0.1</v>
          </cell>
          <cell r="AF140">
            <v>0.1</v>
          </cell>
          <cell r="AG140">
            <v>0.1</v>
          </cell>
        </row>
        <row r="141">
          <cell r="B141" t="str">
            <v>Sales - % Other Western Europe</v>
          </cell>
          <cell r="C141" t="str">
            <v>SALES_OTH_WEST_EURO</v>
          </cell>
          <cell r="V141">
            <v>0.1</v>
          </cell>
          <cell r="W141">
            <v>0.1</v>
          </cell>
          <cell r="X141">
            <v>0.1</v>
          </cell>
          <cell r="Y141">
            <v>0.1</v>
          </cell>
          <cell r="Z141">
            <v>0.1</v>
          </cell>
          <cell r="AA141">
            <v>0.1</v>
          </cell>
          <cell r="AB141">
            <v>0.1</v>
          </cell>
          <cell r="AC141">
            <v>0.1</v>
          </cell>
          <cell r="AD141">
            <v>0.1</v>
          </cell>
          <cell r="AE141">
            <v>0.1</v>
          </cell>
          <cell r="AF141">
            <v>0.1</v>
          </cell>
          <cell r="AG141">
            <v>0.1</v>
          </cell>
        </row>
        <row r="142">
          <cell r="B142" t="str">
            <v>Sales - % Poland</v>
          </cell>
          <cell r="C142" t="str">
            <v>SALES_POLAND</v>
          </cell>
        </row>
        <row r="143">
          <cell r="B143" t="str">
            <v>Sales - % Russia</v>
          </cell>
          <cell r="C143" t="str">
            <v>SALES_RUSSIA</v>
          </cell>
        </row>
        <row r="144">
          <cell r="B144" t="str">
            <v>Sales - % Turkey</v>
          </cell>
          <cell r="C144" t="str">
            <v>SALES_TURKEY</v>
          </cell>
        </row>
        <row r="145">
          <cell r="B145" t="str">
            <v>Sales - % Other CEE</v>
          </cell>
          <cell r="C145" t="str">
            <v>SALES_OTH_CEE</v>
          </cell>
        </row>
        <row r="146">
          <cell r="B146" t="str">
            <v>Sales - % Saudi Arabia</v>
          </cell>
          <cell r="C146" t="str">
            <v>SALES_SAUDI_ARABIA</v>
          </cell>
        </row>
        <row r="147">
          <cell r="B147" t="str">
            <v>Sales - % United Arab Emirates</v>
          </cell>
          <cell r="C147" t="str">
            <v>SALES_UAE</v>
          </cell>
        </row>
        <row r="148">
          <cell r="B148" t="str">
            <v>Sales - % Other Middle East</v>
          </cell>
          <cell r="C148" t="str">
            <v>SALES_OTH_ME</v>
          </cell>
        </row>
        <row r="149">
          <cell r="B149" t="str">
            <v>Sales - % Nigeria</v>
          </cell>
          <cell r="C149" t="str">
            <v>SALES_NIGERIA</v>
          </cell>
        </row>
        <row r="150">
          <cell r="B150" t="str">
            <v>Sales - % South Africa</v>
          </cell>
          <cell r="C150" t="str">
            <v>SALES_SO_AFRICA</v>
          </cell>
        </row>
        <row r="151">
          <cell r="B151" t="str">
            <v>Sales - % Other Africa</v>
          </cell>
          <cell r="C151" t="str">
            <v>SALES_OTH_AFRICA</v>
          </cell>
        </row>
        <row r="152">
          <cell r="B152" t="str">
            <v>Sales - % Hong Kong</v>
          </cell>
          <cell r="C152" t="str">
            <v>SALES_HONG_KONG</v>
          </cell>
        </row>
        <row r="153">
          <cell r="B153" t="str">
            <v>Sales - % Japan</v>
          </cell>
          <cell r="C153" t="str">
            <v>SALES_JAPAN</v>
          </cell>
          <cell r="V153">
            <v>0.1</v>
          </cell>
          <cell r="W153">
            <v>0.1</v>
          </cell>
          <cell r="X153">
            <v>0.1</v>
          </cell>
          <cell r="Y153">
            <v>0.1</v>
          </cell>
          <cell r="Z153">
            <v>0.1</v>
          </cell>
          <cell r="AA153">
            <v>0.1</v>
          </cell>
          <cell r="AB153">
            <v>0.1</v>
          </cell>
          <cell r="AC153">
            <v>0.1</v>
          </cell>
          <cell r="AD153">
            <v>0.1</v>
          </cell>
          <cell r="AE153">
            <v>0.1</v>
          </cell>
          <cell r="AF153">
            <v>0.1</v>
          </cell>
          <cell r="AG153">
            <v>0.1</v>
          </cell>
        </row>
        <row r="154">
          <cell r="B154" t="str">
            <v>Sales - % Singapore</v>
          </cell>
          <cell r="C154" t="str">
            <v>SALES_SINGAPORE</v>
          </cell>
        </row>
        <row r="155">
          <cell r="B155" t="str">
            <v>Sales - % South Korea</v>
          </cell>
          <cell r="C155" t="str">
            <v>SALES_SK</v>
          </cell>
        </row>
        <row r="156">
          <cell r="B156" t="str">
            <v>Sales - % Taiwan</v>
          </cell>
          <cell r="C156" t="str">
            <v>SALES_TAIWAN</v>
          </cell>
          <cell r="V156">
            <v>0.2</v>
          </cell>
          <cell r="W156">
            <v>0.2</v>
          </cell>
          <cell r="X156">
            <v>0.2</v>
          </cell>
          <cell r="Y156">
            <v>0.2</v>
          </cell>
          <cell r="Z156">
            <v>0.2</v>
          </cell>
          <cell r="AA156">
            <v>0.2</v>
          </cell>
          <cell r="AB156">
            <v>0.2</v>
          </cell>
          <cell r="AC156">
            <v>0.2</v>
          </cell>
          <cell r="AD156">
            <v>0.2</v>
          </cell>
          <cell r="AE156">
            <v>0.2</v>
          </cell>
          <cell r="AF156">
            <v>0.2</v>
          </cell>
          <cell r="AG156">
            <v>0.2</v>
          </cell>
        </row>
        <row r="157">
          <cell r="B157" t="str">
            <v>Sales - % Other Developed Asia</v>
          </cell>
          <cell r="C157" t="str">
            <v>SALES_OTH_DEV_ASIA</v>
          </cell>
        </row>
        <row r="158">
          <cell r="B158" t="str">
            <v>Sales - % China</v>
          </cell>
          <cell r="C158" t="str">
            <v>SALES_CHINA</v>
          </cell>
          <cell r="V158">
            <v>0.3</v>
          </cell>
          <cell r="W158">
            <v>0.3</v>
          </cell>
          <cell r="X158">
            <v>0.3</v>
          </cell>
          <cell r="Y158">
            <v>0.3</v>
          </cell>
          <cell r="Z158">
            <v>0.3</v>
          </cell>
          <cell r="AA158">
            <v>0.3</v>
          </cell>
          <cell r="AB158">
            <v>0.3</v>
          </cell>
          <cell r="AC158">
            <v>0.3</v>
          </cell>
          <cell r="AD158">
            <v>0.3</v>
          </cell>
          <cell r="AE158">
            <v>0.3</v>
          </cell>
          <cell r="AF158">
            <v>0.3</v>
          </cell>
          <cell r="AG158">
            <v>0.3</v>
          </cell>
        </row>
        <row r="159">
          <cell r="B159" t="str">
            <v>Sales - % India</v>
          </cell>
          <cell r="C159" t="str">
            <v>SALES_INDIA</v>
          </cell>
        </row>
        <row r="160">
          <cell r="B160" t="str">
            <v>Sales - % Indonesia</v>
          </cell>
          <cell r="C160" t="str">
            <v>SALES_INDONESIA</v>
          </cell>
        </row>
        <row r="161">
          <cell r="B161" t="str">
            <v>Sales - % Thailand</v>
          </cell>
          <cell r="C161" t="str">
            <v>SALES_THAILAND</v>
          </cell>
        </row>
        <row r="162">
          <cell r="B162" t="str">
            <v>Sales - % Other Emerging Asia</v>
          </cell>
          <cell r="C162" t="str">
            <v>SALES_OTH_EMERG_ASIA</v>
          </cell>
        </row>
        <row r="163">
          <cell r="B163" t="str">
            <v>Sales - % Australia</v>
          </cell>
          <cell r="C163" t="str">
            <v>SALES_AUSTRA</v>
          </cell>
        </row>
        <row r="164">
          <cell r="B164" t="str">
            <v>Sales - % New Zealand</v>
          </cell>
          <cell r="C164" t="str">
            <v>SALES_NZ</v>
          </cell>
        </row>
        <row r="165">
          <cell r="B165" t="str">
            <v>Sales - % Others</v>
          </cell>
          <cell r="C165" t="str">
            <v>SALES_OTHER</v>
          </cell>
          <cell r="V165">
            <v>0.1</v>
          </cell>
          <cell r="W165">
            <v>0.1</v>
          </cell>
          <cell r="X165">
            <v>0.1</v>
          </cell>
          <cell r="Y165">
            <v>0.1</v>
          </cell>
          <cell r="Z165">
            <v>0.1</v>
          </cell>
          <cell r="AA165">
            <v>0.1</v>
          </cell>
          <cell r="AB165">
            <v>0.1</v>
          </cell>
          <cell r="AC165">
            <v>0.1</v>
          </cell>
          <cell r="AD165">
            <v>0.1</v>
          </cell>
          <cell r="AE165">
            <v>0.1</v>
          </cell>
          <cell r="AF165">
            <v>0.1</v>
          </cell>
          <cell r="AG165">
            <v>0.1</v>
          </cell>
        </row>
        <row r="166">
          <cell r="B166" t="str">
            <v>% of CoGS from U.S. (GS estimate)</v>
          </cell>
          <cell r="C166" t="str">
            <v>COGS_PCT_US</v>
          </cell>
          <cell r="V166">
            <v>0</v>
          </cell>
          <cell r="W166">
            <v>0</v>
          </cell>
          <cell r="X166">
            <v>0</v>
          </cell>
          <cell r="Y166">
            <v>0</v>
          </cell>
          <cell r="Z166">
            <v>0</v>
          </cell>
          <cell r="AA166">
            <v>0</v>
          </cell>
          <cell r="AB166">
            <v>0</v>
          </cell>
          <cell r="AC166">
            <v>0</v>
          </cell>
          <cell r="AD166">
            <v>0</v>
          </cell>
          <cell r="AE166">
            <v>0</v>
          </cell>
          <cell r="AF166">
            <v>0</v>
          </cell>
          <cell r="AG166">
            <v>0</v>
          </cell>
        </row>
        <row r="167">
          <cell r="B167" t="str">
            <v>% of CoGS from non-U.S. (GS estimate)</v>
          </cell>
          <cell r="C167" t="str">
            <v>COGS_PCT_ROW</v>
          </cell>
          <cell r="V167">
            <v>1</v>
          </cell>
          <cell r="W167">
            <v>1</v>
          </cell>
          <cell r="X167">
            <v>1</v>
          </cell>
          <cell r="Y167">
            <v>1</v>
          </cell>
          <cell r="Z167">
            <v>1</v>
          </cell>
          <cell r="AA167">
            <v>1</v>
          </cell>
          <cell r="AB167">
            <v>1</v>
          </cell>
          <cell r="AC167">
            <v>1</v>
          </cell>
          <cell r="AD167">
            <v>1</v>
          </cell>
          <cell r="AE167">
            <v>1</v>
          </cell>
          <cell r="AF167">
            <v>1</v>
          </cell>
          <cell r="AG167">
            <v>1</v>
          </cell>
        </row>
        <row r="168">
          <cell r="B168" t="str">
            <v>% of SG&amp;A from U.S. (GS estimate)</v>
          </cell>
          <cell r="C168" t="str">
            <v>SGA_PCT_US</v>
          </cell>
          <cell r="V168">
            <v>0</v>
          </cell>
          <cell r="W168">
            <v>0</v>
          </cell>
          <cell r="X168">
            <v>0</v>
          </cell>
          <cell r="Y168">
            <v>0</v>
          </cell>
          <cell r="Z168">
            <v>0</v>
          </cell>
          <cell r="AA168">
            <v>0</v>
          </cell>
          <cell r="AB168">
            <v>0</v>
          </cell>
          <cell r="AC168">
            <v>0</v>
          </cell>
          <cell r="AD168">
            <v>0</v>
          </cell>
          <cell r="AE168">
            <v>0</v>
          </cell>
          <cell r="AF168">
            <v>0</v>
          </cell>
          <cell r="AG168">
            <v>0</v>
          </cell>
        </row>
        <row r="169">
          <cell r="B169" t="str">
            <v>% of SG&amp;A from non-U.S. (GS estimate)</v>
          </cell>
          <cell r="C169" t="str">
            <v>SGA_PCT_ROW</v>
          </cell>
          <cell r="V169">
            <v>1</v>
          </cell>
          <cell r="W169">
            <v>1</v>
          </cell>
          <cell r="X169">
            <v>1</v>
          </cell>
          <cell r="Y169">
            <v>1</v>
          </cell>
          <cell r="Z169">
            <v>1</v>
          </cell>
          <cell r="AA169">
            <v>1</v>
          </cell>
          <cell r="AB169">
            <v>1</v>
          </cell>
          <cell r="AC169">
            <v>1</v>
          </cell>
          <cell r="AD169">
            <v>1</v>
          </cell>
          <cell r="AE169">
            <v>1</v>
          </cell>
          <cell r="AF169">
            <v>1</v>
          </cell>
          <cell r="AG169">
            <v>1</v>
          </cell>
        </row>
        <row r="170">
          <cell r="B170" t="str">
            <v>Sales -% Consumer (C)</v>
          </cell>
          <cell r="C170" t="str">
            <v>SALES_CONS</v>
          </cell>
          <cell r="V170">
            <v>0</v>
          </cell>
          <cell r="W170">
            <v>0</v>
          </cell>
          <cell r="X170">
            <v>0</v>
          </cell>
          <cell r="Y170">
            <v>0</v>
          </cell>
          <cell r="Z170">
            <v>0</v>
          </cell>
          <cell r="AA170">
            <v>0</v>
          </cell>
          <cell r="AB170">
            <v>0</v>
          </cell>
          <cell r="AC170">
            <v>0</v>
          </cell>
          <cell r="AD170">
            <v>0</v>
          </cell>
          <cell r="AE170">
            <v>0</v>
          </cell>
          <cell r="AF170">
            <v>0</v>
          </cell>
          <cell r="AG170">
            <v>0</v>
          </cell>
        </row>
        <row r="171">
          <cell r="B171" t="str">
            <v>Sales -% Industry (I)</v>
          </cell>
          <cell r="C171" t="str">
            <v>SALES_IND</v>
          </cell>
          <cell r="V171">
            <v>1</v>
          </cell>
          <cell r="W171">
            <v>1</v>
          </cell>
          <cell r="X171">
            <v>1</v>
          </cell>
          <cell r="Y171">
            <v>1</v>
          </cell>
          <cell r="Z171">
            <v>1</v>
          </cell>
          <cell r="AA171">
            <v>1</v>
          </cell>
          <cell r="AB171">
            <v>1</v>
          </cell>
          <cell r="AC171">
            <v>1</v>
          </cell>
          <cell r="AD171">
            <v>1</v>
          </cell>
          <cell r="AE171">
            <v>1</v>
          </cell>
          <cell r="AF171">
            <v>1</v>
          </cell>
          <cell r="AG171">
            <v>1</v>
          </cell>
        </row>
        <row r="172">
          <cell r="B172" t="str">
            <v>Sales -% Government (G)</v>
          </cell>
          <cell r="C172" t="str">
            <v>SALES_GOV</v>
          </cell>
          <cell r="V172">
            <v>0</v>
          </cell>
          <cell r="W172">
            <v>0</v>
          </cell>
          <cell r="X172">
            <v>0</v>
          </cell>
          <cell r="Y172">
            <v>0</v>
          </cell>
          <cell r="Z172">
            <v>0</v>
          </cell>
          <cell r="AA172">
            <v>0</v>
          </cell>
          <cell r="AB172">
            <v>0</v>
          </cell>
          <cell r="AC172">
            <v>0</v>
          </cell>
          <cell r="AD172">
            <v>0</v>
          </cell>
          <cell r="AE172">
            <v>0</v>
          </cell>
          <cell r="AF172">
            <v>0</v>
          </cell>
          <cell r="AG172">
            <v>0</v>
          </cell>
        </row>
        <row r="173">
          <cell r="B173" t="str">
            <v>Sales - % Industry Sub-Segment: Financial Services</v>
          </cell>
          <cell r="C173" t="str">
            <v>SALES_FINAN</v>
          </cell>
          <cell r="V173">
            <v>0</v>
          </cell>
          <cell r="W173">
            <v>0</v>
          </cell>
          <cell r="X173">
            <v>0</v>
          </cell>
          <cell r="Y173">
            <v>0</v>
          </cell>
          <cell r="Z173">
            <v>0</v>
          </cell>
          <cell r="AA173">
            <v>0</v>
          </cell>
          <cell r="AB173">
            <v>0</v>
          </cell>
          <cell r="AC173">
            <v>0</v>
          </cell>
          <cell r="AD173">
            <v>0</v>
          </cell>
          <cell r="AE173">
            <v>0</v>
          </cell>
          <cell r="AF173">
            <v>0</v>
          </cell>
          <cell r="AG173">
            <v>0</v>
          </cell>
        </row>
        <row r="174">
          <cell r="B174" t="str">
            <v>Sales - % Industry Sub-Segment: Oil &amp; Gas</v>
          </cell>
          <cell r="C174" t="str">
            <v>SALES_OIL_GAS</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Commodities Exposure - Expense</v>
          </cell>
        </row>
        <row r="176">
          <cell r="B176" t="str">
            <v>Expense - % Oil/Petrol/Fuel</v>
          </cell>
          <cell r="C176" t="str">
            <v>EXP_OIL_PETRO_FUEL</v>
          </cell>
          <cell r="V176">
            <v>1E-3</v>
          </cell>
          <cell r="W176">
            <v>1E-3</v>
          </cell>
          <cell r="X176">
            <v>1E-3</v>
          </cell>
          <cell r="Y176">
            <v>1E-3</v>
          </cell>
          <cell r="Z176">
            <v>1E-3</v>
          </cell>
          <cell r="AA176">
            <v>1E-3</v>
          </cell>
          <cell r="AB176">
            <v>1E-3</v>
          </cell>
          <cell r="AC176">
            <v>1E-3</v>
          </cell>
          <cell r="AD176">
            <v>1E-3</v>
          </cell>
          <cell r="AE176">
            <v>1E-3</v>
          </cell>
          <cell r="AF176">
            <v>1E-3</v>
          </cell>
          <cell r="AG176">
            <v>1E-3</v>
          </cell>
        </row>
        <row r="177">
          <cell r="B177" t="str">
            <v>Expense - % Oil derivatives/NGLs/plastics</v>
          </cell>
          <cell r="C177" t="str">
            <v>EXP_OIL_DERIV_NGLS_PLASTICS</v>
          </cell>
          <cell r="V177">
            <v>1E-3</v>
          </cell>
          <cell r="W177">
            <v>1E-3</v>
          </cell>
          <cell r="X177">
            <v>1E-3</v>
          </cell>
          <cell r="Y177">
            <v>1E-3</v>
          </cell>
          <cell r="Z177">
            <v>1E-3</v>
          </cell>
          <cell r="AA177">
            <v>1E-3</v>
          </cell>
          <cell r="AB177">
            <v>1E-3</v>
          </cell>
          <cell r="AC177">
            <v>1E-3</v>
          </cell>
          <cell r="AD177">
            <v>1E-3</v>
          </cell>
          <cell r="AE177">
            <v>1E-3</v>
          </cell>
          <cell r="AF177">
            <v>1E-3</v>
          </cell>
          <cell r="AG177">
            <v>1E-3</v>
          </cell>
        </row>
        <row r="178">
          <cell r="B178" t="str">
            <v>Expense - % Gold</v>
          </cell>
          <cell r="C178" t="str">
            <v>EXP_GOLD</v>
          </cell>
        </row>
        <row r="179">
          <cell r="B179" t="str">
            <v>Expense - % Copper</v>
          </cell>
          <cell r="C179" t="str">
            <v>EXP_COPPER</v>
          </cell>
        </row>
        <row r="180">
          <cell r="B180" t="str">
            <v>Expense - % Silver</v>
          </cell>
          <cell r="C180" t="str">
            <v>EXP_SILVER</v>
          </cell>
        </row>
        <row r="181">
          <cell r="B181" t="str">
            <v>Expense - % Platinum</v>
          </cell>
          <cell r="C181" t="str">
            <v>EXP_PLATINUM</v>
          </cell>
        </row>
        <row r="182">
          <cell r="B182" t="str">
            <v>Expense - % Palladium</v>
          </cell>
          <cell r="C182" t="str">
            <v>EXP_PALLADIUM</v>
          </cell>
        </row>
        <row r="183">
          <cell r="B183" t="str">
            <v>Expense - % Aluminium</v>
          </cell>
          <cell r="C183" t="str">
            <v>EXP_ALUMINIUM</v>
          </cell>
        </row>
        <row r="184">
          <cell r="B184" t="str">
            <v>Expense - % Nickel</v>
          </cell>
          <cell r="C184" t="str">
            <v>EXP_NICKEL</v>
          </cell>
        </row>
        <row r="185">
          <cell r="B185" t="str">
            <v>Expense - % Zinc</v>
          </cell>
          <cell r="C185" t="str">
            <v>EXP_ZINC</v>
          </cell>
        </row>
        <row r="186">
          <cell r="B186" t="str">
            <v>Expense - % Paper/pulp</v>
          </cell>
          <cell r="C186" t="str">
            <v>EXP_PAPER_PULP</v>
          </cell>
        </row>
        <row r="187">
          <cell r="B187" t="str">
            <v>Expense - % Glass</v>
          </cell>
          <cell r="C187" t="str">
            <v>EXP_GLASS</v>
          </cell>
        </row>
        <row r="188">
          <cell r="B188" t="str">
            <v>Expense - % Water</v>
          </cell>
          <cell r="C188" t="str">
            <v>EXP_WATER</v>
          </cell>
        </row>
        <row r="189">
          <cell r="B189" t="str">
            <v>Expense - % Other commodity</v>
          </cell>
          <cell r="C189" t="str">
            <v>EXP_OTH_COMMODITY</v>
          </cell>
        </row>
        <row r="190">
          <cell r="B190" t="str">
            <v>Expense - % Other (Non-Commodity) cost</v>
          </cell>
          <cell r="C190" t="str">
            <v>EXP_OTH_COST</v>
          </cell>
        </row>
        <row r="191">
          <cell r="A191" t="str">
            <v>FX Exposure - Sales</v>
          </cell>
        </row>
        <row r="192">
          <cell r="B192" t="str">
            <v>Sales - % FX: British Pounds/Pence</v>
          </cell>
          <cell r="C192" t="str">
            <v>SALES_FX_GPB</v>
          </cell>
          <cell r="V192">
            <v>0.1</v>
          </cell>
          <cell r="W192">
            <v>0.1</v>
          </cell>
          <cell r="X192">
            <v>0.1</v>
          </cell>
          <cell r="Y192">
            <v>0.1</v>
          </cell>
          <cell r="Z192">
            <v>0.1</v>
          </cell>
          <cell r="AA192">
            <v>0.1</v>
          </cell>
          <cell r="AB192">
            <v>0.1</v>
          </cell>
          <cell r="AC192">
            <v>0.1</v>
          </cell>
          <cell r="AD192">
            <v>0.1</v>
          </cell>
          <cell r="AE192">
            <v>0.1</v>
          </cell>
          <cell r="AF192">
            <v>0.1</v>
          </cell>
          <cell r="AG192">
            <v>0.1</v>
          </cell>
        </row>
        <row r="193">
          <cell r="B193" t="str">
            <v>Sales - % FX: Euro</v>
          </cell>
          <cell r="C193" t="str">
            <v>SALES_FX_EUR</v>
          </cell>
          <cell r="V193">
            <v>0.1</v>
          </cell>
          <cell r="W193">
            <v>0.1</v>
          </cell>
          <cell r="X193">
            <v>0.1</v>
          </cell>
          <cell r="Y193">
            <v>0.1</v>
          </cell>
          <cell r="Z193">
            <v>0.1</v>
          </cell>
          <cell r="AA193">
            <v>0.1</v>
          </cell>
          <cell r="AB193">
            <v>0.1</v>
          </cell>
          <cell r="AC193">
            <v>0.1</v>
          </cell>
          <cell r="AD193">
            <v>0.1</v>
          </cell>
          <cell r="AE193">
            <v>0.1</v>
          </cell>
          <cell r="AF193">
            <v>0.1</v>
          </cell>
          <cell r="AG193">
            <v>0.1</v>
          </cell>
        </row>
        <row r="194">
          <cell r="B194" t="str">
            <v>Sales - % FX: New Russian Ruble</v>
          </cell>
          <cell r="C194" t="str">
            <v>SALES_FX_RUB</v>
          </cell>
          <cell r="V194">
            <v>0</v>
          </cell>
          <cell r="W194">
            <v>0</v>
          </cell>
          <cell r="X194">
            <v>0</v>
          </cell>
          <cell r="Y194">
            <v>0</v>
          </cell>
          <cell r="Z194">
            <v>0</v>
          </cell>
          <cell r="AA194">
            <v>0</v>
          </cell>
          <cell r="AB194">
            <v>0</v>
          </cell>
          <cell r="AC194">
            <v>0</v>
          </cell>
          <cell r="AD194">
            <v>0</v>
          </cell>
          <cell r="AE194">
            <v>0</v>
          </cell>
          <cell r="AF194">
            <v>0</v>
          </cell>
          <cell r="AG194">
            <v>0</v>
          </cell>
        </row>
        <row r="195">
          <cell r="B195" t="str">
            <v>Sales - % FX: U.S. Dollar</v>
          </cell>
          <cell r="C195" t="str">
            <v>SALES_FX_USD</v>
          </cell>
          <cell r="V195">
            <v>0.1</v>
          </cell>
          <cell r="W195">
            <v>0.1</v>
          </cell>
          <cell r="X195">
            <v>0.1</v>
          </cell>
          <cell r="Y195">
            <v>0.1</v>
          </cell>
          <cell r="Z195">
            <v>0.1</v>
          </cell>
          <cell r="AA195">
            <v>0.1</v>
          </cell>
          <cell r="AB195">
            <v>0.1</v>
          </cell>
          <cell r="AC195">
            <v>0.1</v>
          </cell>
          <cell r="AD195">
            <v>0.1</v>
          </cell>
          <cell r="AE195">
            <v>0.1</v>
          </cell>
          <cell r="AF195">
            <v>0.1</v>
          </cell>
          <cell r="AG195">
            <v>0.1</v>
          </cell>
        </row>
        <row r="196">
          <cell r="B196" t="str">
            <v>Sales - % FX: Brazilian Real</v>
          </cell>
          <cell r="C196" t="str">
            <v>SALES_FX_BRL</v>
          </cell>
          <cell r="V196">
            <v>0</v>
          </cell>
          <cell r="W196">
            <v>0</v>
          </cell>
          <cell r="X196">
            <v>0</v>
          </cell>
          <cell r="Y196">
            <v>0</v>
          </cell>
          <cell r="Z196">
            <v>0</v>
          </cell>
          <cell r="AA196">
            <v>0</v>
          </cell>
          <cell r="AB196">
            <v>0</v>
          </cell>
          <cell r="AC196">
            <v>0</v>
          </cell>
          <cell r="AD196">
            <v>0</v>
          </cell>
          <cell r="AE196">
            <v>0</v>
          </cell>
          <cell r="AF196">
            <v>0</v>
          </cell>
          <cell r="AG196">
            <v>0</v>
          </cell>
        </row>
        <row r="197">
          <cell r="B197" t="str">
            <v>Sales - % FX: Japanese Yen</v>
          </cell>
          <cell r="C197" t="str">
            <v>SALES_FX_YEN</v>
          </cell>
          <cell r="V197">
            <v>0.1</v>
          </cell>
          <cell r="W197">
            <v>0.1</v>
          </cell>
          <cell r="X197">
            <v>0.1</v>
          </cell>
          <cell r="Y197">
            <v>0.1</v>
          </cell>
          <cell r="Z197">
            <v>0.1</v>
          </cell>
          <cell r="AA197">
            <v>0.1</v>
          </cell>
          <cell r="AB197">
            <v>0.1</v>
          </cell>
          <cell r="AC197">
            <v>0.1</v>
          </cell>
          <cell r="AD197">
            <v>0.1</v>
          </cell>
          <cell r="AE197">
            <v>0.1</v>
          </cell>
          <cell r="AF197">
            <v>0.1</v>
          </cell>
          <cell r="AG197">
            <v>0.1</v>
          </cell>
        </row>
        <row r="198">
          <cell r="B198" t="str">
            <v>Sales - % FX: Chinese Renminbi</v>
          </cell>
          <cell r="C198" t="str">
            <v>SALES_FX_CNY</v>
          </cell>
          <cell r="V198">
            <v>0.1</v>
          </cell>
          <cell r="W198">
            <v>0.1</v>
          </cell>
          <cell r="X198">
            <v>0.1</v>
          </cell>
          <cell r="Y198">
            <v>0.1</v>
          </cell>
          <cell r="Z198">
            <v>0.1</v>
          </cell>
          <cell r="AA198">
            <v>0.1</v>
          </cell>
          <cell r="AB198">
            <v>0.1</v>
          </cell>
          <cell r="AC198">
            <v>0.1</v>
          </cell>
          <cell r="AD198">
            <v>0.1</v>
          </cell>
          <cell r="AE198">
            <v>0.1</v>
          </cell>
          <cell r="AF198">
            <v>0.1</v>
          </cell>
          <cell r="AG198">
            <v>0.1</v>
          </cell>
        </row>
        <row r="199">
          <cell r="B199" t="str">
            <v>Sales - % FX: Indian Rupee</v>
          </cell>
          <cell r="C199" t="str">
            <v>SALES_FX_INR</v>
          </cell>
          <cell r="V199">
            <v>0.05</v>
          </cell>
          <cell r="W199">
            <v>0.05</v>
          </cell>
          <cell r="X199">
            <v>0.05</v>
          </cell>
          <cell r="Y199">
            <v>0.05</v>
          </cell>
          <cell r="Z199">
            <v>0.05</v>
          </cell>
          <cell r="AA199">
            <v>0.05</v>
          </cell>
          <cell r="AB199">
            <v>0.05</v>
          </cell>
          <cell r="AC199">
            <v>0.05</v>
          </cell>
          <cell r="AD199">
            <v>0.05</v>
          </cell>
          <cell r="AE199">
            <v>0.05</v>
          </cell>
          <cell r="AF199">
            <v>0.05</v>
          </cell>
          <cell r="AG199">
            <v>0.05</v>
          </cell>
        </row>
        <row r="200">
          <cell r="B200" t="str">
            <v>Sales - % FX: South Korean Won</v>
          </cell>
          <cell r="C200" t="str">
            <v>SALES_FX_KRW</v>
          </cell>
          <cell r="V200">
            <v>0.05</v>
          </cell>
          <cell r="W200">
            <v>0.05</v>
          </cell>
          <cell r="X200">
            <v>0.05</v>
          </cell>
          <cell r="Y200">
            <v>0.05</v>
          </cell>
          <cell r="Z200">
            <v>0.05</v>
          </cell>
          <cell r="AA200">
            <v>0.05</v>
          </cell>
          <cell r="AB200">
            <v>0.05</v>
          </cell>
          <cell r="AC200">
            <v>0.05</v>
          </cell>
          <cell r="AD200">
            <v>0.05</v>
          </cell>
          <cell r="AE200">
            <v>0.05</v>
          </cell>
          <cell r="AF200">
            <v>0.05</v>
          </cell>
          <cell r="AG200">
            <v>0.05</v>
          </cell>
        </row>
        <row r="201">
          <cell r="B201" t="str">
            <v>Sales - % FX: Taiwan Dollar</v>
          </cell>
          <cell r="C201" t="str">
            <v>SALES_FX_TWD</v>
          </cell>
          <cell r="V201">
            <v>0.1</v>
          </cell>
          <cell r="W201">
            <v>0.1</v>
          </cell>
          <cell r="X201">
            <v>0.1</v>
          </cell>
          <cell r="Y201">
            <v>0.1</v>
          </cell>
          <cell r="Z201">
            <v>0.1</v>
          </cell>
          <cell r="AA201">
            <v>0.1</v>
          </cell>
          <cell r="AB201">
            <v>0.1</v>
          </cell>
          <cell r="AC201">
            <v>0.1</v>
          </cell>
          <cell r="AD201">
            <v>0.1</v>
          </cell>
          <cell r="AE201">
            <v>0.1</v>
          </cell>
          <cell r="AF201">
            <v>0.1</v>
          </cell>
          <cell r="AG201">
            <v>0.1</v>
          </cell>
        </row>
        <row r="202">
          <cell r="B202" t="str">
            <v>Sales - % FX: Other Currency</v>
          </cell>
          <cell r="C202" t="str">
            <v>SALES_FX_OTH</v>
          </cell>
          <cell r="V202">
            <v>0.3</v>
          </cell>
          <cell r="W202">
            <v>0.3</v>
          </cell>
          <cell r="X202">
            <v>0.3</v>
          </cell>
          <cell r="Y202">
            <v>0.3</v>
          </cell>
          <cell r="Z202">
            <v>0.3</v>
          </cell>
          <cell r="AA202">
            <v>0.3</v>
          </cell>
          <cell r="AB202">
            <v>0.3</v>
          </cell>
          <cell r="AC202">
            <v>0.3</v>
          </cell>
          <cell r="AD202">
            <v>0.3</v>
          </cell>
          <cell r="AE202">
            <v>0.3</v>
          </cell>
          <cell r="AF202">
            <v>0.3</v>
          </cell>
          <cell r="AG202">
            <v>0.3</v>
          </cell>
        </row>
        <row r="203">
          <cell r="A203" t="str">
            <v>Items to be removed</v>
          </cell>
        </row>
        <row r="204">
          <cell r="B204" t="str">
            <v>Sales - Total % Americas</v>
          </cell>
          <cell r="C204" t="str">
            <v>SALES_TOT_AM</v>
          </cell>
        </row>
        <row r="205">
          <cell r="B205" t="str">
            <v>Sales - % Other Americas</v>
          </cell>
          <cell r="C205" t="str">
            <v>SALES_OTH_AM</v>
          </cell>
        </row>
        <row r="206">
          <cell r="B206" t="str">
            <v>Sales - Total % EMEA</v>
          </cell>
          <cell r="C206" t="str">
            <v>SALES_TOT_EMEA</v>
          </cell>
        </row>
        <row r="207">
          <cell r="B207" t="str">
            <v>Sales - % Western Europe-Ex UK</v>
          </cell>
          <cell r="C207" t="str">
            <v>SALES_EU_EX_UK</v>
          </cell>
        </row>
        <row r="208">
          <cell r="B208" t="str">
            <v>Sales - % Central &amp; Eastern Europe</v>
          </cell>
          <cell r="C208" t="str">
            <v>SALES_CEE</v>
          </cell>
        </row>
        <row r="209">
          <cell r="B209" t="str">
            <v>Sales - % Middle East</v>
          </cell>
          <cell r="C209" t="str">
            <v>SALES_ME</v>
          </cell>
        </row>
        <row r="210">
          <cell r="B210" t="str">
            <v>Sales - % Total Africa</v>
          </cell>
          <cell r="C210" t="str">
            <v>SALES_TOT_AFRICA</v>
          </cell>
        </row>
        <row r="211">
          <cell r="B211" t="str">
            <v>Sales - % Other EMEA</v>
          </cell>
          <cell r="C211" t="str">
            <v>SALES_OTH_EMEA</v>
          </cell>
        </row>
        <row r="212">
          <cell r="B212" t="str">
            <v>Sales - Total % Asia (incl Australia &amp; New Zealand)</v>
          </cell>
          <cell r="C212" t="str">
            <v>SALES_TOT_ASIA</v>
          </cell>
        </row>
        <row r="213">
          <cell r="B213" t="str">
            <v>Sales - % Other Asia</v>
          </cell>
          <cell r="C213" t="str">
            <v>SALES_OTH_AEJ</v>
          </cell>
        </row>
        <row r="214">
          <cell r="A214" t="str">
            <v>Security: Silergy Corp.</v>
          </cell>
        </row>
        <row r="215">
          <cell r="A215" t="str">
            <v>Reference Data</v>
          </cell>
        </row>
        <row r="216">
          <cell r="B216" t="str">
            <v>Ticker</v>
          </cell>
          <cell r="C216" t="str">
            <v>Ticker</v>
          </cell>
          <cell r="E216" t="str">
            <v>6415.TW</v>
          </cell>
        </row>
        <row r="217">
          <cell r="B217" t="str">
            <v>Security Name</v>
          </cell>
          <cell r="C217" t="str">
            <v>Security Name</v>
          </cell>
          <cell r="E217" t="str">
            <v>Silergy Corp.</v>
          </cell>
        </row>
        <row r="218">
          <cell r="B218" t="str">
            <v>Interim Type</v>
          </cell>
          <cell r="C218" t="str">
            <v>Interim Type</v>
          </cell>
          <cell r="E218" t="str">
            <v>Q</v>
          </cell>
        </row>
        <row r="219">
          <cell r="B219" t="str">
            <v>Publishing Currency</v>
          </cell>
          <cell r="C219" t="str">
            <v>PUB_CURRENCY_ISO</v>
          </cell>
          <cell r="E219" t="str">
            <v>TWD</v>
          </cell>
        </row>
        <row r="220">
          <cell r="B220" t="str">
            <v>Pricing Currency</v>
          </cell>
          <cell r="C220" t="str">
            <v>PRICE_CURRENCY_ISO</v>
          </cell>
          <cell r="E220" t="str">
            <v>TWD</v>
          </cell>
        </row>
        <row r="221">
          <cell r="B221" t="str">
            <v>Reporting Currency</v>
          </cell>
          <cell r="C221" t="str">
            <v>CURRENCY_ISO</v>
          </cell>
          <cell r="E221" t="str">
            <v>TWD</v>
          </cell>
        </row>
        <row r="222">
          <cell r="A222" t="str">
            <v>General Information</v>
          </cell>
        </row>
        <row r="223">
          <cell r="B223" t="str">
            <v>Asia ex. Japan Investment List</v>
          </cell>
          <cell r="C223" t="str">
            <v>AEJ_LIST</v>
          </cell>
        </row>
        <row r="224">
          <cell r="B224" t="str">
            <v>Asia ex. Japan Conviction List</v>
          </cell>
          <cell r="C224" t="str">
            <v>AEJ_CONVICTION</v>
          </cell>
        </row>
        <row r="225">
          <cell r="B225" t="str">
            <v>Legal rating</v>
          </cell>
          <cell r="C225" t="str">
            <v>LEGAL_RATING</v>
          </cell>
        </row>
        <row r="226">
          <cell r="B226" t="str">
            <v>Target price</v>
          </cell>
          <cell r="C226" t="str">
            <v>TARGET_PRICE</v>
          </cell>
          <cell r="D226" t="str">
            <v>TWD</v>
          </cell>
          <cell r="E226">
            <v>100</v>
          </cell>
        </row>
        <row r="227">
          <cell r="B227" t="str">
            <v>Target price period</v>
          </cell>
          <cell r="C227" t="str">
            <v>TP_PERIOD</v>
          </cell>
          <cell r="E227" t="str">
            <v>12 months</v>
          </cell>
        </row>
        <row r="228">
          <cell r="B228" t="str">
            <v>Fundamental value</v>
          </cell>
          <cell r="C228" t="str">
            <v>TARGET_PRICE_FUNDAMENTAL</v>
          </cell>
          <cell r="D228" t="str">
            <v>TWD</v>
          </cell>
        </row>
        <row r="229">
          <cell r="B229" t="str">
            <v>M&amp;A value</v>
          </cell>
          <cell r="C229" t="str">
            <v>TARGET_PRICE_MA</v>
          </cell>
          <cell r="D229" t="str">
            <v>TWD</v>
          </cell>
        </row>
        <row r="230">
          <cell r="B230" t="str">
            <v>Current shares outstanding (mn)</v>
          </cell>
          <cell r="C230" t="str">
            <v>NUM_SH</v>
          </cell>
          <cell r="E230">
            <v>1096.8497</v>
          </cell>
        </row>
        <row r="231">
          <cell r="B231" t="str">
            <v>Free float</v>
          </cell>
          <cell r="C231" t="str">
            <v>FREE_FLOAT</v>
          </cell>
        </row>
        <row r="232">
          <cell r="B232" t="str">
            <v>Foreign ownership</v>
          </cell>
          <cell r="C232" t="str">
            <v>FOREIGN_HOLDNG</v>
          </cell>
        </row>
        <row r="233">
          <cell r="B233" t="str">
            <v>Catalyst 1 date</v>
          </cell>
          <cell r="C233" t="str">
            <v>CATALYST1_DATE</v>
          </cell>
        </row>
        <row r="234">
          <cell r="B234" t="str">
            <v>Catalyst 1 description</v>
          </cell>
          <cell r="C234" t="str">
            <v>CATALYST1_EVENT</v>
          </cell>
        </row>
        <row r="235">
          <cell r="B235" t="str">
            <v>Catalyst 2 date</v>
          </cell>
          <cell r="C235" t="str">
            <v>CATALYST2_DATE</v>
          </cell>
        </row>
        <row r="236">
          <cell r="B236" t="str">
            <v>Catalyst 2 description</v>
          </cell>
          <cell r="C236" t="str">
            <v>CATALYST2_EVENT</v>
          </cell>
        </row>
        <row r="237">
          <cell r="B237" t="str">
            <v>Catalyst 3 date</v>
          </cell>
          <cell r="C237" t="str">
            <v>CATALYST3_DATE</v>
          </cell>
        </row>
        <row r="238">
          <cell r="B238" t="str">
            <v>Catalyst 3 description</v>
          </cell>
          <cell r="C238" t="str">
            <v>CATALYST3_EVENT</v>
          </cell>
        </row>
        <row r="239">
          <cell r="B239" t="str">
            <v>Catalyst 4 date</v>
          </cell>
          <cell r="C239" t="str">
            <v>CATALYST4_DATE</v>
          </cell>
        </row>
        <row r="240">
          <cell r="B240" t="str">
            <v>Catalyst 4 description</v>
          </cell>
          <cell r="C240" t="str">
            <v>CATALYST4_EVENT</v>
          </cell>
        </row>
        <row r="241">
          <cell r="B241" t="str">
            <v>Catalyst 5 date</v>
          </cell>
          <cell r="C241" t="str">
            <v>CATALYST5_DATE</v>
          </cell>
        </row>
        <row r="242">
          <cell r="B242" t="str">
            <v>Catalyst 5 description</v>
          </cell>
          <cell r="C242" t="str">
            <v>CATALYST5_EVENT</v>
          </cell>
        </row>
        <row r="243">
          <cell r="B243" t="str">
            <v>Target price multiple</v>
          </cell>
          <cell r="C243" t="str">
            <v>PRI_TARG_MULT</v>
          </cell>
        </row>
        <row r="244">
          <cell r="B244" t="str">
            <v>Target price methodology</v>
          </cell>
          <cell r="C244" t="str">
            <v>PRI_TARG_METH</v>
          </cell>
        </row>
        <row r="245">
          <cell r="A245" t="str">
            <v>Publishing Items</v>
          </cell>
        </row>
        <row r="246">
          <cell r="B246" t="str">
            <v>Book value per share, BVPS (Pub)</v>
          </cell>
          <cell r="C246" t="str">
            <v>BVPS_PUB</v>
          </cell>
          <cell r="D246" t="str">
            <v>TWD</v>
          </cell>
          <cell r="V246">
            <v>1.4639230000000001</v>
          </cell>
          <cell r="W246">
            <v>1.6416400000000002</v>
          </cell>
          <cell r="X246">
            <v>1.7424475843208751</v>
          </cell>
          <cell r="Y246">
            <v>2.5886280765724701</v>
          </cell>
          <cell r="Z246">
            <v>2.9578887876025526</v>
          </cell>
          <cell r="AA246">
            <v>3.4795578851412947</v>
          </cell>
          <cell r="AB246">
            <v>4.4459143117593429</v>
          </cell>
          <cell r="AC246">
            <v>6.7993171717145939</v>
          </cell>
          <cell r="AD246">
            <v>9.0702500078178439</v>
          </cell>
          <cell r="AE246">
            <v>15.12365310021975</v>
          </cell>
          <cell r="AF246">
            <v>22.379576488326666</v>
          </cell>
          <cell r="AG246">
            <v>30.273700517730305</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t="e">
            <v>#REF!</v>
          </cell>
          <cell r="BH246" t="e">
            <v>#REF!</v>
          </cell>
          <cell r="BI246" t="e">
            <v>#REF!</v>
          </cell>
          <cell r="BJ246" t="e">
            <v>#REF!</v>
          </cell>
          <cell r="BK246" t="e">
            <v>#REF!</v>
          </cell>
          <cell r="BL246" t="e">
            <v>#REF!</v>
          </cell>
          <cell r="BM246" t="e">
            <v>#REF!</v>
          </cell>
          <cell r="BN246" t="e">
            <v>#REF!</v>
          </cell>
          <cell r="BO246" t="e">
            <v>#REF!</v>
          </cell>
          <cell r="BP246" t="e">
            <v>#REF!</v>
          </cell>
          <cell r="BQ246" t="e">
            <v>#REF!</v>
          </cell>
          <cell r="BR246" t="e">
            <v>#REF!</v>
          </cell>
          <cell r="BS246">
            <v>0</v>
          </cell>
          <cell r="BT246">
            <v>0</v>
          </cell>
          <cell r="BU246">
            <v>0</v>
          </cell>
          <cell r="BV246">
            <v>0</v>
          </cell>
          <cell r="BW246">
            <v>0</v>
          </cell>
          <cell r="BX246">
            <v>0</v>
          </cell>
          <cell r="BY246" t="e">
            <v>#REF!</v>
          </cell>
          <cell r="BZ246" t="e">
            <v>#REF!</v>
          </cell>
        </row>
        <row r="247">
          <cell r="B247" t="str">
            <v>DPS, dividend per share (Pub)</v>
          </cell>
          <cell r="C247" t="str">
            <v>DPS_PUB</v>
          </cell>
          <cell r="D247" t="str">
            <v>TWD</v>
          </cell>
          <cell r="V247">
            <v>0</v>
          </cell>
          <cell r="W247">
            <v>0</v>
          </cell>
          <cell r="X247">
            <v>0</v>
          </cell>
          <cell r="Y247">
            <v>0</v>
          </cell>
          <cell r="Z247">
            <v>0</v>
          </cell>
          <cell r="AA247">
            <v>0</v>
          </cell>
          <cell r="AB247">
            <v>0</v>
          </cell>
          <cell r="AC247">
            <v>0</v>
          </cell>
          <cell r="AD247">
            <v>0</v>
          </cell>
          <cell r="AE247">
            <v>0</v>
          </cell>
          <cell r="AF247">
            <v>0</v>
          </cell>
          <cell r="AG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t="e">
            <v>#REF!</v>
          </cell>
          <cell r="BH247" t="e">
            <v>#REF!</v>
          </cell>
          <cell r="BI247" t="e">
            <v>#REF!</v>
          </cell>
          <cell r="BJ247" t="e">
            <v>#REF!</v>
          </cell>
          <cell r="BK247" t="e">
            <v>#REF!</v>
          </cell>
          <cell r="BL247" t="e">
            <v>#REF!</v>
          </cell>
          <cell r="BM247" t="e">
            <v>#REF!</v>
          </cell>
          <cell r="BN247" t="e">
            <v>#REF!</v>
          </cell>
          <cell r="BO247" t="e">
            <v>#REF!</v>
          </cell>
          <cell r="BP247" t="e">
            <v>#REF!</v>
          </cell>
          <cell r="BQ247" t="e">
            <v>#REF!</v>
          </cell>
          <cell r="BR247" t="e">
            <v>#REF!</v>
          </cell>
          <cell r="BS247">
            <v>0</v>
          </cell>
          <cell r="BT247">
            <v>0</v>
          </cell>
          <cell r="BU247">
            <v>0</v>
          </cell>
          <cell r="BV247">
            <v>0</v>
          </cell>
          <cell r="BW247">
            <v>0</v>
          </cell>
          <cell r="BX247">
            <v>0</v>
          </cell>
          <cell r="BY247" t="e">
            <v>#REF!</v>
          </cell>
          <cell r="BZ247" t="e">
            <v>#REF!</v>
          </cell>
        </row>
        <row r="248">
          <cell r="B248" t="str">
            <v>Special dividend per share</v>
          </cell>
          <cell r="C248" t="str">
            <v>DPS_SPECIAL_PUB</v>
          </cell>
          <cell r="D248" t="str">
            <v>TWD</v>
          </cell>
        </row>
        <row r="249">
          <cell r="B249" t="str">
            <v>EBITDA (Pub)</v>
          </cell>
          <cell r="C249" t="str">
            <v>EBITDA_PUB</v>
          </cell>
          <cell r="D249" t="str">
            <v>TWD</v>
          </cell>
          <cell r="V249">
            <v>174.10099999999991</v>
          </cell>
          <cell r="W249">
            <v>246.92200000000014</v>
          </cell>
          <cell r="X249">
            <v>404.55100000000039</v>
          </cell>
          <cell r="Y249">
            <v>511.67399999999992</v>
          </cell>
          <cell r="Z249">
            <v>646.779</v>
          </cell>
          <cell r="AA249">
            <v>879.86600000000044</v>
          </cell>
          <cell r="AB249">
            <v>1474.9549999999999</v>
          </cell>
          <cell r="AC249">
            <v>3383.2159999999981</v>
          </cell>
          <cell r="AD249">
            <v>3077.1979999999985</v>
          </cell>
          <cell r="AE249">
            <v>7273.3115656076388</v>
          </cell>
          <cell r="AF249">
            <v>8507.9253655644188</v>
          </cell>
          <cell r="AG249">
            <v>9469.3024919344662</v>
          </cell>
          <cell r="AI249">
            <v>109.20099999999999</v>
          </cell>
          <cell r="AJ249">
            <v>130.88900000000001</v>
          </cell>
          <cell r="AK249">
            <v>48.875</v>
          </cell>
          <cell r="AL249">
            <v>39.808999999999997</v>
          </cell>
          <cell r="AM249">
            <v>30.031999999999996</v>
          </cell>
          <cell r="AN249">
            <v>71.507999999999981</v>
          </cell>
          <cell r="AO249">
            <v>70.317999999999998</v>
          </cell>
          <cell r="AP249">
            <v>103.78300000000002</v>
          </cell>
          <cell r="AQ249">
            <v>114.012</v>
          </cell>
          <cell r="AR249">
            <v>132.91</v>
          </cell>
          <cell r="AS249">
            <v>191.32</v>
          </cell>
          <cell r="AT249">
            <v>213.23099999999999</v>
          </cell>
          <cell r="AU249">
            <v>237.572</v>
          </cell>
          <cell r="AV249">
            <v>274.10199999999998</v>
          </cell>
          <cell r="AW249">
            <v>307.94400000000007</v>
          </cell>
          <cell r="AX249">
            <v>338.83499999999998</v>
          </cell>
          <cell r="AY249">
            <v>358.053</v>
          </cell>
          <cell r="AZ249">
            <v>521.81299999999999</v>
          </cell>
          <cell r="BA249">
            <v>571.03899999999999</v>
          </cell>
          <cell r="BB249">
            <v>903.91599999999994</v>
          </cell>
          <cell r="BC249">
            <v>1424.9390000000001</v>
          </cell>
          <cell r="BD249">
            <v>1958.277</v>
          </cell>
          <cell r="BE249">
            <v>1512.518</v>
          </cell>
          <cell r="BF249">
            <v>1564.68</v>
          </cell>
          <cell r="BG249" t="e">
            <v>#REF!</v>
          </cell>
          <cell r="BH249" t="e">
            <v>#REF!</v>
          </cell>
          <cell r="BI249" t="e">
            <v>#REF!</v>
          </cell>
          <cell r="BJ249" t="e">
            <v>#REF!</v>
          </cell>
          <cell r="BK249" t="e">
            <v>#REF!</v>
          </cell>
          <cell r="BL249" t="e">
            <v>#REF!</v>
          </cell>
          <cell r="BM249" t="e">
            <v>#REF!</v>
          </cell>
          <cell r="BN249" t="e">
            <v>#REF!</v>
          </cell>
          <cell r="BO249" t="e">
            <v>#REF!</v>
          </cell>
          <cell r="BP249" t="e">
            <v>#REF!</v>
          </cell>
          <cell r="BQ249" t="e">
            <v>#REF!</v>
          </cell>
          <cell r="BR249" t="e">
            <v>#REF!</v>
          </cell>
          <cell r="BS249">
            <v>3021.2066754085054</v>
          </cell>
          <cell r="BT249">
            <v>4252.1048901991289</v>
          </cell>
          <cell r="BU249">
            <v>3573.9264845031776</v>
          </cell>
          <cell r="BV249">
            <v>4933.9988810612394</v>
          </cell>
          <cell r="BW249">
            <v>4107.1679169588879</v>
          </cell>
          <cell r="BX249">
            <v>5362.1345749755856</v>
          </cell>
          <cell r="BY249" t="e">
            <v>#REF!</v>
          </cell>
          <cell r="BZ249" t="e">
            <v>#REF!</v>
          </cell>
        </row>
        <row r="250">
          <cell r="B250" t="str">
            <v>EPS (Pub)</v>
          </cell>
          <cell r="C250" t="str">
            <v>EPS_PUB</v>
          </cell>
          <cell r="D250" t="str">
            <v>TWD</v>
          </cell>
          <cell r="V250">
            <v>0.14800766614179142</v>
          </cell>
          <cell r="W250">
            <v>0.24690018072113329</v>
          </cell>
          <cell r="X250">
            <v>0.35426945235851465</v>
          </cell>
          <cell r="Y250">
            <v>0.44296000000000002</v>
          </cell>
          <cell r="Z250">
            <v>0.52907000000000004</v>
          </cell>
          <cell r="AA250">
            <v>0.70866000000000018</v>
          </cell>
          <cell r="AB250">
            <v>1.1760299999999999</v>
          </cell>
          <cell r="AC250">
            <v>2.6638099999999993</v>
          </cell>
          <cell r="AD250">
            <v>2.2791399999999995</v>
          </cell>
          <cell r="AE250">
            <v>6.0534030924019051</v>
          </cell>
          <cell r="AF250">
            <v>7.2559233881069156</v>
          </cell>
          <cell r="AG250">
            <v>7.8941240294036419</v>
          </cell>
          <cell r="AI250">
            <v>0.12303304034300837</v>
          </cell>
          <cell r="AJ250">
            <v>0.12316681279571158</v>
          </cell>
          <cell r="AK250">
            <v>3.9090000000000007E-2</v>
          </cell>
          <cell r="AL250">
            <v>3.9287000000000002E-2</v>
          </cell>
          <cell r="AM250">
            <v>2.3406999999999997E-2</v>
          </cell>
          <cell r="AN250">
            <v>6.8526999999999991E-2</v>
          </cell>
          <cell r="AO250">
            <v>5.5370168000177744E-2</v>
          </cell>
          <cell r="AP250">
            <v>9.212454819090049E-2</v>
          </cell>
          <cell r="AQ250">
            <v>0.11830204115447947</v>
          </cell>
          <cell r="AR250">
            <v>0.12823950003929546</v>
          </cell>
          <cell r="AS250">
            <v>0.16226922092072157</v>
          </cell>
          <cell r="AT250">
            <v>0.19755208533968563</v>
          </cell>
          <cell r="AU250">
            <v>0.20385860682480597</v>
          </cell>
          <cell r="AV250">
            <v>0.2390999995663021</v>
          </cell>
          <cell r="AW250">
            <v>0.24048615747030333</v>
          </cell>
          <cell r="AX250">
            <v>0.28858330137169103</v>
          </cell>
          <cell r="AY250">
            <v>0.28700916208997518</v>
          </cell>
          <cell r="AZ250">
            <v>0.42165497781579642</v>
          </cell>
          <cell r="BA250">
            <v>0.43212524066346492</v>
          </cell>
          <cell r="BB250">
            <v>0.74389999950128294</v>
          </cell>
          <cell r="BC250">
            <v>1.0736632302532809</v>
          </cell>
          <cell r="BD250">
            <v>1.5901453968317709</v>
          </cell>
          <cell r="BE250">
            <v>1.0803163132438773</v>
          </cell>
          <cell r="BF250">
            <v>1.1988160681172302</v>
          </cell>
          <cell r="BG250" t="e">
            <v>#REF!</v>
          </cell>
          <cell r="BH250" t="e">
            <v>#REF!</v>
          </cell>
          <cell r="BI250" t="e">
            <v>#REF!</v>
          </cell>
          <cell r="BJ250" t="e">
            <v>#REF!</v>
          </cell>
          <cell r="BK250" t="e">
            <v>#REF!</v>
          </cell>
          <cell r="BL250" t="e">
            <v>#REF!</v>
          </cell>
          <cell r="BM250" t="e">
            <v>#REF!</v>
          </cell>
          <cell r="BN250" t="e">
            <v>#REF!</v>
          </cell>
          <cell r="BO250" t="e">
            <v>#REF!</v>
          </cell>
          <cell r="BP250" t="e">
            <v>#REF!</v>
          </cell>
          <cell r="BQ250" t="e">
            <v>#REF!</v>
          </cell>
          <cell r="BR250" t="e">
            <v>#REF!</v>
          </cell>
          <cell r="BS250">
            <v>2.5108205177048593</v>
          </cell>
          <cell r="BT250">
            <v>3.5425825746970472</v>
          </cell>
          <cell r="BU250">
            <v>3.057942550037664</v>
          </cell>
          <cell r="BV250">
            <v>4.1979808380692525</v>
          </cell>
          <cell r="BW250">
            <v>3.4210936750888781</v>
          </cell>
          <cell r="BX250">
            <v>4.4730303543147638</v>
          </cell>
          <cell r="BY250" t="e">
            <v>#REF!</v>
          </cell>
          <cell r="BZ250" t="e">
            <v>#REF!</v>
          </cell>
        </row>
        <row r="251">
          <cell r="B251" t="str">
            <v>EV adjustment (Pub)</v>
          </cell>
          <cell r="C251" t="str">
            <v>EV_ADJ_PUB</v>
          </cell>
          <cell r="D251" t="str">
            <v>TWD</v>
          </cell>
        </row>
        <row r="252">
          <cell r="B252" t="str">
            <v>Net debt (Pub)</v>
          </cell>
          <cell r="C252" t="str">
            <v>NET_DEBT_PUB</v>
          </cell>
          <cell r="D252" t="str">
            <v>TWD</v>
          </cell>
          <cell r="V252">
            <v>-75.317999999999984</v>
          </cell>
          <cell r="W252">
            <v>-256.12299999999999</v>
          </cell>
          <cell r="X252">
            <v>-421.57300000000004</v>
          </cell>
          <cell r="Y252">
            <v>-1203.1080000000002</v>
          </cell>
          <cell r="Z252">
            <v>-377.97500000000002</v>
          </cell>
          <cell r="AA252">
            <v>-1283.7269999999999</v>
          </cell>
          <cell r="AB252">
            <v>-1749.3220000000001</v>
          </cell>
          <cell r="AC252">
            <v>-1851.336</v>
          </cell>
          <cell r="AD252">
            <v>-3476.6932523269834</v>
          </cell>
          <cell r="AE252">
            <v>-6220.7340821182888</v>
          </cell>
          <cell r="AF252">
            <v>-10482.89072642672</v>
          </cell>
          <cell r="AG252">
            <v>-15348.936481070423</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t="e">
            <v>#REF!</v>
          </cell>
          <cell r="BH252" t="e">
            <v>#REF!</v>
          </cell>
          <cell r="BI252" t="e">
            <v>#REF!</v>
          </cell>
          <cell r="BJ252" t="e">
            <v>#REF!</v>
          </cell>
          <cell r="BK252" t="e">
            <v>#REF!</v>
          </cell>
          <cell r="BL252" t="e">
            <v>#REF!</v>
          </cell>
          <cell r="BM252" t="e">
            <v>#REF!</v>
          </cell>
          <cell r="BN252" t="e">
            <v>#REF!</v>
          </cell>
          <cell r="BO252" t="e">
            <v>#REF!</v>
          </cell>
          <cell r="BP252" t="e">
            <v>#REF!</v>
          </cell>
          <cell r="BQ252" t="e">
            <v>#REF!</v>
          </cell>
          <cell r="BR252" t="e">
            <v>#REF!</v>
          </cell>
          <cell r="BS252">
            <v>0</v>
          </cell>
          <cell r="BT252">
            <v>0</v>
          </cell>
          <cell r="BU252">
            <v>0</v>
          </cell>
          <cell r="BV252">
            <v>0</v>
          </cell>
          <cell r="BW252">
            <v>0</v>
          </cell>
          <cell r="BX252">
            <v>0</v>
          </cell>
          <cell r="BY252" t="e">
            <v>#REF!</v>
          </cell>
          <cell r="BZ252" t="e">
            <v>#REF!</v>
          </cell>
        </row>
        <row r="253">
          <cell r="B253" t="str">
            <v>Net income (Pub)</v>
          </cell>
          <cell r="C253" t="str">
            <v>NI_PUB</v>
          </cell>
          <cell r="D253" t="str">
            <v>TWD</v>
          </cell>
          <cell r="V253">
            <v>143.82599999999991</v>
          </cell>
          <cell r="W253">
            <v>238.00300000000013</v>
          </cell>
          <cell r="X253">
            <v>346.27400000000046</v>
          </cell>
          <cell r="Y253">
            <v>440.49799999999988</v>
          </cell>
          <cell r="Z253">
            <v>566.096</v>
          </cell>
          <cell r="AA253">
            <v>761.63200000000052</v>
          </cell>
          <cell r="AB253">
            <v>1270.7529999999997</v>
          </cell>
          <cell r="AC253">
            <v>2901.5539999999983</v>
          </cell>
          <cell r="AD253">
            <v>2490.871999999998</v>
          </cell>
          <cell r="AE253">
            <v>6639.6733658801077</v>
          </cell>
          <cell r="AF253">
            <v>7958.6573914680557</v>
          </cell>
          <cell r="AG253">
            <v>8658.6675734141681</v>
          </cell>
          <cell r="AI253">
            <v>102.09699999999999</v>
          </cell>
          <cell r="AJ253">
            <v>123.33899999999998</v>
          </cell>
          <cell r="AK253">
            <v>39.090000000000003</v>
          </cell>
          <cell r="AL253">
            <v>39.286999999999999</v>
          </cell>
          <cell r="AM253">
            <v>23.406999999999996</v>
          </cell>
          <cell r="AN253">
            <v>68.526999999999987</v>
          </cell>
          <cell r="AO253">
            <v>54.822999999999993</v>
          </cell>
          <cell r="AP253">
            <v>89.003000000000014</v>
          </cell>
          <cell r="AQ253">
            <v>114.236</v>
          </cell>
          <cell r="AR253">
            <v>123.76699999999998</v>
          </cell>
          <cell r="AS253">
            <v>156.52700000000002</v>
          </cell>
          <cell r="AT253">
            <v>189.74699999999999</v>
          </cell>
          <cell r="AU253">
            <v>196.821</v>
          </cell>
          <cell r="AV253">
            <v>243.67699999999996</v>
          </cell>
          <cell r="AW253">
            <v>256.851</v>
          </cell>
          <cell r="AX253">
            <v>309.245</v>
          </cell>
          <cell r="AY253">
            <v>307.64999999999992</v>
          </cell>
          <cell r="AZ253">
            <v>453.98200000000003</v>
          </cell>
          <cell r="BA253">
            <v>465.274</v>
          </cell>
          <cell r="BB253">
            <v>805.47899999999993</v>
          </cell>
          <cell r="BC253">
            <v>1159.2460000000001</v>
          </cell>
          <cell r="BD253">
            <v>1742.308</v>
          </cell>
          <cell r="BE253">
            <v>1179.7940000000001</v>
          </cell>
          <cell r="BF253">
            <v>1311.078</v>
          </cell>
          <cell r="BG253" t="e">
            <v>#REF!</v>
          </cell>
          <cell r="BH253" t="e">
            <v>#REF!</v>
          </cell>
          <cell r="BI253" t="e">
            <v>#REF!</v>
          </cell>
          <cell r="BJ253" t="e">
            <v>#REF!</v>
          </cell>
          <cell r="BK253" t="e">
            <v>#REF!</v>
          </cell>
          <cell r="BL253" t="e">
            <v>#REF!</v>
          </cell>
          <cell r="BM253" t="e">
            <v>#REF!</v>
          </cell>
          <cell r="BN253" t="e">
            <v>#REF!</v>
          </cell>
          <cell r="BO253" t="e">
            <v>#REF!</v>
          </cell>
          <cell r="BP253" t="e">
            <v>#REF!</v>
          </cell>
          <cell r="BQ253" t="e">
            <v>#REF!</v>
          </cell>
          <cell r="BR253" t="e">
            <v>#REF!</v>
          </cell>
          <cell r="BS253">
            <v>2753.9927315984196</v>
          </cell>
          <cell r="BT253">
            <v>3885.6806342816835</v>
          </cell>
          <cell r="BU253">
            <v>3354.1033686260466</v>
          </cell>
          <cell r="BV253">
            <v>4604.5540228420077</v>
          </cell>
          <cell r="BW253">
            <v>3752.4255711931332</v>
          </cell>
          <cell r="BX253">
            <v>4906.2420022210426</v>
          </cell>
          <cell r="BY253" t="e">
            <v>#REF!</v>
          </cell>
          <cell r="BZ253" t="e">
            <v>#REF!</v>
          </cell>
        </row>
        <row r="254">
          <cell r="B254" t="str">
            <v>EBIT, operating profit (Pub)</v>
          </cell>
          <cell r="C254" t="str">
            <v>EBIT_PUB</v>
          </cell>
          <cell r="D254" t="str">
            <v>TWD</v>
          </cell>
          <cell r="V254">
            <v>174.10099999999991</v>
          </cell>
          <cell r="W254">
            <v>246.92200000000014</v>
          </cell>
          <cell r="X254">
            <v>404.55100000000039</v>
          </cell>
          <cell r="Y254">
            <v>511.67399999999992</v>
          </cell>
          <cell r="Z254">
            <v>646.779</v>
          </cell>
          <cell r="AA254">
            <v>879.86600000000044</v>
          </cell>
          <cell r="AB254">
            <v>1474.9549999999999</v>
          </cell>
          <cell r="AC254">
            <v>3383.2159999999981</v>
          </cell>
          <cell r="AD254">
            <v>3077.1979999999985</v>
          </cell>
          <cell r="AE254">
            <v>7273.3115656076388</v>
          </cell>
          <cell r="AF254">
            <v>8507.9253655644188</v>
          </cell>
          <cell r="AG254">
            <v>9469.3024919344662</v>
          </cell>
          <cell r="AI254">
            <v>109.20099999999999</v>
          </cell>
          <cell r="AJ254">
            <v>130.88900000000001</v>
          </cell>
          <cell r="AK254">
            <v>48.875</v>
          </cell>
          <cell r="AL254">
            <v>39.808999999999997</v>
          </cell>
          <cell r="AM254">
            <v>30.031999999999996</v>
          </cell>
          <cell r="AN254">
            <v>71.507999999999981</v>
          </cell>
          <cell r="AO254">
            <v>70.317999999999998</v>
          </cell>
          <cell r="AP254">
            <v>103.78300000000002</v>
          </cell>
          <cell r="AQ254">
            <v>114.012</v>
          </cell>
          <cell r="AR254">
            <v>132.91</v>
          </cell>
          <cell r="AS254">
            <v>191.32</v>
          </cell>
          <cell r="AT254">
            <v>213.23099999999999</v>
          </cell>
          <cell r="AU254">
            <v>237.572</v>
          </cell>
          <cell r="AV254">
            <v>274.10199999999998</v>
          </cell>
          <cell r="AW254">
            <v>307.94400000000007</v>
          </cell>
          <cell r="AX254">
            <v>338.83499999999998</v>
          </cell>
          <cell r="AY254">
            <v>358.053</v>
          </cell>
          <cell r="AZ254">
            <v>521.81299999999999</v>
          </cell>
          <cell r="BA254">
            <v>571.03899999999999</v>
          </cell>
          <cell r="BB254">
            <v>903.91599999999994</v>
          </cell>
          <cell r="BC254">
            <v>1424.9390000000001</v>
          </cell>
          <cell r="BD254">
            <v>1958.277</v>
          </cell>
          <cell r="BE254">
            <v>1512.518</v>
          </cell>
          <cell r="BF254">
            <v>1564.68</v>
          </cell>
          <cell r="BG254" t="e">
            <v>#REF!</v>
          </cell>
          <cell r="BH254" t="e">
            <v>#REF!</v>
          </cell>
          <cell r="BI254" t="e">
            <v>#REF!</v>
          </cell>
          <cell r="BJ254" t="e">
            <v>#REF!</v>
          </cell>
          <cell r="BK254" t="e">
            <v>#REF!</v>
          </cell>
          <cell r="BL254" t="e">
            <v>#REF!</v>
          </cell>
          <cell r="BM254" t="e">
            <v>#REF!</v>
          </cell>
          <cell r="BN254" t="e">
            <v>#REF!</v>
          </cell>
          <cell r="BO254" t="e">
            <v>#REF!</v>
          </cell>
          <cell r="BP254" t="e">
            <v>#REF!</v>
          </cell>
          <cell r="BQ254" t="e">
            <v>#REF!</v>
          </cell>
          <cell r="BR254" t="e">
            <v>#REF!</v>
          </cell>
          <cell r="BS254">
            <v>3021.2066754085054</v>
          </cell>
          <cell r="BT254">
            <v>4252.1048901991289</v>
          </cell>
          <cell r="BU254">
            <v>3573.9264845031776</v>
          </cell>
          <cell r="BV254">
            <v>4933.9988810612394</v>
          </cell>
          <cell r="BW254">
            <v>4107.1679169588879</v>
          </cell>
          <cell r="BX254">
            <v>5362.1345749755856</v>
          </cell>
          <cell r="BY254" t="e">
            <v>#REF!</v>
          </cell>
          <cell r="BZ254" t="e">
            <v>#REF!</v>
          </cell>
        </row>
        <row r="255">
          <cell r="B255" t="str">
            <v>Pre-tax profit (Pub)</v>
          </cell>
          <cell r="C255" t="str">
            <v>PTP_PUB</v>
          </cell>
          <cell r="D255" t="str">
            <v>TWD</v>
          </cell>
          <cell r="V255">
            <v>164.87599999999992</v>
          </cell>
          <cell r="W255">
            <v>239.58300000000014</v>
          </cell>
          <cell r="X255">
            <v>397.20800000000042</v>
          </cell>
          <cell r="Y255">
            <v>504.48899999999992</v>
          </cell>
          <cell r="Z255">
            <v>634.00700000000006</v>
          </cell>
          <cell r="AA255">
            <v>862.2770000000005</v>
          </cell>
          <cell r="AB255">
            <v>1446.4349999999999</v>
          </cell>
          <cell r="AC255">
            <v>3318.3189999999977</v>
          </cell>
          <cell r="AD255">
            <v>2851.2739999999985</v>
          </cell>
          <cell r="AE255">
            <v>7221.745565607639</v>
          </cell>
          <cell r="AF255">
            <v>8656.3593655644181</v>
          </cell>
          <cell r="AG255">
            <v>9417.7364919344654</v>
          </cell>
          <cell r="AI255">
            <v>107.25</v>
          </cell>
          <cell r="AJ255">
            <v>129.04499999999999</v>
          </cell>
          <cell r="AK255">
            <v>48.875</v>
          </cell>
          <cell r="AL255">
            <v>39.793999999999997</v>
          </cell>
          <cell r="AM255">
            <v>29.358999999999998</v>
          </cell>
          <cell r="AN255">
            <v>70.330999999999989</v>
          </cell>
          <cell r="AO255">
            <v>66.02</v>
          </cell>
          <cell r="AP255">
            <v>98.856000000000009</v>
          </cell>
          <cell r="AQ255">
            <v>110.248</v>
          </cell>
          <cell r="AR255">
            <v>129.33500000000001</v>
          </cell>
          <cell r="AS255">
            <v>187.53800000000001</v>
          </cell>
          <cell r="AT255">
            <v>209.67</v>
          </cell>
          <cell r="AU255">
            <v>235.44800000000001</v>
          </cell>
          <cell r="AV255">
            <v>269.041</v>
          </cell>
          <cell r="AW255">
            <v>300.54000000000008</v>
          </cell>
          <cell r="AX255">
            <v>333.46699999999998</v>
          </cell>
          <cell r="AY255">
            <v>348.97899999999998</v>
          </cell>
          <cell r="AZ255">
            <v>513.298</v>
          </cell>
          <cell r="BA255">
            <v>552.48500000000001</v>
          </cell>
          <cell r="BB255">
            <v>893.94999999999993</v>
          </cell>
          <cell r="BC255">
            <v>1398.0309999999999</v>
          </cell>
          <cell r="BD255">
            <v>1920.288</v>
          </cell>
          <cell r="BE255">
            <v>1412.377</v>
          </cell>
          <cell r="BF255">
            <v>1438.8969999999999</v>
          </cell>
          <cell r="BG255" t="e">
            <v>#REF!</v>
          </cell>
          <cell r="BH255" t="e">
            <v>#REF!</v>
          </cell>
          <cell r="BI255" t="e">
            <v>#REF!</v>
          </cell>
          <cell r="BJ255" t="e">
            <v>#REF!</v>
          </cell>
          <cell r="BK255" t="e">
            <v>#REF!</v>
          </cell>
          <cell r="BL255" t="e">
            <v>#REF!</v>
          </cell>
          <cell r="BM255" t="e">
            <v>#REF!</v>
          </cell>
          <cell r="BN255" t="e">
            <v>#REF!</v>
          </cell>
          <cell r="BO255" t="e">
            <v>#REF!</v>
          </cell>
          <cell r="BP255" t="e">
            <v>#REF!</v>
          </cell>
          <cell r="BQ255" t="e">
            <v>#REF!</v>
          </cell>
          <cell r="BR255" t="e">
            <v>#REF!</v>
          </cell>
          <cell r="BS255">
            <v>2995.4236754085055</v>
          </cell>
          <cell r="BT255">
            <v>4226.3218901991286</v>
          </cell>
          <cell r="BU255">
            <v>3648.1434845031777</v>
          </cell>
          <cell r="BV255">
            <v>5008.2158810612391</v>
          </cell>
          <cell r="BW255">
            <v>4081.384916958888</v>
          </cell>
          <cell r="BX255">
            <v>5336.3515749755852</v>
          </cell>
          <cell r="BY255" t="e">
            <v>#REF!</v>
          </cell>
          <cell r="BZ255" t="e">
            <v>#REF!</v>
          </cell>
        </row>
        <row r="256">
          <cell r="B256" t="str">
            <v>Sales, revenue (Pub)</v>
          </cell>
          <cell r="C256" t="str">
            <v>REVS_PUB</v>
          </cell>
          <cell r="D256" t="str">
            <v>TWD</v>
          </cell>
          <cell r="V256">
            <v>1818.067</v>
          </cell>
          <cell r="W256">
            <v>2498.5</v>
          </cell>
          <cell r="X256">
            <v>3984.2960000000003</v>
          </cell>
          <cell r="Y256">
            <v>5812.7710000000006</v>
          </cell>
          <cell r="Z256">
            <v>8426.4580000000005</v>
          </cell>
          <cell r="AA256">
            <v>10696.232</v>
          </cell>
          <cell r="AB256">
            <v>14611.778</v>
          </cell>
          <cell r="AC256">
            <v>22366.252</v>
          </cell>
          <cell r="AD256">
            <v>25931.851999999999</v>
          </cell>
          <cell r="AE256">
            <v>37457.781593058884</v>
          </cell>
          <cell r="AF256">
            <v>42472.22938903825</v>
          </cell>
          <cell r="AG256">
            <v>46377.408790786125</v>
          </cell>
          <cell r="AI256">
            <v>555.95000000000005</v>
          </cell>
          <cell r="AJ256">
            <v>825.91499999999996</v>
          </cell>
          <cell r="AK256">
            <v>590.34799999999996</v>
          </cell>
          <cell r="AL256">
            <v>676.70899999999995</v>
          </cell>
          <cell r="AM256">
            <v>547.30899999999997</v>
          </cell>
          <cell r="AN256">
            <v>762.25599999999997</v>
          </cell>
          <cell r="AO256">
            <v>833.94600000000003</v>
          </cell>
          <cell r="AP256">
            <v>984.12099999999998</v>
          </cell>
          <cell r="AQ256">
            <v>1102.6880000000001</v>
          </cell>
          <cell r="AR256">
            <v>1395.8119999999999</v>
          </cell>
          <cell r="AS256">
            <v>1769.566</v>
          </cell>
          <cell r="AT256">
            <v>2214.73</v>
          </cell>
          <cell r="AU256">
            <v>2785.7190000000001</v>
          </cell>
          <cell r="AV256">
            <v>3027.0520000000001</v>
          </cell>
          <cell r="AW256">
            <v>3836.1390000000001</v>
          </cell>
          <cell r="AX256">
            <v>4590.3190000000004</v>
          </cell>
          <cell r="AY256">
            <v>4651.2280000000001</v>
          </cell>
          <cell r="AZ256">
            <v>6045.0039999999999</v>
          </cell>
          <cell r="BA256">
            <v>5909.6149999999998</v>
          </cell>
          <cell r="BB256">
            <v>8702.1630000000005</v>
          </cell>
          <cell r="BC256">
            <v>10031.683000000001</v>
          </cell>
          <cell r="BD256">
            <v>12334.569</v>
          </cell>
          <cell r="BE256">
            <v>11976.353999999999</v>
          </cell>
          <cell r="BF256">
            <v>13955.498</v>
          </cell>
          <cell r="BG256" t="e">
            <v>#REF!</v>
          </cell>
          <cell r="BH256" t="e">
            <v>#REF!</v>
          </cell>
          <cell r="BI256" t="e">
            <v>#REF!</v>
          </cell>
          <cell r="BJ256" t="e">
            <v>#REF!</v>
          </cell>
          <cell r="BK256" t="e">
            <v>#REF!</v>
          </cell>
          <cell r="BL256" t="e">
            <v>#REF!</v>
          </cell>
          <cell r="BM256" t="e">
            <v>#REF!</v>
          </cell>
          <cell r="BN256" t="e">
            <v>#REF!</v>
          </cell>
          <cell r="BO256" t="e">
            <v>#REF!</v>
          </cell>
          <cell r="BP256" t="e">
            <v>#REF!</v>
          </cell>
          <cell r="BQ256" t="e">
            <v>#REF!</v>
          </cell>
          <cell r="BR256" t="e">
            <v>#REF!</v>
          </cell>
          <cell r="BS256">
            <v>15903.779136411917</v>
          </cell>
          <cell r="BT256">
            <v>21554.002456646966</v>
          </cell>
          <cell r="BU256">
            <v>18164.887566945181</v>
          </cell>
          <cell r="BV256">
            <v>24307.341822093069</v>
          </cell>
          <cell r="BW256">
            <v>20362.198739783518</v>
          </cell>
          <cell r="BX256">
            <v>26015.21005100261</v>
          </cell>
          <cell r="BY256" t="e">
            <v>#REF!</v>
          </cell>
          <cell r="BZ256" t="e">
            <v>#REF!</v>
          </cell>
        </row>
        <row r="257">
          <cell r="B257" t="str">
            <v>Total shareholders' equity (Pub)</v>
          </cell>
          <cell r="C257" t="str">
            <v>EQ_PUB</v>
          </cell>
          <cell r="D257" t="str">
            <v>TWD</v>
          </cell>
          <cell r="V257">
            <v>1495.9349999999999</v>
          </cell>
          <cell r="W257">
            <v>1661.3720000000001</v>
          </cell>
          <cell r="X257">
            <v>1921.6559999999999</v>
          </cell>
          <cell r="Y257">
            <v>2849.8049999999994</v>
          </cell>
          <cell r="Z257">
            <v>3247.6970000000001</v>
          </cell>
          <cell r="AA257">
            <v>3830.9830000000002</v>
          </cell>
          <cell r="AB257">
            <v>4895.2550000000001</v>
          </cell>
          <cell r="AC257">
            <v>7488.5190000000002</v>
          </cell>
          <cell r="AD257">
            <v>9957.5839999999989</v>
          </cell>
          <cell r="AE257">
            <v>16597.257365880105</v>
          </cell>
          <cell r="AF257">
            <v>24555.91475734816</v>
          </cell>
          <cell r="AG257">
            <v>33214.582330762329</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t="e">
            <v>#REF!</v>
          </cell>
          <cell r="BH257" t="e">
            <v>#REF!</v>
          </cell>
          <cell r="BI257" t="e">
            <v>#REF!</v>
          </cell>
          <cell r="BJ257" t="e">
            <v>#REF!</v>
          </cell>
          <cell r="BK257" t="e">
            <v>#REF!</v>
          </cell>
          <cell r="BL257" t="e">
            <v>#REF!</v>
          </cell>
          <cell r="BM257" t="e">
            <v>#REF!</v>
          </cell>
          <cell r="BN257" t="e">
            <v>#REF!</v>
          </cell>
          <cell r="BO257" t="e">
            <v>#REF!</v>
          </cell>
          <cell r="BP257" t="e">
            <v>#REF!</v>
          </cell>
          <cell r="BQ257" t="e">
            <v>#REF!</v>
          </cell>
          <cell r="BR257" t="e">
            <v>#REF!</v>
          </cell>
          <cell r="BS257">
            <v>0</v>
          </cell>
          <cell r="BT257">
            <v>0</v>
          </cell>
          <cell r="BU257">
            <v>0</v>
          </cell>
          <cell r="BV257">
            <v>0</v>
          </cell>
          <cell r="BW257">
            <v>0</v>
          </cell>
          <cell r="BX257">
            <v>0</v>
          </cell>
          <cell r="BY257" t="e">
            <v>#REF!</v>
          </cell>
          <cell r="BZ257" t="e">
            <v>#REF!</v>
          </cell>
        </row>
        <row r="258">
          <cell r="B258" t="str">
            <v>EPS (consensus)</v>
          </cell>
          <cell r="C258" t="str">
            <v>EPS_CONS_PUB</v>
          </cell>
          <cell r="D258" t="str">
            <v>TWD</v>
          </cell>
        </row>
        <row r="259">
          <cell r="A259" t="str">
            <v>Income Statement</v>
          </cell>
        </row>
        <row r="260">
          <cell r="B260" t="str">
            <v>Provision for income tax</v>
          </cell>
          <cell r="C260" t="str">
            <v>PROV_INC_TAX</v>
          </cell>
          <cell r="D260" t="str">
            <v>TWD</v>
          </cell>
          <cell r="V260">
            <v>-26.651</v>
          </cell>
          <cell r="W260">
            <v>-15.143000000000001</v>
          </cell>
          <cell r="X260">
            <v>-58.304000000000002</v>
          </cell>
          <cell r="Y260">
            <v>-63.623000000000005</v>
          </cell>
          <cell r="Z260">
            <v>-72.739000000000004</v>
          </cell>
          <cell r="AA260">
            <v>-98.756</v>
          </cell>
          <cell r="AB260">
            <v>-174.834</v>
          </cell>
          <cell r="AC260">
            <v>-404.20499999999998</v>
          </cell>
          <cell r="AD260">
            <v>-338.59500000000003</v>
          </cell>
          <cell r="AE260">
            <v>-582.07219972753114</v>
          </cell>
          <cell r="AF260">
            <v>-697.70197409636216</v>
          </cell>
          <cell r="AG260">
            <v>-759.06891852029753</v>
          </cell>
          <cell r="AI260">
            <v>-5.1580000000000004</v>
          </cell>
          <cell r="AJ260">
            <v>-5.266</v>
          </cell>
          <cell r="AK260">
            <v>-9.7810000000000006</v>
          </cell>
          <cell r="AL260">
            <v>-2.3159999999999998</v>
          </cell>
          <cell r="AM260">
            <v>-9.2449999999999992</v>
          </cell>
          <cell r="AN260">
            <v>-3.51</v>
          </cell>
          <cell r="AO260">
            <v>-15.965999999999999</v>
          </cell>
          <cell r="AP260">
            <v>-10.685</v>
          </cell>
          <cell r="AQ260">
            <v>0</v>
          </cell>
          <cell r="AR260">
            <v>-15.143000000000001</v>
          </cell>
          <cell r="AS260">
            <v>-32.39</v>
          </cell>
          <cell r="AT260">
            <v>-25.914000000000001</v>
          </cell>
          <cell r="AU260">
            <v>-40.512</v>
          </cell>
          <cell r="AV260">
            <v>-23.111000000000001</v>
          </cell>
          <cell r="AW260">
            <v>-46.744</v>
          </cell>
          <cell r="AX260">
            <v>-25.995000000000001</v>
          </cell>
          <cell r="AY260">
            <v>-39.905000000000001</v>
          </cell>
          <cell r="AZ260">
            <v>-58.850999999999999</v>
          </cell>
          <cell r="BA260">
            <v>-87.497</v>
          </cell>
          <cell r="BB260">
            <v>-87.337000000000003</v>
          </cell>
          <cell r="BC260">
            <v>-237.035</v>
          </cell>
          <cell r="BD260">
            <v>-167.17</v>
          </cell>
          <cell r="BE260">
            <v>-222.62</v>
          </cell>
          <cell r="BF260">
            <v>-115.97499999999999</v>
          </cell>
          <cell r="BG260" t="e">
            <v>#REF!</v>
          </cell>
          <cell r="BH260" t="e">
            <v>#REF!</v>
          </cell>
          <cell r="BI260" t="e">
            <v>#REF!</v>
          </cell>
          <cell r="BJ260" t="e">
            <v>#REF!</v>
          </cell>
          <cell r="BK260" t="e">
            <v>#REF!</v>
          </cell>
          <cell r="BL260" t="e">
            <v>#REF!</v>
          </cell>
          <cell r="BM260" t="e">
            <v>#REF!</v>
          </cell>
          <cell r="BN260" t="e">
            <v>#REF!</v>
          </cell>
          <cell r="BO260" t="e">
            <v>#REF!</v>
          </cell>
          <cell r="BP260" t="e">
            <v>#REF!</v>
          </cell>
          <cell r="BQ260" t="e">
            <v>#REF!</v>
          </cell>
          <cell r="BR260" t="e">
            <v>#REF!</v>
          </cell>
          <cell r="BS260">
            <v>-241.43094381008606</v>
          </cell>
          <cell r="BT260">
            <v>-340.64125591744505</v>
          </cell>
          <cell r="BU260">
            <v>-294.04011587713092</v>
          </cell>
          <cell r="BV260">
            <v>-403.66185821923125</v>
          </cell>
          <cell r="BW260">
            <v>-328.95934576575462</v>
          </cell>
          <cell r="BX260">
            <v>-430.10957275454291</v>
          </cell>
          <cell r="BY260" t="e">
            <v>#REF!</v>
          </cell>
          <cell r="BZ260" t="e">
            <v>#REF!</v>
          </cell>
        </row>
        <row r="261">
          <cell r="B261" t="str">
            <v>Minority interest</v>
          </cell>
          <cell r="C261" t="str">
            <v>INC_MINORITY</v>
          </cell>
          <cell r="D261" t="str">
            <v>TWD</v>
          </cell>
          <cell r="V261">
            <v>-5.601</v>
          </cell>
          <cell r="W261">
            <v>-5.5869999999999997</v>
          </cell>
          <cell r="X261">
            <v>-7.3699999999999992</v>
          </cell>
          <cell r="Y261">
            <v>0.3680000000000001</v>
          </cell>
          <cell r="Z261">
            <v>-4.8280000000000003</v>
          </cell>
          <cell r="AA261">
            <v>1.889</v>
          </cell>
          <cell r="AB261">
            <v>0.84799999999999986</v>
          </cell>
          <cell r="AC261">
            <v>12.56</v>
          </cell>
          <cell r="AD261">
            <v>21.806999999999999</v>
          </cell>
          <cell r="AE261">
            <v>0</v>
          </cell>
          <cell r="AF261">
            <v>0</v>
          </cell>
          <cell r="AG261">
            <v>0</v>
          </cell>
          <cell r="AI261">
            <v>-5.0000000000000001E-3</v>
          </cell>
          <cell r="AJ261">
            <v>0.44</v>
          </cell>
          <cell r="AK261">
            <v>4.0000000000000001E-3</v>
          </cell>
          <cell r="AL261">
            <v>-1.8089999999999999</v>
          </cell>
          <cell r="AM261">
            <v>-3.2930000000000001</v>
          </cell>
          <cell r="AN261">
            <v>-1.706</v>
          </cell>
          <cell r="AO261">
            <v>-4.7690000000000001</v>
          </cell>
          <cell r="AP261">
            <v>-0.83199999999999996</v>
          </cell>
          <cell r="AQ261">
            <v>3.988</v>
          </cell>
          <cell r="AR261">
            <v>-9.5749999999999993</v>
          </cell>
          <cell r="AS261">
            <v>-1.379</v>
          </cell>
          <cell r="AT261">
            <v>-5.9909999999999997</v>
          </cell>
          <cell r="AU261">
            <v>-1.885</v>
          </cell>
          <cell r="AV261">
            <v>2.2530000000000001</v>
          </cell>
          <cell r="AW261">
            <v>-3.0550000000000002</v>
          </cell>
          <cell r="AX261">
            <v>-1.7729999999999999</v>
          </cell>
          <cell r="AY261">
            <v>1.4239999999999999</v>
          </cell>
          <cell r="AZ261">
            <v>0.46500000000000002</v>
          </cell>
          <cell r="BA261">
            <v>-0.28599999999999998</v>
          </cell>
          <cell r="BB261">
            <v>1.1339999999999999</v>
          </cell>
          <cell r="BC261">
            <v>1.75</v>
          </cell>
          <cell r="BD261">
            <v>10.81</v>
          </cell>
          <cell r="BE261">
            <v>9.9629999999999992</v>
          </cell>
          <cell r="BF261">
            <v>11.843999999999999</v>
          </cell>
          <cell r="BG261" t="e">
            <v>#REF!</v>
          </cell>
          <cell r="BH261" t="e">
            <v>#REF!</v>
          </cell>
          <cell r="BI261" t="e">
            <v>#REF!</v>
          </cell>
          <cell r="BJ261" t="e">
            <v>#REF!</v>
          </cell>
          <cell r="BK261" t="e">
            <v>#REF!</v>
          </cell>
          <cell r="BL261" t="e">
            <v>#REF!</v>
          </cell>
          <cell r="BM261" t="e">
            <v>#REF!</v>
          </cell>
          <cell r="BN261" t="e">
            <v>#REF!</v>
          </cell>
          <cell r="BO261" t="e">
            <v>#REF!</v>
          </cell>
          <cell r="BP261" t="e">
            <v>#REF!</v>
          </cell>
          <cell r="BQ261" t="e">
            <v>#REF!</v>
          </cell>
          <cell r="BR261" t="e">
            <v>#REF!</v>
          </cell>
          <cell r="BS261">
            <v>0</v>
          </cell>
          <cell r="BT261">
            <v>0</v>
          </cell>
          <cell r="BU261">
            <v>0</v>
          </cell>
          <cell r="BV261">
            <v>0</v>
          </cell>
          <cell r="BW261">
            <v>0</v>
          </cell>
          <cell r="BX261">
            <v>0</v>
          </cell>
          <cell r="BY261" t="e">
            <v>#REF!</v>
          </cell>
          <cell r="BZ261" t="e">
            <v>#REF!</v>
          </cell>
        </row>
        <row r="262">
          <cell r="B262" t="str">
            <v>Net income (pre-preferred dividends)</v>
          </cell>
          <cell r="C262" t="str">
            <v>NI_PRE_PREF</v>
          </cell>
          <cell r="D262" t="str">
            <v>TWD</v>
          </cell>
          <cell r="V262">
            <v>132.62399999999991</v>
          </cell>
          <cell r="W262">
            <v>218.85300000000015</v>
          </cell>
          <cell r="X262">
            <v>331.53400000000045</v>
          </cell>
          <cell r="Y262">
            <v>441.23399999999992</v>
          </cell>
          <cell r="Z262">
            <v>556.44000000000005</v>
          </cell>
          <cell r="AA262">
            <v>765.41000000000054</v>
          </cell>
          <cell r="AB262">
            <v>1272.4489999999998</v>
          </cell>
          <cell r="AC262">
            <v>2926.6739999999977</v>
          </cell>
          <cell r="AD262">
            <v>2534.4859999999981</v>
          </cell>
          <cell r="AE262">
            <v>6639.6733658801077</v>
          </cell>
          <cell r="AF262">
            <v>7958.6573914680557</v>
          </cell>
          <cell r="AG262">
            <v>8658.6675734141681</v>
          </cell>
          <cell r="AI262">
            <v>102.087</v>
          </cell>
          <cell r="AJ262">
            <v>124.21899999999998</v>
          </cell>
          <cell r="AK262">
            <v>39.097999999999999</v>
          </cell>
          <cell r="AL262">
            <v>35.668999999999997</v>
          </cell>
          <cell r="AM262">
            <v>16.820999999999998</v>
          </cell>
          <cell r="AN262">
            <v>65.114999999999981</v>
          </cell>
          <cell r="AO262">
            <v>45.284999999999997</v>
          </cell>
          <cell r="AP262">
            <v>87.339000000000013</v>
          </cell>
          <cell r="AQ262">
            <v>114.236</v>
          </cell>
          <cell r="AR262">
            <v>104.617</v>
          </cell>
          <cell r="AS262">
            <v>153.76900000000003</v>
          </cell>
          <cell r="AT262">
            <v>177.76499999999999</v>
          </cell>
          <cell r="AU262">
            <v>193.05100000000002</v>
          </cell>
          <cell r="AV262">
            <v>248.18299999999999</v>
          </cell>
          <cell r="AW262">
            <v>250.74100000000007</v>
          </cell>
          <cell r="AX262">
            <v>305.69899999999996</v>
          </cell>
          <cell r="AY262">
            <v>310.49799999999993</v>
          </cell>
          <cell r="AZ262">
            <v>454.91199999999998</v>
          </cell>
          <cell r="BA262">
            <v>464.702</v>
          </cell>
          <cell r="BB262">
            <v>807.74699999999996</v>
          </cell>
          <cell r="BC262">
            <v>1162.7459999999999</v>
          </cell>
          <cell r="BD262">
            <v>1763.9279999999999</v>
          </cell>
          <cell r="BE262">
            <v>1199.72</v>
          </cell>
          <cell r="BF262">
            <v>1334.7660000000001</v>
          </cell>
          <cell r="BG262" t="e">
            <v>#REF!</v>
          </cell>
          <cell r="BH262" t="e">
            <v>#REF!</v>
          </cell>
          <cell r="BI262" t="e">
            <v>#REF!</v>
          </cell>
          <cell r="BJ262" t="e">
            <v>#REF!</v>
          </cell>
          <cell r="BK262" t="e">
            <v>#REF!</v>
          </cell>
          <cell r="BL262" t="e">
            <v>#REF!</v>
          </cell>
          <cell r="BM262" t="e">
            <v>#REF!</v>
          </cell>
          <cell r="BN262" t="e">
            <v>#REF!</v>
          </cell>
          <cell r="BO262" t="e">
            <v>#REF!</v>
          </cell>
          <cell r="BP262" t="e">
            <v>#REF!</v>
          </cell>
          <cell r="BQ262" t="e">
            <v>#REF!</v>
          </cell>
          <cell r="BR262" t="e">
            <v>#REF!</v>
          </cell>
          <cell r="BS262">
            <v>2753.9927315984196</v>
          </cell>
          <cell r="BT262">
            <v>3885.6806342816835</v>
          </cell>
          <cell r="BU262">
            <v>3354.1033686260466</v>
          </cell>
          <cell r="BV262">
            <v>4604.5540228420077</v>
          </cell>
          <cell r="BW262">
            <v>3752.4255711931332</v>
          </cell>
          <cell r="BX262">
            <v>4906.2420022210426</v>
          </cell>
          <cell r="BY262" t="e">
            <v>#REF!</v>
          </cell>
          <cell r="BZ262" t="e">
            <v>#REF!</v>
          </cell>
        </row>
        <row r="263">
          <cell r="B263" t="str">
            <v>Preferred dividends</v>
          </cell>
          <cell r="C263" t="str">
            <v>PREF_DIV</v>
          </cell>
          <cell r="D263" t="str">
            <v>TWD</v>
          </cell>
          <cell r="V263">
            <v>0</v>
          </cell>
          <cell r="W263">
            <v>0</v>
          </cell>
          <cell r="X263">
            <v>0</v>
          </cell>
          <cell r="Y263">
            <v>0</v>
          </cell>
          <cell r="Z263">
            <v>0</v>
          </cell>
          <cell r="AA263">
            <v>0</v>
          </cell>
          <cell r="AB263">
            <v>0</v>
          </cell>
          <cell r="AC263">
            <v>0</v>
          </cell>
          <cell r="AD263">
            <v>0</v>
          </cell>
          <cell r="AE263">
            <v>0</v>
          </cell>
          <cell r="AF263">
            <v>0</v>
          </cell>
          <cell r="AG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t="e">
            <v>#REF!</v>
          </cell>
          <cell r="BH263" t="e">
            <v>#REF!</v>
          </cell>
          <cell r="BI263" t="e">
            <v>#REF!</v>
          </cell>
          <cell r="BJ263" t="e">
            <v>#REF!</v>
          </cell>
          <cell r="BK263" t="e">
            <v>#REF!</v>
          </cell>
          <cell r="BL263" t="e">
            <v>#REF!</v>
          </cell>
          <cell r="BM263" t="e">
            <v>#REF!</v>
          </cell>
          <cell r="BN263" t="e">
            <v>#REF!</v>
          </cell>
          <cell r="BO263" t="e">
            <v>#REF!</v>
          </cell>
          <cell r="BP263" t="e">
            <v>#REF!</v>
          </cell>
          <cell r="BQ263" t="e">
            <v>#REF!</v>
          </cell>
          <cell r="BR263" t="e">
            <v>#REF!</v>
          </cell>
          <cell r="BS263">
            <v>0</v>
          </cell>
          <cell r="BT263">
            <v>0</v>
          </cell>
          <cell r="BU263">
            <v>0</v>
          </cell>
          <cell r="BV263">
            <v>0</v>
          </cell>
          <cell r="BW263">
            <v>0</v>
          </cell>
          <cell r="BX263">
            <v>0</v>
          </cell>
          <cell r="BY263" t="e">
            <v>#REF!</v>
          </cell>
          <cell r="BZ263" t="e">
            <v>#REF!</v>
          </cell>
        </row>
        <row r="264">
          <cell r="B264" t="str">
            <v>Net income (pre-exceptionals)</v>
          </cell>
          <cell r="C264" t="str">
            <v>NET_EARNING</v>
          </cell>
          <cell r="D264" t="str">
            <v>TWD</v>
          </cell>
          <cell r="V264">
            <v>132.62399999999991</v>
          </cell>
          <cell r="W264">
            <v>218.85300000000015</v>
          </cell>
          <cell r="X264">
            <v>331.53400000000045</v>
          </cell>
          <cell r="Y264">
            <v>441.23399999999992</v>
          </cell>
          <cell r="Z264">
            <v>556.44000000000005</v>
          </cell>
          <cell r="AA264">
            <v>765.41000000000054</v>
          </cell>
          <cell r="AB264">
            <v>1272.4489999999998</v>
          </cell>
          <cell r="AC264">
            <v>2926.6739999999977</v>
          </cell>
          <cell r="AD264">
            <v>2534.4859999999981</v>
          </cell>
          <cell r="AE264">
            <v>6639.6733658801077</v>
          </cell>
          <cell r="AF264">
            <v>7958.6573914680557</v>
          </cell>
          <cell r="AG264">
            <v>8658.6675734141681</v>
          </cell>
          <cell r="AI264">
            <v>102.087</v>
          </cell>
          <cell r="AJ264">
            <v>124.21899999999998</v>
          </cell>
          <cell r="AK264">
            <v>39.097999999999999</v>
          </cell>
          <cell r="AL264">
            <v>35.668999999999997</v>
          </cell>
          <cell r="AM264">
            <v>16.820999999999998</v>
          </cell>
          <cell r="AN264">
            <v>65.114999999999981</v>
          </cell>
          <cell r="AO264">
            <v>45.284999999999997</v>
          </cell>
          <cell r="AP264">
            <v>87.339000000000013</v>
          </cell>
          <cell r="AQ264">
            <v>114.236</v>
          </cell>
          <cell r="AR264">
            <v>104.617</v>
          </cell>
          <cell r="AS264">
            <v>153.76900000000003</v>
          </cell>
          <cell r="AT264">
            <v>177.76499999999999</v>
          </cell>
          <cell r="AU264">
            <v>193.05100000000002</v>
          </cell>
          <cell r="AV264">
            <v>248.18299999999999</v>
          </cell>
          <cell r="AW264">
            <v>250.74100000000007</v>
          </cell>
          <cell r="AX264">
            <v>305.69899999999996</v>
          </cell>
          <cell r="AY264">
            <v>310.49799999999993</v>
          </cell>
          <cell r="AZ264">
            <v>454.91199999999998</v>
          </cell>
          <cell r="BA264">
            <v>464.702</v>
          </cell>
          <cell r="BB264">
            <v>807.74699999999996</v>
          </cell>
          <cell r="BC264">
            <v>1162.7459999999999</v>
          </cell>
          <cell r="BD264">
            <v>1763.9279999999999</v>
          </cell>
          <cell r="BE264">
            <v>1199.72</v>
          </cell>
          <cell r="BF264">
            <v>1334.7660000000001</v>
          </cell>
          <cell r="BG264" t="e">
            <v>#REF!</v>
          </cell>
          <cell r="BH264" t="e">
            <v>#REF!</v>
          </cell>
          <cell r="BI264" t="e">
            <v>#REF!</v>
          </cell>
          <cell r="BJ264" t="e">
            <v>#REF!</v>
          </cell>
          <cell r="BK264" t="e">
            <v>#REF!</v>
          </cell>
          <cell r="BL264" t="e">
            <v>#REF!</v>
          </cell>
          <cell r="BM264" t="e">
            <v>#REF!</v>
          </cell>
          <cell r="BN264" t="e">
            <v>#REF!</v>
          </cell>
          <cell r="BO264" t="e">
            <v>#REF!</v>
          </cell>
          <cell r="BP264" t="e">
            <v>#REF!</v>
          </cell>
          <cell r="BQ264" t="e">
            <v>#REF!</v>
          </cell>
          <cell r="BR264" t="e">
            <v>#REF!</v>
          </cell>
          <cell r="BS264">
            <v>2753.9927315984196</v>
          </cell>
          <cell r="BT264">
            <v>3885.6806342816835</v>
          </cell>
          <cell r="BU264">
            <v>3354.1033686260466</v>
          </cell>
          <cell r="BV264">
            <v>4604.5540228420077</v>
          </cell>
          <cell r="BW264">
            <v>3752.4255711931332</v>
          </cell>
          <cell r="BX264">
            <v>4906.2420022210426</v>
          </cell>
          <cell r="BY264" t="e">
            <v>#REF!</v>
          </cell>
          <cell r="BZ264" t="e">
            <v>#REF!</v>
          </cell>
        </row>
        <row r="265">
          <cell r="B265" t="str">
            <v>Post-tax exceptionals</v>
          </cell>
          <cell r="C265" t="str">
            <v>TAX_EXC</v>
          </cell>
          <cell r="D265" t="str">
            <v>TWD</v>
          </cell>
          <cell r="V265">
            <v>11.201999999999998</v>
          </cell>
          <cell r="W265">
            <v>19.149999999999977</v>
          </cell>
          <cell r="X265">
            <v>14.739999999999981</v>
          </cell>
          <cell r="Y265">
            <v>-0.73600000000004684</v>
          </cell>
          <cell r="Z265">
            <v>9.6560000000000059</v>
          </cell>
          <cell r="AA265">
            <v>-3.7779999999999632</v>
          </cell>
          <cell r="AB265">
            <v>-1.6960000000000264</v>
          </cell>
          <cell r="AC265">
            <v>-25.119999999999663</v>
          </cell>
          <cell r="AD265">
            <v>-43.614000000000033</v>
          </cell>
          <cell r="AE265">
            <v>0</v>
          </cell>
          <cell r="AF265">
            <v>0</v>
          </cell>
          <cell r="AG265">
            <v>0</v>
          </cell>
          <cell r="AI265">
            <v>9.9999999999909051E-3</v>
          </cell>
          <cell r="AJ265">
            <v>-0.87999999999999545</v>
          </cell>
          <cell r="AK265">
            <v>-7.9999999999955662E-3</v>
          </cell>
          <cell r="AL265">
            <v>3.6180000000000021</v>
          </cell>
          <cell r="AM265">
            <v>6.5859999999999985</v>
          </cell>
          <cell r="AN265">
            <v>3.4120000000000061</v>
          </cell>
          <cell r="AO265">
            <v>9.5379999999999967</v>
          </cell>
          <cell r="AP265">
            <v>1.6640000000000015</v>
          </cell>
          <cell r="AQ265">
            <v>0</v>
          </cell>
          <cell r="AR265">
            <v>19.149999999999977</v>
          </cell>
          <cell r="AS265">
            <v>2.7579999999999814</v>
          </cell>
          <cell r="AT265">
            <v>11.981999999999999</v>
          </cell>
          <cell r="AU265">
            <v>3.7699999999999818</v>
          </cell>
          <cell r="AV265">
            <v>-4.5060000000000286</v>
          </cell>
          <cell r="AW265">
            <v>6.1099999999999568</v>
          </cell>
          <cell r="AX265">
            <v>3.5460000000000491</v>
          </cell>
          <cell r="AY265">
            <v>-2.8480000000000132</v>
          </cell>
          <cell r="AZ265">
            <v>-0.92999999999994998</v>
          </cell>
          <cell r="BA265">
            <v>0.57200000000000273</v>
          </cell>
          <cell r="BB265">
            <v>-2.2680000000000291</v>
          </cell>
          <cell r="BC265">
            <v>-3.4999999999997726</v>
          </cell>
          <cell r="BD265">
            <v>-21.619999999999891</v>
          </cell>
          <cell r="BE265">
            <v>-19.925999999999931</v>
          </cell>
          <cell r="BF265">
            <v>-23.688000000000102</v>
          </cell>
          <cell r="BG265" t="e">
            <v>#REF!</v>
          </cell>
          <cell r="BH265" t="e">
            <v>#REF!</v>
          </cell>
          <cell r="BI265" t="e">
            <v>#REF!</v>
          </cell>
          <cell r="BJ265" t="e">
            <v>#REF!</v>
          </cell>
          <cell r="BK265" t="e">
            <v>#REF!</v>
          </cell>
          <cell r="BL265" t="e">
            <v>#REF!</v>
          </cell>
          <cell r="BM265" t="e">
            <v>#REF!</v>
          </cell>
          <cell r="BN265" t="e">
            <v>#REF!</v>
          </cell>
          <cell r="BO265" t="e">
            <v>#REF!</v>
          </cell>
          <cell r="BP265" t="e">
            <v>#REF!</v>
          </cell>
          <cell r="BQ265" t="e">
            <v>#REF!</v>
          </cell>
          <cell r="BR265" t="e">
            <v>#REF!</v>
          </cell>
          <cell r="BS265">
            <v>0</v>
          </cell>
          <cell r="BT265">
            <v>0</v>
          </cell>
          <cell r="BU265">
            <v>0</v>
          </cell>
          <cell r="BV265">
            <v>0</v>
          </cell>
          <cell r="BW265">
            <v>0</v>
          </cell>
          <cell r="BX265">
            <v>0</v>
          </cell>
          <cell r="BY265" t="e">
            <v>#REF!</v>
          </cell>
          <cell r="BZ265" t="e">
            <v>#REF!</v>
          </cell>
        </row>
        <row r="266">
          <cell r="B266" t="str">
            <v>Net income (post-exceptionals)</v>
          </cell>
          <cell r="C266" t="str">
            <v>NET_INC</v>
          </cell>
          <cell r="D266" t="str">
            <v>TWD</v>
          </cell>
          <cell r="V266">
            <v>143.82599999999991</v>
          </cell>
          <cell r="W266">
            <v>238.00300000000013</v>
          </cell>
          <cell r="X266">
            <v>346.27400000000046</v>
          </cell>
          <cell r="Y266">
            <v>440.49799999999988</v>
          </cell>
          <cell r="Z266">
            <v>566.096</v>
          </cell>
          <cell r="AA266">
            <v>761.63200000000052</v>
          </cell>
          <cell r="AB266">
            <v>1270.7529999999997</v>
          </cell>
          <cell r="AC266">
            <v>2901.5539999999983</v>
          </cell>
          <cell r="AD266">
            <v>2490.871999999998</v>
          </cell>
          <cell r="AE266">
            <v>6639.6733658801077</v>
          </cell>
          <cell r="AF266">
            <v>7958.6573914680557</v>
          </cell>
          <cell r="AG266">
            <v>8658.6675734141681</v>
          </cell>
          <cell r="AI266">
            <v>102.09699999999999</v>
          </cell>
          <cell r="AJ266">
            <v>123.33899999999998</v>
          </cell>
          <cell r="AK266">
            <v>39.090000000000003</v>
          </cell>
          <cell r="AL266">
            <v>39.286999999999999</v>
          </cell>
          <cell r="AM266">
            <v>23.406999999999996</v>
          </cell>
          <cell r="AN266">
            <v>68.526999999999987</v>
          </cell>
          <cell r="AO266">
            <v>54.822999999999993</v>
          </cell>
          <cell r="AP266">
            <v>89.003000000000014</v>
          </cell>
          <cell r="AQ266">
            <v>114.236</v>
          </cell>
          <cell r="AR266">
            <v>123.76699999999998</v>
          </cell>
          <cell r="AS266">
            <v>156.52700000000002</v>
          </cell>
          <cell r="AT266">
            <v>189.74699999999999</v>
          </cell>
          <cell r="AU266">
            <v>196.821</v>
          </cell>
          <cell r="AV266">
            <v>243.67699999999996</v>
          </cell>
          <cell r="AW266">
            <v>256.851</v>
          </cell>
          <cell r="AX266">
            <v>309.245</v>
          </cell>
          <cell r="AY266">
            <v>307.64999999999992</v>
          </cell>
          <cell r="AZ266">
            <v>453.98200000000003</v>
          </cell>
          <cell r="BA266">
            <v>465.274</v>
          </cell>
          <cell r="BB266">
            <v>805.47899999999993</v>
          </cell>
          <cell r="BC266">
            <v>1159.2460000000001</v>
          </cell>
          <cell r="BD266">
            <v>1742.308</v>
          </cell>
          <cell r="BE266">
            <v>1179.7940000000001</v>
          </cell>
          <cell r="BF266">
            <v>1311.078</v>
          </cell>
          <cell r="BG266" t="e">
            <v>#REF!</v>
          </cell>
          <cell r="BH266" t="e">
            <v>#REF!</v>
          </cell>
          <cell r="BI266" t="e">
            <v>#REF!</v>
          </cell>
          <cell r="BJ266" t="e">
            <v>#REF!</v>
          </cell>
          <cell r="BK266" t="e">
            <v>#REF!</v>
          </cell>
          <cell r="BL266" t="e">
            <v>#REF!</v>
          </cell>
          <cell r="BM266" t="e">
            <v>#REF!</v>
          </cell>
          <cell r="BN266" t="e">
            <v>#REF!</v>
          </cell>
          <cell r="BO266" t="e">
            <v>#REF!</v>
          </cell>
          <cell r="BP266" t="e">
            <v>#REF!</v>
          </cell>
          <cell r="BQ266" t="e">
            <v>#REF!</v>
          </cell>
          <cell r="BR266" t="e">
            <v>#REF!</v>
          </cell>
          <cell r="BS266">
            <v>2753.9927315984196</v>
          </cell>
          <cell r="BT266">
            <v>3885.6806342816835</v>
          </cell>
          <cell r="BU266">
            <v>3354.1033686260466</v>
          </cell>
          <cell r="BV266">
            <v>4604.5540228420077</v>
          </cell>
          <cell r="BW266">
            <v>3752.4255711931332</v>
          </cell>
          <cell r="BX266">
            <v>4906.2420022210426</v>
          </cell>
          <cell r="BY266" t="e">
            <v>#REF!</v>
          </cell>
          <cell r="BZ266" t="e">
            <v>#REF!</v>
          </cell>
        </row>
        <row r="267">
          <cell r="B267" t="str">
            <v>EPS (pre-exceptionals, basic)</v>
          </cell>
          <cell r="C267" t="str">
            <v>EPS</v>
          </cell>
          <cell r="D267" t="str">
            <v>TWD</v>
          </cell>
          <cell r="V267">
            <v>0.136479973818287</v>
          </cell>
          <cell r="W267">
            <v>0.22703430314475948</v>
          </cell>
          <cell r="X267">
            <v>0.33918910636729238</v>
          </cell>
          <cell r="Y267">
            <v>0.44370011359869976</v>
          </cell>
          <cell r="Z267">
            <v>0.52004555905712113</v>
          </cell>
          <cell r="AA267">
            <v>0.71217523764757795</v>
          </cell>
          <cell r="AB267">
            <v>1.1775995787300917</v>
          </cell>
          <cell r="AC267">
            <v>2.6868717480150281</v>
          </cell>
          <cell r="AD267">
            <v>2.3190466720248972</v>
          </cell>
          <cell r="AE267">
            <v>6.0534030924019051</v>
          </cell>
          <cell r="AF267">
            <v>7.2559233881069156</v>
          </cell>
          <cell r="AG267">
            <v>7.8941240294036419</v>
          </cell>
          <cell r="AI267">
            <v>0.12302098974011672</v>
          </cell>
          <cell r="AJ267">
            <v>0.12404558427318606</v>
          </cell>
          <cell r="AK267">
            <v>3.9098000000000001E-2</v>
          </cell>
          <cell r="AL267">
            <v>3.5668999999999999E-2</v>
          </cell>
          <cell r="AM267">
            <v>1.6820999999999999E-2</v>
          </cell>
          <cell r="AN267">
            <v>6.5114999999999978E-2</v>
          </cell>
          <cell r="AO267">
            <v>4.5736972764862362E-2</v>
          </cell>
          <cell r="AP267">
            <v>9.0402187729009778E-2</v>
          </cell>
          <cell r="AQ267">
            <v>0.11830204115447947</v>
          </cell>
          <cell r="AR267">
            <v>0.10839748701682174</v>
          </cell>
          <cell r="AS267">
            <v>0.15941004319867141</v>
          </cell>
          <cell r="AT267">
            <v>0.18507721571571206</v>
          </cell>
          <cell r="AU267">
            <v>0.19995380526537118</v>
          </cell>
          <cell r="AV267">
            <v>0.24352136308458969</v>
          </cell>
          <cell r="AW267">
            <v>0.23476544615462405</v>
          </cell>
          <cell r="AX267">
            <v>0.28527422155903753</v>
          </cell>
          <cell r="AY267">
            <v>0.28966608422107304</v>
          </cell>
          <cell r="AZ267">
            <v>0.42251875463815647</v>
          </cell>
          <cell r="BA267">
            <v>0.43159399318851577</v>
          </cell>
          <cell r="BB267">
            <v>0.74599461053256855</v>
          </cell>
          <cell r="BC267">
            <v>1.076904838424356</v>
          </cell>
          <cell r="BD267">
            <v>1.6098772372867896</v>
          </cell>
          <cell r="BE267">
            <v>1.0985621958790639</v>
          </cell>
          <cell r="BF267">
            <v>1.2204757672515005</v>
          </cell>
          <cell r="BG267" t="e">
            <v>#REF!</v>
          </cell>
          <cell r="BH267" t="e">
            <v>#REF!</v>
          </cell>
          <cell r="BI267" t="e">
            <v>#REF!</v>
          </cell>
          <cell r="BJ267" t="e">
            <v>#REF!</v>
          </cell>
          <cell r="BK267" t="e">
            <v>#REF!</v>
          </cell>
          <cell r="BL267" t="e">
            <v>#REF!</v>
          </cell>
          <cell r="BM267" t="e">
            <v>#REF!</v>
          </cell>
          <cell r="BN267" t="e">
            <v>#REF!</v>
          </cell>
          <cell r="BO267" t="e">
            <v>#REF!</v>
          </cell>
          <cell r="BP267" t="e">
            <v>#REF!</v>
          </cell>
          <cell r="BQ267" t="e">
            <v>#REF!</v>
          </cell>
          <cell r="BR267" t="e">
            <v>#REF!</v>
          </cell>
          <cell r="BS267">
            <v>2.5108205177048593</v>
          </cell>
          <cell r="BT267">
            <v>3.5425825746970472</v>
          </cell>
          <cell r="BU267">
            <v>3.057942550037664</v>
          </cell>
          <cell r="BV267">
            <v>4.1979808380692525</v>
          </cell>
          <cell r="BW267">
            <v>3.4210936750888781</v>
          </cell>
          <cell r="BX267">
            <v>4.4730303543147638</v>
          </cell>
          <cell r="BY267" t="e">
            <v>#REF!</v>
          </cell>
          <cell r="BZ267" t="e">
            <v>#REF!</v>
          </cell>
        </row>
        <row r="268">
          <cell r="B268" t="str">
            <v>EPS (pre-exceptionals, diluted)</v>
          </cell>
          <cell r="C268" t="str">
            <v>EPS_FUL_DIL</v>
          </cell>
          <cell r="D268" t="str">
            <v>TWD</v>
          </cell>
          <cell r="V268">
            <v>0.13551763349328358</v>
          </cell>
          <cell r="W268">
            <v>0.22414226834237966</v>
          </cell>
          <cell r="X268">
            <v>0.33346066402268071</v>
          </cell>
          <cell r="Y268">
            <v>0.44370011359869976</v>
          </cell>
          <cell r="Z268">
            <v>0.52004555905712113</v>
          </cell>
          <cell r="AA268">
            <v>0.71217523764757795</v>
          </cell>
          <cell r="AB268">
            <v>1.1775995787300917</v>
          </cell>
          <cell r="AC268">
            <v>2.6868717480150281</v>
          </cell>
          <cell r="AD268">
            <v>2.3190466720248972</v>
          </cell>
          <cell r="AE268">
            <v>6.0534030924019051</v>
          </cell>
          <cell r="AF268">
            <v>7.2559233881069156</v>
          </cell>
          <cell r="AG268">
            <v>7.8941240294036419</v>
          </cell>
          <cell r="AI268">
            <v>0.12302098974011672</v>
          </cell>
          <cell r="AJ268">
            <v>0.12404558427318606</v>
          </cell>
          <cell r="AK268">
            <v>3.9098000000000001E-2</v>
          </cell>
          <cell r="AL268">
            <v>3.5668999999999999E-2</v>
          </cell>
          <cell r="AM268">
            <v>1.6820999999999999E-2</v>
          </cell>
          <cell r="AN268">
            <v>6.5114999999999978E-2</v>
          </cell>
          <cell r="AO268">
            <v>4.5714395315195631E-2</v>
          </cell>
          <cell r="AP268">
            <v>8.9547510245176806E-2</v>
          </cell>
          <cell r="AQ268">
            <v>0.117330955956213</v>
          </cell>
          <cell r="AR268">
            <v>0.10729682401729107</v>
          </cell>
          <cell r="AS268">
            <v>0.15785378232523001</v>
          </cell>
          <cell r="AT268">
            <v>0.18086879350487661</v>
          </cell>
          <cell r="AU268">
            <v>0.19542858415482767</v>
          </cell>
          <cell r="AV268">
            <v>0.24046588932600632</v>
          </cell>
          <cell r="AW268">
            <v>0.23197621221751319</v>
          </cell>
          <cell r="AX268">
            <v>0.28347800928609113</v>
          </cell>
          <cell r="AY268">
            <v>0.28545791698039652</v>
          </cell>
          <cell r="AZ268">
            <v>0.4214712098007769</v>
          </cell>
          <cell r="BA268">
            <v>0.42768067751248656</v>
          </cell>
          <cell r="BB268">
            <v>0.74067968413027885</v>
          </cell>
          <cell r="BC268">
            <v>1.0700123128909895</v>
          </cell>
          <cell r="BD268">
            <v>1.6062489641821001</v>
          </cell>
          <cell r="BE268">
            <v>1.0943105374774815</v>
          </cell>
          <cell r="BF268">
            <v>1.217968874755337</v>
          </cell>
          <cell r="BG268" t="e">
            <v>#REF!</v>
          </cell>
          <cell r="BH268" t="e">
            <v>#REF!</v>
          </cell>
          <cell r="BI268" t="e">
            <v>#REF!</v>
          </cell>
          <cell r="BJ268" t="e">
            <v>#REF!</v>
          </cell>
          <cell r="BK268" t="e">
            <v>#REF!</v>
          </cell>
          <cell r="BL268" t="e">
            <v>#REF!</v>
          </cell>
          <cell r="BM268" t="e">
            <v>#REF!</v>
          </cell>
          <cell r="BN268" t="e">
            <v>#REF!</v>
          </cell>
          <cell r="BO268" t="e">
            <v>#REF!</v>
          </cell>
          <cell r="BP268" t="e">
            <v>#REF!</v>
          </cell>
          <cell r="BQ268" t="e">
            <v>#REF!</v>
          </cell>
          <cell r="BR268" t="e">
            <v>#REF!</v>
          </cell>
          <cell r="BS268">
            <v>2.5108205177048593</v>
          </cell>
          <cell r="BT268">
            <v>3.5425825746970472</v>
          </cell>
          <cell r="BU268">
            <v>3.057942550037664</v>
          </cell>
          <cell r="BV268">
            <v>4.1979808380692525</v>
          </cell>
          <cell r="BW268">
            <v>3.4210936750888781</v>
          </cell>
          <cell r="BX268">
            <v>4.4730303543147638</v>
          </cell>
          <cell r="BY268" t="e">
            <v>#REF!</v>
          </cell>
          <cell r="BZ268" t="e">
            <v>#REF!</v>
          </cell>
        </row>
        <row r="269">
          <cell r="B269" t="str">
            <v>EPS (post-exceptionals, basic)</v>
          </cell>
          <cell r="C269" t="str">
            <v>EPS_POST_BASIC</v>
          </cell>
          <cell r="D269" t="str">
            <v>TWD</v>
          </cell>
          <cell r="V269">
            <v>0.14800766614179142</v>
          </cell>
          <cell r="W269">
            <v>0.24690018072113329</v>
          </cell>
          <cell r="X269">
            <v>0.35426945235851465</v>
          </cell>
          <cell r="Y269">
            <v>0.44296000000000002</v>
          </cell>
          <cell r="Z269">
            <v>0.52907000000000004</v>
          </cell>
          <cell r="AA269">
            <v>0.70866000000000018</v>
          </cell>
          <cell r="AB269">
            <v>1.1760299999999999</v>
          </cell>
          <cell r="AC269">
            <v>2.6638099999999993</v>
          </cell>
          <cell r="AD269">
            <v>2.2791399999999995</v>
          </cell>
          <cell r="AE269">
            <v>6.0534030924019051</v>
          </cell>
          <cell r="AF269">
            <v>7.2559233881069156</v>
          </cell>
          <cell r="AG269">
            <v>7.8941240294036419</v>
          </cell>
          <cell r="AI269">
            <v>0.12303304034300837</v>
          </cell>
          <cell r="AJ269">
            <v>0.12316681279571158</v>
          </cell>
          <cell r="AK269">
            <v>3.9090000000000007E-2</v>
          </cell>
          <cell r="AL269">
            <v>3.9287000000000002E-2</v>
          </cell>
          <cell r="AM269">
            <v>2.3406999999999997E-2</v>
          </cell>
          <cell r="AN269">
            <v>6.8526999999999991E-2</v>
          </cell>
          <cell r="AO269">
            <v>5.5370168000177744E-2</v>
          </cell>
          <cell r="AP269">
            <v>9.212454819090049E-2</v>
          </cell>
          <cell r="AQ269">
            <v>0.11830204115447947</v>
          </cell>
          <cell r="AR269">
            <v>0.12823950003929546</v>
          </cell>
          <cell r="AS269">
            <v>0.16226922092072157</v>
          </cell>
          <cell r="AT269">
            <v>0.19755208533968563</v>
          </cell>
          <cell r="AU269">
            <v>0.20385860682480597</v>
          </cell>
          <cell r="AV269">
            <v>0.2390999995663021</v>
          </cell>
          <cell r="AW269">
            <v>0.24048615747030333</v>
          </cell>
          <cell r="AX269">
            <v>0.28858330137169103</v>
          </cell>
          <cell r="AY269">
            <v>0.28700916208997518</v>
          </cell>
          <cell r="AZ269">
            <v>0.42165497781579642</v>
          </cell>
          <cell r="BA269">
            <v>0.43212524066346492</v>
          </cell>
          <cell r="BB269">
            <v>0.74389999950128294</v>
          </cell>
          <cell r="BC269">
            <v>1.0736632302532809</v>
          </cell>
          <cell r="BD269">
            <v>1.5901453968317709</v>
          </cell>
          <cell r="BE269">
            <v>1.0803163132438773</v>
          </cell>
          <cell r="BF269">
            <v>1.1988160681172302</v>
          </cell>
          <cell r="BG269" t="e">
            <v>#REF!</v>
          </cell>
          <cell r="BH269" t="e">
            <v>#REF!</v>
          </cell>
          <cell r="BI269" t="e">
            <v>#REF!</v>
          </cell>
          <cell r="BJ269" t="e">
            <v>#REF!</v>
          </cell>
          <cell r="BK269" t="e">
            <v>#REF!</v>
          </cell>
          <cell r="BL269" t="e">
            <v>#REF!</v>
          </cell>
          <cell r="BM269" t="e">
            <v>#REF!</v>
          </cell>
          <cell r="BN269" t="e">
            <v>#REF!</v>
          </cell>
          <cell r="BO269" t="e">
            <v>#REF!</v>
          </cell>
          <cell r="BP269" t="e">
            <v>#REF!</v>
          </cell>
          <cell r="BQ269" t="e">
            <v>#REF!</v>
          </cell>
          <cell r="BR269" t="e">
            <v>#REF!</v>
          </cell>
          <cell r="BS269">
            <v>2.5108205177048593</v>
          </cell>
          <cell r="BT269">
            <v>3.5425825746970472</v>
          </cell>
          <cell r="BU269">
            <v>3.057942550037664</v>
          </cell>
          <cell r="BV269">
            <v>4.1979808380692525</v>
          </cell>
          <cell r="BW269">
            <v>3.4210936750888781</v>
          </cell>
          <cell r="BX269">
            <v>4.4730303543147638</v>
          </cell>
          <cell r="BY269" t="e">
            <v>#REF!</v>
          </cell>
          <cell r="BZ269" t="e">
            <v>#REF!</v>
          </cell>
        </row>
        <row r="270">
          <cell r="B270" t="str">
            <v>EPS (post-exceptionals, diluted)</v>
          </cell>
          <cell r="C270" t="str">
            <v>FULLY_DIL_EPS</v>
          </cell>
          <cell r="D270" t="str">
            <v>TWD</v>
          </cell>
          <cell r="V270">
            <v>0.14696404236642693</v>
          </cell>
          <cell r="W270">
            <v>0.24375508808328594</v>
          </cell>
          <cell r="X270">
            <v>0.34828632349559846</v>
          </cell>
          <cell r="Y270">
            <v>0.44296000000000002</v>
          </cell>
          <cell r="Z270">
            <v>0.52907000000000004</v>
          </cell>
          <cell r="AA270">
            <v>0.70866000000000018</v>
          </cell>
          <cell r="AB270">
            <v>1.1760299999999999</v>
          </cell>
          <cell r="AC270">
            <v>2.6638099999999993</v>
          </cell>
          <cell r="AD270">
            <v>2.2791399999999995</v>
          </cell>
          <cell r="AE270">
            <v>6.0534030924019051</v>
          </cell>
          <cell r="AF270">
            <v>7.2559233881069156</v>
          </cell>
          <cell r="AG270">
            <v>7.8941240294036419</v>
          </cell>
          <cell r="AI270">
            <v>0.12303304034300837</v>
          </cell>
          <cell r="AJ270">
            <v>0.12316681279571158</v>
          </cell>
          <cell r="AK270">
            <v>3.9090000000000007E-2</v>
          </cell>
          <cell r="AL270">
            <v>3.9287000000000002E-2</v>
          </cell>
          <cell r="AM270">
            <v>2.3406999999999997E-2</v>
          </cell>
          <cell r="AN270">
            <v>6.8526999999999991E-2</v>
          </cell>
          <cell r="AO270">
            <v>5.5342835251517501E-2</v>
          </cell>
          <cell r="AP270">
            <v>9.1253587221647503E-2</v>
          </cell>
          <cell r="AQ270">
            <v>0.117330955956213</v>
          </cell>
          <cell r="AR270">
            <v>0.12693736217008766</v>
          </cell>
          <cell r="AS270">
            <v>0.16068504696018882</v>
          </cell>
          <cell r="AT270">
            <v>0.193060000344105</v>
          </cell>
          <cell r="AU270">
            <v>0.19924501485067331</v>
          </cell>
          <cell r="AV270">
            <v>0.23610000085941921</v>
          </cell>
          <cell r="AW270">
            <v>0.23762895611120824</v>
          </cell>
          <cell r="AX270">
            <v>0.28676625367331027</v>
          </cell>
          <cell r="AY270">
            <v>0.28283959368182399</v>
          </cell>
          <cell r="AZ270">
            <v>0.42060957452820835</v>
          </cell>
          <cell r="BA270">
            <v>0.42820710810141699</v>
          </cell>
          <cell r="BB270">
            <v>0.73859999640181007</v>
          </cell>
          <cell r="BC270">
            <v>1.0667914520192958</v>
          </cell>
          <cell r="BD270">
            <v>1.5865615945130336</v>
          </cell>
          <cell r="BE270">
            <v>1.0761352701069482</v>
          </cell>
          <cell r="BF270">
            <v>1.1963536652690268</v>
          </cell>
          <cell r="BG270" t="e">
            <v>#REF!</v>
          </cell>
          <cell r="BH270" t="e">
            <v>#REF!</v>
          </cell>
          <cell r="BI270" t="e">
            <v>#REF!</v>
          </cell>
          <cell r="BJ270" t="e">
            <v>#REF!</v>
          </cell>
          <cell r="BK270" t="e">
            <v>#REF!</v>
          </cell>
          <cell r="BL270" t="e">
            <v>#REF!</v>
          </cell>
          <cell r="BM270" t="e">
            <v>#REF!</v>
          </cell>
          <cell r="BN270" t="e">
            <v>#REF!</v>
          </cell>
          <cell r="BO270" t="e">
            <v>#REF!</v>
          </cell>
          <cell r="BP270" t="e">
            <v>#REF!</v>
          </cell>
          <cell r="BQ270" t="e">
            <v>#REF!</v>
          </cell>
          <cell r="BR270" t="e">
            <v>#REF!</v>
          </cell>
          <cell r="BS270">
            <v>2.5108205177048593</v>
          </cell>
          <cell r="BT270">
            <v>3.5425825746970472</v>
          </cell>
          <cell r="BU270">
            <v>3.057942550037664</v>
          </cell>
          <cell r="BV270">
            <v>4.1979808380692525</v>
          </cell>
          <cell r="BW270">
            <v>3.4210936750888781</v>
          </cell>
          <cell r="BX270">
            <v>4.4730303543147638</v>
          </cell>
          <cell r="BY270" t="e">
            <v>#REF!</v>
          </cell>
          <cell r="BZ270" t="e">
            <v>#REF!</v>
          </cell>
        </row>
        <row r="271">
          <cell r="B271" t="str">
            <v>Common dividends paid</v>
          </cell>
          <cell r="C271" t="str">
            <v>COMMON_DIV_PAID</v>
          </cell>
          <cell r="D271" t="str">
            <v>TWD</v>
          </cell>
          <cell r="V271">
            <v>0</v>
          </cell>
          <cell r="W271">
            <v>0</v>
          </cell>
          <cell r="X271">
            <v>0</v>
          </cell>
          <cell r="Y271">
            <v>0</v>
          </cell>
          <cell r="Z271">
            <v>0</v>
          </cell>
          <cell r="AA271">
            <v>0</v>
          </cell>
          <cell r="AB271">
            <v>0</v>
          </cell>
          <cell r="AC271">
            <v>0</v>
          </cell>
          <cell r="AD271">
            <v>0</v>
          </cell>
          <cell r="AE271">
            <v>0</v>
          </cell>
          <cell r="AF271">
            <v>0</v>
          </cell>
          <cell r="AG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t="e">
            <v>#REF!</v>
          </cell>
          <cell r="BH271" t="e">
            <v>#REF!</v>
          </cell>
          <cell r="BI271" t="e">
            <v>#REF!</v>
          </cell>
          <cell r="BJ271" t="e">
            <v>#REF!</v>
          </cell>
          <cell r="BK271" t="e">
            <v>#REF!</v>
          </cell>
          <cell r="BL271" t="e">
            <v>#REF!</v>
          </cell>
          <cell r="BM271" t="e">
            <v>#REF!</v>
          </cell>
          <cell r="BN271" t="e">
            <v>#REF!</v>
          </cell>
          <cell r="BO271" t="e">
            <v>#REF!</v>
          </cell>
          <cell r="BP271" t="e">
            <v>#REF!</v>
          </cell>
          <cell r="BQ271" t="e">
            <v>#REF!</v>
          </cell>
          <cell r="BR271" t="e">
            <v>#REF!</v>
          </cell>
          <cell r="BS271">
            <v>0</v>
          </cell>
          <cell r="BT271">
            <v>0</v>
          </cell>
          <cell r="BU271">
            <v>0</v>
          </cell>
          <cell r="BV271">
            <v>0</v>
          </cell>
          <cell r="BW271">
            <v>0</v>
          </cell>
          <cell r="BX271">
            <v>0</v>
          </cell>
          <cell r="BY271" t="e">
            <v>#REF!</v>
          </cell>
          <cell r="BZ271" t="e">
            <v>#REF!</v>
          </cell>
        </row>
        <row r="272">
          <cell r="B272" t="str">
            <v>DPS, dividend per share</v>
          </cell>
          <cell r="C272" t="str">
            <v>DPS</v>
          </cell>
          <cell r="D272" t="str">
            <v>TWD</v>
          </cell>
          <cell r="V272">
            <v>0</v>
          </cell>
          <cell r="W272">
            <v>0</v>
          </cell>
          <cell r="X272">
            <v>0</v>
          </cell>
          <cell r="Y272">
            <v>0</v>
          </cell>
          <cell r="Z272">
            <v>0</v>
          </cell>
          <cell r="AA272">
            <v>0</v>
          </cell>
          <cell r="AB272">
            <v>0</v>
          </cell>
          <cell r="AC272">
            <v>0</v>
          </cell>
          <cell r="AD272">
            <v>0</v>
          </cell>
          <cell r="AE272">
            <v>0</v>
          </cell>
          <cell r="AF272">
            <v>0</v>
          </cell>
          <cell r="AG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t="e">
            <v>#REF!</v>
          </cell>
          <cell r="BH272" t="e">
            <v>#REF!</v>
          </cell>
          <cell r="BI272" t="e">
            <v>#REF!</v>
          </cell>
          <cell r="BJ272" t="e">
            <v>#REF!</v>
          </cell>
          <cell r="BK272" t="e">
            <v>#REF!</v>
          </cell>
          <cell r="BL272" t="e">
            <v>#REF!</v>
          </cell>
          <cell r="BM272" t="e">
            <v>#REF!</v>
          </cell>
          <cell r="BN272" t="e">
            <v>#REF!</v>
          </cell>
          <cell r="BO272" t="e">
            <v>#REF!</v>
          </cell>
          <cell r="BP272" t="e">
            <v>#REF!</v>
          </cell>
          <cell r="BQ272" t="e">
            <v>#REF!</v>
          </cell>
          <cell r="BR272" t="e">
            <v>#REF!</v>
          </cell>
          <cell r="BS272">
            <v>0</v>
          </cell>
          <cell r="BT272">
            <v>0</v>
          </cell>
          <cell r="BU272">
            <v>0</v>
          </cell>
          <cell r="BV272">
            <v>0</v>
          </cell>
          <cell r="BW272">
            <v>0</v>
          </cell>
          <cell r="BX272">
            <v>0</v>
          </cell>
          <cell r="BY272" t="e">
            <v>#REF!</v>
          </cell>
          <cell r="BZ272" t="e">
            <v>#REF!</v>
          </cell>
        </row>
        <row r="273">
          <cell r="B273" t="str">
            <v>Weighted average shares outstanding, basic</v>
          </cell>
          <cell r="C273" t="str">
            <v>SH</v>
          </cell>
          <cell r="V273">
            <v>971.7469625</v>
          </cell>
          <cell r="W273">
            <v>963.96446250000008</v>
          </cell>
          <cell r="X273">
            <v>977.43115499999999</v>
          </cell>
          <cell r="Y273">
            <v>994.44193606646161</v>
          </cell>
          <cell r="Z273">
            <v>1069.9831780293723</v>
          </cell>
          <cell r="AA273">
            <v>1074.7495272768329</v>
          </cell>
          <cell r="AB273">
            <v>1080.544713995391</v>
          </cell>
          <cell r="AC273">
            <v>1089.2496086432586</v>
          </cell>
          <cell r="AD273">
            <v>1092.8999534912284</v>
          </cell>
          <cell r="AE273">
            <v>1096.8497000000009</v>
          </cell>
          <cell r="AF273">
            <v>1096.8497000000002</v>
          </cell>
          <cell r="AG273">
            <v>1096.8496999999991</v>
          </cell>
          <cell r="AI273">
            <v>829.83399999999995</v>
          </cell>
          <cell r="AJ273">
            <v>1001.398</v>
          </cell>
          <cell r="AK273">
            <v>1000</v>
          </cell>
          <cell r="AL273">
            <v>1000</v>
          </cell>
          <cell r="AM273">
            <v>1000</v>
          </cell>
          <cell r="AN273">
            <v>1000</v>
          </cell>
          <cell r="AO273">
            <v>990.11800000000005</v>
          </cell>
          <cell r="AP273">
            <v>966.11599999999999</v>
          </cell>
          <cell r="AQ273">
            <v>965.63</v>
          </cell>
          <cell r="AR273">
            <v>965.12384999999995</v>
          </cell>
          <cell r="AS273">
            <v>964.61300000000006</v>
          </cell>
          <cell r="AT273">
            <v>960.49099999999999</v>
          </cell>
          <cell r="AU273">
            <v>965.47799999999995</v>
          </cell>
          <cell r="AV273">
            <v>1019.14262</v>
          </cell>
          <cell r="AW273">
            <v>1068.049</v>
          </cell>
          <cell r="AX273">
            <v>1071.597</v>
          </cell>
          <cell r="AY273">
            <v>1071.9169999999999</v>
          </cell>
          <cell r="AZ273">
            <v>1076.6669999999999</v>
          </cell>
          <cell r="BA273">
            <v>1076.711</v>
          </cell>
          <cell r="BB273">
            <v>1082.7786000000001</v>
          </cell>
          <cell r="BC273">
            <v>1079.711</v>
          </cell>
          <cell r="BD273">
            <v>1095.691</v>
          </cell>
          <cell r="BE273">
            <v>1092.0820000000001</v>
          </cell>
          <cell r="BF273">
            <v>1093.644</v>
          </cell>
          <cell r="BG273" t="e">
            <v>#REF!</v>
          </cell>
          <cell r="BH273" t="e">
            <v>#REF!</v>
          </cell>
          <cell r="BI273" t="e">
            <v>#REF!</v>
          </cell>
          <cell r="BJ273" t="e">
            <v>#REF!</v>
          </cell>
          <cell r="BK273" t="e">
            <v>#REF!</v>
          </cell>
          <cell r="BL273" t="e">
            <v>#REF!</v>
          </cell>
          <cell r="BM273" t="e">
            <v>#REF!</v>
          </cell>
          <cell r="BN273" t="e">
            <v>#REF!</v>
          </cell>
          <cell r="BO273" t="e">
            <v>#REF!</v>
          </cell>
          <cell r="BP273" t="e">
            <v>#REF!</v>
          </cell>
          <cell r="BQ273" t="e">
            <v>#REF!</v>
          </cell>
          <cell r="BR273" t="e">
            <v>#REF!</v>
          </cell>
          <cell r="BS273">
            <v>1096.8497</v>
          </cell>
          <cell r="BT273">
            <v>1096.8497</v>
          </cell>
          <cell r="BU273">
            <v>1096.8497</v>
          </cell>
          <cell r="BV273">
            <v>1096.8497</v>
          </cell>
          <cell r="BW273">
            <v>1096.8497</v>
          </cell>
          <cell r="BX273">
            <v>1096.8497</v>
          </cell>
          <cell r="BY273" t="e">
            <v>#REF!</v>
          </cell>
          <cell r="BZ273" t="e">
            <v>#REF!</v>
          </cell>
        </row>
        <row r="274">
          <cell r="B274" t="str">
            <v>Diluted average shares outstanding (mn)</v>
          </cell>
          <cell r="C274" t="str">
            <v>DILUTE_SHARES</v>
          </cell>
          <cell r="V274">
            <v>978.64754999999991</v>
          </cell>
          <cell r="W274">
            <v>976.40218249999998</v>
          </cell>
          <cell r="X274">
            <v>994.22221500000001</v>
          </cell>
          <cell r="Y274">
            <v>994.44193606646161</v>
          </cell>
          <cell r="Z274">
            <v>1069.9831780293723</v>
          </cell>
          <cell r="AA274">
            <v>1074.7495272768329</v>
          </cell>
          <cell r="AB274">
            <v>1080.544713995391</v>
          </cell>
          <cell r="AC274">
            <v>1089.2496086432586</v>
          </cell>
          <cell r="AD274">
            <v>1092.8999534912284</v>
          </cell>
          <cell r="AE274">
            <v>1096.8497000000009</v>
          </cell>
          <cell r="AF274">
            <v>1096.8497000000002</v>
          </cell>
          <cell r="AG274">
            <v>1096.8496999999991</v>
          </cell>
          <cell r="AI274">
            <v>829.83399999999995</v>
          </cell>
          <cell r="AJ274">
            <v>1001.398</v>
          </cell>
          <cell r="AK274">
            <v>1000</v>
          </cell>
          <cell r="AL274">
            <v>1000</v>
          </cell>
          <cell r="AM274">
            <v>1000</v>
          </cell>
          <cell r="AN274">
            <v>1000</v>
          </cell>
          <cell r="AO274">
            <v>990.60699999999997</v>
          </cell>
          <cell r="AP274">
            <v>975.33699999999999</v>
          </cell>
          <cell r="AQ274">
            <v>973.62199999999996</v>
          </cell>
          <cell r="AR274">
            <v>975.02419999999995</v>
          </cell>
          <cell r="AS274">
            <v>974.12300000000005</v>
          </cell>
          <cell r="AT274">
            <v>982.83952999999997</v>
          </cell>
          <cell r="AU274">
            <v>987.83399999999995</v>
          </cell>
          <cell r="AV274">
            <v>1032.0923299999999</v>
          </cell>
          <cell r="AW274">
            <v>1080.8910000000001</v>
          </cell>
          <cell r="AX274">
            <v>1078.3869999999999</v>
          </cell>
          <cell r="AY274">
            <v>1087.7190000000001</v>
          </cell>
          <cell r="AZ274">
            <v>1079.3430000000001</v>
          </cell>
          <cell r="BA274">
            <v>1086.5630000000001</v>
          </cell>
          <cell r="BB274">
            <v>1090.5483400000001</v>
          </cell>
          <cell r="BC274">
            <v>1086.6659999999999</v>
          </cell>
          <cell r="BD274">
            <v>1098.1659999999999</v>
          </cell>
          <cell r="BE274">
            <v>1096.325</v>
          </cell>
          <cell r="BF274">
            <v>1095.895</v>
          </cell>
          <cell r="BG274" t="e">
            <v>#REF!</v>
          </cell>
          <cell r="BH274" t="e">
            <v>#REF!</v>
          </cell>
          <cell r="BI274" t="e">
            <v>#REF!</v>
          </cell>
          <cell r="BJ274" t="e">
            <v>#REF!</v>
          </cell>
          <cell r="BK274" t="e">
            <v>#REF!</v>
          </cell>
          <cell r="BL274" t="e">
            <v>#REF!</v>
          </cell>
          <cell r="BM274" t="e">
            <v>#REF!</v>
          </cell>
          <cell r="BN274" t="e">
            <v>#REF!</v>
          </cell>
          <cell r="BO274" t="e">
            <v>#REF!</v>
          </cell>
          <cell r="BP274" t="e">
            <v>#REF!</v>
          </cell>
          <cell r="BQ274" t="e">
            <v>#REF!</v>
          </cell>
          <cell r="BR274" t="e">
            <v>#REF!</v>
          </cell>
          <cell r="BS274">
            <v>1096.8497</v>
          </cell>
          <cell r="BT274">
            <v>1096.8497</v>
          </cell>
          <cell r="BU274">
            <v>1096.8497</v>
          </cell>
          <cell r="BV274">
            <v>1096.8497</v>
          </cell>
          <cell r="BW274">
            <v>1096.8497</v>
          </cell>
          <cell r="BX274">
            <v>1096.8497</v>
          </cell>
          <cell r="BY274" t="e">
            <v>#REF!</v>
          </cell>
          <cell r="BZ274" t="e">
            <v>#REF!</v>
          </cell>
        </row>
        <row r="275">
          <cell r="B275" t="str">
            <v>Period-end shares outstanding</v>
          </cell>
          <cell r="C275" t="str">
            <v>NON_OP_ADD</v>
          </cell>
          <cell r="V275">
            <v>1000</v>
          </cell>
          <cell r="W275">
            <v>1000</v>
          </cell>
          <cell r="X275">
            <v>1097</v>
          </cell>
          <cell r="Y275">
            <v>1097</v>
          </cell>
          <cell r="Z275">
            <v>1097</v>
          </cell>
          <cell r="AA275">
            <v>1097</v>
          </cell>
          <cell r="AB275">
            <v>1097</v>
          </cell>
          <cell r="AC275">
            <v>1096.8497</v>
          </cell>
          <cell r="AD275">
            <v>1096.8497</v>
          </cell>
          <cell r="AE275">
            <v>1096.8497</v>
          </cell>
          <cell r="AF275">
            <v>1096.8497</v>
          </cell>
          <cell r="AG275">
            <v>1096.8497</v>
          </cell>
          <cell r="AI275">
            <v>829.83399999999995</v>
          </cell>
          <cell r="AJ275">
            <v>1001.398</v>
          </cell>
          <cell r="AK275">
            <v>1000</v>
          </cell>
          <cell r="AL275">
            <v>1000</v>
          </cell>
          <cell r="AM275">
            <v>1000</v>
          </cell>
          <cell r="AN275">
            <v>1000</v>
          </cell>
          <cell r="AO275">
            <v>990.60699999999997</v>
          </cell>
          <cell r="AP275">
            <v>975.33699999999999</v>
          </cell>
          <cell r="AQ275">
            <v>973.62199999999996</v>
          </cell>
          <cell r="AR275">
            <v>1000</v>
          </cell>
          <cell r="AS275">
            <v>964.61300000000006</v>
          </cell>
          <cell r="AT275">
            <v>1000</v>
          </cell>
          <cell r="AU275">
            <v>965.47799999999995</v>
          </cell>
          <cell r="AV275">
            <v>1097</v>
          </cell>
          <cell r="AW275">
            <v>1068.049</v>
          </cell>
          <cell r="AX275">
            <v>1097</v>
          </cell>
          <cell r="AY275">
            <v>1071.9169999999999</v>
          </cell>
          <cell r="AZ275">
            <v>1097</v>
          </cell>
          <cell r="BA275">
            <v>1076.711</v>
          </cell>
          <cell r="BB275">
            <v>1097</v>
          </cell>
          <cell r="BC275">
            <v>1079.711</v>
          </cell>
          <cell r="BD275">
            <v>1097</v>
          </cell>
          <cell r="BE275">
            <v>1092.0820000000001</v>
          </cell>
          <cell r="BF275">
            <v>1096.8497</v>
          </cell>
          <cell r="BG275" t="e">
            <v>#REF!</v>
          </cell>
          <cell r="BH275" t="e">
            <v>#REF!</v>
          </cell>
          <cell r="BI275" t="e">
            <v>#REF!</v>
          </cell>
          <cell r="BJ275" t="e">
            <v>#REF!</v>
          </cell>
          <cell r="BK275" t="e">
            <v>#REF!</v>
          </cell>
          <cell r="BL275" t="e">
            <v>#REF!</v>
          </cell>
          <cell r="BM275" t="e">
            <v>#REF!</v>
          </cell>
          <cell r="BN275" t="e">
            <v>#REF!</v>
          </cell>
          <cell r="BO275" t="e">
            <v>#REF!</v>
          </cell>
          <cell r="BP275" t="e">
            <v>#REF!</v>
          </cell>
          <cell r="BQ275" t="e">
            <v>#REF!</v>
          </cell>
          <cell r="BR275" t="e">
            <v>#REF!</v>
          </cell>
          <cell r="BS275">
            <v>1096.8497</v>
          </cell>
          <cell r="BT275">
            <v>1096.8497</v>
          </cell>
          <cell r="BU275">
            <v>1096.8497</v>
          </cell>
          <cell r="BV275">
            <v>1096.8497</v>
          </cell>
          <cell r="BW275">
            <v>1096.8497</v>
          </cell>
          <cell r="BX275">
            <v>1096.8497</v>
          </cell>
          <cell r="BY275" t="e">
            <v>#REF!</v>
          </cell>
          <cell r="BZ275" t="e">
            <v>#REF!</v>
          </cell>
        </row>
        <row r="276">
          <cell r="A276" t="str">
            <v>Additional Income Statement Items</v>
          </cell>
        </row>
        <row r="277">
          <cell r="B277" t="str">
            <v>Marginal tax rate</v>
          </cell>
          <cell r="C277" t="str">
            <v>MARGIN_TAX_RATE</v>
          </cell>
          <cell r="V277">
            <v>0.1616426890511658</v>
          </cell>
          <cell r="W277">
            <v>6.3205653155691308E-2</v>
          </cell>
          <cell r="X277">
            <v>0.14678455620229183</v>
          </cell>
          <cell r="Y277">
            <v>0.12611375074580419</v>
          </cell>
          <cell r="Z277">
            <v>0.11472901718750739</v>
          </cell>
          <cell r="AA277">
            <v>0.11452932178406701</v>
          </cell>
          <cell r="AB277">
            <v>0.12087235167843699</v>
          </cell>
          <cell r="AC277">
            <v>0.12181016954668923</v>
          </cell>
          <cell r="AD277">
            <v>0.11875217885057704</v>
          </cell>
          <cell r="AE277">
            <v>8.059993175328041E-2</v>
          </cell>
          <cell r="AF277">
            <v>8.0599931753280452E-2</v>
          </cell>
          <cell r="AG277">
            <v>8.0599931753280535E-2</v>
          </cell>
          <cell r="AI277">
            <v>4.8093240093240099E-2</v>
          </cell>
          <cell r="AJ277">
            <v>4.0807470262311601E-2</v>
          </cell>
          <cell r="AK277">
            <v>0.2001227621483376</v>
          </cell>
          <cell r="AL277">
            <v>5.8199728602301853E-2</v>
          </cell>
          <cell r="AM277">
            <v>0.31489492148915155</v>
          </cell>
          <cell r="AN277">
            <v>4.9906868948258951E-2</v>
          </cell>
          <cell r="AO277">
            <v>0.24183580733111179</v>
          </cell>
          <cell r="AP277">
            <v>0.10808650967063202</v>
          </cell>
          <cell r="AQ277">
            <v>0</v>
          </cell>
          <cell r="AR277">
            <v>0.11708354273785132</v>
          </cell>
          <cell r="AS277">
            <v>0.17271166376947605</v>
          </cell>
          <cell r="AT277">
            <v>0.1235942194877665</v>
          </cell>
          <cell r="AU277">
            <v>0.17206347049029935</v>
          </cell>
          <cell r="AV277">
            <v>8.5901405362008021E-2</v>
          </cell>
          <cell r="AW277">
            <v>0.15553337326146266</v>
          </cell>
          <cell r="AX277">
            <v>7.7953740550039438E-2</v>
          </cell>
          <cell r="AY277">
            <v>0.11434785474197588</v>
          </cell>
          <cell r="AZ277">
            <v>0.11465269687394067</v>
          </cell>
          <cell r="BA277">
            <v>0.15836991049530755</v>
          </cell>
          <cell r="BB277">
            <v>9.7697857822025849E-2</v>
          </cell>
          <cell r="BC277">
            <v>0.16954917308700596</v>
          </cell>
          <cell r="BD277">
            <v>8.7054650135812955E-2</v>
          </cell>
          <cell r="BE277">
            <v>0.1576208052099404</v>
          </cell>
          <cell r="BF277">
            <v>8.0599931753280465E-2</v>
          </cell>
          <cell r="BG277" t="e">
            <v>#REF!</v>
          </cell>
          <cell r="BH277" t="e">
            <v>#REF!</v>
          </cell>
          <cell r="BI277" t="e">
            <v>#REF!</v>
          </cell>
          <cell r="BJ277" t="e">
            <v>#REF!</v>
          </cell>
          <cell r="BK277" t="e">
            <v>#REF!</v>
          </cell>
          <cell r="BL277" t="e">
            <v>#REF!</v>
          </cell>
          <cell r="BM277" t="e">
            <v>#REF!</v>
          </cell>
          <cell r="BN277" t="e">
            <v>#REF!</v>
          </cell>
          <cell r="BO277" t="e">
            <v>#REF!</v>
          </cell>
          <cell r="BP277" t="e">
            <v>#REF!</v>
          </cell>
          <cell r="BQ277" t="e">
            <v>#REF!</v>
          </cell>
          <cell r="BR277" t="e">
            <v>#REF!</v>
          </cell>
          <cell r="BS277">
            <v>8.0599931753280465E-2</v>
          </cell>
          <cell r="BT277">
            <v>8.0599931753280465E-2</v>
          </cell>
          <cell r="BU277">
            <v>8.0599931753280465E-2</v>
          </cell>
          <cell r="BV277">
            <v>8.0599931753280465E-2</v>
          </cell>
          <cell r="BW277">
            <v>8.0599931753280465E-2</v>
          </cell>
          <cell r="BX277">
            <v>8.0599931753280465E-2</v>
          </cell>
          <cell r="BY277" t="e">
            <v>#REF!</v>
          </cell>
          <cell r="BZ277" t="e">
            <v>#REF!</v>
          </cell>
        </row>
        <row r="278">
          <cell r="B278" t="str">
            <v>Net income (consensus) (Pub)</v>
          </cell>
          <cell r="C278" t="str">
            <v>NI_CONS</v>
          </cell>
          <cell r="D278" t="str">
            <v>TWD</v>
          </cell>
        </row>
        <row r="279">
          <cell r="A279" t="str">
            <v>Balance Sheet</v>
          </cell>
        </row>
        <row r="280">
          <cell r="B280" t="str">
            <v>BVPS, book value per share</v>
          </cell>
          <cell r="C280" t="str">
            <v>BVPS</v>
          </cell>
          <cell r="D280" t="str">
            <v>TWD</v>
          </cell>
          <cell r="V280">
            <v>1.4639230000000001</v>
          </cell>
          <cell r="W280">
            <v>1.6416400000000002</v>
          </cell>
          <cell r="X280">
            <v>1.7424475843208751</v>
          </cell>
          <cell r="Y280">
            <v>2.5886280765724701</v>
          </cell>
          <cell r="Z280">
            <v>2.9578887876025526</v>
          </cell>
          <cell r="AA280">
            <v>3.4795578851412947</v>
          </cell>
          <cell r="AB280">
            <v>4.4459143117593429</v>
          </cell>
          <cell r="AC280">
            <v>6.7993171717145939</v>
          </cell>
          <cell r="AD280">
            <v>9.0702500078178439</v>
          </cell>
          <cell r="AE280">
            <v>15.12365310021975</v>
          </cell>
          <cell r="AF280">
            <v>22.379576488326666</v>
          </cell>
          <cell r="AG280">
            <v>30.273700517730305</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t="e">
            <v>#REF!</v>
          </cell>
          <cell r="BH280" t="e">
            <v>#REF!</v>
          </cell>
          <cell r="BI280" t="e">
            <v>#REF!</v>
          </cell>
          <cell r="BJ280" t="e">
            <v>#REF!</v>
          </cell>
          <cell r="BK280" t="e">
            <v>#REF!</v>
          </cell>
          <cell r="BL280" t="e">
            <v>#REF!</v>
          </cell>
          <cell r="BM280" t="e">
            <v>#REF!</v>
          </cell>
          <cell r="BN280" t="e">
            <v>#REF!</v>
          </cell>
          <cell r="BO280" t="e">
            <v>#REF!</v>
          </cell>
          <cell r="BP280" t="e">
            <v>#REF!</v>
          </cell>
          <cell r="BQ280" t="e">
            <v>#REF!</v>
          </cell>
          <cell r="BR280" t="e">
            <v>#REF!</v>
          </cell>
          <cell r="BS280">
            <v>0</v>
          </cell>
          <cell r="BT280">
            <v>0</v>
          </cell>
          <cell r="BU280">
            <v>0</v>
          </cell>
          <cell r="BV280">
            <v>0</v>
          </cell>
          <cell r="BW280">
            <v>0</v>
          </cell>
          <cell r="BX280">
            <v>0</v>
          </cell>
          <cell r="BY280" t="e">
            <v>#REF!</v>
          </cell>
          <cell r="BZ280" t="e">
            <v>#REF!</v>
          </cell>
        </row>
        <row r="281">
          <cell r="A281" t="str">
            <v>Cash Flow Statement</v>
          </cell>
        </row>
        <row r="282">
          <cell r="B282" t="str">
            <v>Net income (pre-preferred dividends)</v>
          </cell>
          <cell r="C282" t="str">
            <v>CF_NI_PRE_PREF</v>
          </cell>
          <cell r="D282" t="str">
            <v>TWD</v>
          </cell>
          <cell r="V282">
            <v>143.82599999999991</v>
          </cell>
          <cell r="W282">
            <v>238.00300000000013</v>
          </cell>
          <cell r="X282">
            <v>346.27400000000046</v>
          </cell>
          <cell r="Y282">
            <v>440.49799999999988</v>
          </cell>
          <cell r="Z282">
            <v>566.096</v>
          </cell>
          <cell r="AA282">
            <v>761.63200000000052</v>
          </cell>
          <cell r="AB282">
            <v>1270.7529999999997</v>
          </cell>
          <cell r="AC282">
            <v>2901.5539999999983</v>
          </cell>
          <cell r="AD282">
            <v>2490.871999999998</v>
          </cell>
          <cell r="AE282">
            <v>6639.6733658801077</v>
          </cell>
          <cell r="AF282">
            <v>7958.6573914680557</v>
          </cell>
          <cell r="AG282">
            <v>8658.6675734141681</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t="e">
            <v>#REF!</v>
          </cell>
          <cell r="BH282" t="e">
            <v>#REF!</v>
          </cell>
          <cell r="BI282" t="e">
            <v>#REF!</v>
          </cell>
          <cell r="BJ282" t="e">
            <v>#REF!</v>
          </cell>
          <cell r="BK282" t="e">
            <v>#REF!</v>
          </cell>
          <cell r="BL282" t="e">
            <v>#REF!</v>
          </cell>
          <cell r="BM282" t="e">
            <v>#REF!</v>
          </cell>
          <cell r="BN282" t="e">
            <v>#REF!</v>
          </cell>
          <cell r="BO282" t="e">
            <v>#REF!</v>
          </cell>
          <cell r="BP282" t="e">
            <v>#REF!</v>
          </cell>
          <cell r="BQ282" t="e">
            <v>#REF!</v>
          </cell>
          <cell r="BR282" t="e">
            <v>#REF!</v>
          </cell>
          <cell r="BS282">
            <v>0</v>
          </cell>
          <cell r="BT282">
            <v>0</v>
          </cell>
          <cell r="BU282">
            <v>0</v>
          </cell>
          <cell r="BV282">
            <v>0</v>
          </cell>
          <cell r="BW282">
            <v>0</v>
          </cell>
          <cell r="BX282">
            <v>0</v>
          </cell>
          <cell r="BY282" t="e">
            <v>#REF!</v>
          </cell>
          <cell r="BZ282" t="e">
            <v>#REF!</v>
          </cell>
        </row>
        <row r="283">
          <cell r="A283" t="str">
            <v>Other Items</v>
          </cell>
        </row>
        <row r="284">
          <cell r="B284" t="str">
            <v>Beta</v>
          </cell>
          <cell r="C284" t="str">
            <v>BETA_ANALYST</v>
          </cell>
        </row>
        <row r="285">
          <cell r="B285" t="str">
            <v>Market equity risk premium</v>
          </cell>
          <cell r="C285" t="str">
            <v>MKT_EQ_RISK_PREM</v>
          </cell>
        </row>
        <row r="286">
          <cell r="B286" t="str">
            <v>Risk-free rate</v>
          </cell>
          <cell r="C286" t="str">
            <v>RISK_FR_RATE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Page"/>
      <sheetName val="Assumption"/>
      <sheetName val="TAM"/>
      <sheetName val="Segment"/>
      <sheetName val="Discounted PE"/>
      <sheetName val="Model"/>
      <sheetName val="Comp"/>
      <sheetName val="P&amp;L sum"/>
      <sheetName val="600703.SS_Exchange_Sheet"/>
      <sheetName val="Valuation"/>
      <sheetName val="DCF"/>
      <sheetName val="PEPB"/>
      <sheetName val="Raw PL quarterly"/>
      <sheetName val="Raw PL annual"/>
      <sheetName val="600703.SS_Live_Sheet"/>
      <sheetName val="600703.SS_Validation_Sheet"/>
      <sheetName val="600703.SS_Annotation_Sheet"/>
      <sheetName val="AFOSHEET"/>
      <sheetName val="Raw BS"/>
      <sheetName val="Raw CF"/>
      <sheetName val="SUM"/>
      <sheetName val="Assumption sum"/>
      <sheetName val="Waterfall"/>
      <sheetName val="Peers"/>
      <sheetName val="688008.SS_Exchange_Sheet"/>
      <sheetName val="688008.SS_Live_Sheet"/>
      <sheetName val="688008.SS_Validation_Sheet"/>
      <sheetName val="688008.SS_Annotation_Sheet"/>
    </sheetNames>
    <sheetDataSet>
      <sheetData sheetId="0"/>
      <sheetData sheetId="1"/>
      <sheetData sheetId="2" refreshError="1"/>
      <sheetData sheetId="3"/>
      <sheetData sheetId="4">
        <row r="67">
          <cell r="R67" t="str">
            <v>Nationstar</v>
          </cell>
        </row>
      </sheetData>
      <sheetData sheetId="5">
        <row r="42">
          <cell r="L42">
            <v>742.56901559000028</v>
          </cell>
        </row>
      </sheetData>
      <sheetData sheetId="6"/>
      <sheetData sheetId="7"/>
      <sheetData sheetId="8" refreshError="1"/>
      <sheetData sheetId="9"/>
      <sheetData sheetId="10"/>
      <sheetData sheetId="11" refreshError="1"/>
      <sheetData sheetId="12"/>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row r="1">
          <cell r="A1" t="str">
            <v>Issuer: Montage</v>
          </cell>
          <cell r="F1">
            <v>2009</v>
          </cell>
          <cell r="G1">
            <v>2010</v>
          </cell>
          <cell r="H1">
            <v>2011</v>
          </cell>
          <cell r="I1">
            <v>2012</v>
          </cell>
          <cell r="J1">
            <v>2013</v>
          </cell>
          <cell r="K1">
            <v>2014</v>
          </cell>
          <cell r="L1">
            <v>2015</v>
          </cell>
          <cell r="M1">
            <v>2016</v>
          </cell>
          <cell r="N1">
            <v>2017</v>
          </cell>
          <cell r="O1">
            <v>2018</v>
          </cell>
          <cell r="P1">
            <v>2019</v>
          </cell>
          <cell r="Q1">
            <v>2020</v>
          </cell>
          <cell r="R1">
            <v>2021</v>
          </cell>
          <cell r="S1" t="str">
            <v>2022</v>
          </cell>
          <cell r="T1" t="str">
            <v>2023</v>
          </cell>
          <cell r="U1" t="str">
            <v>2024</v>
          </cell>
          <cell r="V1" t="str">
            <v>2025</v>
          </cell>
          <cell r="X1" t="str">
            <v>2014 Q1</v>
          </cell>
          <cell r="Y1" t="str">
            <v>2014 Q2</v>
          </cell>
          <cell r="Z1" t="str">
            <v>2014 Q3</v>
          </cell>
          <cell r="AA1" t="str">
            <v>2014 Q4</v>
          </cell>
          <cell r="AB1" t="str">
            <v>2015 Q1</v>
          </cell>
          <cell r="AC1" t="str">
            <v>2015 Q2</v>
          </cell>
          <cell r="AD1" t="str">
            <v>2015 Q3</v>
          </cell>
          <cell r="AE1" t="str">
            <v>2015 Q4</v>
          </cell>
          <cell r="AF1" t="str">
            <v>2016 Q1</v>
          </cell>
          <cell r="AG1" t="str">
            <v>2016 Q2</v>
          </cell>
          <cell r="AH1" t="str">
            <v>2016 Q3</v>
          </cell>
          <cell r="AI1" t="str">
            <v>2016 Q4</v>
          </cell>
          <cell r="AJ1" t="str">
            <v>2017 Q1</v>
          </cell>
          <cell r="AK1" t="str">
            <v>2017 Q2</v>
          </cell>
          <cell r="AL1" t="str">
            <v>2017 Q3</v>
          </cell>
          <cell r="AM1" t="str">
            <v>2017 Q4</v>
          </cell>
          <cell r="AN1" t="str">
            <v>2018 Q1</v>
          </cell>
          <cell r="AO1" t="str">
            <v>2018 Q2</v>
          </cell>
          <cell r="AP1" t="str">
            <v>2018 Q3</v>
          </cell>
          <cell r="AQ1" t="str">
            <v>2018 Q4</v>
          </cell>
          <cell r="AR1" t="str">
            <v>2019 Q1</v>
          </cell>
          <cell r="AS1" t="str">
            <v>2019 Q2</v>
          </cell>
          <cell r="AT1" t="str">
            <v>2019 Q3</v>
          </cell>
          <cell r="AU1" t="str">
            <v>2019 Q4</v>
          </cell>
          <cell r="AV1" t="str">
            <v>2020 Q1</v>
          </cell>
          <cell r="AW1" t="str">
            <v>2020 Q2</v>
          </cell>
          <cell r="AX1" t="str">
            <v>2020 Q3</v>
          </cell>
          <cell r="AY1" t="str">
            <v>2020 Q4</v>
          </cell>
          <cell r="AZ1" t="str">
            <v>2021 Q1</v>
          </cell>
          <cell r="BA1" t="str">
            <v>2021 Q2</v>
          </cell>
          <cell r="BB1" t="str">
            <v>2021 Q3</v>
          </cell>
          <cell r="BC1" t="str">
            <v>2021 Q4</v>
          </cell>
          <cell r="BD1" t="str">
            <v>2022 Q1</v>
          </cell>
          <cell r="BE1" t="str">
            <v>2022 Q2</v>
          </cell>
          <cell r="BF1" t="str">
            <v>2022 Q3</v>
          </cell>
          <cell r="BG1" t="str">
            <v>2022 Q4</v>
          </cell>
        </row>
        <row r="2">
          <cell r="A2"/>
          <cell r="B2"/>
          <cell r="C2"/>
          <cell r="D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Estimate</v>
          </cell>
          <cell r="R2" t="str">
            <v>Estimate</v>
          </cell>
          <cell r="S2" t="str">
            <v>Estimate</v>
          </cell>
          <cell r="T2" t="str">
            <v>Estimate</v>
          </cell>
          <cell r="U2" t="str">
            <v>Estimate</v>
          </cell>
          <cell r="V2" t="str">
            <v>Estimate</v>
          </cell>
          <cell r="X2" t="str">
            <v>Actual</v>
          </cell>
          <cell r="Y2" t="str">
            <v>Actual</v>
          </cell>
          <cell r="Z2" t="str">
            <v>Actual</v>
          </cell>
          <cell r="AA2" t="str">
            <v>Actual</v>
          </cell>
          <cell r="AB2" t="str">
            <v>Actual</v>
          </cell>
          <cell r="AC2" t="str">
            <v>Actual</v>
          </cell>
          <cell r="AD2" t="str">
            <v>Actual</v>
          </cell>
          <cell r="AE2" t="str">
            <v>Actual</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Estimate</v>
          </cell>
          <cell r="AZ2" t="str">
            <v>Estimate</v>
          </cell>
          <cell r="BA2" t="str">
            <v>Estimate</v>
          </cell>
          <cell r="BB2" t="str">
            <v>Estimate</v>
          </cell>
          <cell r="BC2" t="str">
            <v>Estimate</v>
          </cell>
          <cell r="BD2" t="str">
            <v>Estimate</v>
          </cell>
          <cell r="BE2" t="str">
            <v>Estimate</v>
          </cell>
          <cell r="BF2" t="str">
            <v>Estimate</v>
          </cell>
          <cell r="BG2" t="str">
            <v>Estimate</v>
          </cell>
        </row>
        <row r="3">
          <cell r="A3"/>
          <cell r="B3"/>
          <cell r="C3"/>
          <cell r="D3"/>
          <cell r="F3">
            <v>40178</v>
          </cell>
          <cell r="G3">
            <v>40543</v>
          </cell>
          <cell r="H3">
            <v>40908</v>
          </cell>
          <cell r="I3">
            <v>41274</v>
          </cell>
          <cell r="J3">
            <v>41639</v>
          </cell>
          <cell r="K3">
            <v>42004</v>
          </cell>
          <cell r="L3">
            <v>42369</v>
          </cell>
          <cell r="M3">
            <v>42735</v>
          </cell>
          <cell r="N3">
            <v>43100</v>
          </cell>
          <cell r="O3">
            <v>43465</v>
          </cell>
          <cell r="P3">
            <v>43830</v>
          </cell>
          <cell r="Q3">
            <v>44196</v>
          </cell>
          <cell r="R3">
            <v>44561</v>
          </cell>
          <cell r="S3">
            <v>44926</v>
          </cell>
          <cell r="T3">
            <v>45291</v>
          </cell>
          <cell r="U3">
            <v>45657</v>
          </cell>
          <cell r="V3">
            <v>46022</v>
          </cell>
          <cell r="X3">
            <v>41729</v>
          </cell>
          <cell r="Y3">
            <v>41820</v>
          </cell>
          <cell r="Z3">
            <v>41912</v>
          </cell>
          <cell r="AA3">
            <v>42004</v>
          </cell>
          <cell r="AB3">
            <v>42094</v>
          </cell>
          <cell r="AC3">
            <v>42185</v>
          </cell>
          <cell r="AD3">
            <v>42277</v>
          </cell>
          <cell r="AE3">
            <v>42369</v>
          </cell>
          <cell r="AF3">
            <v>42460</v>
          </cell>
          <cell r="AG3">
            <v>42551</v>
          </cell>
          <cell r="AH3">
            <v>42643</v>
          </cell>
          <cell r="AI3">
            <v>42735</v>
          </cell>
          <cell r="AJ3">
            <v>42825</v>
          </cell>
          <cell r="AK3">
            <v>42916</v>
          </cell>
          <cell r="AL3">
            <v>43008</v>
          </cell>
          <cell r="AM3">
            <v>43100</v>
          </cell>
          <cell r="AN3">
            <v>43190</v>
          </cell>
          <cell r="AO3">
            <v>43281</v>
          </cell>
          <cell r="AP3">
            <v>43373</v>
          </cell>
          <cell r="AQ3">
            <v>43465</v>
          </cell>
          <cell r="AR3">
            <v>43555</v>
          </cell>
          <cell r="AS3">
            <v>43646</v>
          </cell>
          <cell r="AT3">
            <v>43738</v>
          </cell>
          <cell r="AU3">
            <v>43830</v>
          </cell>
          <cell r="AV3">
            <v>43921</v>
          </cell>
          <cell r="AW3">
            <v>44012</v>
          </cell>
          <cell r="AX3">
            <v>44104</v>
          </cell>
          <cell r="AY3">
            <v>44196</v>
          </cell>
          <cell r="AZ3">
            <v>44286</v>
          </cell>
          <cell r="BA3">
            <v>44377</v>
          </cell>
          <cell r="BB3">
            <v>44469</v>
          </cell>
          <cell r="BC3">
            <v>44561</v>
          </cell>
          <cell r="BD3">
            <v>44651</v>
          </cell>
          <cell r="BE3">
            <v>44742</v>
          </cell>
          <cell r="BF3">
            <v>44834</v>
          </cell>
          <cell r="BG3">
            <v>44926</v>
          </cell>
        </row>
        <row r="4">
          <cell r="A4" t="str">
            <v>Issuer: Montage</v>
          </cell>
          <cell r="B4"/>
          <cell r="C4"/>
          <cell r="D4"/>
        </row>
        <row r="5">
          <cell r="A5" t="str">
            <v>Reference Data</v>
          </cell>
          <cell r="B5"/>
          <cell r="C5"/>
          <cell r="D5"/>
        </row>
        <row r="6">
          <cell r="B6" t="str">
            <v>Issuer Name</v>
          </cell>
          <cell r="C6" t="str">
            <v>Issuer Name</v>
          </cell>
          <cell r="E6" t="str">
            <v>Montage</v>
          </cell>
        </row>
        <row r="7">
          <cell r="B7" t="str">
            <v>Reporting Currency</v>
          </cell>
          <cell r="C7" t="str">
            <v>CURRENCY_ISO</v>
          </cell>
          <cell r="E7" t="str">
            <v>CNY</v>
          </cell>
        </row>
        <row r="8">
          <cell r="A8" t="str">
            <v>General Information</v>
          </cell>
          <cell r="B8"/>
          <cell r="C8"/>
          <cell r="D8"/>
        </row>
        <row r="9">
          <cell r="B9" t="str">
            <v>M&amp;A probability (1 = high, 3 = low)</v>
          </cell>
          <cell r="C9" t="str">
            <v>MA_PROB</v>
          </cell>
          <cell r="E9">
            <v>3</v>
          </cell>
        </row>
        <row r="10">
          <cell r="A10" t="str">
            <v>Income Statement</v>
          </cell>
          <cell r="B10"/>
          <cell r="C10"/>
          <cell r="D10"/>
        </row>
        <row r="11">
          <cell r="B11" t="str">
            <v>Sales, net revenue</v>
          </cell>
          <cell r="C11" t="str">
            <v>SALES</v>
          </cell>
          <cell r="D11" t="str">
            <v>CNY</v>
          </cell>
          <cell r="F11"/>
          <cell r="G11"/>
          <cell r="H11"/>
          <cell r="I11"/>
          <cell r="J11"/>
          <cell r="K11"/>
          <cell r="L11"/>
          <cell r="M11">
            <v>844.94463526000004</v>
          </cell>
          <cell r="N11">
            <v>1227.5149327000001</v>
          </cell>
          <cell r="O11">
            <v>1757.6645831300002</v>
          </cell>
          <cell r="P11">
            <v>1737.7347149799998</v>
          </cell>
          <cell r="Q11">
            <v>1886.0565438543367</v>
          </cell>
          <cell r="R11">
            <v>2531.6595899338408</v>
          </cell>
          <cell r="S11">
            <v>4039.598357866993</v>
          </cell>
          <cell r="T11">
            <v>6223.7387790764733</v>
          </cell>
          <cell r="U11">
            <v>9033.3361761212582</v>
          </cell>
          <cell r="V11">
            <v>12865.230973413676</v>
          </cell>
          <cell r="W11"/>
          <cell r="X11"/>
          <cell r="Y11"/>
          <cell r="Z11"/>
          <cell r="AA11"/>
          <cell r="AB11"/>
          <cell r="AC11"/>
          <cell r="AD11"/>
          <cell r="AE11"/>
          <cell r="AF11"/>
          <cell r="AG11"/>
          <cell r="AH11"/>
          <cell r="AI11"/>
          <cell r="AJ11"/>
          <cell r="AK11"/>
          <cell r="AL11"/>
          <cell r="AM11"/>
          <cell r="AN11"/>
          <cell r="AO11"/>
          <cell r="AP11">
            <v>542.06418836</v>
          </cell>
          <cell r="AQ11">
            <v>506.46952349000003</v>
          </cell>
          <cell r="AR11">
            <v>404.71709713999996</v>
          </cell>
          <cell r="AS11">
            <v>474.46152362999999</v>
          </cell>
          <cell r="AT11">
            <v>505.16771749999998</v>
          </cell>
          <cell r="AU11">
            <v>353.38837670999999</v>
          </cell>
          <cell r="AV11">
            <v>495.75247611000003</v>
          </cell>
          <cell r="AW11">
            <v>593.82419230999994</v>
          </cell>
          <cell r="AX11">
            <v>378.87464612999997</v>
          </cell>
          <cell r="AY11">
            <v>417.60522930433666</v>
          </cell>
          <cell r="AZ11">
            <v>505.49484499907294</v>
          </cell>
          <cell r="BA11">
            <v>670.43844502000763</v>
          </cell>
          <cell r="BB11">
            <v>686.18329349241128</v>
          </cell>
          <cell r="BC11">
            <v>669.54300642234887</v>
          </cell>
          <cell r="BD11">
            <v>629.63018957205099</v>
          </cell>
          <cell r="BE11">
            <v>940.73631576779928</v>
          </cell>
          <cell r="BF11">
            <v>1165.0155931744641</v>
          </cell>
          <cell r="BG11">
            <v>1304.2162593526782</v>
          </cell>
        </row>
        <row r="12">
          <cell r="B12" t="str">
            <v>Compensation &amp; benfits expense</v>
          </cell>
          <cell r="C12" t="str">
            <v>PERSONNEL</v>
          </cell>
          <cell r="D12" t="str">
            <v>CNY</v>
          </cell>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cell r="BA12"/>
          <cell r="BB12"/>
          <cell r="BC12"/>
          <cell r="BD12"/>
          <cell r="BE12"/>
          <cell r="BF12"/>
          <cell r="BG12"/>
        </row>
        <row r="13">
          <cell r="B13" t="str">
            <v>Cost of goods sold, COGS</v>
          </cell>
          <cell r="C13" t="str">
            <v>COST_GD_SD</v>
          </cell>
          <cell r="D13" t="str">
            <v>CNY</v>
          </cell>
          <cell r="F13"/>
          <cell r="G13"/>
          <cell r="H13"/>
          <cell r="I13"/>
          <cell r="J13"/>
          <cell r="K13"/>
          <cell r="L13"/>
          <cell r="M13">
            <v>-412.30912939999996</v>
          </cell>
          <cell r="N13">
            <v>-570.95230832000004</v>
          </cell>
          <cell r="O13">
            <v>-517.73399204999998</v>
          </cell>
          <cell r="P13">
            <v>-452.49981363000006</v>
          </cell>
          <cell r="Q13">
            <v>-516.10537929881093</v>
          </cell>
          <cell r="R13">
            <v>-701.94413781383855</v>
          </cell>
          <cell r="S13">
            <v>-1114.4462123005892</v>
          </cell>
          <cell r="T13">
            <v>-1831.0492010634175</v>
          </cell>
          <cell r="U13">
            <v>-2780.308440699474</v>
          </cell>
          <cell r="V13">
            <v>-4173.1774650438765</v>
          </cell>
          <cell r="W13"/>
          <cell r="X13"/>
          <cell r="Y13"/>
          <cell r="Z13"/>
          <cell r="AA13"/>
          <cell r="AB13"/>
          <cell r="AC13"/>
          <cell r="AD13"/>
          <cell r="AE13"/>
          <cell r="AF13"/>
          <cell r="AG13"/>
          <cell r="AH13"/>
          <cell r="AI13"/>
          <cell r="AJ13"/>
          <cell r="AK13"/>
          <cell r="AL13"/>
          <cell r="AM13"/>
          <cell r="AN13"/>
          <cell r="AO13"/>
          <cell r="AP13">
            <v>-148.64970209000001</v>
          </cell>
          <cell r="AQ13">
            <v>-144.65288433000001</v>
          </cell>
          <cell r="AR13">
            <v>-96.298735700000009</v>
          </cell>
          <cell r="AS13">
            <v>-135.81786571000001</v>
          </cell>
          <cell r="AT13">
            <v>-124.56683008</v>
          </cell>
          <cell r="AU13">
            <v>-95.816382140000002</v>
          </cell>
          <cell r="AV13">
            <v>-136.18547499000002</v>
          </cell>
          <cell r="AW13">
            <v>-150.42349014999999</v>
          </cell>
          <cell r="AX13">
            <v>-111.43112144</v>
          </cell>
          <cell r="AY13">
            <v>-118.06529271881101</v>
          </cell>
          <cell r="AZ13">
            <v>-137.23072230216519</v>
          </cell>
          <cell r="BA13">
            <v>-186.39338277877607</v>
          </cell>
          <cell r="BB13">
            <v>-192.71857986998077</v>
          </cell>
          <cell r="BC13">
            <v>-185.60145286291652</v>
          </cell>
          <cell r="BD13">
            <v>-183.01286139891442</v>
          </cell>
          <cell r="BE13">
            <v>-261.63095175780791</v>
          </cell>
          <cell r="BF13">
            <v>-322.30064498755883</v>
          </cell>
          <cell r="BG13">
            <v>-347.50175415630792</v>
          </cell>
        </row>
        <row r="14">
          <cell r="B14" t="str">
            <v>SG&amp;A, selling, general and admin. expense</v>
          </cell>
          <cell r="C14" t="str">
            <v>SEL_GL_AD</v>
          </cell>
          <cell r="D14" t="str">
            <v>CNY</v>
          </cell>
          <cell r="F14"/>
          <cell r="G14"/>
          <cell r="H14"/>
          <cell r="I14"/>
          <cell r="J14"/>
          <cell r="K14"/>
          <cell r="L14"/>
          <cell r="M14">
            <v>-104.77609742</v>
          </cell>
          <cell r="N14">
            <v>-123.7960674</v>
          </cell>
          <cell r="O14">
            <v>-240.82309223999999</v>
          </cell>
          <cell r="P14">
            <v>-169.85769198</v>
          </cell>
          <cell r="Q14">
            <v>-241.5094885695909</v>
          </cell>
          <cell r="R14">
            <v>-266.36000855295515</v>
          </cell>
          <cell r="S14">
            <v>-299.40382660015365</v>
          </cell>
          <cell r="T14">
            <v>-333.89956219981167</v>
          </cell>
          <cell r="U14">
            <v>-369.25237300037833</v>
          </cell>
          <cell r="V14">
            <v>-405.19429800999603</v>
          </cell>
          <cell r="W14"/>
          <cell r="X14"/>
          <cell r="Y14"/>
          <cell r="Z14"/>
          <cell r="AA14"/>
          <cell r="AB14"/>
          <cell r="AC14"/>
          <cell r="AD14"/>
          <cell r="AE14"/>
          <cell r="AF14"/>
          <cell r="AG14"/>
          <cell r="AH14"/>
          <cell r="AI14"/>
          <cell r="AJ14"/>
          <cell r="AK14"/>
          <cell r="AL14"/>
          <cell r="AM14"/>
          <cell r="AN14"/>
          <cell r="AO14"/>
          <cell r="AP14">
            <v>-69.478221164999994</v>
          </cell>
          <cell r="AQ14">
            <v>-80.931577684999993</v>
          </cell>
          <cell r="AR14">
            <v>-19.954808615000001</v>
          </cell>
          <cell r="AS14">
            <v>-67.397089044999987</v>
          </cell>
          <cell r="AT14">
            <v>-25.966729304999998</v>
          </cell>
          <cell r="AU14">
            <v>-26.317985355000001</v>
          </cell>
          <cell r="AV14">
            <v>-59.358667560797009</v>
          </cell>
          <cell r="AW14">
            <v>-60.443436970797002</v>
          </cell>
          <cell r="AX14">
            <v>-60.305009510796999</v>
          </cell>
          <cell r="AY14">
            <v>-35.458875770387898</v>
          </cell>
          <cell r="AZ14">
            <v>-67.916146430664568</v>
          </cell>
          <cell r="BA14">
            <v>-68.577215370484737</v>
          </cell>
          <cell r="BB14">
            <v>-68.798232052846274</v>
          </cell>
          <cell r="BC14">
            <v>-41.414318348181759</v>
          </cell>
          <cell r="BD14">
            <v>-76.700952916154435</v>
          </cell>
          <cell r="BE14">
            <v>-77.554756255626287</v>
          </cell>
          <cell r="BF14">
            <v>-77.987742002661577</v>
          </cell>
          <cell r="BG14">
            <v>-47.459405184694504</v>
          </cell>
        </row>
        <row r="15">
          <cell r="B15" t="str">
            <v>Total operating expense</v>
          </cell>
          <cell r="C15" t="str">
            <v>OP_COST</v>
          </cell>
          <cell r="D15" t="str">
            <v>CNY</v>
          </cell>
          <cell r="F15"/>
          <cell r="G15"/>
          <cell r="H15"/>
          <cell r="I15"/>
          <cell r="J15"/>
          <cell r="K15"/>
          <cell r="L15"/>
          <cell r="M15">
            <v>-517.08522682</v>
          </cell>
          <cell r="N15">
            <v>-694.74837572000001</v>
          </cell>
          <cell r="O15">
            <v>-758.55708428999992</v>
          </cell>
          <cell r="P15">
            <v>-622.35750561000009</v>
          </cell>
          <cell r="Q15">
            <v>-757.6148678684018</v>
          </cell>
          <cell r="R15">
            <v>-968.3041463667937</v>
          </cell>
          <cell r="S15">
            <v>-1413.8500389007429</v>
          </cell>
          <cell r="T15">
            <v>-2164.948763263229</v>
          </cell>
          <cell r="U15">
            <v>-3149.5608136998521</v>
          </cell>
          <cell r="V15">
            <v>-4578.3717630538722</v>
          </cell>
          <cell r="W15"/>
          <cell r="X15"/>
          <cell r="Y15"/>
          <cell r="Z15"/>
          <cell r="AA15"/>
          <cell r="AB15"/>
          <cell r="AC15"/>
          <cell r="AD15"/>
          <cell r="AE15"/>
          <cell r="AF15"/>
          <cell r="AG15"/>
          <cell r="AH15"/>
          <cell r="AI15"/>
          <cell r="AJ15"/>
          <cell r="AK15"/>
          <cell r="AL15"/>
          <cell r="AM15"/>
          <cell r="AN15"/>
          <cell r="AO15"/>
          <cell r="AP15">
            <v>-218.12792325499998</v>
          </cell>
          <cell r="AQ15">
            <v>-225.58446201499999</v>
          </cell>
          <cell r="AR15">
            <v>-116.25354431500001</v>
          </cell>
          <cell r="AS15">
            <v>-203.21495475500001</v>
          </cell>
          <cell r="AT15">
            <v>-150.53355938499999</v>
          </cell>
          <cell r="AU15">
            <v>-122.13436749500001</v>
          </cell>
          <cell r="AV15">
            <v>-195.54414255079703</v>
          </cell>
          <cell r="AW15">
            <v>-210.86692712079699</v>
          </cell>
          <cell r="AX15">
            <v>-171.73613095079699</v>
          </cell>
          <cell r="AY15">
            <v>-153.5241684891989</v>
          </cell>
          <cell r="AZ15">
            <v>-205.14686873282977</v>
          </cell>
          <cell r="BA15">
            <v>-254.97059814926081</v>
          </cell>
          <cell r="BB15">
            <v>-261.51681192282706</v>
          </cell>
          <cell r="BC15">
            <v>-227.01577121109827</v>
          </cell>
          <cell r="BD15">
            <v>-259.71381431506887</v>
          </cell>
          <cell r="BE15">
            <v>-339.18570801343418</v>
          </cell>
          <cell r="BF15">
            <v>-400.28838699022037</v>
          </cell>
          <cell r="BG15">
            <v>-394.96115934100243</v>
          </cell>
        </row>
        <row r="16">
          <cell r="B16" t="str">
            <v>R&amp;D expense</v>
          </cell>
          <cell r="C16" t="str">
            <v>RD_EXP</v>
          </cell>
          <cell r="D16" t="str">
            <v>CNY</v>
          </cell>
          <cell r="F16"/>
          <cell r="G16"/>
          <cell r="H16"/>
          <cell r="I16"/>
          <cell r="J16"/>
          <cell r="K16"/>
          <cell r="L16"/>
          <cell r="M16">
            <v>-198.22686986000002</v>
          </cell>
          <cell r="N16">
            <v>-188.26925097999998</v>
          </cell>
          <cell r="O16">
            <v>-276.69519611000004</v>
          </cell>
          <cell r="P16">
            <v>-266.85516214</v>
          </cell>
          <cell r="Q16">
            <v>-320.25358209399997</v>
          </cell>
          <cell r="R16">
            <v>-386.24608273899997</v>
          </cell>
          <cell r="S16">
            <v>-471.22022094157995</v>
          </cell>
          <cell r="T16">
            <v>-570.17646733931167</v>
          </cell>
          <cell r="U16">
            <v>-684.21176080717396</v>
          </cell>
          <cell r="V16">
            <v>-814.211995360537</v>
          </cell>
          <cell r="W16"/>
          <cell r="X16"/>
          <cell r="Y16"/>
          <cell r="Z16"/>
          <cell r="AA16"/>
          <cell r="AB16"/>
          <cell r="AC16"/>
          <cell r="AD16"/>
          <cell r="AE16"/>
          <cell r="AF16"/>
          <cell r="AG16"/>
          <cell r="AH16"/>
          <cell r="AI16"/>
          <cell r="AJ16"/>
          <cell r="AK16"/>
          <cell r="AL16"/>
          <cell r="AM16"/>
          <cell r="AN16"/>
          <cell r="AO16"/>
          <cell r="AP16">
            <v>-72.522260849999995</v>
          </cell>
          <cell r="AQ16">
            <v>-110.09786604</v>
          </cell>
          <cell r="AR16">
            <v>-36.901363270000004</v>
          </cell>
          <cell r="AS16">
            <v>-113.21016551999999</v>
          </cell>
          <cell r="AT16">
            <v>-46.824083829999999</v>
          </cell>
          <cell r="AU16">
            <v>-69.91954951999999</v>
          </cell>
          <cell r="AV16">
            <v>-97.089211309999996</v>
          </cell>
          <cell r="AW16">
            <v>-67.249947860000006</v>
          </cell>
          <cell r="AX16">
            <v>-54.531076119999994</v>
          </cell>
          <cell r="AY16">
            <v>-101.38334680399998</v>
          </cell>
          <cell r="AZ16">
            <v>-118.44883779819999</v>
          </cell>
          <cell r="BA16">
            <v>-80.699937431999999</v>
          </cell>
          <cell r="BB16">
            <v>-65.437291343999988</v>
          </cell>
          <cell r="BC16">
            <v>-121.66001616479997</v>
          </cell>
          <cell r="BD16">
            <v>-144.50758211380398</v>
          </cell>
          <cell r="BE16">
            <v>-98.453923667040002</v>
          </cell>
          <cell r="BF16">
            <v>-79.833495439679979</v>
          </cell>
          <cell r="BG16">
            <v>-148.42521972105595</v>
          </cell>
        </row>
        <row r="17">
          <cell r="B17" t="str">
            <v>Other operating income/(expense) (incl. leases)</v>
          </cell>
          <cell r="C17" t="str">
            <v>OTH_OP_INC_EXP</v>
          </cell>
          <cell r="D17" t="str">
            <v>CNY</v>
          </cell>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row>
        <row r="18">
          <cell r="B18" t="str">
            <v>Total operating expense (incl. D&amp;A)</v>
          </cell>
          <cell r="C18" t="str">
            <v>TOT_OPS_EXP_DDA</v>
          </cell>
          <cell r="D18" t="str">
            <v>CNY</v>
          </cell>
          <cell r="F18"/>
          <cell r="G18"/>
          <cell r="H18"/>
          <cell r="I18"/>
          <cell r="J18"/>
          <cell r="K18"/>
          <cell r="L18"/>
          <cell r="M18">
            <v>-715.31209667999997</v>
          </cell>
          <cell r="N18">
            <v>-883.01762669999994</v>
          </cell>
          <cell r="O18">
            <v>-1035.2522804000002</v>
          </cell>
          <cell r="P18">
            <v>-889.21266775000004</v>
          </cell>
          <cell r="Q18">
            <v>-1077.8684499624019</v>
          </cell>
          <cell r="R18">
            <v>-1354.5502291057937</v>
          </cell>
          <cell r="S18">
            <v>-1885.0702598423229</v>
          </cell>
          <cell r="T18">
            <v>-2735.1252306025408</v>
          </cell>
          <cell r="U18">
            <v>-3833.7725745070261</v>
          </cell>
          <cell r="V18">
            <v>-5392.5837584144092</v>
          </cell>
          <cell r="W18"/>
          <cell r="X18"/>
          <cell r="Y18"/>
          <cell r="Z18"/>
          <cell r="AA18"/>
          <cell r="AB18"/>
          <cell r="AC18"/>
          <cell r="AD18"/>
          <cell r="AE18"/>
          <cell r="AF18"/>
          <cell r="AG18"/>
          <cell r="AH18"/>
          <cell r="AI18"/>
          <cell r="AJ18"/>
          <cell r="AK18"/>
          <cell r="AL18"/>
          <cell r="AM18"/>
          <cell r="AN18"/>
          <cell r="AO18"/>
          <cell r="AP18">
            <v>-295.68936231999999</v>
          </cell>
          <cell r="AQ18">
            <v>-340.72150626999996</v>
          </cell>
          <cell r="AR18">
            <v>-160.71017750000001</v>
          </cell>
          <cell r="AS18">
            <v>-323.98039018999998</v>
          </cell>
          <cell r="AT18">
            <v>-204.91291312999999</v>
          </cell>
          <cell r="AU18">
            <v>-199.60918692999999</v>
          </cell>
          <cell r="AV18">
            <v>-299.11922855</v>
          </cell>
          <cell r="AW18">
            <v>-284.60274966999998</v>
          </cell>
          <cell r="AX18">
            <v>-232.75308175999999</v>
          </cell>
          <cell r="AY18">
            <v>-261.39338998240191</v>
          </cell>
          <cell r="AZ18">
            <v>-328.50923061872419</v>
          </cell>
          <cell r="BA18">
            <v>-340.58405966895526</v>
          </cell>
          <cell r="BB18">
            <v>-331.86762735452146</v>
          </cell>
          <cell r="BC18">
            <v>-353.58931146359271</v>
          </cell>
          <cell r="BD18">
            <v>-409.14663898912704</v>
          </cell>
          <cell r="BE18">
            <v>-442.56487424072839</v>
          </cell>
          <cell r="BF18">
            <v>-485.04712499015454</v>
          </cell>
          <cell r="BG18">
            <v>-548.3116216223126</v>
          </cell>
        </row>
        <row r="19">
          <cell r="B19" t="str">
            <v>Total operating expense (excl. D&amp;A)</v>
          </cell>
          <cell r="C19" t="str">
            <v>TOT_OPS_EXP</v>
          </cell>
          <cell r="D19" t="str">
            <v>CNY</v>
          </cell>
          <cell r="F19"/>
          <cell r="G19"/>
          <cell r="H19"/>
          <cell r="I19"/>
          <cell r="J19"/>
          <cell r="K19"/>
          <cell r="L19"/>
          <cell r="M19">
            <v>-702.4532062699999</v>
          </cell>
          <cell r="N19">
            <v>-865.63966833999996</v>
          </cell>
          <cell r="O19">
            <v>-1015.0955675400002</v>
          </cell>
          <cell r="P19">
            <v>-858.99158809000005</v>
          </cell>
          <cell r="Q19">
            <v>-1051.9249512055899</v>
          </cell>
          <cell r="R19">
            <v>-1334.896132755016</v>
          </cell>
          <cell r="S19">
            <v>-1865.369289601306</v>
          </cell>
          <cell r="T19">
            <v>-2713.3979404984761</v>
          </cell>
          <cell r="U19">
            <v>-3809.7283353894604</v>
          </cell>
          <cell r="V19">
            <v>-5366.0380788819275</v>
          </cell>
          <cell r="W19"/>
          <cell r="X19"/>
          <cell r="Y19"/>
          <cell r="Z19"/>
          <cell r="AA19"/>
          <cell r="AB19"/>
          <cell r="AC19"/>
          <cell r="AD19"/>
          <cell r="AE19"/>
          <cell r="AF19"/>
          <cell r="AG19"/>
          <cell r="AH19"/>
          <cell r="AI19"/>
          <cell r="AJ19"/>
          <cell r="AK19"/>
          <cell r="AL19"/>
          <cell r="AM19"/>
          <cell r="AN19"/>
          <cell r="AO19"/>
          <cell r="AP19">
            <v>-290.65018410499999</v>
          </cell>
          <cell r="AQ19">
            <v>-335.68232805499997</v>
          </cell>
          <cell r="AR19">
            <v>-153.15490758500002</v>
          </cell>
          <cell r="AS19">
            <v>-316.42512027499998</v>
          </cell>
          <cell r="AT19">
            <v>-197.357643215</v>
          </cell>
          <cell r="AU19">
            <v>-192.053917015</v>
          </cell>
          <cell r="AV19">
            <v>-292.633353860797</v>
          </cell>
          <cell r="AW19">
            <v>-278.11687498079698</v>
          </cell>
          <cell r="AX19">
            <v>-226.26720707079699</v>
          </cell>
          <cell r="AY19">
            <v>-254.90751529319888</v>
          </cell>
          <cell r="AZ19">
            <v>-323.59570653102975</v>
          </cell>
          <cell r="BA19">
            <v>-335.67053558126082</v>
          </cell>
          <cell r="BB19">
            <v>-326.95410326682702</v>
          </cell>
          <cell r="BC19">
            <v>-348.67578737589827</v>
          </cell>
          <cell r="BD19">
            <v>-404.22139642887282</v>
          </cell>
          <cell r="BE19">
            <v>-437.63963168047417</v>
          </cell>
          <cell r="BF19">
            <v>-480.12188242990032</v>
          </cell>
          <cell r="BG19">
            <v>-543.38637906205838</v>
          </cell>
        </row>
        <row r="20">
          <cell r="B20" t="str">
            <v>EBITDA</v>
          </cell>
          <cell r="C20" t="str">
            <v>EBITDA_CALC</v>
          </cell>
          <cell r="D20" t="str">
            <v>CNY</v>
          </cell>
          <cell r="F20"/>
          <cell r="G20"/>
          <cell r="H20"/>
          <cell r="I20"/>
          <cell r="J20"/>
          <cell r="K20"/>
          <cell r="L20"/>
          <cell r="M20">
            <v>142.49142899000014</v>
          </cell>
          <cell r="N20">
            <v>361.87526436000019</v>
          </cell>
          <cell r="O20">
            <v>742.56901559000005</v>
          </cell>
          <cell r="P20">
            <v>878.74312688999976</v>
          </cell>
          <cell r="Q20">
            <v>834.13159264874685</v>
          </cell>
          <cell r="R20">
            <v>1196.7634571788249</v>
          </cell>
          <cell r="S20">
            <v>2174.2290682656867</v>
          </cell>
          <cell r="T20">
            <v>3510.3408385779971</v>
          </cell>
          <cell r="U20">
            <v>5223.6078407317982</v>
          </cell>
          <cell r="V20">
            <v>7499.1928945317486</v>
          </cell>
          <cell r="W20"/>
          <cell r="X20"/>
          <cell r="Y20"/>
          <cell r="Z20"/>
          <cell r="AA20"/>
          <cell r="AB20"/>
          <cell r="AC20"/>
          <cell r="AD20"/>
          <cell r="AE20"/>
          <cell r="AF20"/>
          <cell r="AG20"/>
          <cell r="AH20"/>
          <cell r="AI20"/>
          <cell r="AJ20"/>
          <cell r="AK20"/>
          <cell r="AL20"/>
          <cell r="AM20"/>
          <cell r="AN20"/>
          <cell r="AO20"/>
          <cell r="AP20">
            <v>251.41400425500001</v>
          </cell>
          <cell r="AQ20">
            <v>170.78719543500006</v>
          </cell>
          <cell r="AR20">
            <v>251.56218955499995</v>
          </cell>
          <cell r="AS20">
            <v>158.036403355</v>
          </cell>
          <cell r="AT20">
            <v>307.81007428499998</v>
          </cell>
          <cell r="AU20">
            <v>161.33445969499999</v>
          </cell>
          <cell r="AV20">
            <v>203.11912224920303</v>
          </cell>
          <cell r="AW20">
            <v>315.70731732920297</v>
          </cell>
          <cell r="AX20">
            <v>152.60743905920299</v>
          </cell>
          <cell r="AY20">
            <v>162.69771401113778</v>
          </cell>
          <cell r="AZ20">
            <v>181.89913846804319</v>
          </cell>
          <cell r="BA20">
            <v>334.76790943874681</v>
          </cell>
          <cell r="BB20">
            <v>359.22919022558426</v>
          </cell>
          <cell r="BC20">
            <v>320.8672190464506</v>
          </cell>
          <cell r="BD20">
            <v>225.40879314317817</v>
          </cell>
          <cell r="BE20">
            <v>503.09668408732512</v>
          </cell>
          <cell r="BF20">
            <v>684.8937107445638</v>
          </cell>
          <cell r="BG20">
            <v>760.82988029061983</v>
          </cell>
        </row>
        <row r="21">
          <cell r="B21" t="str">
            <v>Depreciation</v>
          </cell>
          <cell r="C21" t="str">
            <v>DEPREC</v>
          </cell>
          <cell r="D21" t="str">
            <v>CNY</v>
          </cell>
          <cell r="F21"/>
          <cell r="G21"/>
          <cell r="H21"/>
          <cell r="I21"/>
          <cell r="J21"/>
          <cell r="K21"/>
          <cell r="L21"/>
          <cell r="M21">
            <v>-6.6559138200000003</v>
          </cell>
          <cell r="N21">
            <v>-6.3007062400000002</v>
          </cell>
          <cell r="O21">
            <v>-6.1150567499999999</v>
          </cell>
          <cell r="P21">
            <v>-12.384581499999999</v>
          </cell>
          <cell r="Q21">
            <v>-14.802458739090381</v>
          </cell>
          <cell r="R21">
            <v>-16.03318051628515</v>
          </cell>
          <cell r="S21">
            <v>-18.435412779060201</v>
          </cell>
          <cell r="T21">
            <v>-21.199448260614172</v>
          </cell>
          <cell r="U21">
            <v>-23.747455248194676</v>
          </cell>
          <cell r="V21">
            <v>-26.321264725180516</v>
          </cell>
          <cell r="W21"/>
          <cell r="X21"/>
          <cell r="Y21"/>
          <cell r="Z21"/>
          <cell r="AA21"/>
          <cell r="AB21"/>
          <cell r="AC21"/>
          <cell r="AD21"/>
          <cell r="AE21"/>
          <cell r="AF21"/>
          <cell r="AG21"/>
          <cell r="AH21"/>
          <cell r="AI21"/>
          <cell r="AJ21"/>
          <cell r="AK21"/>
          <cell r="AL21"/>
          <cell r="AM21"/>
          <cell r="AN21"/>
          <cell r="AO21"/>
          <cell r="AP21">
            <v>-1.5287641875</v>
          </cell>
          <cell r="AQ21">
            <v>-1.5287641875</v>
          </cell>
          <cell r="AR21">
            <v>-3.0961453749999999</v>
          </cell>
          <cell r="AS21">
            <v>-3.0961453749999999</v>
          </cell>
          <cell r="AT21">
            <v>-3.0961453749999999</v>
          </cell>
          <cell r="AU21">
            <v>-3.0961453749999999</v>
          </cell>
          <cell r="AV21">
            <v>-3.7006146847725954</v>
          </cell>
          <cell r="AW21">
            <v>-3.7006146847725954</v>
          </cell>
          <cell r="AX21">
            <v>-3.7006146847725954</v>
          </cell>
          <cell r="AY21">
            <v>-3.7006146847725954</v>
          </cell>
          <cell r="AZ21">
            <v>-4.0082951290712874</v>
          </cell>
          <cell r="BA21">
            <v>-4.0082951290712874</v>
          </cell>
          <cell r="BB21">
            <v>-4.0082951290712874</v>
          </cell>
          <cell r="BC21">
            <v>-4.0082951290712874</v>
          </cell>
          <cell r="BD21">
            <v>-4.6088531947650502</v>
          </cell>
          <cell r="BE21">
            <v>-4.6088531947650502</v>
          </cell>
          <cell r="BF21">
            <v>-4.6088531947650502</v>
          </cell>
          <cell r="BG21">
            <v>-4.6088531947650502</v>
          </cell>
        </row>
        <row r="22">
          <cell r="B22" t="str">
            <v>Amortization</v>
          </cell>
          <cell r="C22" t="str">
            <v>GOODWILL_AMORT</v>
          </cell>
          <cell r="D22" t="str">
            <v>CNY</v>
          </cell>
          <cell r="F22"/>
          <cell r="G22"/>
          <cell r="H22"/>
          <cell r="I22"/>
          <cell r="J22"/>
          <cell r="K22"/>
          <cell r="L22"/>
          <cell r="M22">
            <v>-6.2029765899999996</v>
          </cell>
          <cell r="N22">
            <v>-11.077252119999999</v>
          </cell>
          <cell r="O22">
            <v>-14.04165611</v>
          </cell>
          <cell r="P22">
            <v>-17.836498160000001</v>
          </cell>
          <cell r="Q22">
            <v>-11.141040017721599</v>
          </cell>
          <cell r="R22">
            <v>-3.6209158344926138</v>
          </cell>
          <cell r="S22">
            <v>-1.2655574619566843</v>
          </cell>
          <cell r="T22">
            <v>-0.52784184345036489</v>
          </cell>
          <cell r="U22">
            <v>-0.29678386937136542</v>
          </cell>
          <cell r="V22">
            <v>-0.22441480730163732</v>
          </cell>
          <cell r="W22"/>
          <cell r="X22"/>
          <cell r="Y22"/>
          <cell r="Z22"/>
          <cell r="AA22"/>
          <cell r="AB22"/>
          <cell r="AC22"/>
          <cell r="AD22"/>
          <cell r="AE22"/>
          <cell r="AF22"/>
          <cell r="AG22"/>
          <cell r="AH22"/>
          <cell r="AI22"/>
          <cell r="AJ22"/>
          <cell r="AK22"/>
          <cell r="AL22"/>
          <cell r="AM22"/>
          <cell r="AN22"/>
          <cell r="AO22"/>
          <cell r="AP22">
            <v>-3.5104140275</v>
          </cell>
          <cell r="AQ22">
            <v>-3.5104140275</v>
          </cell>
          <cell r="AR22">
            <v>-4.4591245400000004</v>
          </cell>
          <cell r="AS22">
            <v>-4.4591245400000004</v>
          </cell>
          <cell r="AT22">
            <v>-4.4591245400000004</v>
          </cell>
          <cell r="AU22">
            <v>-4.4591245400000004</v>
          </cell>
          <cell r="AV22">
            <v>-2.7852600044303997</v>
          </cell>
          <cell r="AW22">
            <v>-2.7852600044303997</v>
          </cell>
          <cell r="AX22">
            <v>-2.7852600044303997</v>
          </cell>
          <cell r="AY22">
            <v>-2.7852600044303997</v>
          </cell>
          <cell r="AZ22">
            <v>-0.90522895862315345</v>
          </cell>
          <cell r="BA22">
            <v>-0.90522895862315345</v>
          </cell>
          <cell r="BB22">
            <v>-0.90522895862315345</v>
          </cell>
          <cell r="BC22">
            <v>-0.90522895862315345</v>
          </cell>
          <cell r="BD22">
            <v>-0.31638936548917107</v>
          </cell>
          <cell r="BE22">
            <v>-0.31638936548917107</v>
          </cell>
          <cell r="BF22">
            <v>-0.31638936548917107</v>
          </cell>
          <cell r="BG22">
            <v>-0.31638936548917107</v>
          </cell>
        </row>
        <row r="23">
          <cell r="B23" t="str">
            <v>EBIT, operating profit</v>
          </cell>
          <cell r="C23" t="str">
            <v>EBIT</v>
          </cell>
          <cell r="D23" t="str">
            <v>CNY</v>
          </cell>
          <cell r="F23"/>
          <cell r="G23"/>
          <cell r="H23"/>
          <cell r="I23"/>
          <cell r="J23"/>
          <cell r="K23"/>
          <cell r="L23"/>
          <cell r="M23">
            <v>129.63253858000016</v>
          </cell>
          <cell r="N23">
            <v>344.49730600000015</v>
          </cell>
          <cell r="O23">
            <v>722.41230273000008</v>
          </cell>
          <cell r="P23">
            <v>848.52204722999977</v>
          </cell>
          <cell r="Q23">
            <v>808.18809389193484</v>
          </cell>
          <cell r="R23">
            <v>1177.1093608280471</v>
          </cell>
          <cell r="S23">
            <v>2154.5280980246698</v>
          </cell>
          <cell r="T23">
            <v>3488.6135484739325</v>
          </cell>
          <cell r="U23">
            <v>5199.5636016142325</v>
          </cell>
          <cell r="V23">
            <v>7472.6472149992669</v>
          </cell>
          <cell r="W23"/>
          <cell r="X23"/>
          <cell r="Y23"/>
          <cell r="Z23"/>
          <cell r="AA23"/>
          <cell r="AB23"/>
          <cell r="AC23"/>
          <cell r="AD23"/>
          <cell r="AE23"/>
          <cell r="AF23"/>
          <cell r="AG23"/>
          <cell r="AH23"/>
          <cell r="AI23"/>
          <cell r="AJ23"/>
          <cell r="AK23"/>
          <cell r="AL23"/>
          <cell r="AM23"/>
          <cell r="AN23"/>
          <cell r="AO23"/>
          <cell r="AP23">
            <v>246.37482604000002</v>
          </cell>
          <cell r="AQ23">
            <v>165.74801722000007</v>
          </cell>
          <cell r="AR23">
            <v>244.00691963999995</v>
          </cell>
          <cell r="AS23">
            <v>150.48113344000001</v>
          </cell>
          <cell r="AT23">
            <v>300.25480436999999</v>
          </cell>
          <cell r="AU23">
            <v>153.77918978</v>
          </cell>
          <cell r="AV23">
            <v>196.63324756000003</v>
          </cell>
          <cell r="AW23">
            <v>309.22144263999996</v>
          </cell>
          <cell r="AX23">
            <v>146.12156436999999</v>
          </cell>
          <cell r="AY23">
            <v>156.21183932193478</v>
          </cell>
          <cell r="AZ23">
            <v>176.98561438034875</v>
          </cell>
          <cell r="BA23">
            <v>329.85438535105237</v>
          </cell>
          <cell r="BB23">
            <v>354.31566613788982</v>
          </cell>
          <cell r="BC23">
            <v>315.95369495875616</v>
          </cell>
          <cell r="BD23">
            <v>220.48355058292395</v>
          </cell>
          <cell r="BE23">
            <v>498.1714415270709</v>
          </cell>
          <cell r="BF23">
            <v>679.96846818430959</v>
          </cell>
          <cell r="BG23">
            <v>755.90463773036561</v>
          </cell>
        </row>
        <row r="24">
          <cell r="B24" t="str">
            <v>Interest income</v>
          </cell>
          <cell r="C24" t="str">
            <v>INT_INC_IND</v>
          </cell>
          <cell r="D24" t="str">
            <v>CNY</v>
          </cell>
          <cell r="F24"/>
          <cell r="G24"/>
          <cell r="H24"/>
          <cell r="I24"/>
          <cell r="J24"/>
          <cell r="K24"/>
          <cell r="L24"/>
          <cell r="M24">
            <v>0.36120633000000002</v>
          </cell>
          <cell r="N24">
            <v>7.22377555</v>
          </cell>
          <cell r="O24">
            <v>21.097004420000001</v>
          </cell>
          <cell r="P24">
            <v>79.642140730000008</v>
          </cell>
          <cell r="Q24">
            <v>72.570637287700009</v>
          </cell>
          <cell r="R24">
            <v>78.148801408988589</v>
          </cell>
          <cell r="S24">
            <v>86.012324105704579</v>
          </cell>
          <cell r="T24">
            <v>96.487027892296723</v>
          </cell>
          <cell r="U24">
            <v>116.41409524047015</v>
          </cell>
          <cell r="V24">
            <v>143.65375375078412</v>
          </cell>
          <cell r="W24"/>
          <cell r="X24"/>
          <cell r="Y24"/>
          <cell r="Z24"/>
          <cell r="AA24"/>
          <cell r="AB24"/>
          <cell r="AC24"/>
          <cell r="AD24"/>
          <cell r="AE24"/>
          <cell r="AF24"/>
          <cell r="AG24"/>
          <cell r="AH24"/>
          <cell r="AI24"/>
          <cell r="AJ24"/>
          <cell r="AK24"/>
          <cell r="AL24"/>
          <cell r="AM24"/>
          <cell r="AN24"/>
          <cell r="AO24"/>
          <cell r="AP24">
            <v>5.7340161399999996</v>
          </cell>
          <cell r="AQ24">
            <v>7.7089493899999999</v>
          </cell>
          <cell r="AR24">
            <v>9.7631737799999989</v>
          </cell>
          <cell r="AS24">
            <v>22.191550399999997</v>
          </cell>
          <cell r="AT24">
            <v>22.613801540000001</v>
          </cell>
          <cell r="AU24">
            <v>25.073615010000001</v>
          </cell>
          <cell r="AV24">
            <v>13.756094039999999</v>
          </cell>
          <cell r="AW24">
            <v>6.3858961699999996</v>
          </cell>
          <cell r="AX24">
            <v>24.504981570000002</v>
          </cell>
          <cell r="AY24">
            <v>27.923665507700008</v>
          </cell>
          <cell r="AZ24">
            <v>19.537200352247147</v>
          </cell>
          <cell r="BA24">
            <v>19.537200352247147</v>
          </cell>
          <cell r="BB24">
            <v>19.537200352247147</v>
          </cell>
          <cell r="BC24">
            <v>19.537200352247147</v>
          </cell>
          <cell r="BD24">
            <v>21.503081026426145</v>
          </cell>
          <cell r="BE24">
            <v>21.503081026426145</v>
          </cell>
          <cell r="BF24">
            <v>21.503081026426145</v>
          </cell>
          <cell r="BG24">
            <v>21.503081026426145</v>
          </cell>
        </row>
        <row r="25">
          <cell r="B25" t="str">
            <v>Interest expense</v>
          </cell>
          <cell r="C25" t="str">
            <v>INT_EXP_IND</v>
          </cell>
          <cell r="D25" t="str">
            <v>CNY</v>
          </cell>
          <cell r="F25"/>
          <cell r="G25"/>
          <cell r="H25"/>
          <cell r="I25"/>
          <cell r="J25"/>
          <cell r="K25"/>
          <cell r="L25"/>
          <cell r="M25">
            <v>0</v>
          </cell>
          <cell r="N25">
            <v>0</v>
          </cell>
          <cell r="O25">
            <v>0</v>
          </cell>
          <cell r="P25">
            <v>0</v>
          </cell>
          <cell r="Q25">
            <v>0</v>
          </cell>
          <cell r="R25">
            <v>0</v>
          </cell>
          <cell r="S25">
            <v>0</v>
          </cell>
          <cell r="T25">
            <v>0</v>
          </cell>
          <cell r="U25">
            <v>0</v>
          </cell>
          <cell r="V25">
            <v>0</v>
          </cell>
          <cell r="W25"/>
          <cell r="X25"/>
          <cell r="Y25"/>
          <cell r="Z25"/>
          <cell r="AA25"/>
          <cell r="AB25"/>
          <cell r="AC25"/>
          <cell r="AD25"/>
          <cell r="AE25"/>
          <cell r="AF25"/>
          <cell r="AG25"/>
          <cell r="AH25"/>
          <cell r="AI25"/>
          <cell r="AJ25"/>
          <cell r="AK25"/>
          <cell r="AL25"/>
          <cell r="AM25"/>
          <cell r="AN25"/>
          <cell r="AO25"/>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row>
        <row r="26">
          <cell r="B26" t="str">
            <v>Net interest income/(expense)</v>
          </cell>
          <cell r="C26" t="str">
            <v>NET_INT_EXP</v>
          </cell>
          <cell r="D26" t="str">
            <v>CNY</v>
          </cell>
          <cell r="F26"/>
          <cell r="G26"/>
          <cell r="H26"/>
          <cell r="I26"/>
          <cell r="J26"/>
          <cell r="K26"/>
          <cell r="L26"/>
          <cell r="M26">
            <v>0.36120633000000002</v>
          </cell>
          <cell r="N26">
            <v>7.22377555</v>
          </cell>
          <cell r="O26">
            <v>21.097004420000001</v>
          </cell>
          <cell r="P26">
            <v>79.642140730000008</v>
          </cell>
          <cell r="Q26">
            <v>72.570637287700009</v>
          </cell>
          <cell r="R26">
            <v>78.148801408988589</v>
          </cell>
          <cell r="S26">
            <v>86.012324105704579</v>
          </cell>
          <cell r="T26">
            <v>96.487027892296723</v>
          </cell>
          <cell r="U26">
            <v>116.41409524047015</v>
          </cell>
          <cell r="V26">
            <v>143.65375375078412</v>
          </cell>
          <cell r="W26"/>
          <cell r="X26"/>
          <cell r="Y26"/>
          <cell r="Z26"/>
          <cell r="AA26"/>
          <cell r="AB26"/>
          <cell r="AC26"/>
          <cell r="AD26"/>
          <cell r="AE26"/>
          <cell r="AF26"/>
          <cell r="AG26"/>
          <cell r="AH26"/>
          <cell r="AI26"/>
          <cell r="AJ26"/>
          <cell r="AK26"/>
          <cell r="AL26"/>
          <cell r="AM26"/>
          <cell r="AN26"/>
          <cell r="AO26"/>
          <cell r="AP26">
            <v>5.7340161399999996</v>
          </cell>
          <cell r="AQ26">
            <v>7.7089493899999999</v>
          </cell>
          <cell r="AR26">
            <v>9.7631737799999989</v>
          </cell>
          <cell r="AS26">
            <v>22.191550399999997</v>
          </cell>
          <cell r="AT26">
            <v>22.613801540000001</v>
          </cell>
          <cell r="AU26">
            <v>25.073615010000001</v>
          </cell>
          <cell r="AV26">
            <v>13.756094039999999</v>
          </cell>
          <cell r="AW26">
            <v>6.3858961699999996</v>
          </cell>
          <cell r="AX26">
            <v>24.504981570000002</v>
          </cell>
          <cell r="AY26">
            <v>27.923665507700008</v>
          </cell>
          <cell r="AZ26">
            <v>19.537200352247147</v>
          </cell>
          <cell r="BA26">
            <v>19.537200352247147</v>
          </cell>
          <cell r="BB26">
            <v>19.537200352247147</v>
          </cell>
          <cell r="BC26">
            <v>19.537200352247147</v>
          </cell>
          <cell r="BD26">
            <v>21.503081026426145</v>
          </cell>
          <cell r="BE26">
            <v>21.503081026426145</v>
          </cell>
          <cell r="BF26">
            <v>21.503081026426145</v>
          </cell>
          <cell r="BG26">
            <v>21.503081026426145</v>
          </cell>
        </row>
        <row r="27">
          <cell r="B27" t="str">
            <v>Income/(loss) from unconsolidated subs &amp; associates</v>
          </cell>
          <cell r="C27" t="str">
            <v>ASSOCIATE</v>
          </cell>
          <cell r="D27" t="str">
            <v>CNY</v>
          </cell>
          <cell r="F27"/>
          <cell r="G27"/>
          <cell r="H27"/>
          <cell r="I27"/>
          <cell r="J27"/>
          <cell r="K27"/>
          <cell r="L27"/>
          <cell r="M27">
            <v>0</v>
          </cell>
          <cell r="N27">
            <v>0</v>
          </cell>
          <cell r="O27">
            <v>0</v>
          </cell>
          <cell r="P27">
            <v>0</v>
          </cell>
          <cell r="Q27">
            <v>0</v>
          </cell>
          <cell r="R27">
            <v>0</v>
          </cell>
          <cell r="S27">
            <v>0</v>
          </cell>
          <cell r="T27">
            <v>0</v>
          </cell>
          <cell r="U27">
            <v>0</v>
          </cell>
          <cell r="V27">
            <v>0</v>
          </cell>
          <cell r="W27"/>
          <cell r="X27"/>
          <cell r="Y27"/>
          <cell r="Z27"/>
          <cell r="AA27"/>
          <cell r="AB27"/>
          <cell r="AC27"/>
          <cell r="AD27"/>
          <cell r="AE27"/>
          <cell r="AF27"/>
          <cell r="AG27"/>
          <cell r="AH27"/>
          <cell r="AI27"/>
          <cell r="AJ27"/>
          <cell r="AK27"/>
          <cell r="AL27"/>
          <cell r="AM27"/>
          <cell r="AN27"/>
          <cell r="AO27"/>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row>
        <row r="28">
          <cell r="B28" t="str">
            <v>Profit/(loss) on disposals of assets, pre-tax</v>
          </cell>
          <cell r="C28" t="str">
            <v>PROFIT_ON_DISP</v>
          </cell>
          <cell r="D28" t="str">
            <v>CNY</v>
          </cell>
          <cell r="F28"/>
          <cell r="G28"/>
          <cell r="H28"/>
          <cell r="I28"/>
          <cell r="J28"/>
          <cell r="K28"/>
          <cell r="L28"/>
          <cell r="M28">
            <v>0</v>
          </cell>
          <cell r="N28">
            <v>56.810372990000005</v>
          </cell>
          <cell r="O28">
            <v>0</v>
          </cell>
          <cell r="P28">
            <v>0</v>
          </cell>
          <cell r="Q28">
            <v>0</v>
          </cell>
          <cell r="R28">
            <v>0</v>
          </cell>
          <cell r="S28">
            <v>0</v>
          </cell>
          <cell r="T28">
            <v>0</v>
          </cell>
          <cell r="U28">
            <v>0</v>
          </cell>
          <cell r="V28">
            <v>0</v>
          </cell>
          <cell r="W28"/>
          <cell r="X28"/>
          <cell r="Y28"/>
          <cell r="Z28"/>
          <cell r="AA28"/>
          <cell r="AB28"/>
          <cell r="AC28"/>
          <cell r="AD28"/>
          <cell r="AE28"/>
          <cell r="AF28"/>
          <cell r="AG28"/>
          <cell r="AH28"/>
          <cell r="AI28"/>
          <cell r="AJ28"/>
          <cell r="AK28"/>
          <cell r="AL28"/>
          <cell r="AM28"/>
          <cell r="AN28"/>
          <cell r="AO28"/>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row>
        <row r="29">
          <cell r="B29" t="str">
            <v>Other non-ops income/(expense)</v>
          </cell>
          <cell r="C29" t="str">
            <v>OTH_COST_INC</v>
          </cell>
          <cell r="D29" t="str">
            <v>CNY</v>
          </cell>
          <cell r="F29"/>
          <cell r="G29"/>
          <cell r="H29"/>
          <cell r="I29"/>
          <cell r="J29"/>
          <cell r="K29"/>
          <cell r="L29"/>
          <cell r="M29">
            <v>-30.901241130000074</v>
          </cell>
          <cell r="N29">
            <v>-46.161405930000065</v>
          </cell>
          <cell r="O29">
            <v>42.722895869999618</v>
          </cell>
          <cell r="P29">
            <v>50.582820100000106</v>
          </cell>
          <cell r="Q29">
            <v>263.59064558000011</v>
          </cell>
          <cell r="R29">
            <v>114.4</v>
          </cell>
          <cell r="S29">
            <v>112.68</v>
          </cell>
          <cell r="T29">
            <v>111.04599999999999</v>
          </cell>
          <cell r="U29">
            <v>109.49369999999999</v>
          </cell>
          <cell r="V29">
            <v>112.019015</v>
          </cell>
          <cell r="W29"/>
          <cell r="X29"/>
          <cell r="Y29"/>
          <cell r="Z29"/>
          <cell r="AA29"/>
          <cell r="AB29"/>
          <cell r="AC29"/>
          <cell r="AD29"/>
          <cell r="AE29"/>
          <cell r="AF29"/>
          <cell r="AG29"/>
          <cell r="AH29"/>
          <cell r="AI29"/>
          <cell r="AJ29"/>
          <cell r="AK29"/>
          <cell r="AL29"/>
          <cell r="AM29"/>
          <cell r="AN29"/>
          <cell r="AO29"/>
          <cell r="AP29">
            <v>11.997588529999966</v>
          </cell>
          <cell r="AQ29">
            <v>21.444981089999988</v>
          </cell>
          <cell r="AR29">
            <v>-19.225778619999925</v>
          </cell>
          <cell r="AS29">
            <v>51.029980699999996</v>
          </cell>
          <cell r="AT29">
            <v>-16.155272489999962</v>
          </cell>
          <cell r="AU29">
            <v>34.933890509999998</v>
          </cell>
          <cell r="AV29">
            <v>66.215925330000061</v>
          </cell>
          <cell r="AW29">
            <v>33.363228690000113</v>
          </cell>
          <cell r="AX29">
            <v>141.27397517999998</v>
          </cell>
          <cell r="AY29">
            <v>22.737516379999999</v>
          </cell>
          <cell r="AZ29">
            <v>28.6</v>
          </cell>
          <cell r="BA29">
            <v>28.6</v>
          </cell>
          <cell r="BB29">
            <v>28.6</v>
          </cell>
          <cell r="BC29">
            <v>28.6</v>
          </cell>
          <cell r="BD29">
            <v>28.17</v>
          </cell>
          <cell r="BE29">
            <v>28.17</v>
          </cell>
          <cell r="BF29">
            <v>28.17</v>
          </cell>
          <cell r="BG29">
            <v>28.17</v>
          </cell>
        </row>
        <row r="30">
          <cell r="B30" t="str">
            <v>Pre-tax profit</v>
          </cell>
          <cell r="C30" t="str">
            <v>PT_PROF</v>
          </cell>
          <cell r="D30" t="str">
            <v>CNY</v>
          </cell>
          <cell r="F30"/>
          <cell r="G30"/>
          <cell r="H30"/>
          <cell r="I30"/>
          <cell r="J30"/>
          <cell r="K30"/>
          <cell r="L30"/>
          <cell r="M30">
            <v>99.092503780000072</v>
          </cell>
          <cell r="N30">
            <v>362.37004861000014</v>
          </cell>
          <cell r="O30">
            <v>786.2322030199997</v>
          </cell>
          <cell r="P30">
            <v>978.74700805999987</v>
          </cell>
          <cell r="Q30">
            <v>1144.3493767596351</v>
          </cell>
          <cell r="R30">
            <v>1369.6581622370359</v>
          </cell>
          <cell r="S30">
            <v>2353.2204221303741</v>
          </cell>
          <cell r="T30">
            <v>3696.1465763662291</v>
          </cell>
          <cell r="U30">
            <v>5425.471396854703</v>
          </cell>
          <cell r="V30">
            <v>7728.3199837500506</v>
          </cell>
          <cell r="W30"/>
          <cell r="X30"/>
          <cell r="Y30"/>
          <cell r="Z30"/>
          <cell r="AA30"/>
          <cell r="AB30"/>
          <cell r="AC30"/>
          <cell r="AD30"/>
          <cell r="AE30"/>
          <cell r="AF30"/>
          <cell r="AG30"/>
          <cell r="AH30"/>
          <cell r="AI30"/>
          <cell r="AJ30"/>
          <cell r="AK30"/>
          <cell r="AL30"/>
          <cell r="AM30"/>
          <cell r="AN30"/>
          <cell r="AO30"/>
          <cell r="AP30">
            <v>264.10643070999998</v>
          </cell>
          <cell r="AQ30">
            <v>194.90194770000005</v>
          </cell>
          <cell r="AR30">
            <v>234.54431480000002</v>
          </cell>
          <cell r="AS30">
            <v>223.70266454</v>
          </cell>
          <cell r="AT30">
            <v>306.71333342000003</v>
          </cell>
          <cell r="AU30">
            <v>213.78669529999999</v>
          </cell>
          <cell r="AV30">
            <v>276.60526693000008</v>
          </cell>
          <cell r="AW30">
            <v>348.97056750000013</v>
          </cell>
          <cell r="AX30">
            <v>311.90052112000001</v>
          </cell>
          <cell r="AY30">
            <v>206.87302120963477</v>
          </cell>
          <cell r="AZ30">
            <v>225.12281473259588</v>
          </cell>
          <cell r="BA30">
            <v>377.99158570329956</v>
          </cell>
          <cell r="BB30">
            <v>402.45286649013701</v>
          </cell>
          <cell r="BC30">
            <v>364.09089531100335</v>
          </cell>
          <cell r="BD30">
            <v>270.15663160935009</v>
          </cell>
          <cell r="BE30">
            <v>547.84452255349697</v>
          </cell>
          <cell r="BF30">
            <v>729.64154921073566</v>
          </cell>
          <cell r="BG30">
            <v>805.57771875679168</v>
          </cell>
        </row>
        <row r="31">
          <cell r="A31" t="str">
            <v>Additional Income Statement Items</v>
          </cell>
          <cell r="B31"/>
          <cell r="C31"/>
          <cell r="D31"/>
          <cell r="J31"/>
        </row>
        <row r="32">
          <cell r="B32" t="str">
            <v>Contribution margin ratio</v>
          </cell>
          <cell r="C32" t="str">
            <v>CONTRIB_MARGIN_RATIO</v>
          </cell>
          <cell r="D32" t="str">
            <v>CNY</v>
          </cell>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row>
        <row r="33">
          <cell r="B33" t="str">
            <v>Operating lease cost</v>
          </cell>
          <cell r="C33" t="str">
            <v>LEASE_PAY</v>
          </cell>
          <cell r="D33" t="str">
            <v>CNY</v>
          </cell>
          <cell r="F33"/>
          <cell r="G33"/>
          <cell r="H33"/>
          <cell r="I33"/>
          <cell r="J33"/>
          <cell r="K33"/>
          <cell r="L33"/>
          <cell r="M33">
            <v>0</v>
          </cell>
          <cell r="N33">
            <v>0</v>
          </cell>
          <cell r="O33">
            <v>0</v>
          </cell>
          <cell r="P33">
            <v>0</v>
          </cell>
          <cell r="Q33">
            <v>0</v>
          </cell>
          <cell r="R33">
            <v>0</v>
          </cell>
          <cell r="S33">
            <v>0</v>
          </cell>
          <cell r="T33">
            <v>0</v>
          </cell>
          <cell r="U33">
            <v>0</v>
          </cell>
          <cell r="V33">
            <v>0</v>
          </cell>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row>
        <row r="34">
          <cell r="B34" t="str">
            <v>Lease payments (deemed interest portion)</v>
          </cell>
          <cell r="C34" t="str">
            <v>LEASE_DEEM_INT</v>
          </cell>
          <cell r="D34" t="str">
            <v>CNY</v>
          </cell>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row>
        <row r="35">
          <cell r="B35" t="str">
            <v>Lease payments (deemed depreciation portion)</v>
          </cell>
          <cell r="C35" t="str">
            <v>LEASE_DEEM_DEPR</v>
          </cell>
          <cell r="D35" t="str">
            <v>CNY</v>
          </cell>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row>
        <row r="36">
          <cell r="B36" t="str">
            <v>Gross interest charge</v>
          </cell>
          <cell r="C36" t="str">
            <v>NET_INT_CH</v>
          </cell>
          <cell r="D36" t="str">
            <v>CNY</v>
          </cell>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row>
        <row r="37">
          <cell r="B37" t="str">
            <v>Income from associates (operating)</v>
          </cell>
          <cell r="C37" t="str">
            <v>ASSOCIATE_OP</v>
          </cell>
          <cell r="D37" t="str">
            <v>CNY</v>
          </cell>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row>
        <row r="38">
          <cell r="B38" t="str">
            <v>Depreciation ROU assets   (applicable to IFRS cos.)</v>
          </cell>
          <cell r="C38" t="str">
            <v>DEPR_ROU_ASSETS</v>
          </cell>
          <cell r="D38" t="str">
            <v>CNY</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row>
        <row r="39">
          <cell r="B39" t="str">
            <v>Lease interest charge  (applicable to IFRS cos.)</v>
          </cell>
          <cell r="C39" t="str">
            <v>LEASE_INT_CHG</v>
          </cell>
          <cell r="D39" t="str">
            <v>CNY</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row>
        <row r="40">
          <cell r="B40" t="str">
            <v>Lease standard adopted (US GAAP ASC 842/ IFRS 16)</v>
          </cell>
          <cell r="C40" t="str">
            <v>LEASE_ADOPT</v>
          </cell>
          <cell r="E40" t="str">
            <v>N</v>
          </cell>
        </row>
        <row r="41">
          <cell r="A41" t="str">
            <v>Balance Sheet</v>
          </cell>
          <cell r="B41"/>
          <cell r="C41"/>
          <cell r="D41"/>
        </row>
        <row r="42">
          <cell r="B42" t="str">
            <v>Cash &amp; cash equivalents</v>
          </cell>
          <cell r="C42" t="str">
            <v>CASH_EQ</v>
          </cell>
          <cell r="D42" t="str">
            <v>CNY</v>
          </cell>
          <cell r="F42"/>
          <cell r="G42"/>
          <cell r="H42"/>
          <cell r="I42"/>
          <cell r="J42"/>
          <cell r="K42"/>
          <cell r="L42"/>
          <cell r="M42">
            <v>454.35094485000002</v>
          </cell>
          <cell r="N42">
            <v>687.78587001999995</v>
          </cell>
          <cell r="O42">
            <v>3679.9912865199999</v>
          </cell>
          <cell r="P42">
            <v>7257.0637287700001</v>
          </cell>
          <cell r="Q42">
            <v>7814.8801408988584</v>
          </cell>
          <cell r="R42">
            <v>8601.2324105704574</v>
          </cell>
          <cell r="S42">
            <v>9648.7027892296719</v>
          </cell>
          <cell r="T42">
            <v>11641.409524047014</v>
          </cell>
          <cell r="U42">
            <v>14365.375375078411</v>
          </cell>
          <cell r="V42">
            <v>18519.881923836139</v>
          </cell>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row>
        <row r="43">
          <cell r="B43" t="str">
            <v>Accounts receivable</v>
          </cell>
          <cell r="C43" t="str">
            <v>DEBTORS</v>
          </cell>
          <cell r="D43" t="str">
            <v>CNY</v>
          </cell>
          <cell r="F43"/>
          <cell r="G43"/>
          <cell r="H43"/>
          <cell r="I43"/>
          <cell r="J43"/>
          <cell r="K43"/>
          <cell r="L43"/>
          <cell r="M43">
            <v>58.796433619999995</v>
          </cell>
          <cell r="N43">
            <v>119.25793602</v>
          </cell>
          <cell r="O43">
            <v>241.14922121000001</v>
          </cell>
          <cell r="P43">
            <v>131.86481509000001</v>
          </cell>
          <cell r="Q43">
            <v>272.98729383574664</v>
          </cell>
          <cell r="R43">
            <v>270.4469565352565</v>
          </cell>
          <cell r="S43">
            <v>596.67440296187567</v>
          </cell>
          <cell r="T43">
            <v>739.28436154198528</v>
          </cell>
          <cell r="U43">
            <v>1199.7694878533061</v>
          </cell>
          <cell r="V43">
            <v>1561.8210425977391</v>
          </cell>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row>
        <row r="44">
          <cell r="B44" t="str">
            <v>Inventory</v>
          </cell>
          <cell r="C44" t="str">
            <v>STOCKS</v>
          </cell>
          <cell r="D44" t="str">
            <v>CNY</v>
          </cell>
          <cell r="F44"/>
          <cell r="G44"/>
          <cell r="H44"/>
          <cell r="I44"/>
          <cell r="J44"/>
          <cell r="K44"/>
          <cell r="L44"/>
          <cell r="M44">
            <v>256.06937363999998</v>
          </cell>
          <cell r="N44">
            <v>132.51292759999998</v>
          </cell>
          <cell r="O44">
            <v>120.67353909000001</v>
          </cell>
          <cell r="P44">
            <v>156.80486471</v>
          </cell>
          <cell r="Q44">
            <v>156.84927292537225</v>
          </cell>
          <cell r="R44">
            <v>265.89889385667942</v>
          </cell>
          <cell r="S44">
            <v>399.17345005658439</v>
          </cell>
          <cell r="T44">
            <v>683.51566383202589</v>
          </cell>
          <cell r="U44">
            <v>945.23054293359655</v>
          </cell>
          <cell r="V44">
            <v>1476.6124141029909</v>
          </cell>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row>
        <row r="45">
          <cell r="B45" t="str">
            <v>Other current assets</v>
          </cell>
          <cell r="C45" t="str">
            <v>OTH_CUR_ASS</v>
          </cell>
          <cell r="D45" t="str">
            <v>CNY</v>
          </cell>
          <cell r="F45"/>
          <cell r="G45"/>
          <cell r="H45"/>
          <cell r="I45"/>
          <cell r="J45"/>
          <cell r="K45"/>
          <cell r="L45"/>
          <cell r="M45">
            <v>309.25922058000015</v>
          </cell>
          <cell r="N45">
            <v>486.64730462000011</v>
          </cell>
          <cell r="O45">
            <v>44.718244470000172</v>
          </cell>
          <cell r="P45">
            <v>133.01283169999988</v>
          </cell>
          <cell r="Q45">
            <v>133.01283169999988</v>
          </cell>
          <cell r="R45">
            <v>133.01283169999988</v>
          </cell>
          <cell r="S45">
            <v>133.0128317000017</v>
          </cell>
          <cell r="T45">
            <v>133.01283169999806</v>
          </cell>
          <cell r="U45">
            <v>133.01283169999806</v>
          </cell>
          <cell r="V45">
            <v>133.01283169999806</v>
          </cell>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row>
        <row r="46">
          <cell r="B46" t="str">
            <v>Total current assets</v>
          </cell>
          <cell r="C46" t="str">
            <v>CUR_ASS</v>
          </cell>
          <cell r="D46" t="str">
            <v>CNY</v>
          </cell>
          <cell r="F46"/>
          <cell r="G46"/>
          <cell r="H46"/>
          <cell r="I46"/>
          <cell r="J46"/>
          <cell r="K46"/>
          <cell r="L46"/>
          <cell r="M46">
            <v>1078.4759726900002</v>
          </cell>
          <cell r="N46">
            <v>1426.2040382600001</v>
          </cell>
          <cell r="O46">
            <v>4086.5322912900001</v>
          </cell>
          <cell r="P46">
            <v>7678.7462402700003</v>
          </cell>
          <cell r="Q46">
            <v>8377.7295393599779</v>
          </cell>
          <cell r="R46">
            <v>9270.5910926623928</v>
          </cell>
          <cell r="S46">
            <v>10777.563473948132</v>
          </cell>
          <cell r="T46">
            <v>13197.222381121024</v>
          </cell>
          <cell r="U46">
            <v>16643.388237565312</v>
          </cell>
          <cell r="V46">
            <v>21691.328212236866</v>
          </cell>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row>
        <row r="47">
          <cell r="B47" t="str">
            <v>Gross fixed assets, PP&amp;E</v>
          </cell>
          <cell r="C47" t="str">
            <v>GR_FIX_ASS</v>
          </cell>
          <cell r="D47" t="str">
            <v>CNY</v>
          </cell>
          <cell r="F47"/>
          <cell r="G47"/>
          <cell r="H47"/>
          <cell r="I47"/>
          <cell r="J47"/>
          <cell r="K47"/>
          <cell r="L47"/>
          <cell r="M47">
            <v>19.93438329</v>
          </cell>
          <cell r="N47">
            <v>21.749838910000001</v>
          </cell>
          <cell r="O47">
            <v>43.877071530000002</v>
          </cell>
          <cell r="P47">
            <v>57.7859719</v>
          </cell>
          <cell r="Q47">
            <v>74.888996332000005</v>
          </cell>
          <cell r="R47">
            <v>95.412625650400003</v>
          </cell>
          <cell r="S47">
            <v>119.01479936655998</v>
          </cell>
          <cell r="T47">
            <v>144.97719045433598</v>
          </cell>
          <cell r="U47">
            <v>173.53582065088958</v>
          </cell>
          <cell r="V47">
            <v>204.95031386709854</v>
          </cell>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row>
        <row r="48">
          <cell r="B48" t="str">
            <v>Accumulated depreciation</v>
          </cell>
          <cell r="C48" t="str">
            <v>ACC_DDA</v>
          </cell>
          <cell r="D48" t="str">
            <v>CNY</v>
          </cell>
          <cell r="F48"/>
          <cell r="G48"/>
          <cell r="H48"/>
          <cell r="I48"/>
          <cell r="J48"/>
          <cell r="K48"/>
          <cell r="L48"/>
          <cell r="M48">
            <v>-7.7701799400000002</v>
          </cell>
          <cell r="N48">
            <v>-14.426093760000001</v>
          </cell>
          <cell r="O48">
            <v>-20.726800000000001</v>
          </cell>
          <cell r="P48">
            <v>-30.1160067</v>
          </cell>
          <cell r="Q48">
            <v>-44.918465439090383</v>
          </cell>
          <cell r="R48">
            <v>-60.951645955375533</v>
          </cell>
          <cell r="S48">
            <v>-79.387058734435726</v>
          </cell>
          <cell r="T48">
            <v>-100.5865069950499</v>
          </cell>
          <cell r="U48">
            <v>-124.33396224324457</v>
          </cell>
          <cell r="V48">
            <v>-150.6552269684251</v>
          </cell>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row>
        <row r="49">
          <cell r="B49" t="str">
            <v>Net PP&amp;E</v>
          </cell>
          <cell r="C49" t="str">
            <v>NET_FIX_ASS</v>
          </cell>
          <cell r="D49" t="str">
            <v>CNY</v>
          </cell>
          <cell r="F49"/>
          <cell r="G49"/>
          <cell r="H49"/>
          <cell r="I49"/>
          <cell r="J49"/>
          <cell r="K49"/>
          <cell r="L49"/>
          <cell r="M49">
            <v>12.164203349999999</v>
          </cell>
          <cell r="N49">
            <v>7.3237451500000006</v>
          </cell>
          <cell r="O49">
            <v>23.150271530000001</v>
          </cell>
          <cell r="P49">
            <v>27.6699652</v>
          </cell>
          <cell r="Q49">
            <v>29.970530892909622</v>
          </cell>
          <cell r="R49">
            <v>34.46097969502447</v>
          </cell>
          <cell r="S49">
            <v>39.627740632124258</v>
          </cell>
          <cell r="T49">
            <v>44.39068345928608</v>
          </cell>
          <cell r="U49">
            <v>49.201858407645005</v>
          </cell>
          <cell r="V49">
            <v>54.295086898673446</v>
          </cell>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row>
        <row r="50">
          <cell r="B50" t="str">
            <v>Gross intangibles</v>
          </cell>
          <cell r="C50" t="str">
            <v>GR_INTANG</v>
          </cell>
          <cell r="D50" t="str">
            <v>CNY</v>
          </cell>
          <cell r="F50"/>
          <cell r="G50"/>
          <cell r="H50"/>
          <cell r="I50"/>
          <cell r="J50"/>
          <cell r="K50"/>
          <cell r="L50"/>
          <cell r="M50">
            <v>21.751506880000001</v>
          </cell>
          <cell r="N50">
            <v>30.794722550000003</v>
          </cell>
          <cell r="O50">
            <v>47.05431892</v>
          </cell>
          <cell r="P50">
            <v>55.153208089999993</v>
          </cell>
          <cell r="Q50">
            <v>55.344619449999996</v>
          </cell>
          <cell r="R50">
            <v>55.53603081</v>
          </cell>
          <cell r="S50">
            <v>55.727442169999996</v>
          </cell>
          <cell r="T50">
            <v>55.91885353</v>
          </cell>
          <cell r="U50">
            <v>56.110264890000003</v>
          </cell>
          <cell r="V50">
            <v>56.30167625</v>
          </cell>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row>
        <row r="51">
          <cell r="B51" t="str">
            <v>Accumulated amortization</v>
          </cell>
          <cell r="C51" t="str">
            <v>ACC_AMORT</v>
          </cell>
          <cell r="D51" t="str">
            <v>CNY</v>
          </cell>
          <cell r="F51"/>
          <cell r="G51"/>
          <cell r="H51"/>
          <cell r="I51"/>
          <cell r="J51"/>
          <cell r="K51"/>
          <cell r="L51"/>
          <cell r="M51">
            <v>-3.8033712900000021</v>
          </cell>
          <cell r="N51">
            <v>-10.006347880000002</v>
          </cell>
          <cell r="O51">
            <v>-21.083600000000001</v>
          </cell>
          <cell r="P51">
            <v>-38.931368119999995</v>
          </cell>
          <cell r="Q51">
            <v>-50.072408137721595</v>
          </cell>
          <cell r="R51">
            <v>-53.693323972214209</v>
          </cell>
          <cell r="S51">
            <v>-54.958881434170891</v>
          </cell>
          <cell r="T51">
            <v>-55.486723277621259</v>
          </cell>
          <cell r="U51">
            <v>-55.783507146992626</v>
          </cell>
          <cell r="V51">
            <v>-56.007921954294261</v>
          </cell>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row>
        <row r="52">
          <cell r="B52" t="str">
            <v>Net intangible assets</v>
          </cell>
          <cell r="C52" t="str">
            <v>NET_INTANG</v>
          </cell>
          <cell r="D52" t="str">
            <v>CNY</v>
          </cell>
          <cell r="F52"/>
          <cell r="G52"/>
          <cell r="H52"/>
          <cell r="I52"/>
          <cell r="J52"/>
          <cell r="K52"/>
          <cell r="L52"/>
          <cell r="M52">
            <v>17.94813559</v>
          </cell>
          <cell r="N52">
            <v>20.788374670000003</v>
          </cell>
          <cell r="O52">
            <v>25.970718919999999</v>
          </cell>
          <cell r="P52">
            <v>16.221839969999998</v>
          </cell>
          <cell r="Q52">
            <v>5.2722113122784009</v>
          </cell>
          <cell r="R52">
            <v>1.8427068377857907</v>
          </cell>
          <cell r="S52">
            <v>0.76856073582910511</v>
          </cell>
          <cell r="T52">
            <v>0.43213025237874092</v>
          </cell>
          <cell r="U52">
            <v>0.32675774300737714</v>
          </cell>
          <cell r="V52">
            <v>0.29375429570573885</v>
          </cell>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row>
        <row r="53">
          <cell r="B53" t="str">
            <v>Equity method investments</v>
          </cell>
          <cell r="C53" t="str">
            <v>FIX_ASS_INV</v>
          </cell>
          <cell r="D53" t="str">
            <v>CNY</v>
          </cell>
          <cell r="F53"/>
          <cell r="G53"/>
          <cell r="H53"/>
          <cell r="I53"/>
          <cell r="J53"/>
          <cell r="K53"/>
          <cell r="L53"/>
          <cell r="M53">
            <v>0</v>
          </cell>
          <cell r="N53">
            <v>0</v>
          </cell>
          <cell r="O53">
            <v>0</v>
          </cell>
          <cell r="P53">
            <v>0</v>
          </cell>
          <cell r="Q53">
            <v>0</v>
          </cell>
          <cell r="R53">
            <v>0</v>
          </cell>
          <cell r="S53">
            <v>0</v>
          </cell>
          <cell r="T53">
            <v>0</v>
          </cell>
          <cell r="U53">
            <v>0</v>
          </cell>
          <cell r="V53">
            <v>0</v>
          </cell>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row>
        <row r="54">
          <cell r="B54" t="str">
            <v>Investments in securities</v>
          </cell>
          <cell r="C54" t="str">
            <v>INV_SECUR</v>
          </cell>
          <cell r="D54" t="str">
            <v>CNY</v>
          </cell>
          <cell r="F54"/>
          <cell r="G54"/>
          <cell r="H54"/>
          <cell r="I54"/>
          <cell r="J54"/>
          <cell r="K54"/>
          <cell r="L54"/>
          <cell r="M54">
            <v>0</v>
          </cell>
          <cell r="N54">
            <v>0</v>
          </cell>
          <cell r="O54">
            <v>0</v>
          </cell>
          <cell r="P54">
            <v>0</v>
          </cell>
          <cell r="Q54">
            <v>0</v>
          </cell>
          <cell r="R54">
            <v>0</v>
          </cell>
          <cell r="S54">
            <v>0</v>
          </cell>
          <cell r="T54">
            <v>0</v>
          </cell>
          <cell r="U54">
            <v>0</v>
          </cell>
          <cell r="V54">
            <v>0</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row>
        <row r="55">
          <cell r="B55" t="str">
            <v>Other long-term assets</v>
          </cell>
          <cell r="C55" t="str">
            <v>OTH_LT_ASS</v>
          </cell>
          <cell r="D55" t="str">
            <v>CNY</v>
          </cell>
          <cell r="F55"/>
          <cell r="G55"/>
          <cell r="H55"/>
          <cell r="I55"/>
          <cell r="J55"/>
          <cell r="K55"/>
          <cell r="L55"/>
          <cell r="M55">
            <v>12.755740349999996</v>
          </cell>
          <cell r="N55">
            <v>20.377118639999999</v>
          </cell>
          <cell r="O55">
            <v>45.00411556000001</v>
          </cell>
          <cell r="P55">
            <v>58.115411170000002</v>
          </cell>
          <cell r="Q55">
            <v>58.115411170000002</v>
          </cell>
          <cell r="R55">
            <v>58.115411170000002</v>
          </cell>
          <cell r="S55">
            <v>58.115411170000002</v>
          </cell>
          <cell r="T55">
            <v>58.115411170000002</v>
          </cell>
          <cell r="U55">
            <v>58.115411170000002</v>
          </cell>
          <cell r="V55">
            <v>58.115411170000002</v>
          </cell>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row>
        <row r="56">
          <cell r="B56" t="str">
            <v>Total assets</v>
          </cell>
          <cell r="C56" t="str">
            <v>TOT_ASSET</v>
          </cell>
          <cell r="D56" t="str">
            <v>CNY</v>
          </cell>
          <cell r="F56"/>
          <cell r="G56"/>
          <cell r="H56"/>
          <cell r="I56"/>
          <cell r="J56"/>
          <cell r="K56"/>
          <cell r="L56"/>
          <cell r="M56">
            <v>1121.3440519800001</v>
          </cell>
          <cell r="N56">
            <v>1474.6932767200001</v>
          </cell>
          <cell r="O56">
            <v>4180.6573973000004</v>
          </cell>
          <cell r="P56">
            <v>7780.7534566099994</v>
          </cell>
          <cell r="Q56">
            <v>8471.0876927351655</v>
          </cell>
          <cell r="R56">
            <v>9365.010190365203</v>
          </cell>
          <cell r="S56">
            <v>10876.075186486085</v>
          </cell>
          <cell r="T56">
            <v>13300.16060600269</v>
          </cell>
          <cell r="U56">
            <v>16751.032264885966</v>
          </cell>
          <cell r="V56">
            <v>21804.032464601245</v>
          </cell>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row>
        <row r="57">
          <cell r="B57" t="str">
            <v>Accounts payable</v>
          </cell>
          <cell r="C57" t="str">
            <v>ACC_PAY_GQ</v>
          </cell>
          <cell r="D57" t="str">
            <v>CNY</v>
          </cell>
          <cell r="F57"/>
          <cell r="G57"/>
          <cell r="H57"/>
          <cell r="I57"/>
          <cell r="J57"/>
          <cell r="K57"/>
          <cell r="L57"/>
          <cell r="M57">
            <v>112.21037892</v>
          </cell>
          <cell r="N57">
            <v>107.3133165</v>
          </cell>
          <cell r="O57">
            <v>74.377569099999988</v>
          </cell>
          <cell r="P57">
            <v>91.294057840000008</v>
          </cell>
          <cell r="Q57">
            <v>97.66517547989416</v>
          </cell>
          <cell r="R57">
            <v>163.18059703826077</v>
          </cell>
          <cell r="S57">
            <v>250.95290378823177</v>
          </cell>
          <cell r="T57">
            <v>439.5068144362973</v>
          </cell>
          <cell r="U57">
            <v>608.90356220881984</v>
          </cell>
          <cell r="V57">
            <v>987.6024382799045</v>
          </cell>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row>
        <row r="58">
          <cell r="B58" t="str">
            <v>Short-term debt</v>
          </cell>
          <cell r="C58" t="str">
            <v>SHORT_T_DEBT</v>
          </cell>
          <cell r="D58" t="str">
            <v>CNY</v>
          </cell>
          <cell r="F58"/>
          <cell r="G58"/>
          <cell r="H58"/>
          <cell r="I58"/>
          <cell r="J58"/>
          <cell r="K58"/>
          <cell r="L58"/>
          <cell r="M58">
            <v>0</v>
          </cell>
          <cell r="N58">
            <v>0</v>
          </cell>
          <cell r="O58">
            <v>0</v>
          </cell>
          <cell r="P58">
            <v>0</v>
          </cell>
          <cell r="Q58">
            <v>0</v>
          </cell>
          <cell r="R58">
            <v>0</v>
          </cell>
          <cell r="S58">
            <v>0</v>
          </cell>
          <cell r="T58">
            <v>0</v>
          </cell>
          <cell r="U58">
            <v>0</v>
          </cell>
          <cell r="V58">
            <v>0</v>
          </cell>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row>
        <row r="59">
          <cell r="B59" t="str">
            <v>Current lease liabilities (op lease: US GAAP)</v>
          </cell>
          <cell r="C59" t="str">
            <v>ST_LEASE_LIAB</v>
          </cell>
          <cell r="D59" t="str">
            <v>CNY</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row>
        <row r="60">
          <cell r="B60" t="str">
            <v>Other current liabilities</v>
          </cell>
          <cell r="C60" t="str">
            <v>OTH_CUR_LIABS</v>
          </cell>
          <cell r="D60" t="str">
            <v>CNY</v>
          </cell>
          <cell r="F60"/>
          <cell r="G60"/>
          <cell r="H60"/>
          <cell r="I60"/>
          <cell r="J60"/>
          <cell r="K60"/>
          <cell r="L60"/>
          <cell r="M60">
            <v>108.02176914000002</v>
          </cell>
          <cell r="N60">
            <v>160.54430723000002</v>
          </cell>
          <cell r="O60">
            <v>352.64629939999998</v>
          </cell>
          <cell r="P60">
            <v>188.41860372000002</v>
          </cell>
          <cell r="Q60">
            <v>188.41860372000002</v>
          </cell>
          <cell r="R60">
            <v>188.41860372000002</v>
          </cell>
          <cell r="S60">
            <v>188.41860372000002</v>
          </cell>
          <cell r="T60">
            <v>188.41860372000002</v>
          </cell>
          <cell r="U60">
            <v>188.41860372000002</v>
          </cell>
          <cell r="V60">
            <v>188.41860372000002</v>
          </cell>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row>
        <row r="61">
          <cell r="B61" t="str">
            <v>Total current liabilities</v>
          </cell>
          <cell r="C61" t="str">
            <v>SHORT_TERM_LIABS</v>
          </cell>
          <cell r="D61" t="str">
            <v>CNY</v>
          </cell>
          <cell r="F61"/>
          <cell r="G61"/>
          <cell r="H61"/>
          <cell r="I61"/>
          <cell r="J61"/>
          <cell r="K61"/>
          <cell r="L61"/>
          <cell r="M61">
            <v>220.23214806000001</v>
          </cell>
          <cell r="N61">
            <v>267.85762373</v>
          </cell>
          <cell r="O61">
            <v>427.02386849999994</v>
          </cell>
          <cell r="P61">
            <v>279.71266156000002</v>
          </cell>
          <cell r="Q61">
            <v>286.0837791998942</v>
          </cell>
          <cell r="R61">
            <v>351.59920075826079</v>
          </cell>
          <cell r="S61">
            <v>439.37150750823179</v>
          </cell>
          <cell r="T61">
            <v>627.92541815629738</v>
          </cell>
          <cell r="U61">
            <v>797.32216592881991</v>
          </cell>
          <cell r="V61">
            <v>1176.0210419999046</v>
          </cell>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row>
        <row r="62">
          <cell r="B62" t="str">
            <v>Long-term  debt</v>
          </cell>
          <cell r="C62" t="str">
            <v>LT_DEBT</v>
          </cell>
          <cell r="D62" t="str">
            <v>CNY</v>
          </cell>
          <cell r="F62"/>
          <cell r="G62"/>
          <cell r="H62"/>
          <cell r="I62"/>
          <cell r="J62"/>
          <cell r="K62"/>
          <cell r="L62"/>
          <cell r="M62">
            <v>0</v>
          </cell>
          <cell r="N62">
            <v>0</v>
          </cell>
          <cell r="O62">
            <v>0</v>
          </cell>
          <cell r="P62">
            <v>0</v>
          </cell>
          <cell r="Q62">
            <v>0</v>
          </cell>
          <cell r="R62">
            <v>0</v>
          </cell>
          <cell r="S62">
            <v>0</v>
          </cell>
          <cell r="T62">
            <v>0</v>
          </cell>
          <cell r="U62">
            <v>0</v>
          </cell>
          <cell r="V62">
            <v>0</v>
          </cell>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row>
        <row r="63">
          <cell r="B63" t="str">
            <v>Non-current lease liabilities (op lease: US GAAP)</v>
          </cell>
          <cell r="C63" t="str">
            <v>LT_LEASE_LIAB</v>
          </cell>
          <cell r="D63" t="str">
            <v>CNY</v>
          </cell>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row>
        <row r="64">
          <cell r="B64" t="str">
            <v>Other long-term liabilities</v>
          </cell>
          <cell r="C64" t="str">
            <v>OTH_LT_CRED_GQ</v>
          </cell>
          <cell r="D64" t="str">
            <v>CNY</v>
          </cell>
          <cell r="F64"/>
          <cell r="G64"/>
          <cell r="H64"/>
          <cell r="I64"/>
          <cell r="J64"/>
          <cell r="K64"/>
          <cell r="L64"/>
          <cell r="M64">
            <v>18.088000000000001</v>
          </cell>
          <cell r="N64">
            <v>19.827999999999999</v>
          </cell>
          <cell r="O64">
            <v>137.88376387</v>
          </cell>
          <cell r="P64">
            <v>171.31644438000001</v>
          </cell>
          <cell r="Q64">
            <v>171.31644438000001</v>
          </cell>
          <cell r="R64">
            <v>171.31644438000001</v>
          </cell>
          <cell r="S64">
            <v>171.31644438000001</v>
          </cell>
          <cell r="T64">
            <v>171.31644438000001</v>
          </cell>
          <cell r="U64">
            <v>171.31644438000001</v>
          </cell>
          <cell r="V64">
            <v>171.31644438000001</v>
          </cell>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row>
        <row r="65">
          <cell r="B65" t="str">
            <v>Total long-term liabilities</v>
          </cell>
          <cell r="C65" t="str">
            <v>TOT_LT_LIAB</v>
          </cell>
          <cell r="D65" t="str">
            <v>CNY</v>
          </cell>
          <cell r="F65"/>
          <cell r="G65"/>
          <cell r="H65"/>
          <cell r="I65"/>
          <cell r="J65"/>
          <cell r="K65"/>
          <cell r="L65"/>
          <cell r="M65">
            <v>18.088000000000001</v>
          </cell>
          <cell r="N65">
            <v>19.827999999999999</v>
          </cell>
          <cell r="O65">
            <v>137.88376387</v>
          </cell>
          <cell r="P65">
            <v>171.31644438000001</v>
          </cell>
          <cell r="Q65">
            <v>171.31644438000001</v>
          </cell>
          <cell r="R65">
            <v>171.31644438000001</v>
          </cell>
          <cell r="S65">
            <v>171.31644438000001</v>
          </cell>
          <cell r="T65">
            <v>171.31644438000001</v>
          </cell>
          <cell r="U65">
            <v>171.31644438000001</v>
          </cell>
          <cell r="V65">
            <v>171.31644438000001</v>
          </cell>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row>
        <row r="66">
          <cell r="B66" t="str">
            <v>Total liabilities</v>
          </cell>
          <cell r="C66" t="str">
            <v>TOT_LIAB</v>
          </cell>
          <cell r="D66" t="str">
            <v>CNY</v>
          </cell>
          <cell r="F66"/>
          <cell r="G66"/>
          <cell r="H66"/>
          <cell r="I66"/>
          <cell r="J66"/>
          <cell r="K66"/>
          <cell r="L66"/>
          <cell r="M66">
            <v>238.32014806000001</v>
          </cell>
          <cell r="N66">
            <v>287.68562372999997</v>
          </cell>
          <cell r="O66">
            <v>564.90763236999987</v>
          </cell>
          <cell r="P66">
            <v>451.02910594000002</v>
          </cell>
          <cell r="Q66">
            <v>457.4002235798942</v>
          </cell>
          <cell r="R66">
            <v>522.91564513826074</v>
          </cell>
          <cell r="S66">
            <v>610.68795188823174</v>
          </cell>
          <cell r="T66">
            <v>799.24186253629739</v>
          </cell>
          <cell r="U66">
            <v>968.63861030881992</v>
          </cell>
          <cell r="V66">
            <v>1347.3374863799045</v>
          </cell>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row>
        <row r="67">
          <cell r="B67" t="str">
            <v>Preferred shares</v>
          </cell>
          <cell r="C67" t="str">
            <v>PREF_SH</v>
          </cell>
          <cell r="D67" t="str">
            <v>CNY</v>
          </cell>
          <cell r="F67"/>
          <cell r="G67"/>
          <cell r="H67"/>
          <cell r="I67"/>
          <cell r="J67"/>
          <cell r="K67"/>
          <cell r="L67"/>
          <cell r="M67">
            <v>0</v>
          </cell>
          <cell r="N67">
            <v>0</v>
          </cell>
          <cell r="O67">
            <v>0</v>
          </cell>
          <cell r="P67">
            <v>0</v>
          </cell>
          <cell r="Q67">
            <v>0</v>
          </cell>
          <cell r="R67">
            <v>0</v>
          </cell>
          <cell r="S67">
            <v>0</v>
          </cell>
          <cell r="T67">
            <v>0</v>
          </cell>
          <cell r="U67">
            <v>0</v>
          </cell>
          <cell r="V67">
            <v>0</v>
          </cell>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row>
        <row r="68">
          <cell r="B68" t="str">
            <v>Total common equity</v>
          </cell>
          <cell r="C68" t="str">
            <v>ORD_SH_FUND</v>
          </cell>
          <cell r="D68" t="str">
            <v>CNY</v>
          </cell>
          <cell r="F68"/>
          <cell r="G68"/>
          <cell r="H68"/>
          <cell r="I68"/>
          <cell r="J68"/>
          <cell r="K68"/>
          <cell r="L68"/>
          <cell r="M68">
            <v>883.02390391999995</v>
          </cell>
          <cell r="N68">
            <v>1187.00765299</v>
          </cell>
          <cell r="O68">
            <v>3615.7497649299999</v>
          </cell>
          <cell r="P68">
            <v>7329.7243506699997</v>
          </cell>
          <cell r="Q68">
            <v>8013.6874691552712</v>
          </cell>
          <cell r="R68">
            <v>8842.0945452269425</v>
          </cell>
          <cell r="S68">
            <v>10265.387234597853</v>
          </cell>
          <cell r="T68">
            <v>12500.918743466393</v>
          </cell>
          <cell r="U68">
            <v>15782.393654577145</v>
          </cell>
          <cell r="V68">
            <v>20456.694978221341</v>
          </cell>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row>
        <row r="69">
          <cell r="B69" t="str">
            <v>Minority interest</v>
          </cell>
          <cell r="C69" t="str">
            <v>MINORITIES</v>
          </cell>
          <cell r="D69" t="str">
            <v>CNY</v>
          </cell>
          <cell r="F69"/>
          <cell r="G69"/>
          <cell r="H69"/>
          <cell r="I69"/>
          <cell r="J69"/>
          <cell r="K69"/>
          <cell r="L69"/>
          <cell r="M69">
            <v>0</v>
          </cell>
          <cell r="N69">
            <v>0</v>
          </cell>
          <cell r="O69">
            <v>0</v>
          </cell>
          <cell r="P69">
            <v>0</v>
          </cell>
          <cell r="Q69">
            <v>0</v>
          </cell>
          <cell r="R69">
            <v>0</v>
          </cell>
          <cell r="S69">
            <v>0</v>
          </cell>
          <cell r="T69">
            <v>0</v>
          </cell>
          <cell r="U69">
            <v>0</v>
          </cell>
          <cell r="V69">
            <v>0</v>
          </cell>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row>
        <row r="70">
          <cell r="B70" t="str">
            <v>Total shareholders' equity</v>
          </cell>
          <cell r="C70" t="str">
            <v>EQ</v>
          </cell>
          <cell r="D70" t="str">
            <v>CNY</v>
          </cell>
          <cell r="F70"/>
          <cell r="G70"/>
          <cell r="H70"/>
          <cell r="I70"/>
          <cell r="J70"/>
          <cell r="K70"/>
          <cell r="L70"/>
          <cell r="M70">
            <v>883.02390391999995</v>
          </cell>
          <cell r="N70">
            <v>1187.00765299</v>
          </cell>
          <cell r="O70">
            <v>3615.7497649299999</v>
          </cell>
          <cell r="P70">
            <v>7329.7243506699997</v>
          </cell>
          <cell r="Q70">
            <v>8013.6874691552712</v>
          </cell>
          <cell r="R70">
            <v>8842.0945452269425</v>
          </cell>
          <cell r="S70">
            <v>10265.387234597853</v>
          </cell>
          <cell r="T70">
            <v>12500.918743466393</v>
          </cell>
          <cell r="U70">
            <v>15782.393654577145</v>
          </cell>
          <cell r="V70">
            <v>20456.694978221341</v>
          </cell>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row>
        <row r="71">
          <cell r="B71" t="str">
            <v>Total liabilities and equity</v>
          </cell>
          <cell r="C71" t="str">
            <v>TOT_LIAB_EQ</v>
          </cell>
          <cell r="D71" t="str">
            <v>CNY</v>
          </cell>
          <cell r="F71"/>
          <cell r="G71"/>
          <cell r="H71"/>
          <cell r="I71"/>
          <cell r="J71"/>
          <cell r="K71"/>
          <cell r="L71"/>
          <cell r="M71">
            <v>1121.3440519799999</v>
          </cell>
          <cell r="N71">
            <v>1474.6932767200001</v>
          </cell>
          <cell r="O71">
            <v>4180.6573972999995</v>
          </cell>
          <cell r="P71">
            <v>7780.7534566099994</v>
          </cell>
          <cell r="Q71">
            <v>8471.0876927351655</v>
          </cell>
          <cell r="R71">
            <v>9365.010190365203</v>
          </cell>
          <cell r="S71">
            <v>10876.075186486085</v>
          </cell>
          <cell r="T71">
            <v>13300.16060600269</v>
          </cell>
          <cell r="U71">
            <v>16751.032264885966</v>
          </cell>
          <cell r="V71">
            <v>21804.032464601245</v>
          </cell>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row>
        <row r="72">
          <cell r="A72" t="str">
            <v>Additional Balance Sheet Items</v>
          </cell>
          <cell r="B72"/>
          <cell r="C72"/>
          <cell r="D72"/>
          <cell r="F72"/>
          <cell r="G72"/>
          <cell r="H72"/>
          <cell r="I72"/>
          <cell r="J72"/>
          <cell r="K72"/>
          <cell r="L72"/>
          <cell r="M72"/>
          <cell r="N72"/>
          <cell r="O72"/>
          <cell r="P72"/>
          <cell r="Q72"/>
          <cell r="R72"/>
          <cell r="S72"/>
          <cell r="T72"/>
          <cell r="U72"/>
          <cell r="V72"/>
        </row>
        <row r="73">
          <cell r="B73" t="str">
            <v>Total US$ debt (in US$)</v>
          </cell>
          <cell r="C73" t="str">
            <v>TOT_USD_DEBT</v>
          </cell>
          <cell r="F73"/>
          <cell r="G73"/>
          <cell r="H73"/>
          <cell r="I73"/>
          <cell r="J73"/>
          <cell r="K73"/>
          <cell r="L73"/>
          <cell r="M73">
            <v>0</v>
          </cell>
          <cell r="N73">
            <v>0</v>
          </cell>
          <cell r="O73">
            <v>0</v>
          </cell>
          <cell r="P73">
            <v>0</v>
          </cell>
          <cell r="Q73">
            <v>0</v>
          </cell>
          <cell r="R73">
            <v>0</v>
          </cell>
          <cell r="S73">
            <v>0</v>
          </cell>
          <cell r="T73">
            <v>0</v>
          </cell>
          <cell r="U73">
            <v>0</v>
          </cell>
          <cell r="V73">
            <v>0</v>
          </cell>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row>
        <row r="74">
          <cell r="B74" t="str">
            <v>% US$ debt hedged (principal)</v>
          </cell>
          <cell r="C74" t="str">
            <v>TOT_PCT_USD_DEBT_HEDGED</v>
          </cell>
          <cell r="F74"/>
          <cell r="G74"/>
          <cell r="H74"/>
          <cell r="I74"/>
          <cell r="J74"/>
          <cell r="K74"/>
          <cell r="L74"/>
          <cell r="M74">
            <v>0</v>
          </cell>
          <cell r="N74">
            <v>0</v>
          </cell>
          <cell r="O74">
            <v>0</v>
          </cell>
          <cell r="P74">
            <v>0</v>
          </cell>
          <cell r="Q74">
            <v>0</v>
          </cell>
          <cell r="R74">
            <v>0</v>
          </cell>
          <cell r="S74">
            <v>0</v>
          </cell>
          <cell r="T74">
            <v>0</v>
          </cell>
          <cell r="U74">
            <v>0</v>
          </cell>
          <cell r="V74">
            <v>0</v>
          </cell>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row>
        <row r="75">
          <cell r="B75" t="str">
            <v>% Floating debt (local currency debt)</v>
          </cell>
          <cell r="C75" t="str">
            <v>FLOATING_PCT_LOCAL_DEBT</v>
          </cell>
          <cell r="F75"/>
          <cell r="G75"/>
          <cell r="H75"/>
          <cell r="I75"/>
          <cell r="J75"/>
          <cell r="K75"/>
          <cell r="L75"/>
          <cell r="M75">
            <v>0</v>
          </cell>
          <cell r="N75">
            <v>0</v>
          </cell>
          <cell r="O75">
            <v>0</v>
          </cell>
          <cell r="P75">
            <v>0</v>
          </cell>
          <cell r="Q75">
            <v>0</v>
          </cell>
          <cell r="R75">
            <v>0</v>
          </cell>
          <cell r="S75">
            <v>0</v>
          </cell>
          <cell r="T75">
            <v>0</v>
          </cell>
          <cell r="U75">
            <v>0</v>
          </cell>
          <cell r="V75">
            <v>0</v>
          </cell>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row>
        <row r="76">
          <cell r="B76" t="str">
            <v>% floating debt hedged (rates)</v>
          </cell>
          <cell r="C76" t="str">
            <v>FLOATING_PCT_LOCAL_DEBT_HEDGED</v>
          </cell>
          <cell r="F76"/>
          <cell r="G76"/>
          <cell r="H76"/>
          <cell r="I76"/>
          <cell r="J76"/>
          <cell r="K76"/>
          <cell r="L76"/>
          <cell r="M76">
            <v>0</v>
          </cell>
          <cell r="N76">
            <v>0</v>
          </cell>
          <cell r="O76">
            <v>0</v>
          </cell>
          <cell r="P76">
            <v>0</v>
          </cell>
          <cell r="Q76">
            <v>0</v>
          </cell>
          <cell r="R76">
            <v>0</v>
          </cell>
          <cell r="S76">
            <v>0</v>
          </cell>
          <cell r="T76">
            <v>0</v>
          </cell>
          <cell r="U76">
            <v>0</v>
          </cell>
          <cell r="V76">
            <v>0</v>
          </cell>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row>
        <row r="77">
          <cell r="B77" t="str">
            <v>Net debt</v>
          </cell>
          <cell r="C77" t="str">
            <v>NET_DEBT</v>
          </cell>
          <cell r="D77" t="str">
            <v>CNY</v>
          </cell>
          <cell r="F77"/>
          <cell r="G77"/>
          <cell r="H77"/>
          <cell r="I77"/>
          <cell r="J77"/>
          <cell r="K77"/>
          <cell r="L77"/>
          <cell r="M77">
            <v>-727.46094485000003</v>
          </cell>
          <cell r="N77">
            <v>-917.78587001999995</v>
          </cell>
          <cell r="O77">
            <v>-3679.9912865199999</v>
          </cell>
          <cell r="P77">
            <v>-7257.0637287700001</v>
          </cell>
          <cell r="Q77">
            <v>-7814.8801408988584</v>
          </cell>
          <cell r="R77">
            <v>-8601.2324105704574</v>
          </cell>
          <cell r="S77">
            <v>-9648.7027892296719</v>
          </cell>
          <cell r="T77">
            <v>-11641.409524047014</v>
          </cell>
          <cell r="U77">
            <v>-14365.375375078411</v>
          </cell>
          <cell r="V77">
            <v>-18519.881923836139</v>
          </cell>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row>
        <row r="78">
          <cell r="B78" t="str">
            <v>Capitalized operating leases (off-balance sheet)</v>
          </cell>
          <cell r="C78" t="str">
            <v>CAP_LEASES</v>
          </cell>
          <cell r="D78" t="str">
            <v>CNY</v>
          </cell>
          <cell r="F78"/>
          <cell r="G78"/>
          <cell r="H78"/>
          <cell r="I78"/>
          <cell r="J78"/>
          <cell r="K78"/>
          <cell r="L78"/>
          <cell r="M78">
            <v>0</v>
          </cell>
          <cell r="N78">
            <v>0</v>
          </cell>
          <cell r="O78">
            <v>0</v>
          </cell>
          <cell r="P78">
            <v>0</v>
          </cell>
          <cell r="Q78">
            <v>0</v>
          </cell>
          <cell r="R78">
            <v>0</v>
          </cell>
          <cell r="S78">
            <v>0</v>
          </cell>
          <cell r="T78">
            <v>0</v>
          </cell>
          <cell r="U78">
            <v>0</v>
          </cell>
          <cell r="V78">
            <v>0</v>
          </cell>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row>
        <row r="79">
          <cell r="B79" t="str">
            <v>Deferred income taxes</v>
          </cell>
          <cell r="C79" t="str">
            <v>DEF_INC_TAX</v>
          </cell>
          <cell r="D79" t="str">
            <v>CNY</v>
          </cell>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row>
        <row r="80">
          <cell r="B80" t="str">
            <v>Associates (mkt value) used in EV calculation</v>
          </cell>
          <cell r="C80" t="str">
            <v>MV_ASSOCIATES</v>
          </cell>
          <cell r="D80" t="str">
            <v>CNY</v>
          </cell>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row>
        <row r="81">
          <cell r="B81" t="str">
            <v>Net debt adjustment</v>
          </cell>
          <cell r="C81" t="str">
            <v>NET_DEBT_ADJ</v>
          </cell>
          <cell r="D81" t="str">
            <v>CNY</v>
          </cell>
          <cell r="F81"/>
          <cell r="G81"/>
          <cell r="H81"/>
          <cell r="I81"/>
          <cell r="J81"/>
          <cell r="K81"/>
          <cell r="L81"/>
          <cell r="M81">
            <v>-273.11</v>
          </cell>
          <cell r="N81">
            <v>-230</v>
          </cell>
          <cell r="O81">
            <v>0</v>
          </cell>
          <cell r="P81">
            <v>0</v>
          </cell>
          <cell r="Q81">
            <v>0</v>
          </cell>
          <cell r="R81">
            <v>0</v>
          </cell>
          <cell r="S81">
            <v>0</v>
          </cell>
          <cell r="T81">
            <v>0</v>
          </cell>
          <cell r="U81">
            <v>0</v>
          </cell>
          <cell r="V81">
            <v>0</v>
          </cell>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row>
        <row r="82">
          <cell r="B82" t="str">
            <v>Company borrowing margin</v>
          </cell>
          <cell r="C82" t="str">
            <v>CO_BOR_MARGIN</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row>
        <row r="83">
          <cell r="B83" t="str">
            <v>Unfunded pensions &amp; other provisions</v>
          </cell>
          <cell r="C83" t="str">
            <v>UNF_PENS</v>
          </cell>
          <cell r="D83" t="str">
            <v>CNY</v>
          </cell>
          <cell r="F83"/>
          <cell r="G83"/>
          <cell r="H83"/>
          <cell r="I83"/>
          <cell r="J83"/>
          <cell r="K83"/>
          <cell r="L83"/>
          <cell r="M83">
            <v>0</v>
          </cell>
          <cell r="N83">
            <v>0</v>
          </cell>
          <cell r="O83">
            <v>0</v>
          </cell>
          <cell r="P83">
            <v>0</v>
          </cell>
          <cell r="Q83">
            <v>0</v>
          </cell>
          <cell r="R83">
            <v>0</v>
          </cell>
          <cell r="S83">
            <v>0</v>
          </cell>
          <cell r="T83">
            <v>0</v>
          </cell>
          <cell r="U83">
            <v>0</v>
          </cell>
          <cell r="V83">
            <v>0</v>
          </cell>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row>
        <row r="84">
          <cell r="B84" t="str">
            <v>Unfunded pension liabilities (off balance sheet)</v>
          </cell>
          <cell r="C84" t="str">
            <v>UNF_PENS_OFF</v>
          </cell>
          <cell r="D84" t="str">
            <v>CNY</v>
          </cell>
          <cell r="F84"/>
          <cell r="G84"/>
          <cell r="H84"/>
          <cell r="I84"/>
          <cell r="J84"/>
          <cell r="K84"/>
          <cell r="L84"/>
          <cell r="M84">
            <v>0</v>
          </cell>
          <cell r="N84">
            <v>0</v>
          </cell>
          <cell r="O84">
            <v>0</v>
          </cell>
          <cell r="P84">
            <v>0</v>
          </cell>
          <cell r="Q84">
            <v>0</v>
          </cell>
          <cell r="R84">
            <v>0</v>
          </cell>
          <cell r="S84">
            <v>0</v>
          </cell>
          <cell r="T84">
            <v>0</v>
          </cell>
          <cell r="U84">
            <v>0</v>
          </cell>
          <cell r="V84">
            <v>0</v>
          </cell>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row>
        <row r="85">
          <cell r="B85" t="str">
            <v>Unfunded pension liabilities &amp; other, used in EV</v>
          </cell>
          <cell r="C85" t="str">
            <v>UNF_PENS_LIAB_OTH</v>
          </cell>
          <cell r="D85" t="str">
            <v>CNY</v>
          </cell>
          <cell r="F85"/>
          <cell r="G85"/>
          <cell r="H85"/>
          <cell r="I85"/>
          <cell r="J85"/>
          <cell r="K85"/>
          <cell r="L85"/>
          <cell r="M85">
            <v>0</v>
          </cell>
          <cell r="N85">
            <v>0</v>
          </cell>
          <cell r="O85">
            <v>0</v>
          </cell>
          <cell r="P85">
            <v>0</v>
          </cell>
          <cell r="Q85">
            <v>0</v>
          </cell>
          <cell r="R85">
            <v>0</v>
          </cell>
          <cell r="S85">
            <v>0</v>
          </cell>
          <cell r="T85">
            <v>0</v>
          </cell>
          <cell r="U85">
            <v>0</v>
          </cell>
          <cell r="V85">
            <v>0</v>
          </cell>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row>
        <row r="86">
          <cell r="B86" t="str">
            <v>Adjustment for unfunded pensions &amp; goodwill</v>
          </cell>
          <cell r="C86" t="str">
            <v>ADJ_UNF_PENS_GOOD</v>
          </cell>
          <cell r="D86" t="str">
            <v>CNY</v>
          </cell>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row>
        <row r="87">
          <cell r="B87" t="str">
            <v>Other GCI adjustments</v>
          </cell>
          <cell r="C87" t="str">
            <v>OTH_GCI_ADJ</v>
          </cell>
          <cell r="D87" t="str">
            <v>CNY</v>
          </cell>
          <cell r="F87"/>
          <cell r="G87"/>
          <cell r="H87"/>
          <cell r="I87"/>
          <cell r="J87"/>
          <cell r="K87"/>
          <cell r="L87"/>
          <cell r="M87">
            <v>454.35094485000002</v>
          </cell>
          <cell r="N87">
            <v>687.78587001999995</v>
          </cell>
          <cell r="O87">
            <v>3679.9912865199999</v>
          </cell>
          <cell r="P87">
            <v>7257.0637287700001</v>
          </cell>
          <cell r="Q87">
            <v>7814.8801408988584</v>
          </cell>
          <cell r="R87">
            <v>8601.2324105704574</v>
          </cell>
          <cell r="S87">
            <v>9648.7027892296719</v>
          </cell>
          <cell r="T87">
            <v>11641.409524047014</v>
          </cell>
          <cell r="U87">
            <v>14365.375375078411</v>
          </cell>
          <cell r="V87">
            <v>18519.881923836139</v>
          </cell>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row>
        <row r="88">
          <cell r="B88" t="str">
            <v>GCI inflator</v>
          </cell>
          <cell r="C88" t="str">
            <v>GCI_INFL</v>
          </cell>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row>
        <row r="89">
          <cell r="B89" t="str">
            <v>Minority interest</v>
          </cell>
          <cell r="C89" t="str">
            <v>BAL_MINO_INT</v>
          </cell>
          <cell r="D89" t="str">
            <v>CNY</v>
          </cell>
          <cell r="F89"/>
          <cell r="G89"/>
          <cell r="H89"/>
          <cell r="I89"/>
          <cell r="J89"/>
          <cell r="K89"/>
          <cell r="L89"/>
          <cell r="M89">
            <v>0</v>
          </cell>
          <cell r="N89">
            <v>0</v>
          </cell>
          <cell r="O89">
            <v>0</v>
          </cell>
          <cell r="P89">
            <v>0</v>
          </cell>
          <cell r="Q89">
            <v>0</v>
          </cell>
          <cell r="R89">
            <v>0</v>
          </cell>
          <cell r="S89">
            <v>0</v>
          </cell>
          <cell r="T89">
            <v>0</v>
          </cell>
          <cell r="U89">
            <v>0</v>
          </cell>
          <cell r="V89">
            <v>0</v>
          </cell>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row>
        <row r="90">
          <cell r="B90" t="str">
            <v>Right-of-use assets (op lease assets under US GAAP)</v>
          </cell>
          <cell r="C90" t="str">
            <v>ROU_ASSET</v>
          </cell>
          <cell r="D90" t="str">
            <v>CNY</v>
          </cell>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row>
        <row r="91">
          <cell r="A91" t="str">
            <v>Cash Flow Statement</v>
          </cell>
          <cell r="B91"/>
          <cell r="C91"/>
          <cell r="D91"/>
        </row>
        <row r="92">
          <cell r="B92" t="str">
            <v>Minority interest add-back</v>
          </cell>
          <cell r="C92" t="str">
            <v>CF_INC_MINORITY</v>
          </cell>
          <cell r="D92" t="str">
            <v>CNY</v>
          </cell>
          <cell r="F92"/>
          <cell r="G92"/>
          <cell r="H92"/>
          <cell r="I92"/>
          <cell r="J92"/>
          <cell r="K92"/>
          <cell r="L92"/>
          <cell r="M92">
            <v>0</v>
          </cell>
          <cell r="N92">
            <v>0</v>
          </cell>
          <cell r="O92">
            <v>0</v>
          </cell>
          <cell r="P92">
            <v>0</v>
          </cell>
          <cell r="Q92">
            <v>0</v>
          </cell>
          <cell r="R92">
            <v>0</v>
          </cell>
          <cell r="S92">
            <v>0</v>
          </cell>
          <cell r="T92">
            <v>0</v>
          </cell>
          <cell r="U92">
            <v>0</v>
          </cell>
          <cell r="V92">
            <v>0</v>
          </cell>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row>
        <row r="93">
          <cell r="B93" t="str">
            <v>Depreciation &amp; amortization add-back</v>
          </cell>
          <cell r="C93" t="str">
            <v>DEPR_AMORT</v>
          </cell>
          <cell r="D93" t="str">
            <v>CNY</v>
          </cell>
          <cell r="F93"/>
          <cell r="G93"/>
          <cell r="H93"/>
          <cell r="I93"/>
          <cell r="J93"/>
          <cell r="K93"/>
          <cell r="L93"/>
          <cell r="M93">
            <v>12.858890410000001</v>
          </cell>
          <cell r="N93">
            <v>17.377958360000001</v>
          </cell>
          <cell r="O93">
            <v>20.156712859999999</v>
          </cell>
          <cell r="P93">
            <v>30.221079660000001</v>
          </cell>
          <cell r="Q93">
            <v>25.94349875681198</v>
          </cell>
          <cell r="R93">
            <v>19.654096350777763</v>
          </cell>
          <cell r="S93">
            <v>19.700970241016886</v>
          </cell>
          <cell r="T93">
            <v>21.727290104064537</v>
          </cell>
          <cell r="U93">
            <v>24.04423911756604</v>
          </cell>
          <cell r="V93">
            <v>26.545679532482154</v>
          </cell>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row>
        <row r="94">
          <cell r="B94" t="str">
            <v>(Increase)/decrease in working capital</v>
          </cell>
          <cell r="C94" t="str">
            <v>WORK_CAP</v>
          </cell>
          <cell r="D94" t="str">
            <v>CNY</v>
          </cell>
          <cell r="F94"/>
          <cell r="G94"/>
          <cell r="H94"/>
          <cell r="I94"/>
          <cell r="J94"/>
          <cell r="K94"/>
          <cell r="L94"/>
          <cell r="M94">
            <v>-202.65542834000001</v>
          </cell>
          <cell r="N94">
            <v>58.197881219999992</v>
          </cell>
          <cell r="O94">
            <v>-142.98764408000005</v>
          </cell>
          <cell r="P94">
            <v>90.069569240000021</v>
          </cell>
          <cell r="Q94">
            <v>-134.79576932122472</v>
          </cell>
          <cell r="R94">
            <v>-40.993862072450426</v>
          </cell>
          <cell r="S94">
            <v>-371.72969587655314</v>
          </cell>
          <cell r="T94">
            <v>-238.39826170748557</v>
          </cell>
          <cell r="U94">
            <v>-552.803257640369</v>
          </cell>
          <cell r="V94">
            <v>-514.73454984274258</v>
          </cell>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row>
        <row r="95">
          <cell r="B95" t="str">
            <v>Other operating cash flow items</v>
          </cell>
          <cell r="C95" t="str">
            <v>OTH_OP_CF</v>
          </cell>
          <cell r="D95" t="str">
            <v>CNY</v>
          </cell>
          <cell r="F95"/>
          <cell r="G95"/>
          <cell r="H95"/>
          <cell r="I95"/>
          <cell r="J95"/>
          <cell r="K95"/>
          <cell r="L95"/>
          <cell r="M95">
            <v>484.07701791</v>
          </cell>
          <cell r="N95">
            <v>-195.66042482</v>
          </cell>
          <cell r="O95">
            <v>355.09949469000003</v>
          </cell>
          <cell r="P95">
            <v>-184.18640362999997</v>
          </cell>
          <cell r="Q95">
            <v>0</v>
          </cell>
          <cell r="R95">
            <v>0</v>
          </cell>
          <cell r="S95">
            <v>0</v>
          </cell>
          <cell r="T95">
            <v>0</v>
          </cell>
          <cell r="U95">
            <v>0</v>
          </cell>
          <cell r="V95">
            <v>0</v>
          </cell>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row>
        <row r="96">
          <cell r="B96" t="str">
            <v>Cash flow from operating activities</v>
          </cell>
          <cell r="C96" t="str">
            <v>CF_OPS</v>
          </cell>
          <cell r="D96" t="str">
            <v>CNY</v>
          </cell>
          <cell r="F96"/>
          <cell r="G96"/>
          <cell r="H96"/>
          <cell r="I96"/>
          <cell r="J96"/>
          <cell r="K96"/>
          <cell r="L96"/>
          <cell r="M96">
            <v>387.08476495999997</v>
          </cell>
          <cell r="N96">
            <v>226.83137633999996</v>
          </cell>
          <cell r="O96">
            <v>969.1470016799999</v>
          </cell>
          <cell r="P96">
            <v>868.96263699999997</v>
          </cell>
          <cell r="Q96">
            <v>965.44551154474061</v>
          </cell>
          <cell r="R96">
            <v>1279.8354884035111</v>
          </cell>
          <cell r="S96">
            <v>1883.5306753883201</v>
          </cell>
          <cell r="T96">
            <v>3294.6682759444971</v>
          </cell>
          <cell r="U96">
            <v>4625.4388084891634</v>
          </cell>
          <cell r="V96">
            <v>6853.7151142522871</v>
          </cell>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row>
        <row r="97">
          <cell r="B97" t="str">
            <v>Capital expenditures, Capex</v>
          </cell>
          <cell r="C97" t="str">
            <v>CAPEX</v>
          </cell>
          <cell r="D97" t="str">
            <v>CNY</v>
          </cell>
          <cell r="F97"/>
          <cell r="G97"/>
          <cell r="H97"/>
          <cell r="I97"/>
          <cell r="J97"/>
          <cell r="K97"/>
          <cell r="L97"/>
          <cell r="M97">
            <v>-4.61257567</v>
          </cell>
          <cell r="N97">
            <v>-57.634932490000004</v>
          </cell>
          <cell r="O97">
            <v>-17.894430059999998</v>
          </cell>
          <cell r="P97">
            <v>-21.570191899999998</v>
          </cell>
          <cell r="Q97">
            <v>-17.294435791999998</v>
          </cell>
          <cell r="R97">
            <v>-20.715040678399998</v>
          </cell>
          <cell r="S97">
            <v>-23.793585076159996</v>
          </cell>
          <cell r="T97">
            <v>-26.153802447775998</v>
          </cell>
          <cell r="U97">
            <v>-28.750041556553601</v>
          </cell>
          <cell r="V97">
            <v>-31.605904576208964</v>
          </cell>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row>
        <row r="98">
          <cell r="B98" t="str">
            <v>Acquisitions</v>
          </cell>
          <cell r="C98" t="str">
            <v>ACQ</v>
          </cell>
          <cell r="D98" t="str">
            <v>CNY</v>
          </cell>
          <cell r="F98"/>
          <cell r="G98"/>
          <cell r="H98"/>
          <cell r="I98"/>
          <cell r="J98"/>
          <cell r="K98"/>
          <cell r="L98"/>
          <cell r="M98">
            <v>0</v>
          </cell>
          <cell r="N98">
            <v>0</v>
          </cell>
          <cell r="O98">
            <v>0</v>
          </cell>
          <cell r="P98">
            <v>0</v>
          </cell>
          <cell r="Q98">
            <v>0</v>
          </cell>
          <cell r="R98">
            <v>0</v>
          </cell>
          <cell r="S98">
            <v>0</v>
          </cell>
          <cell r="T98">
            <v>0</v>
          </cell>
          <cell r="U98">
            <v>0</v>
          </cell>
          <cell r="V98">
            <v>0</v>
          </cell>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row>
        <row r="99">
          <cell r="B99" t="str">
            <v>Divestitures</v>
          </cell>
          <cell r="C99" t="str">
            <v>DIVEST</v>
          </cell>
          <cell r="D99" t="str">
            <v>CNY</v>
          </cell>
          <cell r="F99"/>
          <cell r="G99"/>
          <cell r="H99"/>
          <cell r="I99"/>
          <cell r="J99"/>
          <cell r="K99"/>
          <cell r="L99"/>
          <cell r="M99">
            <v>0</v>
          </cell>
          <cell r="N99">
            <v>0</v>
          </cell>
          <cell r="O99">
            <v>0</v>
          </cell>
          <cell r="P99">
            <v>0</v>
          </cell>
          <cell r="Q99">
            <v>0</v>
          </cell>
          <cell r="R99">
            <v>0</v>
          </cell>
          <cell r="S99">
            <v>0</v>
          </cell>
          <cell r="T99">
            <v>0</v>
          </cell>
          <cell r="U99">
            <v>0</v>
          </cell>
          <cell r="V99">
            <v>0</v>
          </cell>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row>
        <row r="100">
          <cell r="B100" t="str">
            <v>Other investing cash flow items</v>
          </cell>
          <cell r="C100" t="str">
            <v>OTH_INV_CF</v>
          </cell>
          <cell r="D100" t="str">
            <v>CNY</v>
          </cell>
          <cell r="F100"/>
          <cell r="G100"/>
          <cell r="H100"/>
          <cell r="I100"/>
          <cell r="J100"/>
          <cell r="K100"/>
          <cell r="L100"/>
          <cell r="M100">
            <v>-218.05983544999998</v>
          </cell>
          <cell r="N100">
            <v>95.35048682</v>
          </cell>
          <cell r="O100">
            <v>-82.030127520000008</v>
          </cell>
          <cell r="P100">
            <v>-1987.2790290200001</v>
          </cell>
          <cell r="Q100">
            <v>0</v>
          </cell>
          <cell r="R100">
            <v>0</v>
          </cell>
          <cell r="S100">
            <v>0</v>
          </cell>
          <cell r="T100">
            <v>0</v>
          </cell>
          <cell r="U100">
            <v>0</v>
          </cell>
          <cell r="V100">
            <v>0</v>
          </cell>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row>
        <row r="101">
          <cell r="B101" t="str">
            <v>Cash flow from investing</v>
          </cell>
          <cell r="C101" t="str">
            <v>CF_INV</v>
          </cell>
          <cell r="D101" t="str">
            <v>CNY</v>
          </cell>
          <cell r="F101"/>
          <cell r="G101"/>
          <cell r="H101"/>
          <cell r="I101"/>
          <cell r="J101"/>
          <cell r="K101"/>
          <cell r="L101"/>
          <cell r="M101">
            <v>-222.67241111999999</v>
          </cell>
          <cell r="N101">
            <v>37.715554329999996</v>
          </cell>
          <cell r="O101">
            <v>-99.924557579999998</v>
          </cell>
          <cell r="P101">
            <v>-2008.8492209200001</v>
          </cell>
          <cell r="Q101">
            <v>-17.294435791999998</v>
          </cell>
          <cell r="R101">
            <v>-20.715040678399998</v>
          </cell>
          <cell r="S101">
            <v>-23.793585076159996</v>
          </cell>
          <cell r="T101">
            <v>-26.153802447775998</v>
          </cell>
          <cell r="U101">
            <v>-28.750041556553601</v>
          </cell>
          <cell r="V101">
            <v>-31.605904576208964</v>
          </cell>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row>
        <row r="102">
          <cell r="B102" t="str">
            <v>Dividends paid</v>
          </cell>
          <cell r="C102" t="str">
            <v>DIV_PAID</v>
          </cell>
          <cell r="D102" t="str">
            <v>CNY</v>
          </cell>
          <cell r="F102"/>
          <cell r="G102"/>
          <cell r="H102"/>
          <cell r="I102"/>
          <cell r="J102"/>
          <cell r="K102"/>
          <cell r="L102"/>
          <cell r="M102">
            <v>0</v>
          </cell>
          <cell r="N102">
            <v>0</v>
          </cell>
          <cell r="O102">
            <v>-239.83044278</v>
          </cell>
          <cell r="P102">
            <v>-292.31189522000005</v>
          </cell>
          <cell r="Q102">
            <v>-390.33466362388208</v>
          </cell>
          <cell r="R102">
            <v>-472.76817805351163</v>
          </cell>
          <cell r="S102">
            <v>-812.26671165294522</v>
          </cell>
          <cell r="T102">
            <v>-1275.8077386793796</v>
          </cell>
          <cell r="U102">
            <v>-1872.7229159012134</v>
          </cell>
          <cell r="V102">
            <v>-2667.6026609183518</v>
          </cell>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row>
        <row r="103">
          <cell r="B103" t="str">
            <v>Common stock issuance/(repurchase)</v>
          </cell>
          <cell r="C103" t="str">
            <v>SH_REPUR</v>
          </cell>
          <cell r="D103" t="str">
            <v>CNY</v>
          </cell>
          <cell r="F103"/>
          <cell r="G103"/>
          <cell r="H103"/>
          <cell r="I103"/>
          <cell r="J103"/>
          <cell r="K103"/>
          <cell r="L103"/>
          <cell r="M103">
            <v>823.21670213999994</v>
          </cell>
          <cell r="N103">
            <v>0</v>
          </cell>
          <cell r="O103">
            <v>2024.6890813999998</v>
          </cell>
          <cell r="P103">
            <v>2981.3912768199998</v>
          </cell>
          <cell r="Q103">
            <v>0</v>
          </cell>
          <cell r="R103">
            <v>0</v>
          </cell>
          <cell r="S103">
            <v>0</v>
          </cell>
          <cell r="T103">
            <v>0</v>
          </cell>
          <cell r="U103">
            <v>0</v>
          </cell>
          <cell r="V103">
            <v>0</v>
          </cell>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row>
        <row r="104">
          <cell r="B104" t="str">
            <v>Increase/(decrease) in total debt</v>
          </cell>
          <cell r="C104" t="str">
            <v>CHG_LT_DEBT</v>
          </cell>
          <cell r="D104" t="str">
            <v>CNY</v>
          </cell>
          <cell r="F104"/>
          <cell r="G104"/>
          <cell r="H104"/>
          <cell r="I104"/>
          <cell r="J104"/>
          <cell r="K104"/>
          <cell r="L104"/>
          <cell r="M104">
            <v>0</v>
          </cell>
          <cell r="N104">
            <v>0</v>
          </cell>
          <cell r="O104">
            <v>0</v>
          </cell>
          <cell r="P104">
            <v>0</v>
          </cell>
          <cell r="Q104">
            <v>0</v>
          </cell>
          <cell r="R104">
            <v>0</v>
          </cell>
          <cell r="S104">
            <v>0</v>
          </cell>
          <cell r="T104">
            <v>0</v>
          </cell>
          <cell r="U104">
            <v>0</v>
          </cell>
          <cell r="V104">
            <v>0</v>
          </cell>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row>
        <row r="105">
          <cell r="B105" t="str">
            <v>Lease principal payments  (applicable to IFRS cos.)</v>
          </cell>
          <cell r="C105" t="str">
            <v>LEASE_PRINCIPAL_CASH</v>
          </cell>
          <cell r="D105" t="str">
            <v>CNY</v>
          </cell>
          <cell r="F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row>
        <row r="106">
          <cell r="B106" t="str">
            <v>Other financing cash flow items</v>
          </cell>
          <cell r="C106" t="str">
            <v>OTH_FIN_CF</v>
          </cell>
          <cell r="D106" t="str">
            <v>CNY</v>
          </cell>
          <cell r="F106"/>
          <cell r="G106"/>
          <cell r="H106"/>
          <cell r="I106"/>
          <cell r="J106"/>
          <cell r="K106"/>
          <cell r="L106"/>
          <cell r="M106">
            <v>-533.27811112999996</v>
          </cell>
          <cell r="N106">
            <v>-31.112005500000066</v>
          </cell>
          <cell r="O106">
            <v>338.12433378000031</v>
          </cell>
          <cell r="P106">
            <v>2027.8796445700009</v>
          </cell>
          <cell r="Q106">
            <v>0</v>
          </cell>
          <cell r="R106">
            <v>0</v>
          </cell>
          <cell r="S106">
            <v>0</v>
          </cell>
          <cell r="T106">
            <v>9.0949470177292824E-13</v>
          </cell>
          <cell r="U106">
            <v>-6.2527760746888816E-13</v>
          </cell>
          <cell r="V106">
            <v>0</v>
          </cell>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row>
        <row r="107">
          <cell r="B107" t="str">
            <v>Cash flow from financing</v>
          </cell>
          <cell r="C107" t="str">
            <v>CF_FIN</v>
          </cell>
          <cell r="D107" t="str">
            <v>CNY</v>
          </cell>
          <cell r="F107"/>
          <cell r="G107"/>
          <cell r="H107"/>
          <cell r="I107"/>
          <cell r="J107"/>
          <cell r="K107"/>
          <cell r="L107"/>
          <cell r="M107">
            <v>289.93859100999998</v>
          </cell>
          <cell r="N107">
            <v>-31.112005500000066</v>
          </cell>
          <cell r="O107">
            <v>2122.9829724000001</v>
          </cell>
          <cell r="P107">
            <v>4716.9590261700005</v>
          </cell>
          <cell r="Q107">
            <v>-390.33466362388208</v>
          </cell>
          <cell r="R107">
            <v>-472.76817805351163</v>
          </cell>
          <cell r="S107">
            <v>-812.26671165294522</v>
          </cell>
          <cell r="T107">
            <v>-1275.8077386793786</v>
          </cell>
          <cell r="U107">
            <v>-1872.722915901214</v>
          </cell>
          <cell r="V107">
            <v>-2667.6026609183518</v>
          </cell>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row>
        <row r="108">
          <cell r="B108" t="str">
            <v>Total cash flow</v>
          </cell>
          <cell r="C108" t="str">
            <v>TOT_CF</v>
          </cell>
          <cell r="D108" t="str">
            <v>CNY</v>
          </cell>
          <cell r="F108"/>
          <cell r="G108"/>
          <cell r="H108"/>
          <cell r="I108"/>
          <cell r="J108"/>
          <cell r="K108"/>
          <cell r="L108"/>
          <cell r="M108">
            <v>454.35094484999996</v>
          </cell>
          <cell r="N108">
            <v>233.43492516999987</v>
          </cell>
          <cell r="O108">
            <v>2992.2054165</v>
          </cell>
          <cell r="P108">
            <v>3577.0724422500002</v>
          </cell>
          <cell r="Q108">
            <v>557.81641212885859</v>
          </cell>
          <cell r="R108">
            <v>786.3522696715994</v>
          </cell>
          <cell r="S108">
            <v>1047.4703786592149</v>
          </cell>
          <cell r="T108">
            <v>1992.7067348173425</v>
          </cell>
          <cell r="U108">
            <v>2723.9658510313957</v>
          </cell>
          <cell r="V108">
            <v>4154.5065487577267</v>
          </cell>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row>
        <row r="109">
          <cell r="A109" t="str">
            <v>Additional Cash Flow Items</v>
          </cell>
          <cell r="B109"/>
          <cell r="C109"/>
          <cell r="D109"/>
        </row>
        <row r="110">
          <cell r="B110" t="str">
            <v>Associate and JV add-back</v>
          </cell>
          <cell r="C110" t="str">
            <v>ASSOC_JV_ADDBK</v>
          </cell>
          <cell r="D110" t="str">
            <v>CNY</v>
          </cell>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row>
        <row r="111">
          <cell r="B111" t="str">
            <v>Profit/(loss) on sale of assets</v>
          </cell>
          <cell r="C111" t="str">
            <v>PL_SALE_ASSETS</v>
          </cell>
          <cell r="D111" t="str">
            <v>CNY</v>
          </cell>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row>
        <row r="112">
          <cell r="B112" t="str">
            <v>Other non-cash adjustments</v>
          </cell>
          <cell r="C112" t="str">
            <v>OTH_NONCASH_ADJ</v>
          </cell>
          <cell r="D112" t="str">
            <v>CNY</v>
          </cell>
          <cell r="F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row>
        <row r="113">
          <cell r="B113" t="str">
            <v>Other DACF adjustments</v>
          </cell>
          <cell r="C113" t="str">
            <v>OTH_DACF_ADJ</v>
          </cell>
          <cell r="D113" t="str">
            <v>CNY</v>
          </cell>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row>
        <row r="114">
          <cell r="B114" t="str">
            <v>Cash interest expense</v>
          </cell>
          <cell r="C114" t="str">
            <v>CASH_INT_EXP</v>
          </cell>
          <cell r="D114" t="str">
            <v>CNY</v>
          </cell>
          <cell r="F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row>
        <row r="115">
          <cell r="B115" t="str">
            <v>Cash tax expense</v>
          </cell>
          <cell r="C115" t="str">
            <v>CASH_TAX_EXP</v>
          </cell>
          <cell r="D115" t="str">
            <v>CNY</v>
          </cell>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row>
        <row r="116">
          <cell r="B116" t="str">
            <v>Dividends received from associates/JVs</v>
          </cell>
          <cell r="C116" t="str">
            <v>DIVDS_ASSOC_JV</v>
          </cell>
          <cell r="D116" t="str">
            <v>CNY</v>
          </cell>
          <cell r="F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row>
        <row r="117">
          <cell r="B117" t="str">
            <v>Capex maintenance</v>
          </cell>
          <cell r="C117" t="str">
            <v>CAPEX_MAINTENANCE</v>
          </cell>
          <cell r="D117" t="str">
            <v>CNY</v>
          </cell>
          <cell r="F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row>
        <row r="118">
          <cell r="B118" t="str">
            <v>Capex expansion</v>
          </cell>
          <cell r="C118" t="str">
            <v>CAPEX_EXPANSION</v>
          </cell>
          <cell r="D118" t="str">
            <v>CNY</v>
          </cell>
          <cell r="F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row>
        <row r="119">
          <cell r="B119" t="str">
            <v>Non-PP&amp;E capex</v>
          </cell>
          <cell r="C119" t="str">
            <v>NONPPE_CAPEX</v>
          </cell>
          <cell r="D119" t="str">
            <v>CNY</v>
          </cell>
          <cell r="F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row>
        <row r="120">
          <cell r="B120" t="str">
            <v>Dividends paid to minorities</v>
          </cell>
          <cell r="C120" t="str">
            <v>DIVDS_PD_MINORITIES</v>
          </cell>
          <cell r="D120" t="str">
            <v>CNY</v>
          </cell>
          <cell r="F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row>
        <row r="121">
          <cell r="A121" t="str">
            <v>Other Items</v>
          </cell>
          <cell r="B121"/>
          <cell r="C121"/>
          <cell r="D121"/>
        </row>
        <row r="122">
          <cell r="B122" t="str">
            <v>Number of employees</v>
          </cell>
          <cell r="C122" t="str">
            <v>EMPLOYEES</v>
          </cell>
          <cell r="M122">
            <v>0.33800000000000002</v>
          </cell>
          <cell r="N122">
            <v>0.20399999999999999</v>
          </cell>
          <cell r="O122">
            <v>0.255</v>
          </cell>
          <cell r="P122">
            <v>0.33400000000000002</v>
          </cell>
          <cell r="Q122"/>
          <cell r="R122"/>
          <cell r="S122"/>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row>
        <row r="123">
          <cell r="A123" t="str">
            <v>Geographical Breakdown</v>
          </cell>
          <cell r="B123"/>
          <cell r="C123"/>
          <cell r="D123"/>
        </row>
        <row r="124">
          <cell r="B124" t="str">
            <v>Sales - % Canada</v>
          </cell>
          <cell r="C124" t="str">
            <v>SALES_CANADA</v>
          </cell>
          <cell r="F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row>
        <row r="125">
          <cell r="B125" t="str">
            <v>Sales - % United States</v>
          </cell>
          <cell r="C125" t="str">
            <v>SALES_US</v>
          </cell>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row>
        <row r="126">
          <cell r="B126" t="str">
            <v>Sales - % Other North Americas</v>
          </cell>
          <cell r="C126" t="str">
            <v>SALES_OTH_NO_AMER</v>
          </cell>
          <cell r="F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row>
        <row r="127">
          <cell r="B127" t="str">
            <v>Sales - % Argentina</v>
          </cell>
          <cell r="C127" t="str">
            <v>SALES_ARGENTINA</v>
          </cell>
          <cell r="F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row>
        <row r="128">
          <cell r="B128" t="str">
            <v>Sales - % Brazil</v>
          </cell>
          <cell r="C128" t="str">
            <v>SALES_BRAZIL</v>
          </cell>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row>
        <row r="129">
          <cell r="B129" t="str">
            <v>Sales - % Chile</v>
          </cell>
          <cell r="C129" t="str">
            <v>SALES_CHILE</v>
          </cell>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row>
        <row r="130">
          <cell r="B130" t="str">
            <v>Sales - % Colombia</v>
          </cell>
          <cell r="C130" t="str">
            <v>SALES_COLOMBIA</v>
          </cell>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row>
        <row r="131">
          <cell r="B131" t="str">
            <v>Sales - % Mexico</v>
          </cell>
          <cell r="C131" t="str">
            <v>SALES_MEXICO</v>
          </cell>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row>
        <row r="132">
          <cell r="B132" t="str">
            <v>Sales - % Venezuela</v>
          </cell>
          <cell r="C132" t="str">
            <v>SALES_VENEZUELA</v>
          </cell>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row>
        <row r="133">
          <cell r="B133" t="str">
            <v>Sales - % Other Latin Americas</v>
          </cell>
          <cell r="C133" t="str">
            <v>SALES_OTH_LATAM</v>
          </cell>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row>
        <row r="134">
          <cell r="B134" t="str">
            <v>Sales - % Austria</v>
          </cell>
          <cell r="C134" t="str">
            <v>SALES_AUSTRIA</v>
          </cell>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row>
        <row r="135">
          <cell r="B135" t="str">
            <v>Sales - % Belgium</v>
          </cell>
          <cell r="C135" t="str">
            <v>SALES_BEL</v>
          </cell>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row>
        <row r="136">
          <cell r="B136" t="str">
            <v>Sales - % France</v>
          </cell>
          <cell r="C136" t="str">
            <v>SALES_FRA</v>
          </cell>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row>
        <row r="137">
          <cell r="B137" t="str">
            <v>Sales - % Germany</v>
          </cell>
          <cell r="C137" t="str">
            <v>SALES_GER</v>
          </cell>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row>
        <row r="138">
          <cell r="B138" t="str">
            <v>Sales - % Greece</v>
          </cell>
          <cell r="C138" t="str">
            <v>SALES_GRE</v>
          </cell>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row>
        <row r="139">
          <cell r="B139" t="str">
            <v>Sales - % Ireland</v>
          </cell>
          <cell r="C139" t="str">
            <v>SALES_IRE</v>
          </cell>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row>
        <row r="140">
          <cell r="B140" t="str">
            <v>Sales - % Italy</v>
          </cell>
          <cell r="C140" t="str">
            <v>SALES_ITA</v>
          </cell>
          <cell r="F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row>
        <row r="141">
          <cell r="B141" t="str">
            <v>Sales - % Netherlands</v>
          </cell>
          <cell r="C141" t="str">
            <v>SALES_NETH</v>
          </cell>
          <cell r="F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row>
        <row r="142">
          <cell r="B142" t="str">
            <v>Sales - % Norway</v>
          </cell>
          <cell r="C142" t="str">
            <v>SALES_NOR</v>
          </cell>
          <cell r="F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row>
        <row r="143">
          <cell r="B143" t="str">
            <v>Sales - % Portugal</v>
          </cell>
          <cell r="C143" t="str">
            <v>SALES_POR</v>
          </cell>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row>
        <row r="144">
          <cell r="B144" t="str">
            <v>Sales - % Spain</v>
          </cell>
          <cell r="C144" t="str">
            <v>SALES_SPA</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row>
        <row r="145">
          <cell r="B145" t="str">
            <v>Sales - % Sweden</v>
          </cell>
          <cell r="C145" t="str">
            <v>SALES_SWE</v>
          </cell>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row>
        <row r="146">
          <cell r="B146" t="str">
            <v>Sales - % Switzerland</v>
          </cell>
          <cell r="C146" t="str">
            <v>SALES_SWIT</v>
          </cell>
          <cell r="F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row>
        <row r="147">
          <cell r="B147" t="str">
            <v>Sales - % UK</v>
          </cell>
          <cell r="C147" t="str">
            <v>SALES_UK</v>
          </cell>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row>
        <row r="148">
          <cell r="B148" t="str">
            <v>Sales - % Other Western Europe</v>
          </cell>
          <cell r="C148" t="str">
            <v>SALES_OTH_WEST_EURO</v>
          </cell>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row>
        <row r="149">
          <cell r="B149" t="str">
            <v>Sales - % Poland</v>
          </cell>
          <cell r="C149" t="str">
            <v>SALES_POLAND</v>
          </cell>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row>
        <row r="150">
          <cell r="B150" t="str">
            <v>Sales - % Russia</v>
          </cell>
          <cell r="C150" t="str">
            <v>SALES_RUSSIA</v>
          </cell>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row>
        <row r="151">
          <cell r="B151" t="str">
            <v>Sales - % Turkey</v>
          </cell>
          <cell r="C151" t="str">
            <v>SALES_TURKEY</v>
          </cell>
          <cell r="F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row>
        <row r="152">
          <cell r="B152" t="str">
            <v>Sales - % Other CEE</v>
          </cell>
          <cell r="C152" t="str">
            <v>SALES_OTH_CEE</v>
          </cell>
          <cell r="F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row>
        <row r="153">
          <cell r="B153" t="str">
            <v>Sales - % Saudi Arabia</v>
          </cell>
          <cell r="C153" t="str">
            <v>SALES_SAUDI_ARABIA</v>
          </cell>
          <cell r="F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row>
        <row r="154">
          <cell r="B154" t="str">
            <v>Sales - % United Arab Emirates</v>
          </cell>
          <cell r="C154" t="str">
            <v>SALES_UAE</v>
          </cell>
          <cell r="F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row>
        <row r="155">
          <cell r="B155" t="str">
            <v>Sales - % Other Middle East</v>
          </cell>
          <cell r="C155" t="str">
            <v>SALES_OTH_ME</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row>
        <row r="156">
          <cell r="B156" t="str">
            <v>Sales - % Nigeria</v>
          </cell>
          <cell r="C156" t="str">
            <v>SALES_NIGERIA</v>
          </cell>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row>
        <row r="157">
          <cell r="B157" t="str">
            <v>Sales - % South Africa</v>
          </cell>
          <cell r="C157" t="str">
            <v>SALES_SO_AFRICA</v>
          </cell>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row>
        <row r="158">
          <cell r="B158" t="str">
            <v>Sales - % Other Africa</v>
          </cell>
          <cell r="C158" t="str">
            <v>SALES_OTH_AFRICA</v>
          </cell>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row>
        <row r="159">
          <cell r="B159" t="str">
            <v>Sales - % Hong Kong</v>
          </cell>
          <cell r="C159" t="str">
            <v>SALES_HONG_KONG</v>
          </cell>
          <cell r="F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row>
        <row r="160">
          <cell r="B160" t="str">
            <v>Sales - % Japan</v>
          </cell>
          <cell r="C160" t="str">
            <v>SALES_JAPAN</v>
          </cell>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row>
        <row r="161">
          <cell r="B161" t="str">
            <v>Sales - % Singapore</v>
          </cell>
          <cell r="C161" t="str">
            <v>SALES_SINGAPORE</v>
          </cell>
          <cell r="F161"/>
          <cell r="G161"/>
          <cell r="H161"/>
          <cell r="I161"/>
          <cell r="J161"/>
          <cell r="K161"/>
          <cell r="L161"/>
          <cell r="M161">
            <v>8.9625990674166767E-2</v>
          </cell>
          <cell r="N161">
            <v>0.22579317987632003</v>
          </cell>
          <cell r="O161">
            <v>0.21278405652003632</v>
          </cell>
          <cell r="P161">
            <v>0.21278405652003632</v>
          </cell>
          <cell r="Q161">
            <v>0.21278405652003632</v>
          </cell>
          <cell r="R161"/>
          <cell r="S161"/>
          <cell r="T161"/>
          <cell r="U161"/>
          <cell r="V161"/>
          <cell r="W161"/>
          <cell r="X161"/>
          <cell r="Y161"/>
          <cell r="Z161"/>
          <cell r="AA161"/>
          <cell r="AB161"/>
          <cell r="AC161"/>
          <cell r="AD161"/>
          <cell r="AE161"/>
          <cell r="AF161"/>
          <cell r="AG161"/>
          <cell r="AH161"/>
          <cell r="AI161"/>
          <cell r="AJ161"/>
          <cell r="AK161"/>
          <cell r="AL161"/>
          <cell r="AM161"/>
          <cell r="AN161"/>
          <cell r="AO161"/>
          <cell r="AP161"/>
          <cell r="AQ161"/>
          <cell r="AR161"/>
          <cell r="AS161"/>
          <cell r="AT161"/>
          <cell r="AU161"/>
          <cell r="AV161"/>
          <cell r="AW161"/>
          <cell r="AX161"/>
          <cell r="AY161"/>
          <cell r="AZ161"/>
          <cell r="BA161"/>
          <cell r="BB161"/>
          <cell r="BC161"/>
          <cell r="BD161"/>
          <cell r="BE161"/>
          <cell r="BF161"/>
          <cell r="BG161"/>
        </row>
        <row r="162">
          <cell r="B162" t="str">
            <v>Sales - % South Korea</v>
          </cell>
          <cell r="C162" t="str">
            <v>SALES_SK</v>
          </cell>
          <cell r="F162"/>
          <cell r="G162"/>
          <cell r="H162"/>
          <cell r="I162"/>
          <cell r="J162"/>
          <cell r="K162"/>
          <cell r="L162"/>
          <cell r="M162">
            <v>0.51166618729636271</v>
          </cell>
          <cell r="N162">
            <v>0.23567346701329459</v>
          </cell>
          <cell r="O162">
            <v>0.29313266304910957</v>
          </cell>
          <cell r="P162">
            <v>0.29313266304910957</v>
          </cell>
          <cell r="Q162">
            <v>0.29313266304910957</v>
          </cell>
          <cell r="R162"/>
          <cell r="S162"/>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row>
        <row r="163">
          <cell r="B163" t="str">
            <v>Sales - % Taiwan</v>
          </cell>
          <cell r="C163" t="str">
            <v>SALES_TAIWAN</v>
          </cell>
          <cell r="F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row>
        <row r="164">
          <cell r="B164" t="str">
            <v>Sales - % Other Developed Asia</v>
          </cell>
          <cell r="C164" t="str">
            <v>SALES_OTH_DEV_ASIA</v>
          </cell>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row>
        <row r="165">
          <cell r="B165" t="str">
            <v>Sales - % China</v>
          </cell>
          <cell r="C165" t="str">
            <v>SALES_CHINA</v>
          </cell>
          <cell r="F165"/>
          <cell r="G165"/>
          <cell r="H165"/>
          <cell r="I165"/>
          <cell r="J165"/>
          <cell r="K165"/>
          <cell r="L165"/>
          <cell r="M165">
            <v>0.32098789516137133</v>
          </cell>
          <cell r="N165">
            <v>0.40255314769418443</v>
          </cell>
          <cell r="O165">
            <v>0.32316837094622625</v>
          </cell>
          <cell r="P165">
            <v>0.15004568749896954</v>
          </cell>
          <cell r="Q165">
            <v>0.15004568749896954</v>
          </cell>
          <cell r="R165"/>
          <cell r="S165"/>
          <cell r="T165"/>
          <cell r="U165"/>
          <cell r="V165"/>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row>
        <row r="166">
          <cell r="B166" t="str">
            <v>Sales - % India</v>
          </cell>
          <cell r="C166" t="str">
            <v>SALES_INDIA</v>
          </cell>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row>
        <row r="167">
          <cell r="B167" t="str">
            <v>Sales - % Indonesia</v>
          </cell>
          <cell r="C167" t="str">
            <v>SALES_INDONESIA</v>
          </cell>
          <cell r="F167"/>
          <cell r="G167"/>
          <cell r="H167"/>
          <cell r="I167"/>
          <cell r="J167"/>
          <cell r="K167"/>
          <cell r="L167"/>
          <cell r="M167"/>
          <cell r="N167"/>
          <cell r="O167"/>
          <cell r="P167">
            <v>7.8288145144825128E-2</v>
          </cell>
          <cell r="Q167">
            <v>7.8288145144825128E-2</v>
          </cell>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row>
        <row r="168">
          <cell r="B168" t="str">
            <v>Sales - % Thailand</v>
          </cell>
          <cell r="C168" t="str">
            <v>SALES_THAILAND</v>
          </cell>
          <cell r="F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row>
        <row r="169">
          <cell r="B169" t="str">
            <v>Sales - % Other Emerging Asia</v>
          </cell>
          <cell r="C169" t="str">
            <v>SALES_OTH_EMERG_ASIA</v>
          </cell>
          <cell r="F169"/>
          <cell r="G169"/>
          <cell r="H169"/>
          <cell r="I169"/>
          <cell r="J169"/>
          <cell r="K169"/>
          <cell r="L169"/>
          <cell r="M169">
            <v>1.3834042506705956E-3</v>
          </cell>
          <cell r="N169">
            <v>1.3229655760097296E-2</v>
          </cell>
          <cell r="O169">
            <v>7.8288145144825128E-2</v>
          </cell>
          <cell r="P169"/>
          <cell r="Q169"/>
          <cell r="R169"/>
          <cell r="S169"/>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row>
        <row r="170">
          <cell r="B170" t="str">
            <v>Sales - % Australia</v>
          </cell>
          <cell r="C170" t="str">
            <v>SALES_AUSTRA</v>
          </cell>
          <cell r="F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row>
        <row r="171">
          <cell r="B171" t="str">
            <v>Sales - % New Zealand</v>
          </cell>
          <cell r="C171" t="str">
            <v>SALES_NZ</v>
          </cell>
          <cell r="F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row>
        <row r="172">
          <cell r="B172" t="str">
            <v>Sales - % Others</v>
          </cell>
          <cell r="C172" t="str">
            <v>SALES_OTHER</v>
          </cell>
          <cell r="F172"/>
          <cell r="G172"/>
          <cell r="H172"/>
          <cell r="I172"/>
          <cell r="J172"/>
          <cell r="K172"/>
          <cell r="L172"/>
          <cell r="M172">
            <v>7.6336522617428626E-2</v>
          </cell>
          <cell r="N172">
            <v>0.12275054965610366</v>
          </cell>
          <cell r="O172">
            <v>9.2626764339802659E-2</v>
          </cell>
          <cell r="P172">
            <v>0.26574944778705945</v>
          </cell>
          <cell r="Q172">
            <v>0.26574944778705945</v>
          </cell>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row>
        <row r="173">
          <cell r="B173" t="str">
            <v>% of CoGS from U.S. (GS estimate)</v>
          </cell>
          <cell r="C173" t="str">
            <v>COGS_PCT_US</v>
          </cell>
          <cell r="F173"/>
          <cell r="G173"/>
          <cell r="H173"/>
          <cell r="I173"/>
          <cell r="J173"/>
          <cell r="K173"/>
          <cell r="L173"/>
          <cell r="M173">
            <v>0</v>
          </cell>
          <cell r="N173">
            <v>0</v>
          </cell>
          <cell r="O173">
            <v>0</v>
          </cell>
          <cell r="P173">
            <v>0</v>
          </cell>
          <cell r="Q173">
            <v>0</v>
          </cell>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row>
        <row r="174">
          <cell r="B174" t="str">
            <v>% of CoGS from non-U.S. (GS estimate)</v>
          </cell>
          <cell r="C174" t="str">
            <v>COGS_PCT_ROW</v>
          </cell>
          <cell r="F174"/>
          <cell r="G174"/>
          <cell r="H174"/>
          <cell r="I174"/>
          <cell r="J174"/>
          <cell r="K174"/>
          <cell r="L174"/>
          <cell r="M174">
            <v>1</v>
          </cell>
          <cell r="N174">
            <v>1</v>
          </cell>
          <cell r="O174">
            <v>1</v>
          </cell>
          <cell r="P174">
            <v>1</v>
          </cell>
          <cell r="Q174">
            <v>1</v>
          </cell>
          <cell r="R174"/>
          <cell r="S174"/>
          <cell r="T174"/>
          <cell r="U174"/>
          <cell r="V174"/>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row>
        <row r="175">
          <cell r="B175" t="str">
            <v>% of SG&amp;A from U.S. (GS estimate)</v>
          </cell>
          <cell r="C175" t="str">
            <v>SGA_PCT_US</v>
          </cell>
          <cell r="F175"/>
          <cell r="G175"/>
          <cell r="H175"/>
          <cell r="I175"/>
          <cell r="J175"/>
          <cell r="K175"/>
          <cell r="L175"/>
          <cell r="M175">
            <v>0</v>
          </cell>
          <cell r="N175">
            <v>0</v>
          </cell>
          <cell r="O175">
            <v>0</v>
          </cell>
          <cell r="P175">
            <v>0</v>
          </cell>
          <cell r="Q175">
            <v>0</v>
          </cell>
          <cell r="R175"/>
          <cell r="S175"/>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row>
        <row r="176">
          <cell r="B176" t="str">
            <v>% of SG&amp;A from non-U.S. (GS estimate)</v>
          </cell>
          <cell r="C176" t="str">
            <v>SGA_PCT_ROW</v>
          </cell>
          <cell r="F176"/>
          <cell r="G176"/>
          <cell r="H176"/>
          <cell r="I176"/>
          <cell r="J176"/>
          <cell r="K176"/>
          <cell r="L176"/>
          <cell r="M176">
            <v>1</v>
          </cell>
          <cell r="N176">
            <v>1</v>
          </cell>
          <cell r="O176">
            <v>1</v>
          </cell>
          <cell r="P176">
            <v>1</v>
          </cell>
          <cell r="Q176">
            <v>1</v>
          </cell>
          <cell r="R176"/>
          <cell r="S176"/>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row>
        <row r="177">
          <cell r="B177" t="str">
            <v>Sales -% Consumer (C)</v>
          </cell>
          <cell r="C177" t="str">
            <v>SALES_CONS</v>
          </cell>
          <cell r="F177"/>
          <cell r="G177"/>
          <cell r="H177"/>
          <cell r="I177"/>
          <cell r="J177"/>
          <cell r="K177"/>
          <cell r="L177"/>
          <cell r="M177">
            <v>0</v>
          </cell>
          <cell r="N177">
            <v>0</v>
          </cell>
          <cell r="O177">
            <v>0</v>
          </cell>
          <cell r="P177">
            <v>0</v>
          </cell>
          <cell r="Q177">
            <v>0</v>
          </cell>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row>
        <row r="178">
          <cell r="B178" t="str">
            <v>Sales -% Industry (I)</v>
          </cell>
          <cell r="C178" t="str">
            <v>SALES_IND</v>
          </cell>
          <cell r="F178"/>
          <cell r="G178"/>
          <cell r="H178"/>
          <cell r="I178"/>
          <cell r="J178"/>
          <cell r="K178"/>
          <cell r="L178"/>
          <cell r="M178">
            <v>1</v>
          </cell>
          <cell r="N178">
            <v>1</v>
          </cell>
          <cell r="O178">
            <v>1</v>
          </cell>
          <cell r="P178">
            <v>1</v>
          </cell>
          <cell r="Q178">
            <v>1</v>
          </cell>
          <cell r="R178"/>
          <cell r="S178"/>
          <cell r="T178"/>
          <cell r="U178"/>
          <cell r="V178"/>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row>
        <row r="179">
          <cell r="B179" t="str">
            <v>Sales -% Government (G)</v>
          </cell>
          <cell r="C179" t="str">
            <v>SALES_GOV</v>
          </cell>
          <cell r="F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row>
        <row r="180">
          <cell r="B180" t="str">
            <v>Sales - % Industry Sub-Segment: Financial Services</v>
          </cell>
          <cell r="C180" t="str">
            <v>SALES_FINAN</v>
          </cell>
          <cell r="F180"/>
          <cell r="G180"/>
          <cell r="H180"/>
          <cell r="I180"/>
          <cell r="J180"/>
          <cell r="K180"/>
          <cell r="L180"/>
          <cell r="M180">
            <v>0</v>
          </cell>
          <cell r="N180">
            <v>0</v>
          </cell>
          <cell r="O180">
            <v>0</v>
          </cell>
          <cell r="P180">
            <v>0</v>
          </cell>
          <cell r="Q180">
            <v>0</v>
          </cell>
          <cell r="R180"/>
          <cell r="S180"/>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row>
        <row r="181">
          <cell r="B181" t="str">
            <v>Sales - % Industry Sub-Segment: Oil &amp; Gas</v>
          </cell>
          <cell r="C181" t="str">
            <v>SALES_OIL_GAS</v>
          </cell>
          <cell r="F181"/>
          <cell r="G181"/>
          <cell r="H181"/>
          <cell r="I181"/>
          <cell r="J181"/>
          <cell r="K181"/>
          <cell r="L181"/>
          <cell r="M181">
            <v>0</v>
          </cell>
          <cell r="N181">
            <v>0</v>
          </cell>
          <cell r="O181">
            <v>0</v>
          </cell>
          <cell r="P181">
            <v>0</v>
          </cell>
          <cell r="Q181">
            <v>0</v>
          </cell>
          <cell r="R181"/>
          <cell r="S181"/>
          <cell r="T181"/>
          <cell r="U181"/>
          <cell r="V181"/>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row>
        <row r="182">
          <cell r="A182" t="str">
            <v>Commodities Exposure - Expense</v>
          </cell>
          <cell r="B182"/>
          <cell r="C182"/>
          <cell r="D182"/>
        </row>
        <row r="183">
          <cell r="B183" t="str">
            <v>Expense - % Oil/Petrol/Fuel</v>
          </cell>
          <cell r="C183" t="str">
            <v>EXP_OIL_PETRO_FUEL</v>
          </cell>
          <cell r="F183"/>
          <cell r="G183"/>
          <cell r="H183"/>
          <cell r="I183"/>
          <cell r="J183"/>
          <cell r="K183"/>
          <cell r="L183"/>
          <cell r="M183">
            <v>0</v>
          </cell>
          <cell r="N183">
            <v>0</v>
          </cell>
          <cell r="O183">
            <v>0</v>
          </cell>
          <cell r="P183">
            <v>0</v>
          </cell>
          <cell r="Q183">
            <v>0</v>
          </cell>
          <cell r="R183"/>
          <cell r="S183"/>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row>
        <row r="184">
          <cell r="B184" t="str">
            <v>Expense - % Oil derivatives/NGLs/plastics</v>
          </cell>
          <cell r="C184" t="str">
            <v>EXP_OIL_DERIV_NGLS_PLASTICS</v>
          </cell>
          <cell r="F184"/>
          <cell r="G184"/>
          <cell r="H184"/>
          <cell r="I184"/>
          <cell r="J184"/>
          <cell r="K184"/>
          <cell r="L184"/>
          <cell r="M184">
            <v>0</v>
          </cell>
          <cell r="N184">
            <v>0</v>
          </cell>
          <cell r="O184">
            <v>0</v>
          </cell>
          <cell r="P184">
            <v>0</v>
          </cell>
          <cell r="Q184">
            <v>0</v>
          </cell>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row>
        <row r="185">
          <cell r="B185" t="str">
            <v>Expense - % Gold</v>
          </cell>
          <cell r="C185" t="str">
            <v>EXP_GOLD</v>
          </cell>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row>
        <row r="186">
          <cell r="B186" t="str">
            <v>Expense - % Copper</v>
          </cell>
          <cell r="C186" t="str">
            <v>EXP_COPPER</v>
          </cell>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row>
        <row r="187">
          <cell r="B187" t="str">
            <v>Expense - % Silver</v>
          </cell>
          <cell r="C187" t="str">
            <v>EXP_SILVER</v>
          </cell>
          <cell r="F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row>
        <row r="188">
          <cell r="B188" t="str">
            <v>Expense - % Platinum</v>
          </cell>
          <cell r="C188" t="str">
            <v>EXP_PLATINUM</v>
          </cell>
          <cell r="F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row>
        <row r="189">
          <cell r="B189" t="str">
            <v>Expense - % Palladium</v>
          </cell>
          <cell r="C189" t="str">
            <v>EXP_PALLADIUM</v>
          </cell>
          <cell r="F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row>
        <row r="190">
          <cell r="B190" t="str">
            <v>Expense - % Aluminium</v>
          </cell>
          <cell r="C190" t="str">
            <v>EXP_ALUMINIUM</v>
          </cell>
          <cell r="F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row>
        <row r="191">
          <cell r="B191" t="str">
            <v>Expense - % Nickel</v>
          </cell>
          <cell r="C191" t="str">
            <v>EXP_NICKEL</v>
          </cell>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row>
        <row r="192">
          <cell r="B192" t="str">
            <v>Expense - % Zinc</v>
          </cell>
          <cell r="C192" t="str">
            <v>EXP_ZINC</v>
          </cell>
          <cell r="F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row>
        <row r="193">
          <cell r="B193" t="str">
            <v>Expense - % Paper/pulp</v>
          </cell>
          <cell r="C193" t="str">
            <v>EXP_PAPER_PULP</v>
          </cell>
          <cell r="F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row>
        <row r="194">
          <cell r="B194" t="str">
            <v>Expense - % Glass</v>
          </cell>
          <cell r="C194" t="str">
            <v>EXP_GLASS</v>
          </cell>
          <cell r="F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row>
        <row r="195">
          <cell r="B195" t="str">
            <v>Expense - % Water</v>
          </cell>
          <cell r="C195" t="str">
            <v>EXP_WATER</v>
          </cell>
          <cell r="F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row>
        <row r="196">
          <cell r="B196" t="str">
            <v>Expense - % Other commodity</v>
          </cell>
          <cell r="C196" t="str">
            <v>EXP_OTH_COMMODITY</v>
          </cell>
          <cell r="F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row>
        <row r="197">
          <cell r="B197" t="str">
            <v>Expense - % Other (Non-Commodity) cost</v>
          </cell>
          <cell r="C197" t="str">
            <v>EXP_OTH_COST</v>
          </cell>
          <cell r="F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row>
        <row r="198">
          <cell r="A198" t="str">
            <v>FX Exposure - Sales</v>
          </cell>
          <cell r="B198"/>
          <cell r="C198"/>
          <cell r="D198"/>
        </row>
        <row r="199">
          <cell r="B199" t="str">
            <v>Sales - % FX: British Pounds/Pence</v>
          </cell>
          <cell r="C199" t="str">
            <v>SALES_FX_GPB</v>
          </cell>
          <cell r="F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row>
        <row r="200">
          <cell r="B200" t="str">
            <v>Sales - % FX: Euro</v>
          </cell>
          <cell r="C200" t="str">
            <v>SALES_FX_EUR</v>
          </cell>
          <cell r="F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row>
        <row r="201">
          <cell r="B201" t="str">
            <v>Sales - % FX: New Russian Ruble</v>
          </cell>
          <cell r="C201" t="str">
            <v>SALES_FX_RUB</v>
          </cell>
          <cell r="F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row>
        <row r="202">
          <cell r="B202" t="str">
            <v>Sales - % FX: U.S. Dollar</v>
          </cell>
          <cell r="C202" t="str">
            <v>SALES_FX_USD</v>
          </cell>
          <cell r="F202"/>
          <cell r="G202"/>
          <cell r="H202"/>
          <cell r="I202"/>
          <cell r="J202"/>
          <cell r="K202"/>
          <cell r="L202"/>
          <cell r="M202">
            <v>0.75</v>
          </cell>
          <cell r="N202">
            <v>0.75</v>
          </cell>
          <cell r="O202">
            <v>0.75</v>
          </cell>
          <cell r="P202">
            <v>0.75</v>
          </cell>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row>
        <row r="203">
          <cell r="B203" t="str">
            <v>Sales - % FX: Brazilian Real</v>
          </cell>
          <cell r="C203" t="str">
            <v>SALES_FX_BRL</v>
          </cell>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row>
        <row r="204">
          <cell r="B204" t="str">
            <v>Sales - % FX: Japanese Yen</v>
          </cell>
          <cell r="C204" t="str">
            <v>SALES_FX_YEN</v>
          </cell>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row>
        <row r="205">
          <cell r="B205" t="str">
            <v>Sales - % FX: Chinese Renminbi</v>
          </cell>
          <cell r="C205" t="str">
            <v>SALES_FX_CNY</v>
          </cell>
          <cell r="F205"/>
          <cell r="G205"/>
          <cell r="H205"/>
          <cell r="I205"/>
          <cell r="J205"/>
          <cell r="K205"/>
          <cell r="L205"/>
          <cell r="M205">
            <v>0.25</v>
          </cell>
          <cell r="N205">
            <v>0.25</v>
          </cell>
          <cell r="O205">
            <v>0.25</v>
          </cell>
          <cell r="P205">
            <v>0.25</v>
          </cell>
          <cell r="Q205"/>
          <cell r="R205"/>
          <cell r="S205"/>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row>
        <row r="206">
          <cell r="B206" t="str">
            <v>Sales - % FX: Indian Rupee</v>
          </cell>
          <cell r="C206" t="str">
            <v>SALES_FX_INR</v>
          </cell>
          <cell r="F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row>
        <row r="207">
          <cell r="B207" t="str">
            <v>Sales - % FX: South Korean Won</v>
          </cell>
          <cell r="C207" t="str">
            <v>SALES_FX_KRW</v>
          </cell>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row>
        <row r="208">
          <cell r="B208" t="str">
            <v>Sales - % FX: Taiwan Dollar</v>
          </cell>
          <cell r="C208" t="str">
            <v>SALES_FX_TWD</v>
          </cell>
          <cell r="F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row>
        <row r="209">
          <cell r="B209" t="str">
            <v>Sales - % FX: Other Currency</v>
          </cell>
          <cell r="C209" t="str">
            <v>SALES_FX_OTH</v>
          </cell>
          <cell r="F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row>
        <row r="210">
          <cell r="A210" t="str">
            <v>Items to be removed</v>
          </cell>
          <cell r="B210"/>
          <cell r="C210"/>
          <cell r="D210"/>
        </row>
        <row r="211">
          <cell r="B211" t="str">
            <v>Sales - Total % Americas</v>
          </cell>
          <cell r="C211" t="str">
            <v>SALES_TOT_AM</v>
          </cell>
          <cell r="F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row>
        <row r="212">
          <cell r="B212" t="str">
            <v>Sales - % Other Americas</v>
          </cell>
          <cell r="C212" t="str">
            <v>SALES_OTH_AM</v>
          </cell>
          <cell r="F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row>
        <row r="213">
          <cell r="B213" t="str">
            <v>Sales - Total % EMEA</v>
          </cell>
          <cell r="C213" t="str">
            <v>SALES_TOT_EMEA</v>
          </cell>
          <cell r="F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row>
        <row r="214">
          <cell r="B214" t="str">
            <v>Sales - % Western Europe-Ex UK</v>
          </cell>
          <cell r="C214" t="str">
            <v>SALES_EU_EX_UK</v>
          </cell>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row>
        <row r="215">
          <cell r="B215" t="str">
            <v>Sales - % Central &amp; Eastern Europe</v>
          </cell>
          <cell r="C215" t="str">
            <v>SALES_CEE</v>
          </cell>
          <cell r="F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row>
        <row r="216">
          <cell r="B216" t="str">
            <v>Sales - % Middle East</v>
          </cell>
          <cell r="C216" t="str">
            <v>SALES_ME</v>
          </cell>
          <cell r="F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row>
        <row r="217">
          <cell r="B217" t="str">
            <v>Sales - % Total Africa</v>
          </cell>
          <cell r="C217" t="str">
            <v>SALES_TOT_AFRICA</v>
          </cell>
          <cell r="F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row>
        <row r="218">
          <cell r="B218" t="str">
            <v>Sales - % Other EMEA</v>
          </cell>
          <cell r="C218" t="str">
            <v>SALES_OTH_EMEA</v>
          </cell>
          <cell r="F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row>
        <row r="219">
          <cell r="B219" t="str">
            <v>Sales - Total % Asia (incl Australia &amp; New Zealand)</v>
          </cell>
          <cell r="C219" t="str">
            <v>SALES_TOT_ASIA</v>
          </cell>
          <cell r="F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row>
        <row r="220">
          <cell r="B220" t="str">
            <v>Sales - % Other Asia</v>
          </cell>
          <cell r="C220" t="str">
            <v>SALES_OTH_AEJ</v>
          </cell>
          <cell r="F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row>
        <row r="221">
          <cell r="A221" t="str">
            <v>Security: Montage</v>
          </cell>
          <cell r="B221"/>
          <cell r="C221"/>
          <cell r="D221"/>
        </row>
        <row r="222">
          <cell r="A222" t="str">
            <v>Reference Data</v>
          </cell>
          <cell r="B222"/>
          <cell r="C222"/>
          <cell r="D222"/>
        </row>
        <row r="223">
          <cell r="B223" t="str">
            <v>Ticker</v>
          </cell>
          <cell r="C223" t="str">
            <v>Ticker</v>
          </cell>
          <cell r="E223" t="str">
            <v>688008.SS</v>
          </cell>
        </row>
        <row r="224">
          <cell r="B224" t="str">
            <v>Security Name</v>
          </cell>
          <cell r="C224" t="str">
            <v>Security Name</v>
          </cell>
          <cell r="E224" t="str">
            <v>Montage</v>
          </cell>
        </row>
        <row r="225">
          <cell r="B225" t="str">
            <v>Interim Type</v>
          </cell>
          <cell r="C225" t="str">
            <v>Interim Type</v>
          </cell>
          <cell r="E225" t="str">
            <v>Q</v>
          </cell>
        </row>
        <row r="226">
          <cell r="B226" t="str">
            <v>Publishing Currency</v>
          </cell>
          <cell r="C226" t="str">
            <v>PUB_CURRENCY_ISO</v>
          </cell>
          <cell r="E226" t="str">
            <v>CNY</v>
          </cell>
        </row>
        <row r="227">
          <cell r="B227" t="str">
            <v>Pricing Currency</v>
          </cell>
          <cell r="C227" t="str">
            <v>PRICE_CURRENCY_ISO</v>
          </cell>
          <cell r="E227" t="str">
            <v>CNY</v>
          </cell>
        </row>
        <row r="228">
          <cell r="B228" t="str">
            <v>Reporting Currency</v>
          </cell>
          <cell r="C228" t="str">
            <v>CURRENCY_ISO</v>
          </cell>
          <cell r="E228" t="str">
            <v>CNY</v>
          </cell>
        </row>
        <row r="229">
          <cell r="A229" t="str">
            <v>General Information</v>
          </cell>
          <cell r="B229"/>
          <cell r="C229"/>
          <cell r="D229"/>
        </row>
        <row r="230">
          <cell r="B230" t="str">
            <v>Asia ex. Japan Investment List</v>
          </cell>
          <cell r="C230" t="str">
            <v>AEJ_LIST</v>
          </cell>
          <cell r="E230" t="str">
            <v>Buy</v>
          </cell>
        </row>
        <row r="231">
          <cell r="B231" t="str">
            <v>Asia ex. Japan Conviction List</v>
          </cell>
          <cell r="C231" t="str">
            <v>AEJ_CONVICTION</v>
          </cell>
          <cell r="E231"/>
        </row>
        <row r="232">
          <cell r="B232" t="str">
            <v>Legal rating</v>
          </cell>
          <cell r="C232" t="str">
            <v>LEGAL_RATING</v>
          </cell>
          <cell r="E232"/>
        </row>
        <row r="233">
          <cell r="B233" t="str">
            <v>Target price</v>
          </cell>
          <cell r="C233" t="str">
            <v>TARGET_PRICE</v>
          </cell>
          <cell r="D233" t="str">
            <v>CNY</v>
          </cell>
          <cell r="E233">
            <v>161</v>
          </cell>
        </row>
        <row r="234">
          <cell r="B234" t="str">
            <v>Target price period</v>
          </cell>
          <cell r="C234" t="str">
            <v>TP_PERIOD</v>
          </cell>
          <cell r="E234" t="str">
            <v>12 months</v>
          </cell>
        </row>
        <row r="235">
          <cell r="B235" t="str">
            <v>Fundamental value</v>
          </cell>
          <cell r="C235" t="str">
            <v>TARGET_PRICE_FUNDAMENTAL</v>
          </cell>
          <cell r="D235" t="str">
            <v>CNY</v>
          </cell>
          <cell r="E235"/>
        </row>
        <row r="236">
          <cell r="B236" t="str">
            <v>M&amp;A value</v>
          </cell>
          <cell r="C236" t="str">
            <v>TARGET_PRICE_MA</v>
          </cell>
          <cell r="D236" t="str">
            <v>CNY</v>
          </cell>
          <cell r="E236"/>
        </row>
        <row r="237">
          <cell r="B237" t="str">
            <v>Current shares outstanding (mn)</v>
          </cell>
          <cell r="C237" t="str">
            <v>NUM_SH</v>
          </cell>
          <cell r="E237">
            <v>1129.813889</v>
          </cell>
        </row>
        <row r="238">
          <cell r="B238" t="str">
            <v>Free float</v>
          </cell>
          <cell r="C238" t="str">
            <v>FREE_FLOAT</v>
          </cell>
          <cell r="E238"/>
        </row>
        <row r="239">
          <cell r="B239" t="str">
            <v>Foreign ownership</v>
          </cell>
          <cell r="C239" t="str">
            <v>FOREIGN_HOLDNG</v>
          </cell>
          <cell r="E239"/>
        </row>
        <row r="240">
          <cell r="B240" t="str">
            <v>Catalyst 1 date</v>
          </cell>
          <cell r="C240" t="str">
            <v>CATALYST1_DATE</v>
          </cell>
          <cell r="E240"/>
        </row>
        <row r="241">
          <cell r="B241" t="str">
            <v>Catalyst 1 description</v>
          </cell>
          <cell r="C241" t="str">
            <v>CATALYST1_EVENT</v>
          </cell>
          <cell r="E241"/>
        </row>
        <row r="242">
          <cell r="B242" t="str">
            <v>Catalyst 2 date</v>
          </cell>
          <cell r="C242" t="str">
            <v>CATALYST2_DATE</v>
          </cell>
          <cell r="E242"/>
        </row>
        <row r="243">
          <cell r="B243" t="str">
            <v>Catalyst 2 description</v>
          </cell>
          <cell r="C243" t="str">
            <v>CATALYST2_EVENT</v>
          </cell>
          <cell r="E243"/>
        </row>
        <row r="244">
          <cell r="B244" t="str">
            <v>Catalyst 3 date</v>
          </cell>
          <cell r="C244" t="str">
            <v>CATALYST3_DATE</v>
          </cell>
          <cell r="E244"/>
        </row>
        <row r="245">
          <cell r="B245" t="str">
            <v>Catalyst 3 description</v>
          </cell>
          <cell r="C245" t="str">
            <v>CATALYST3_EVENT</v>
          </cell>
          <cell r="E245"/>
        </row>
        <row r="246">
          <cell r="B246" t="str">
            <v>Catalyst 4 date</v>
          </cell>
          <cell r="C246" t="str">
            <v>CATALYST4_DATE</v>
          </cell>
          <cell r="E246"/>
        </row>
        <row r="247">
          <cell r="B247" t="str">
            <v>Catalyst 4 description</v>
          </cell>
          <cell r="C247" t="str">
            <v>CATALYST4_EVENT</v>
          </cell>
          <cell r="E247"/>
        </row>
        <row r="248">
          <cell r="B248" t="str">
            <v>Catalyst 5 date</v>
          </cell>
          <cell r="C248" t="str">
            <v>CATALYST5_DATE</v>
          </cell>
          <cell r="E248"/>
        </row>
        <row r="249">
          <cell r="B249" t="str">
            <v>Catalyst 5 description</v>
          </cell>
          <cell r="C249" t="str">
            <v>CATALYST5_EVENT</v>
          </cell>
          <cell r="E249"/>
        </row>
        <row r="250">
          <cell r="B250" t="str">
            <v>Target price multiple</v>
          </cell>
          <cell r="C250" t="str">
            <v>PRI_TARG_MULT</v>
          </cell>
          <cell r="E250">
            <v>29</v>
          </cell>
        </row>
        <row r="251">
          <cell r="B251" t="str">
            <v>Target price methodology</v>
          </cell>
          <cell r="C251" t="str">
            <v>PRI_TARG_METH</v>
          </cell>
          <cell r="E251" t="str">
            <v>2030 PE</v>
          </cell>
        </row>
        <row r="252">
          <cell r="A252" t="str">
            <v>Publishing Items</v>
          </cell>
          <cell r="B252"/>
          <cell r="C252"/>
          <cell r="D252"/>
          <cell r="F252"/>
          <cell r="G252"/>
          <cell r="H252"/>
          <cell r="I252"/>
          <cell r="J252"/>
          <cell r="K252"/>
          <cell r="L252"/>
          <cell r="M252"/>
          <cell r="N252"/>
          <cell r="O252"/>
          <cell r="P252"/>
          <cell r="Q252"/>
          <cell r="R252"/>
          <cell r="S252"/>
          <cell r="T252"/>
          <cell r="U252"/>
          <cell r="V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row>
        <row r="253">
          <cell r="B253" t="str">
            <v>Book value per share, BVPS (Pub)</v>
          </cell>
          <cell r="C253" t="str">
            <v>BVPS_PUB</v>
          </cell>
          <cell r="D253" t="str">
            <v>CNY</v>
          </cell>
          <cell r="F253"/>
          <cell r="G253"/>
          <cell r="H253"/>
          <cell r="I253"/>
          <cell r="J253"/>
          <cell r="K253"/>
          <cell r="L253"/>
          <cell r="M253">
            <v>1.1664291157659794</v>
          </cell>
          <cell r="N253">
            <v>1.567975998088059</v>
          </cell>
          <cell r="O253">
            <v>3.5558951596551052</v>
          </cell>
          <cell r="P253">
            <v>6.4875502257788229</v>
          </cell>
          <cell r="Q253">
            <v>7.0929270273427054</v>
          </cell>
          <cell r="R253">
            <v>7.8261513965393839</v>
          </cell>
          <cell r="S253">
            <v>9.0859099313106881</v>
          </cell>
          <cell r="T253">
            <v>11.064582286672874</v>
          </cell>
          <cell r="U253">
            <v>13.969020746015227</v>
          </cell>
          <cell r="V253">
            <v>18.106251991934347</v>
          </cell>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row>
        <row r="254">
          <cell r="B254" t="str">
            <v>DPS, dividend per share (Pub)</v>
          </cell>
          <cell r="C254" t="str">
            <v>DPS_PUB</v>
          </cell>
          <cell r="D254" t="str">
            <v>CNY</v>
          </cell>
          <cell r="F254"/>
          <cell r="G254"/>
          <cell r="H254"/>
          <cell r="I254"/>
          <cell r="J254"/>
          <cell r="K254"/>
          <cell r="L254"/>
          <cell r="M254">
            <v>0</v>
          </cell>
          <cell r="N254">
            <v>0</v>
          </cell>
          <cell r="O254">
            <v>5.6</v>
          </cell>
          <cell r="P254">
            <v>3</v>
          </cell>
          <cell r="Q254">
            <v>0.34548580737431711</v>
          </cell>
          <cell r="R254">
            <v>0.41844783699017851</v>
          </cell>
          <cell r="S254">
            <v>0.71893850798018044</v>
          </cell>
          <cell r="T254">
            <v>1.1292193794932004</v>
          </cell>
          <cell r="U254">
            <v>1.6575499151977706</v>
          </cell>
          <cell r="V254">
            <v>2.3610991924337652</v>
          </cell>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row>
        <row r="255">
          <cell r="B255" t="str">
            <v>Special dividend per share</v>
          </cell>
          <cell r="C255" t="str">
            <v>DPS_SPECIAL_PUB</v>
          </cell>
          <cell r="D255" t="str">
            <v>CNY</v>
          </cell>
          <cell r="F255"/>
          <cell r="G255"/>
          <cell r="H255"/>
          <cell r="I255"/>
          <cell r="J255"/>
          <cell r="K255"/>
          <cell r="L255"/>
          <cell r="M255">
            <v>0</v>
          </cell>
          <cell r="N255">
            <v>0</v>
          </cell>
          <cell r="O255">
            <v>0</v>
          </cell>
          <cell r="P255">
            <v>0</v>
          </cell>
          <cell r="Q255">
            <v>0</v>
          </cell>
          <cell r="R255">
            <v>0</v>
          </cell>
          <cell r="S255">
            <v>0</v>
          </cell>
          <cell r="T255">
            <v>0</v>
          </cell>
          <cell r="U255">
            <v>0</v>
          </cell>
          <cell r="V255">
            <v>0</v>
          </cell>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row>
        <row r="256">
          <cell r="B256" t="str">
            <v>EBITDA (Pub)</v>
          </cell>
          <cell r="C256" t="str">
            <v>EBITDA_PUB</v>
          </cell>
          <cell r="D256" t="str">
            <v>CNY</v>
          </cell>
          <cell r="F256"/>
          <cell r="G256"/>
          <cell r="H256"/>
          <cell r="I256"/>
          <cell r="J256"/>
          <cell r="K256"/>
          <cell r="L256"/>
          <cell r="M256">
            <v>142.49142899000014</v>
          </cell>
          <cell r="N256">
            <v>361.87526436000019</v>
          </cell>
          <cell r="O256">
            <v>742.56901559000005</v>
          </cell>
          <cell r="P256">
            <v>878.74312688999976</v>
          </cell>
          <cell r="Q256">
            <v>834.13159264874685</v>
          </cell>
          <cell r="R256">
            <v>1196.7634571788249</v>
          </cell>
          <cell r="S256">
            <v>2174.2290682656867</v>
          </cell>
          <cell r="T256">
            <v>3510.3408385779971</v>
          </cell>
          <cell r="U256">
            <v>5223.6078407317982</v>
          </cell>
          <cell r="V256">
            <v>7499.1928945317486</v>
          </cell>
          <cell r="W256"/>
          <cell r="X256"/>
          <cell r="Y256"/>
          <cell r="Z256"/>
          <cell r="AA256"/>
          <cell r="AB256"/>
          <cell r="AC256"/>
          <cell r="AD256"/>
          <cell r="AE256"/>
          <cell r="AF256"/>
          <cell r="AG256"/>
          <cell r="AH256"/>
          <cell r="AI256"/>
          <cell r="AJ256"/>
          <cell r="AK256"/>
          <cell r="AL256"/>
          <cell r="AM256"/>
          <cell r="AN256"/>
          <cell r="AO256"/>
          <cell r="AP256">
            <v>251.41400425500001</v>
          </cell>
          <cell r="AQ256">
            <v>170.78719543500006</v>
          </cell>
          <cell r="AR256">
            <v>251.56218955499995</v>
          </cell>
          <cell r="AS256">
            <v>158.036403355</v>
          </cell>
          <cell r="AT256">
            <v>307.81007428499998</v>
          </cell>
          <cell r="AU256">
            <v>161.33445969499999</v>
          </cell>
          <cell r="AV256">
            <v>203.11912224920303</v>
          </cell>
          <cell r="AW256">
            <v>315.70731732920297</v>
          </cell>
          <cell r="AX256">
            <v>152.60743905920299</v>
          </cell>
          <cell r="AY256">
            <v>162.69771401113778</v>
          </cell>
          <cell r="AZ256">
            <v>181.89913846804319</v>
          </cell>
          <cell r="BA256">
            <v>334.76790943874681</v>
          </cell>
          <cell r="BB256">
            <v>359.22919022558426</v>
          </cell>
          <cell r="BC256">
            <v>320.8672190464506</v>
          </cell>
          <cell r="BD256">
            <v>225.40879314317817</v>
          </cell>
          <cell r="BE256">
            <v>503.09668408732512</v>
          </cell>
          <cell r="BF256">
            <v>684.8937107445638</v>
          </cell>
          <cell r="BG256">
            <v>760.82988029061983</v>
          </cell>
        </row>
        <row r="257">
          <cell r="B257" t="str">
            <v>EPS (Pub)</v>
          </cell>
          <cell r="C257" t="str">
            <v>EPS_PUB</v>
          </cell>
          <cell r="D257" t="str">
            <v>CNY</v>
          </cell>
          <cell r="F257"/>
          <cell r="G257"/>
          <cell r="H257"/>
          <cell r="I257"/>
          <cell r="J257"/>
          <cell r="K257"/>
          <cell r="L257"/>
          <cell r="M257">
            <v>0.12000000000000008</v>
          </cell>
          <cell r="N257">
            <v>0.46000000000000024</v>
          </cell>
          <cell r="O257">
            <v>0.86999999999999966</v>
          </cell>
          <cell r="P257">
            <v>0.87999999999999978</v>
          </cell>
          <cell r="Q257">
            <v>0.95086260893819952</v>
          </cell>
          <cell r="R257">
            <v>1.1516722061868581</v>
          </cell>
          <cell r="S257">
            <v>1.9786970427514858</v>
          </cell>
          <cell r="T257">
            <v>3.1078917348553836</v>
          </cell>
          <cell r="U257">
            <v>4.5619883745401255</v>
          </cell>
          <cell r="V257">
            <v>6.4983304383528857</v>
          </cell>
          <cell r="W257"/>
          <cell r="X257"/>
          <cell r="Y257"/>
          <cell r="Z257"/>
          <cell r="AA257"/>
          <cell r="AB257"/>
          <cell r="AC257"/>
          <cell r="AD257"/>
          <cell r="AE257"/>
          <cell r="AF257"/>
          <cell r="AG257"/>
          <cell r="AH257"/>
          <cell r="AI257"/>
          <cell r="AJ257"/>
          <cell r="AK257"/>
          <cell r="AL257"/>
          <cell r="AM257"/>
          <cell r="AN257"/>
          <cell r="AO257"/>
          <cell r="AP257">
            <v>0.29125756614205056</v>
          </cell>
          <cell r="AQ257">
            <v>0.20491306544807369</v>
          </cell>
          <cell r="AR257">
            <v>0.21294933808377675</v>
          </cell>
          <cell r="AS257">
            <v>0.21233271973966419</v>
          </cell>
          <cell r="AT257">
            <v>0.27609846906254404</v>
          </cell>
          <cell r="AU257">
            <v>0.17861947311401499</v>
          </cell>
          <cell r="AV257">
            <v>0.23277136195658868</v>
          </cell>
          <cell r="AW257">
            <v>0.299639040160534</v>
          </cell>
          <cell r="AX257">
            <v>0.24450376091986598</v>
          </cell>
          <cell r="AY257">
            <v>0.17394844590121075</v>
          </cell>
          <cell r="AZ257">
            <v>0.18929372003495179</v>
          </cell>
          <cell r="BA257">
            <v>0.31783288372916663</v>
          </cell>
          <cell r="BB257">
            <v>0.3384010648904584</v>
          </cell>
          <cell r="BC257">
            <v>0.30614453753228127</v>
          </cell>
          <cell r="BD257">
            <v>0.22716024517634745</v>
          </cell>
          <cell r="BE257">
            <v>0.46065312304354417</v>
          </cell>
          <cell r="BF257">
            <v>0.61351650789469003</v>
          </cell>
          <cell r="BG257">
            <v>0.67736716663690444</v>
          </cell>
        </row>
        <row r="258">
          <cell r="B258" t="str">
            <v>EV adjustment (Pub)</v>
          </cell>
          <cell r="C258" t="str">
            <v>EV_ADJ_PUB</v>
          </cell>
          <cell r="D258" t="str">
            <v>CNY</v>
          </cell>
          <cell r="F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cell r="AZ258"/>
          <cell r="BA258"/>
          <cell r="BB258"/>
          <cell r="BC258"/>
          <cell r="BD258"/>
          <cell r="BE258"/>
          <cell r="BF258"/>
          <cell r="BG258"/>
        </row>
        <row r="259">
          <cell r="B259" t="str">
            <v>Net debt (Pub)</v>
          </cell>
          <cell r="C259" t="str">
            <v>NET_DEBT_PUB</v>
          </cell>
          <cell r="D259" t="str">
            <v>CNY</v>
          </cell>
          <cell r="F259"/>
          <cell r="G259"/>
          <cell r="H259"/>
          <cell r="I259"/>
          <cell r="J259"/>
          <cell r="K259"/>
          <cell r="L259"/>
          <cell r="M259">
            <v>-727.46094485000003</v>
          </cell>
          <cell r="N259">
            <v>-917.78587001999995</v>
          </cell>
          <cell r="O259">
            <v>-3679.9912865199999</v>
          </cell>
          <cell r="P259">
            <v>-7257.0637287700001</v>
          </cell>
          <cell r="Q259">
            <v>-7814.8801408988584</v>
          </cell>
          <cell r="R259">
            <v>-8601.2324105704574</v>
          </cell>
          <cell r="S259">
            <v>-9648.7027892296719</v>
          </cell>
          <cell r="T259">
            <v>-11641.409524047014</v>
          </cell>
          <cell r="U259">
            <v>-14365.375375078411</v>
          </cell>
          <cell r="V259">
            <v>-18519.881923836139</v>
          </cell>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row>
        <row r="260">
          <cell r="B260" t="str">
            <v>Net Debt (ex leases) (Pub)</v>
          </cell>
          <cell r="C260" t="str">
            <v>NET_DEBT_EX_LEASES_PUB</v>
          </cell>
          <cell r="D260" t="str">
            <v>CNY</v>
          </cell>
          <cell r="F260"/>
          <cell r="G260"/>
          <cell r="H260"/>
          <cell r="I260"/>
          <cell r="J260"/>
          <cell r="K260"/>
          <cell r="L260"/>
          <cell r="M260">
            <v>-727.46094485000003</v>
          </cell>
          <cell r="N260">
            <v>-917.78587001999995</v>
          </cell>
          <cell r="O260">
            <v>-3679.9912865199999</v>
          </cell>
          <cell r="P260">
            <v>-7257.0637287700001</v>
          </cell>
          <cell r="Q260">
            <v>-7814.8801408988584</v>
          </cell>
          <cell r="R260">
            <v>-8601.2324105704574</v>
          </cell>
          <cell r="S260">
            <v>-9648.7027892296719</v>
          </cell>
          <cell r="T260">
            <v>-11641.409524047014</v>
          </cell>
          <cell r="U260">
            <v>-14365.375375078411</v>
          </cell>
          <cell r="V260">
            <v>-18519.881923836139</v>
          </cell>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row>
        <row r="261">
          <cell r="B261" t="str">
            <v>Consensus equivalent net debt</v>
          </cell>
          <cell r="C261" t="str">
            <v>CEEE_NDEBT</v>
          </cell>
          <cell r="D261" t="str">
            <v>CNY</v>
          </cell>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row>
        <row r="262">
          <cell r="B262" t="str">
            <v>Net income (Pub)</v>
          </cell>
          <cell r="C262" t="str">
            <v>NI_PUB</v>
          </cell>
          <cell r="D262" t="str">
            <v>CNY</v>
          </cell>
          <cell r="F262"/>
          <cell r="G262"/>
          <cell r="H262"/>
          <cell r="I262"/>
          <cell r="J262"/>
          <cell r="K262"/>
          <cell r="L262"/>
          <cell r="M262">
            <v>92.804284980000077</v>
          </cell>
          <cell r="N262">
            <v>346.91596158000021</v>
          </cell>
          <cell r="O262">
            <v>736.87843820999956</v>
          </cell>
          <cell r="P262">
            <v>932.85839172999999</v>
          </cell>
          <cell r="Q262">
            <v>1074.2977821091533</v>
          </cell>
          <cell r="R262">
            <v>1301.175254125184</v>
          </cell>
          <cell r="S262">
            <v>2235.5594010238556</v>
          </cell>
          <cell r="T262">
            <v>3511.3392475479177</v>
          </cell>
          <cell r="U262">
            <v>5154.197827011968</v>
          </cell>
          <cell r="V262">
            <v>7341.9039845625484</v>
          </cell>
          <cell r="W262"/>
          <cell r="X262"/>
          <cell r="Y262"/>
          <cell r="Z262"/>
          <cell r="AA262"/>
          <cell r="AB262"/>
          <cell r="AC262"/>
          <cell r="AD262"/>
          <cell r="AE262"/>
          <cell r="AF262"/>
          <cell r="AG262"/>
          <cell r="AH262"/>
          <cell r="AI262"/>
          <cell r="AJ262"/>
          <cell r="AK262"/>
          <cell r="AL262"/>
          <cell r="AM262"/>
          <cell r="AN262"/>
          <cell r="AO262"/>
          <cell r="AP262">
            <v>246.69128787999995</v>
          </cell>
          <cell r="AQ262">
            <v>173.55864326000005</v>
          </cell>
          <cell r="AR262">
            <v>225.74042846000006</v>
          </cell>
          <cell r="AS262">
            <v>225.08677209999999</v>
          </cell>
          <cell r="AT262">
            <v>292.68269751000008</v>
          </cell>
          <cell r="AU262">
            <v>189.34849366000003</v>
          </cell>
          <cell r="AV262">
            <v>262.98831770000015</v>
          </cell>
          <cell r="AW262">
            <v>338.53634926000012</v>
          </cell>
          <cell r="AX262">
            <v>276.24374499999999</v>
          </cell>
          <cell r="AY262">
            <v>196.52937014915304</v>
          </cell>
          <cell r="AZ262">
            <v>213.8666739959661</v>
          </cell>
          <cell r="BA262">
            <v>359.09200641813459</v>
          </cell>
          <cell r="BB262">
            <v>382.33022316563017</v>
          </cell>
          <cell r="BC262">
            <v>345.88635054545318</v>
          </cell>
          <cell r="BD262">
            <v>256.64880002888259</v>
          </cell>
          <cell r="BE262">
            <v>520.45229642582217</v>
          </cell>
          <cell r="BF262">
            <v>693.15947175019892</v>
          </cell>
          <cell r="BG262">
            <v>765.29883281895206</v>
          </cell>
        </row>
        <row r="263">
          <cell r="B263" t="str">
            <v>EBIT, operating profit (Pub)</v>
          </cell>
          <cell r="C263" t="str">
            <v>EBIT_PUB</v>
          </cell>
          <cell r="D263" t="str">
            <v>CNY</v>
          </cell>
          <cell r="F263"/>
          <cell r="G263"/>
          <cell r="H263"/>
          <cell r="I263"/>
          <cell r="J263"/>
          <cell r="K263"/>
          <cell r="L263"/>
          <cell r="M263">
            <v>129.63253858000016</v>
          </cell>
          <cell r="N263">
            <v>344.49730600000015</v>
          </cell>
          <cell r="O263">
            <v>722.41230273000008</v>
          </cell>
          <cell r="P263">
            <v>848.52204722999977</v>
          </cell>
          <cell r="Q263">
            <v>808.18809389193484</v>
          </cell>
          <cell r="R263">
            <v>1177.1093608280471</v>
          </cell>
          <cell r="S263">
            <v>2154.5280980246698</v>
          </cell>
          <cell r="T263">
            <v>3488.6135484739325</v>
          </cell>
          <cell r="U263">
            <v>5199.5636016142325</v>
          </cell>
          <cell r="V263">
            <v>7472.6472149992669</v>
          </cell>
          <cell r="W263"/>
          <cell r="X263"/>
          <cell r="Y263"/>
          <cell r="Z263"/>
          <cell r="AA263"/>
          <cell r="AB263"/>
          <cell r="AC263"/>
          <cell r="AD263"/>
          <cell r="AE263"/>
          <cell r="AF263"/>
          <cell r="AG263"/>
          <cell r="AH263"/>
          <cell r="AI263"/>
          <cell r="AJ263"/>
          <cell r="AK263"/>
          <cell r="AL263"/>
          <cell r="AM263"/>
          <cell r="AN263"/>
          <cell r="AO263"/>
          <cell r="AP263">
            <v>246.37482604000002</v>
          </cell>
          <cell r="AQ263">
            <v>165.74801722000007</v>
          </cell>
          <cell r="AR263">
            <v>244.00691963999995</v>
          </cell>
          <cell r="AS263">
            <v>150.48113344000001</v>
          </cell>
          <cell r="AT263">
            <v>300.25480436999999</v>
          </cell>
          <cell r="AU263">
            <v>153.77918978</v>
          </cell>
          <cell r="AV263">
            <v>196.63324756000003</v>
          </cell>
          <cell r="AW263">
            <v>309.22144263999996</v>
          </cell>
          <cell r="AX263">
            <v>146.12156436999999</v>
          </cell>
          <cell r="AY263">
            <v>156.21183932193478</v>
          </cell>
          <cell r="AZ263">
            <v>176.98561438034875</v>
          </cell>
          <cell r="BA263">
            <v>329.85438535105237</v>
          </cell>
          <cell r="BB263">
            <v>354.31566613788982</v>
          </cell>
          <cell r="BC263">
            <v>315.95369495875616</v>
          </cell>
          <cell r="BD263">
            <v>220.48355058292395</v>
          </cell>
          <cell r="BE263">
            <v>498.1714415270709</v>
          </cell>
          <cell r="BF263">
            <v>679.96846818430959</v>
          </cell>
          <cell r="BG263">
            <v>755.90463773036561</v>
          </cell>
        </row>
        <row r="264">
          <cell r="B264" t="str">
            <v>Pre-tax profit (Pub)</v>
          </cell>
          <cell r="C264" t="str">
            <v>PTP_PUB</v>
          </cell>
          <cell r="D264" t="str">
            <v>CNY</v>
          </cell>
          <cell r="F264"/>
          <cell r="G264"/>
          <cell r="H264"/>
          <cell r="I264"/>
          <cell r="J264"/>
          <cell r="K264"/>
          <cell r="L264"/>
          <cell r="M264">
            <v>99.092503780000072</v>
          </cell>
          <cell r="N264">
            <v>362.37004861000014</v>
          </cell>
          <cell r="O264">
            <v>786.2322030199997</v>
          </cell>
          <cell r="P264">
            <v>978.74700805999987</v>
          </cell>
          <cell r="Q264">
            <v>1144.3493767596351</v>
          </cell>
          <cell r="R264">
            <v>1369.6581622370359</v>
          </cell>
          <cell r="S264">
            <v>2353.2204221303741</v>
          </cell>
          <cell r="T264">
            <v>3696.1465763662291</v>
          </cell>
          <cell r="U264">
            <v>5425.471396854703</v>
          </cell>
          <cell r="V264">
            <v>7728.3199837500506</v>
          </cell>
          <cell r="W264"/>
          <cell r="X264"/>
          <cell r="Y264"/>
          <cell r="Z264"/>
          <cell r="AA264"/>
          <cell r="AB264"/>
          <cell r="AC264"/>
          <cell r="AD264"/>
          <cell r="AE264"/>
          <cell r="AF264"/>
          <cell r="AG264"/>
          <cell r="AH264"/>
          <cell r="AI264"/>
          <cell r="AJ264"/>
          <cell r="AK264"/>
          <cell r="AL264"/>
          <cell r="AM264"/>
          <cell r="AN264"/>
          <cell r="AO264"/>
          <cell r="AP264">
            <v>264.10643070999998</v>
          </cell>
          <cell r="AQ264">
            <v>194.90194770000005</v>
          </cell>
          <cell r="AR264">
            <v>234.54431480000002</v>
          </cell>
          <cell r="AS264">
            <v>223.70266454</v>
          </cell>
          <cell r="AT264">
            <v>306.71333342000003</v>
          </cell>
          <cell r="AU264">
            <v>213.78669529999999</v>
          </cell>
          <cell r="AV264">
            <v>276.60526693000008</v>
          </cell>
          <cell r="AW264">
            <v>348.97056750000013</v>
          </cell>
          <cell r="AX264">
            <v>311.90052112000001</v>
          </cell>
          <cell r="AY264">
            <v>206.87302120963477</v>
          </cell>
          <cell r="AZ264">
            <v>225.12281473259588</v>
          </cell>
          <cell r="BA264">
            <v>377.99158570329956</v>
          </cell>
          <cell r="BB264">
            <v>402.45286649013701</v>
          </cell>
          <cell r="BC264">
            <v>364.09089531100335</v>
          </cell>
          <cell r="BD264">
            <v>270.15663160935009</v>
          </cell>
          <cell r="BE264">
            <v>547.84452255349697</v>
          </cell>
          <cell r="BF264">
            <v>729.64154921073566</v>
          </cell>
          <cell r="BG264">
            <v>805.57771875679168</v>
          </cell>
        </row>
        <row r="265">
          <cell r="B265" t="str">
            <v>Sales, revenue (Pub)</v>
          </cell>
          <cell r="C265" t="str">
            <v>REVS_PUB</v>
          </cell>
          <cell r="D265" t="str">
            <v>CNY</v>
          </cell>
          <cell r="F265"/>
          <cell r="G265"/>
          <cell r="H265"/>
          <cell r="I265"/>
          <cell r="J265"/>
          <cell r="K265"/>
          <cell r="L265"/>
          <cell r="M265">
            <v>844.94463526000004</v>
          </cell>
          <cell r="N265">
            <v>1227.5149327000001</v>
          </cell>
          <cell r="O265">
            <v>1757.6645831300002</v>
          </cell>
          <cell r="P265">
            <v>1737.7347149799998</v>
          </cell>
          <cell r="Q265">
            <v>1886.0565438543367</v>
          </cell>
          <cell r="R265">
            <v>2531.6595899338408</v>
          </cell>
          <cell r="S265">
            <v>4039.598357866993</v>
          </cell>
          <cell r="T265">
            <v>6223.7387790764733</v>
          </cell>
          <cell r="U265">
            <v>9033.3361761212582</v>
          </cell>
          <cell r="V265">
            <v>12865.230973413676</v>
          </cell>
          <cell r="W265"/>
          <cell r="X265"/>
          <cell r="Y265"/>
          <cell r="Z265"/>
          <cell r="AA265"/>
          <cell r="AB265"/>
          <cell r="AC265"/>
          <cell r="AD265"/>
          <cell r="AE265"/>
          <cell r="AF265"/>
          <cell r="AG265"/>
          <cell r="AH265"/>
          <cell r="AI265"/>
          <cell r="AJ265"/>
          <cell r="AK265"/>
          <cell r="AL265"/>
          <cell r="AM265"/>
          <cell r="AN265"/>
          <cell r="AO265"/>
          <cell r="AP265">
            <v>542.06418836</v>
          </cell>
          <cell r="AQ265">
            <v>506.46952349000003</v>
          </cell>
          <cell r="AR265">
            <v>404.71709713999996</v>
          </cell>
          <cell r="AS265">
            <v>474.46152362999999</v>
          </cell>
          <cell r="AT265">
            <v>505.16771749999998</v>
          </cell>
          <cell r="AU265">
            <v>353.38837670999999</v>
          </cell>
          <cell r="AV265">
            <v>495.75247611000003</v>
          </cell>
          <cell r="AW265">
            <v>593.82419230999994</v>
          </cell>
          <cell r="AX265">
            <v>378.87464612999997</v>
          </cell>
          <cell r="AY265">
            <v>417.60522930433666</v>
          </cell>
          <cell r="AZ265">
            <v>505.49484499907294</v>
          </cell>
          <cell r="BA265">
            <v>670.43844502000763</v>
          </cell>
          <cell r="BB265">
            <v>686.18329349241128</v>
          </cell>
          <cell r="BC265">
            <v>669.54300642234887</v>
          </cell>
          <cell r="BD265">
            <v>629.63018957205099</v>
          </cell>
          <cell r="BE265">
            <v>940.73631576779928</v>
          </cell>
          <cell r="BF265">
            <v>1165.0155931744641</v>
          </cell>
          <cell r="BG265">
            <v>1304.2162593526782</v>
          </cell>
        </row>
        <row r="266">
          <cell r="B266" t="str">
            <v>Total shareholders' equity (Pub)</v>
          </cell>
          <cell r="C266" t="str">
            <v>EQ_PUB</v>
          </cell>
          <cell r="D266" t="str">
            <v>CNY</v>
          </cell>
          <cell r="F266"/>
          <cell r="G266"/>
          <cell r="H266"/>
          <cell r="I266"/>
          <cell r="J266"/>
          <cell r="K266"/>
          <cell r="L266"/>
          <cell r="M266">
            <v>883.02390391999995</v>
          </cell>
          <cell r="N266">
            <v>1187.00765299</v>
          </cell>
          <cell r="O266">
            <v>3615.7497649299999</v>
          </cell>
          <cell r="P266">
            <v>7329.7243506699997</v>
          </cell>
          <cell r="Q266">
            <v>8013.6874691552712</v>
          </cell>
          <cell r="R266">
            <v>8842.0945452269425</v>
          </cell>
          <cell r="S266">
            <v>10265.387234597853</v>
          </cell>
          <cell r="T266">
            <v>12500.918743466393</v>
          </cell>
          <cell r="U266">
            <v>15782.393654577145</v>
          </cell>
          <cell r="V266">
            <v>20456.694978221341</v>
          </cell>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cell r="AZ266"/>
          <cell r="BA266"/>
          <cell r="BB266"/>
          <cell r="BC266"/>
          <cell r="BD266"/>
          <cell r="BE266"/>
          <cell r="BF266"/>
          <cell r="BG266"/>
        </row>
        <row r="267">
          <cell r="B267" t="str">
            <v>EPS (consensus)</v>
          </cell>
          <cell r="C267" t="str">
            <v>EPS_CONS_PUB</v>
          </cell>
          <cell r="D267" t="str">
            <v>CNY</v>
          </cell>
          <cell r="F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cell r="AZ267"/>
          <cell r="BA267"/>
          <cell r="BB267"/>
          <cell r="BC267"/>
          <cell r="BD267"/>
          <cell r="BE267"/>
          <cell r="BF267"/>
          <cell r="BG267"/>
        </row>
        <row r="268">
          <cell r="A268" t="str">
            <v>Income Statement</v>
          </cell>
          <cell r="B268"/>
          <cell r="C268"/>
          <cell r="D268"/>
        </row>
        <row r="269">
          <cell r="B269" t="str">
            <v>Provision for income tax</v>
          </cell>
          <cell r="C269" t="str">
            <v>PROV_INC_TAX</v>
          </cell>
          <cell r="D269" t="str">
            <v>CNY</v>
          </cell>
          <cell r="F269"/>
          <cell r="G269"/>
          <cell r="H269"/>
          <cell r="I269"/>
          <cell r="J269"/>
          <cell r="K269"/>
          <cell r="L269"/>
          <cell r="M269">
            <v>-6.2882188000000001</v>
          </cell>
          <cell r="N269">
            <v>-15.45408703</v>
          </cell>
          <cell r="O269">
            <v>-49.353764810000001</v>
          </cell>
          <cell r="P269">
            <v>-45.888616330000005</v>
          </cell>
          <cell r="Q269">
            <v>-70.051594650481746</v>
          </cell>
          <cell r="R269">
            <v>-68.482908111851785</v>
          </cell>
          <cell r="S269">
            <v>-117.66102110651875</v>
          </cell>
          <cell r="T269">
            <v>-184.80732881831148</v>
          </cell>
          <cell r="U269">
            <v>-271.27356984273513</v>
          </cell>
          <cell r="V269">
            <v>-386.41599918750251</v>
          </cell>
          <cell r="W269"/>
          <cell r="X269"/>
          <cell r="Y269"/>
          <cell r="Z269"/>
          <cell r="AA269"/>
          <cell r="AB269"/>
          <cell r="AC269"/>
          <cell r="AD269"/>
          <cell r="AE269"/>
          <cell r="AF269"/>
          <cell r="AG269"/>
          <cell r="AH269"/>
          <cell r="AI269"/>
          <cell r="AJ269"/>
          <cell r="AK269"/>
          <cell r="AL269"/>
          <cell r="AM269"/>
          <cell r="AN269"/>
          <cell r="AO269"/>
          <cell r="AP269">
            <v>-17.415142829999997</v>
          </cell>
          <cell r="AQ269">
            <v>-21.343304440000001</v>
          </cell>
          <cell r="AR269">
            <v>-8.80388634</v>
          </cell>
          <cell r="AS269">
            <v>1.3841075600000001</v>
          </cell>
          <cell r="AT269">
            <v>-14.030635910000001</v>
          </cell>
          <cell r="AU269">
            <v>-24.438201639999999</v>
          </cell>
          <cell r="AV269">
            <v>-13.616949230000001</v>
          </cell>
          <cell r="AW269">
            <v>-10.43421824</v>
          </cell>
          <cell r="AX269">
            <v>-35.656776119999996</v>
          </cell>
          <cell r="AY269">
            <v>-10.34365106048174</v>
          </cell>
          <cell r="AZ269">
            <v>-11.256140736629796</v>
          </cell>
          <cell r="BA269">
            <v>-18.899579285164975</v>
          </cell>
          <cell r="BB269">
            <v>-20.12264332450685</v>
          </cell>
          <cell r="BC269">
            <v>-18.204544765550164</v>
          </cell>
          <cell r="BD269">
            <v>-13.507831580467505</v>
          </cell>
          <cell r="BE269">
            <v>-27.392226127674856</v>
          </cell>
          <cell r="BF269">
            <v>-36.482077460536793</v>
          </cell>
          <cell r="BG269">
            <v>-40.27888593783959</v>
          </cell>
        </row>
        <row r="270">
          <cell r="B270" t="str">
            <v>Minority interest</v>
          </cell>
          <cell r="C270" t="str">
            <v>INC_MINORITY</v>
          </cell>
          <cell r="D270" t="str">
            <v>CNY</v>
          </cell>
          <cell r="F270"/>
          <cell r="G270"/>
          <cell r="H270"/>
          <cell r="I270"/>
          <cell r="J270"/>
          <cell r="K270"/>
          <cell r="L270"/>
          <cell r="M270">
            <v>0</v>
          </cell>
          <cell r="N270">
            <v>0</v>
          </cell>
          <cell r="O270">
            <v>0</v>
          </cell>
          <cell r="P270">
            <v>0</v>
          </cell>
          <cell r="Q270">
            <v>0</v>
          </cell>
          <cell r="R270">
            <v>0</v>
          </cell>
          <cell r="S270">
            <v>0</v>
          </cell>
          <cell r="T270">
            <v>0</v>
          </cell>
          <cell r="U270">
            <v>0</v>
          </cell>
          <cell r="V270">
            <v>0</v>
          </cell>
          <cell r="W270"/>
          <cell r="X270"/>
          <cell r="Y270"/>
          <cell r="Z270"/>
          <cell r="AA270"/>
          <cell r="AB270"/>
          <cell r="AC270"/>
          <cell r="AD270"/>
          <cell r="AE270"/>
          <cell r="AF270"/>
          <cell r="AG270"/>
          <cell r="AH270"/>
          <cell r="AI270"/>
          <cell r="AJ270"/>
          <cell r="AK270"/>
          <cell r="AL270"/>
          <cell r="AM270"/>
          <cell r="AN270"/>
          <cell r="AO270"/>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row>
        <row r="271">
          <cell r="B271" t="str">
            <v>Net income (pre-preferred dividends)</v>
          </cell>
          <cell r="C271" t="str">
            <v>NI_PRE_PREF</v>
          </cell>
          <cell r="D271" t="str">
            <v>CNY</v>
          </cell>
          <cell r="F271"/>
          <cell r="G271"/>
          <cell r="H271"/>
          <cell r="I271"/>
          <cell r="J271"/>
          <cell r="K271"/>
          <cell r="L271"/>
          <cell r="M271">
            <v>92.804284980000077</v>
          </cell>
          <cell r="N271">
            <v>346.91596158000016</v>
          </cell>
          <cell r="O271">
            <v>736.87843820999967</v>
          </cell>
          <cell r="P271">
            <v>932.85839172999988</v>
          </cell>
          <cell r="Q271">
            <v>1074.2977821091533</v>
          </cell>
          <cell r="R271">
            <v>1301.175254125184</v>
          </cell>
          <cell r="S271">
            <v>2235.5594010238556</v>
          </cell>
          <cell r="T271">
            <v>3511.3392475479177</v>
          </cell>
          <cell r="U271">
            <v>5154.197827011968</v>
          </cell>
          <cell r="V271">
            <v>7341.9039845625484</v>
          </cell>
          <cell r="W271"/>
          <cell r="X271"/>
          <cell r="Y271"/>
          <cell r="Z271"/>
          <cell r="AA271"/>
          <cell r="AB271"/>
          <cell r="AC271"/>
          <cell r="AD271"/>
          <cell r="AE271"/>
          <cell r="AF271"/>
          <cell r="AG271"/>
          <cell r="AH271"/>
          <cell r="AI271"/>
          <cell r="AJ271"/>
          <cell r="AK271"/>
          <cell r="AL271"/>
          <cell r="AM271"/>
          <cell r="AN271"/>
          <cell r="AO271"/>
          <cell r="AP271">
            <v>246.69128787999998</v>
          </cell>
          <cell r="AQ271">
            <v>173.55864326000005</v>
          </cell>
          <cell r="AR271">
            <v>225.74042846000003</v>
          </cell>
          <cell r="AS271">
            <v>225.08677209999999</v>
          </cell>
          <cell r="AT271">
            <v>292.68269751000003</v>
          </cell>
          <cell r="AU271">
            <v>189.34849366</v>
          </cell>
          <cell r="AV271">
            <v>262.9883177000001</v>
          </cell>
          <cell r="AW271">
            <v>338.53634926000012</v>
          </cell>
          <cell r="AX271">
            <v>276.24374499999999</v>
          </cell>
          <cell r="AY271">
            <v>196.52937014915304</v>
          </cell>
          <cell r="AZ271">
            <v>213.8666739959661</v>
          </cell>
          <cell r="BA271">
            <v>359.09200641813459</v>
          </cell>
          <cell r="BB271">
            <v>382.33022316563017</v>
          </cell>
          <cell r="BC271">
            <v>345.88635054545318</v>
          </cell>
          <cell r="BD271">
            <v>256.64880002888259</v>
          </cell>
          <cell r="BE271">
            <v>520.45229642582217</v>
          </cell>
          <cell r="BF271">
            <v>693.15947175019892</v>
          </cell>
          <cell r="BG271">
            <v>765.29883281895206</v>
          </cell>
        </row>
        <row r="272">
          <cell r="B272" t="str">
            <v>Preferred dividends</v>
          </cell>
          <cell r="C272" t="str">
            <v>PREF_DIV</v>
          </cell>
          <cell r="D272" t="str">
            <v>CNY</v>
          </cell>
          <cell r="F272"/>
          <cell r="G272"/>
          <cell r="H272"/>
          <cell r="I272"/>
          <cell r="J272"/>
          <cell r="K272"/>
          <cell r="L272"/>
          <cell r="M272">
            <v>0</v>
          </cell>
          <cell r="N272">
            <v>0</v>
          </cell>
          <cell r="O272">
            <v>0</v>
          </cell>
          <cell r="P272">
            <v>0</v>
          </cell>
          <cell r="Q272">
            <v>0</v>
          </cell>
          <cell r="R272">
            <v>0</v>
          </cell>
          <cell r="S272">
            <v>0</v>
          </cell>
          <cell r="T272">
            <v>0</v>
          </cell>
          <cell r="U272">
            <v>0</v>
          </cell>
          <cell r="V272">
            <v>0</v>
          </cell>
          <cell r="W272"/>
          <cell r="X272"/>
          <cell r="Y272"/>
          <cell r="Z272"/>
          <cell r="AA272"/>
          <cell r="AB272"/>
          <cell r="AC272"/>
          <cell r="AD272"/>
          <cell r="AE272"/>
          <cell r="AF272"/>
          <cell r="AG272"/>
          <cell r="AH272"/>
          <cell r="AI272"/>
          <cell r="AJ272"/>
          <cell r="AK272"/>
          <cell r="AL272"/>
          <cell r="AM272"/>
          <cell r="AN272"/>
          <cell r="AO272"/>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row>
        <row r="273">
          <cell r="B273" t="str">
            <v>Net income (pre-exceptionals)</v>
          </cell>
          <cell r="C273" t="str">
            <v>NET_EARNING</v>
          </cell>
          <cell r="D273" t="str">
            <v>CNY</v>
          </cell>
          <cell r="F273"/>
          <cell r="G273"/>
          <cell r="H273"/>
          <cell r="I273"/>
          <cell r="J273"/>
          <cell r="K273"/>
          <cell r="L273"/>
          <cell r="M273">
            <v>92.804284980000077</v>
          </cell>
          <cell r="N273">
            <v>346.91596158000016</v>
          </cell>
          <cell r="O273">
            <v>736.87843820999967</v>
          </cell>
          <cell r="P273">
            <v>932.85839172999988</v>
          </cell>
          <cell r="Q273">
            <v>1074.2977821091533</v>
          </cell>
          <cell r="R273">
            <v>1301.175254125184</v>
          </cell>
          <cell r="S273">
            <v>2235.5594010238556</v>
          </cell>
          <cell r="T273">
            <v>3511.3392475479177</v>
          </cell>
          <cell r="U273">
            <v>5154.197827011968</v>
          </cell>
          <cell r="V273">
            <v>7341.9039845625484</v>
          </cell>
          <cell r="W273"/>
          <cell r="X273"/>
          <cell r="Y273"/>
          <cell r="Z273"/>
          <cell r="AA273"/>
          <cell r="AB273"/>
          <cell r="AC273"/>
          <cell r="AD273"/>
          <cell r="AE273"/>
          <cell r="AF273"/>
          <cell r="AG273"/>
          <cell r="AH273"/>
          <cell r="AI273"/>
          <cell r="AJ273"/>
          <cell r="AK273"/>
          <cell r="AL273"/>
          <cell r="AM273"/>
          <cell r="AN273"/>
          <cell r="AO273"/>
          <cell r="AP273">
            <v>246.69128787999998</v>
          </cell>
          <cell r="AQ273">
            <v>173.55864326000005</v>
          </cell>
          <cell r="AR273">
            <v>225.74042846000003</v>
          </cell>
          <cell r="AS273">
            <v>225.08677209999999</v>
          </cell>
          <cell r="AT273">
            <v>292.68269751000003</v>
          </cell>
          <cell r="AU273">
            <v>189.34849366</v>
          </cell>
          <cell r="AV273">
            <v>262.9883177000001</v>
          </cell>
          <cell r="AW273">
            <v>338.53634926000012</v>
          </cell>
          <cell r="AX273">
            <v>276.24374499999999</v>
          </cell>
          <cell r="AY273">
            <v>196.52937014915304</v>
          </cell>
          <cell r="AZ273">
            <v>213.8666739959661</v>
          </cell>
          <cell r="BA273">
            <v>359.09200641813459</v>
          </cell>
          <cell r="BB273">
            <v>382.33022316563017</v>
          </cell>
          <cell r="BC273">
            <v>345.88635054545318</v>
          </cell>
          <cell r="BD273">
            <v>256.64880002888259</v>
          </cell>
          <cell r="BE273">
            <v>520.45229642582217</v>
          </cell>
          <cell r="BF273">
            <v>693.15947175019892</v>
          </cell>
          <cell r="BG273">
            <v>765.29883281895206</v>
          </cell>
        </row>
        <row r="274">
          <cell r="B274" t="str">
            <v>Post-tax exceptionals</v>
          </cell>
          <cell r="C274" t="str">
            <v>TAX_EXC</v>
          </cell>
          <cell r="D274" t="str">
            <v>CNY</v>
          </cell>
          <cell r="F274"/>
          <cell r="G274"/>
          <cell r="H274"/>
          <cell r="I274"/>
          <cell r="J274"/>
          <cell r="K274"/>
          <cell r="L274"/>
          <cell r="M274">
            <v>-4.4408920985006262E-15</v>
          </cell>
          <cell r="N274">
            <v>3.907985046680551E-14</v>
          </cell>
          <cell r="O274">
            <v>-8.5265128291212022E-14</v>
          </cell>
          <cell r="P274">
            <v>1.0458300891968975E-13</v>
          </cell>
          <cell r="Q274">
            <v>7.2830630415410269E-14</v>
          </cell>
          <cell r="R274">
            <v>0</v>
          </cell>
          <cell r="S274">
            <v>0</v>
          </cell>
          <cell r="T274">
            <v>0</v>
          </cell>
          <cell r="U274">
            <v>0</v>
          </cell>
          <cell r="V274">
            <v>0</v>
          </cell>
          <cell r="W274"/>
          <cell r="X274"/>
          <cell r="Y274"/>
          <cell r="Z274"/>
          <cell r="AA274"/>
          <cell r="AB274"/>
          <cell r="AC274"/>
          <cell r="AD274"/>
          <cell r="AE274"/>
          <cell r="AF274"/>
          <cell r="AG274"/>
          <cell r="AH274"/>
          <cell r="AI274"/>
          <cell r="AJ274"/>
          <cell r="AK274"/>
          <cell r="AL274"/>
          <cell r="AM274"/>
          <cell r="AN274"/>
          <cell r="AO274"/>
          <cell r="AP274">
            <v>-1.7763568394002505E-14</v>
          </cell>
          <cell r="AQ274">
            <v>-3.5527136788005009E-15</v>
          </cell>
          <cell r="AR274">
            <v>1.9539925233402755E-14</v>
          </cell>
          <cell r="AS274">
            <v>1.0436096431476471E-14</v>
          </cell>
          <cell r="AT274">
            <v>5.6843418860808015E-14</v>
          </cell>
          <cell r="AU274">
            <v>1.7763568394002505E-14</v>
          </cell>
          <cell r="AV274">
            <v>4.4408920985006262E-14</v>
          </cell>
          <cell r="AW274">
            <v>7.1054273576010019E-15</v>
          </cell>
          <cell r="AX274">
            <v>2.1316282072803006E-14</v>
          </cell>
          <cell r="AY274">
            <v>0</v>
          </cell>
          <cell r="AZ274">
            <v>0</v>
          </cell>
          <cell r="BA274">
            <v>0</v>
          </cell>
          <cell r="BB274">
            <v>0</v>
          </cell>
          <cell r="BC274">
            <v>0</v>
          </cell>
          <cell r="BD274">
            <v>0</v>
          </cell>
          <cell r="BE274">
            <v>0</v>
          </cell>
          <cell r="BF274">
            <v>0</v>
          </cell>
          <cell r="BG274">
            <v>0</v>
          </cell>
        </row>
        <row r="275">
          <cell r="B275" t="str">
            <v>Net income (post-exceptionals)</v>
          </cell>
          <cell r="C275" t="str">
            <v>NET_INC</v>
          </cell>
          <cell r="D275" t="str">
            <v>CNY</v>
          </cell>
          <cell r="F275"/>
          <cell r="G275"/>
          <cell r="H275"/>
          <cell r="I275"/>
          <cell r="J275"/>
          <cell r="K275"/>
          <cell r="L275"/>
          <cell r="M275">
            <v>92.804284980000077</v>
          </cell>
          <cell r="N275">
            <v>346.91596158000021</v>
          </cell>
          <cell r="O275">
            <v>736.87843820999956</v>
          </cell>
          <cell r="P275">
            <v>932.85839172999999</v>
          </cell>
          <cell r="Q275">
            <v>1074.2977821091533</v>
          </cell>
          <cell r="R275">
            <v>1301.175254125184</v>
          </cell>
          <cell r="S275">
            <v>2235.5594010238556</v>
          </cell>
          <cell r="T275">
            <v>3511.3392475479177</v>
          </cell>
          <cell r="U275">
            <v>5154.197827011968</v>
          </cell>
          <cell r="V275">
            <v>7341.9039845625484</v>
          </cell>
          <cell r="W275"/>
          <cell r="X275"/>
          <cell r="Y275"/>
          <cell r="Z275"/>
          <cell r="AA275"/>
          <cell r="AB275"/>
          <cell r="AC275"/>
          <cell r="AD275"/>
          <cell r="AE275"/>
          <cell r="AF275"/>
          <cell r="AG275"/>
          <cell r="AH275"/>
          <cell r="AI275"/>
          <cell r="AJ275"/>
          <cell r="AK275"/>
          <cell r="AL275"/>
          <cell r="AM275"/>
          <cell r="AN275"/>
          <cell r="AO275"/>
          <cell r="AP275">
            <v>246.69128787999995</v>
          </cell>
          <cell r="AQ275">
            <v>173.55864326000005</v>
          </cell>
          <cell r="AR275">
            <v>225.74042846000006</v>
          </cell>
          <cell r="AS275">
            <v>225.08677209999999</v>
          </cell>
          <cell r="AT275">
            <v>292.68269751000008</v>
          </cell>
          <cell r="AU275">
            <v>189.34849366000003</v>
          </cell>
          <cell r="AV275">
            <v>262.98831770000015</v>
          </cell>
          <cell r="AW275">
            <v>338.53634926000012</v>
          </cell>
          <cell r="AX275">
            <v>276.24374499999999</v>
          </cell>
          <cell r="AY275">
            <v>196.52937014915304</v>
          </cell>
          <cell r="AZ275">
            <v>213.8666739959661</v>
          </cell>
          <cell r="BA275">
            <v>359.09200641813459</v>
          </cell>
          <cell r="BB275">
            <v>382.33022316563017</v>
          </cell>
          <cell r="BC275">
            <v>345.88635054545318</v>
          </cell>
          <cell r="BD275">
            <v>256.64880002888259</v>
          </cell>
          <cell r="BE275">
            <v>520.45229642582217</v>
          </cell>
          <cell r="BF275">
            <v>693.15947175019892</v>
          </cell>
          <cell r="BG275">
            <v>765.29883281895206</v>
          </cell>
        </row>
        <row r="276">
          <cell r="B276" t="str">
            <v>EPS (pre-exceptionals, basic)</v>
          </cell>
          <cell r="C276" t="str">
            <v>EPS</v>
          </cell>
          <cell r="D276" t="str">
            <v>CNY</v>
          </cell>
          <cell r="F276"/>
          <cell r="G276"/>
          <cell r="H276"/>
          <cell r="I276"/>
          <cell r="J276"/>
          <cell r="K276"/>
          <cell r="L276"/>
          <cell r="M276">
            <v>0.12000000000000008</v>
          </cell>
          <cell r="N276">
            <v>0.46000000000000024</v>
          </cell>
          <cell r="O276">
            <v>0.86999999999999966</v>
          </cell>
          <cell r="P276">
            <v>0.87999999999999978</v>
          </cell>
          <cell r="Q276">
            <v>0.95086260893819952</v>
          </cell>
          <cell r="R276">
            <v>1.1516722061868581</v>
          </cell>
          <cell r="S276">
            <v>1.9786970427514858</v>
          </cell>
          <cell r="T276">
            <v>3.1078917348553836</v>
          </cell>
          <cell r="U276">
            <v>4.5619883745401255</v>
          </cell>
          <cell r="V276">
            <v>6.4983304383528857</v>
          </cell>
          <cell r="W276"/>
          <cell r="X276"/>
          <cell r="Y276"/>
          <cell r="Z276"/>
          <cell r="AA276"/>
          <cell r="AB276"/>
          <cell r="AC276"/>
          <cell r="AD276"/>
          <cell r="AE276"/>
          <cell r="AF276"/>
          <cell r="AG276"/>
          <cell r="AH276"/>
          <cell r="AI276"/>
          <cell r="AJ276"/>
          <cell r="AK276"/>
          <cell r="AL276"/>
          <cell r="AM276"/>
          <cell r="AN276"/>
          <cell r="AO276"/>
          <cell r="AP276">
            <v>0.29125756614205056</v>
          </cell>
          <cell r="AQ276">
            <v>0.20491306544807369</v>
          </cell>
          <cell r="AR276">
            <v>0.21294933808377675</v>
          </cell>
          <cell r="AS276">
            <v>0.21233271973966419</v>
          </cell>
          <cell r="AT276">
            <v>0.27609846906254404</v>
          </cell>
          <cell r="AU276">
            <v>0.17861947311401499</v>
          </cell>
          <cell r="AV276">
            <v>0.23277136195658868</v>
          </cell>
          <cell r="AW276">
            <v>0.299639040160534</v>
          </cell>
          <cell r="AX276">
            <v>0.24450376091986598</v>
          </cell>
          <cell r="AY276">
            <v>0.17394844590121075</v>
          </cell>
          <cell r="AZ276">
            <v>0.18929372003495179</v>
          </cell>
          <cell r="BA276">
            <v>0.31783288372916663</v>
          </cell>
          <cell r="BB276">
            <v>0.3384010648904584</v>
          </cell>
          <cell r="BC276">
            <v>0.30614453753228127</v>
          </cell>
          <cell r="BD276">
            <v>0.22716024517634745</v>
          </cell>
          <cell r="BE276">
            <v>0.46065312304354417</v>
          </cell>
          <cell r="BF276">
            <v>0.61351650789469003</v>
          </cell>
          <cell r="BG276">
            <v>0.67736716663690444</v>
          </cell>
        </row>
        <row r="277">
          <cell r="B277" t="str">
            <v>EPS (pre-exceptionals, diluted)</v>
          </cell>
          <cell r="C277" t="str">
            <v>EPS_FUL_DIL</v>
          </cell>
          <cell r="D277" t="str">
            <v>CNY</v>
          </cell>
          <cell r="F277"/>
          <cell r="G277"/>
          <cell r="H277"/>
          <cell r="I277"/>
          <cell r="J277"/>
          <cell r="K277"/>
          <cell r="L277"/>
          <cell r="M277">
            <v>0.12000000000000008</v>
          </cell>
          <cell r="N277">
            <v>0.46000000000000024</v>
          </cell>
          <cell r="O277">
            <v>0.86999999999999966</v>
          </cell>
          <cell r="P277">
            <v>0.87999999999999978</v>
          </cell>
          <cell r="Q277">
            <v>0.95086260893819952</v>
          </cell>
          <cell r="R277">
            <v>1.1516722061868581</v>
          </cell>
          <cell r="S277">
            <v>1.9786970427514858</v>
          </cell>
          <cell r="T277">
            <v>3.1078917348553836</v>
          </cell>
          <cell r="U277">
            <v>4.5619883745401255</v>
          </cell>
          <cell r="V277">
            <v>6.4983304383528857</v>
          </cell>
          <cell r="W277"/>
          <cell r="X277"/>
          <cell r="Y277"/>
          <cell r="Z277"/>
          <cell r="AA277"/>
          <cell r="AB277"/>
          <cell r="AC277"/>
          <cell r="AD277"/>
          <cell r="AE277"/>
          <cell r="AF277"/>
          <cell r="AG277"/>
          <cell r="AH277"/>
          <cell r="AI277"/>
          <cell r="AJ277"/>
          <cell r="AK277"/>
          <cell r="AL277"/>
          <cell r="AM277"/>
          <cell r="AN277"/>
          <cell r="AO277"/>
          <cell r="AP277">
            <v>0.29125756614205056</v>
          </cell>
          <cell r="AQ277">
            <v>0.20491306544807369</v>
          </cell>
          <cell r="AR277">
            <v>0.21294933808377675</v>
          </cell>
          <cell r="AS277">
            <v>0.21233271973966419</v>
          </cell>
          <cell r="AT277">
            <v>0.27609846906254404</v>
          </cell>
          <cell r="AU277">
            <v>0.17861947311401499</v>
          </cell>
          <cell r="AV277">
            <v>0.23277136195658868</v>
          </cell>
          <cell r="AW277">
            <v>0.299639040160534</v>
          </cell>
          <cell r="AX277">
            <v>0.24450376091986598</v>
          </cell>
          <cell r="AY277">
            <v>0.17394844590121075</v>
          </cell>
          <cell r="AZ277">
            <v>0.18929372003495179</v>
          </cell>
          <cell r="BA277">
            <v>0.31783288372916663</v>
          </cell>
          <cell r="BB277">
            <v>0.3384010648904584</v>
          </cell>
          <cell r="BC277">
            <v>0.30614453753228127</v>
          </cell>
          <cell r="BD277">
            <v>0.22716024517634745</v>
          </cell>
          <cell r="BE277">
            <v>0.46065312304354417</v>
          </cell>
          <cell r="BF277">
            <v>0.61351650789469003</v>
          </cell>
          <cell r="BG277">
            <v>0.67736716663690444</v>
          </cell>
        </row>
        <row r="278">
          <cell r="B278" t="str">
            <v>EPS (post-exceptionals, basic)</v>
          </cell>
          <cell r="C278" t="str">
            <v>EPS_POST_BASIC</v>
          </cell>
          <cell r="D278" t="str">
            <v>CNY</v>
          </cell>
          <cell r="F278"/>
          <cell r="G278"/>
          <cell r="H278"/>
          <cell r="I278"/>
          <cell r="J278"/>
          <cell r="K278"/>
          <cell r="L278"/>
          <cell r="M278">
            <v>0.12000000000000008</v>
          </cell>
          <cell r="N278">
            <v>0.46000000000000035</v>
          </cell>
          <cell r="O278">
            <v>0.86999999999999955</v>
          </cell>
          <cell r="P278">
            <v>0.87999999999999989</v>
          </cell>
          <cell r="Q278">
            <v>0.95086260893819952</v>
          </cell>
          <cell r="R278">
            <v>1.1516722061868581</v>
          </cell>
          <cell r="S278">
            <v>1.9786970427514858</v>
          </cell>
          <cell r="T278">
            <v>3.1078917348553836</v>
          </cell>
          <cell r="U278">
            <v>4.5619883745401255</v>
          </cell>
          <cell r="V278">
            <v>6.4983304383528857</v>
          </cell>
          <cell r="W278"/>
          <cell r="X278"/>
          <cell r="Y278"/>
          <cell r="Z278"/>
          <cell r="AA278"/>
          <cell r="AB278"/>
          <cell r="AC278"/>
          <cell r="AD278"/>
          <cell r="AE278"/>
          <cell r="AF278"/>
          <cell r="AG278"/>
          <cell r="AH278"/>
          <cell r="AI278"/>
          <cell r="AJ278"/>
          <cell r="AK278"/>
          <cell r="AL278"/>
          <cell r="AM278"/>
          <cell r="AN278"/>
          <cell r="AO278"/>
          <cell r="AP278">
            <v>0.29125756614205051</v>
          </cell>
          <cell r="AQ278">
            <v>0.20491306544807369</v>
          </cell>
          <cell r="AR278">
            <v>0.21294933808377678</v>
          </cell>
          <cell r="AS278">
            <v>0.21233271973966419</v>
          </cell>
          <cell r="AT278">
            <v>0.27609846906254409</v>
          </cell>
          <cell r="AU278">
            <v>0.17861947311401499</v>
          </cell>
          <cell r="AV278">
            <v>0.23277136195658871</v>
          </cell>
          <cell r="AW278">
            <v>0.299639040160534</v>
          </cell>
          <cell r="AX278">
            <v>0.24450376091986598</v>
          </cell>
          <cell r="AY278">
            <v>0.17394844590121075</v>
          </cell>
          <cell r="AZ278">
            <v>0.18929372003495179</v>
          </cell>
          <cell r="BA278">
            <v>0.31783288372916663</v>
          </cell>
          <cell r="BB278">
            <v>0.3384010648904584</v>
          </cell>
          <cell r="BC278">
            <v>0.30614453753228127</v>
          </cell>
          <cell r="BD278">
            <v>0.22716024517634745</v>
          </cell>
          <cell r="BE278">
            <v>0.46065312304354417</v>
          </cell>
          <cell r="BF278">
            <v>0.61351650789469003</v>
          </cell>
          <cell r="BG278">
            <v>0.67736716663690444</v>
          </cell>
        </row>
        <row r="279">
          <cell r="B279" t="str">
            <v>EPS (post-exceptionals, diluted)</v>
          </cell>
          <cell r="C279" t="str">
            <v>FULLY_DIL_EPS</v>
          </cell>
          <cell r="D279" t="str">
            <v>CNY</v>
          </cell>
          <cell r="F279"/>
          <cell r="G279"/>
          <cell r="H279"/>
          <cell r="I279"/>
          <cell r="J279"/>
          <cell r="K279"/>
          <cell r="L279"/>
          <cell r="M279">
            <v>0.12000000000000008</v>
          </cell>
          <cell r="N279">
            <v>0.46000000000000035</v>
          </cell>
          <cell r="O279">
            <v>0.86999999999999955</v>
          </cell>
          <cell r="P279">
            <v>0.87999999999999989</v>
          </cell>
          <cell r="Q279">
            <v>0.95086260893819952</v>
          </cell>
          <cell r="R279">
            <v>1.1516722061868581</v>
          </cell>
          <cell r="S279">
            <v>1.9786970427514858</v>
          </cell>
          <cell r="T279">
            <v>3.1078917348553836</v>
          </cell>
          <cell r="U279">
            <v>4.5619883745401255</v>
          </cell>
          <cell r="V279">
            <v>6.4983304383528857</v>
          </cell>
          <cell r="W279"/>
          <cell r="X279"/>
          <cell r="Y279"/>
          <cell r="Z279"/>
          <cell r="AA279"/>
          <cell r="AB279"/>
          <cell r="AC279"/>
          <cell r="AD279"/>
          <cell r="AE279"/>
          <cell r="AF279"/>
          <cell r="AG279"/>
          <cell r="AH279"/>
          <cell r="AI279"/>
          <cell r="AJ279"/>
          <cell r="AK279"/>
          <cell r="AL279"/>
          <cell r="AM279"/>
          <cell r="AN279"/>
          <cell r="AO279"/>
          <cell r="AP279">
            <v>0.29125756614205051</v>
          </cell>
          <cell r="AQ279">
            <v>0.20491306544807369</v>
          </cell>
          <cell r="AR279">
            <v>0.21294933808377678</v>
          </cell>
          <cell r="AS279">
            <v>0.21233271973966419</v>
          </cell>
          <cell r="AT279">
            <v>0.27609846906254409</v>
          </cell>
          <cell r="AU279">
            <v>0.17861947311401499</v>
          </cell>
          <cell r="AV279">
            <v>0.23277136195658871</v>
          </cell>
          <cell r="AW279">
            <v>0.299639040160534</v>
          </cell>
          <cell r="AX279">
            <v>0.24450376091986598</v>
          </cell>
          <cell r="AY279">
            <v>0.17394844590121075</v>
          </cell>
          <cell r="AZ279">
            <v>0.18929372003495179</v>
          </cell>
          <cell r="BA279">
            <v>0.31783288372916663</v>
          </cell>
          <cell r="BB279">
            <v>0.3384010648904584</v>
          </cell>
          <cell r="BC279">
            <v>0.30614453753228127</v>
          </cell>
          <cell r="BD279">
            <v>0.22716024517634745</v>
          </cell>
          <cell r="BE279">
            <v>0.46065312304354417</v>
          </cell>
          <cell r="BF279">
            <v>0.61351650789469003</v>
          </cell>
          <cell r="BG279">
            <v>0.67736716663690444</v>
          </cell>
        </row>
        <row r="280">
          <cell r="B280" t="str">
            <v>Common dividends paid</v>
          </cell>
          <cell r="C280" t="str">
            <v>COMMON_DIV_PAID</v>
          </cell>
          <cell r="D280" t="str">
            <v>CNY</v>
          </cell>
          <cell r="F280"/>
          <cell r="G280"/>
          <cell r="H280"/>
          <cell r="I280"/>
          <cell r="J280"/>
          <cell r="K280"/>
          <cell r="L280"/>
          <cell r="M280">
            <v>0</v>
          </cell>
          <cell r="N280">
            <v>0</v>
          </cell>
          <cell r="O280">
            <v>-239.83044278</v>
          </cell>
          <cell r="P280">
            <v>-292.31189522000005</v>
          </cell>
          <cell r="Q280">
            <v>-390.33466362388208</v>
          </cell>
          <cell r="R280">
            <v>-472.76817805351163</v>
          </cell>
          <cell r="S280">
            <v>-812.26671165294522</v>
          </cell>
          <cell r="T280">
            <v>-1275.8077386793796</v>
          </cell>
          <cell r="U280">
            <v>-1872.7229159012134</v>
          </cell>
          <cell r="V280">
            <v>-2667.6026609183518</v>
          </cell>
          <cell r="W280"/>
          <cell r="X280"/>
          <cell r="Y280"/>
          <cell r="Z280"/>
          <cell r="AA280"/>
          <cell r="AB280"/>
          <cell r="AC280"/>
          <cell r="AD280"/>
          <cell r="AE280"/>
          <cell r="AF280"/>
          <cell r="AG280"/>
          <cell r="AH280"/>
          <cell r="AI280"/>
          <cell r="AJ280"/>
          <cell r="AK280"/>
          <cell r="AL280"/>
          <cell r="AM280"/>
          <cell r="AN280"/>
          <cell r="AO280"/>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row>
        <row r="281">
          <cell r="B281" t="str">
            <v>DPS, dividend per share</v>
          </cell>
          <cell r="C281" t="str">
            <v>DPS</v>
          </cell>
          <cell r="D281" t="str">
            <v>CNY</v>
          </cell>
          <cell r="F281"/>
          <cell r="G281"/>
          <cell r="H281"/>
          <cell r="I281"/>
          <cell r="J281"/>
          <cell r="K281"/>
          <cell r="L281"/>
          <cell r="M281">
            <v>0</v>
          </cell>
          <cell r="N281">
            <v>0</v>
          </cell>
          <cell r="O281">
            <v>5.6</v>
          </cell>
          <cell r="P281">
            <v>3</v>
          </cell>
          <cell r="Q281">
            <v>0.34548580737431711</v>
          </cell>
          <cell r="R281">
            <v>0.41844783699017851</v>
          </cell>
          <cell r="S281">
            <v>0.71893850798018044</v>
          </cell>
          <cell r="T281">
            <v>1.1292193794932004</v>
          </cell>
          <cell r="U281">
            <v>1.6575499151977706</v>
          </cell>
          <cell r="V281">
            <v>2.3610991924337652</v>
          </cell>
          <cell r="W281"/>
          <cell r="X281"/>
          <cell r="Y281"/>
          <cell r="Z281"/>
          <cell r="AA281"/>
          <cell r="AB281"/>
          <cell r="AC281"/>
          <cell r="AD281"/>
          <cell r="AE281"/>
          <cell r="AF281"/>
          <cell r="AG281"/>
          <cell r="AH281"/>
          <cell r="AI281"/>
          <cell r="AJ281"/>
          <cell r="AK281"/>
          <cell r="AL281"/>
          <cell r="AM281"/>
          <cell r="AN281"/>
          <cell r="AO281"/>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row>
        <row r="282">
          <cell r="B282" t="str">
            <v>Weighted average shares outstanding, basic</v>
          </cell>
          <cell r="C282" t="str">
            <v>SH</v>
          </cell>
          <cell r="F282"/>
          <cell r="G282"/>
          <cell r="H282"/>
          <cell r="I282"/>
          <cell r="J282"/>
          <cell r="K282"/>
          <cell r="L282"/>
          <cell r="M282">
            <v>773.36904150000009</v>
          </cell>
          <cell r="N282">
            <v>754.16513386956512</v>
          </cell>
          <cell r="O282">
            <v>846.98671058620687</v>
          </cell>
          <cell r="P282">
            <v>1060.0663542386364</v>
          </cell>
          <cell r="Q282">
            <v>1129.813889</v>
          </cell>
          <cell r="R282">
            <v>1129.813889</v>
          </cell>
          <cell r="S282">
            <v>1129.813889</v>
          </cell>
          <cell r="T282">
            <v>1129.813889</v>
          </cell>
          <cell r="U282">
            <v>1129.813889</v>
          </cell>
          <cell r="V282">
            <v>1129.813889</v>
          </cell>
          <cell r="W282"/>
          <cell r="X282"/>
          <cell r="Y282"/>
          <cell r="Z282"/>
          <cell r="AA282"/>
          <cell r="AB282"/>
          <cell r="AC282"/>
          <cell r="AD282"/>
          <cell r="AE282"/>
          <cell r="AF282"/>
          <cell r="AG282"/>
          <cell r="AH282"/>
          <cell r="AI282"/>
          <cell r="AJ282"/>
          <cell r="AK282"/>
          <cell r="AL282"/>
          <cell r="AM282"/>
          <cell r="AN282"/>
          <cell r="AO282"/>
          <cell r="AP282">
            <v>846.98671058620687</v>
          </cell>
          <cell r="AQ282">
            <v>846.98671058620687</v>
          </cell>
          <cell r="AR282">
            <v>1060.0663542386364</v>
          </cell>
          <cell r="AS282">
            <v>1060.0663542386364</v>
          </cell>
          <cell r="AT282">
            <v>1060.0663542386364</v>
          </cell>
          <cell r="AU282">
            <v>1060.0663542386364</v>
          </cell>
          <cell r="AV282">
            <v>1129.813889</v>
          </cell>
          <cell r="AW282">
            <v>1129.813889</v>
          </cell>
          <cell r="AX282">
            <v>1129.813889</v>
          </cell>
          <cell r="AY282">
            <v>1129.813889</v>
          </cell>
          <cell r="AZ282">
            <v>1129.813889</v>
          </cell>
          <cell r="BA282">
            <v>1129.813889</v>
          </cell>
          <cell r="BB282">
            <v>1129.813889</v>
          </cell>
          <cell r="BC282">
            <v>1129.813889</v>
          </cell>
          <cell r="BD282">
            <v>1129.813889</v>
          </cell>
          <cell r="BE282">
            <v>1129.813889</v>
          </cell>
          <cell r="BF282">
            <v>1129.813889</v>
          </cell>
          <cell r="BG282">
            <v>1129.813889</v>
          </cell>
        </row>
        <row r="283">
          <cell r="B283" t="str">
            <v>Diluted average shares outstanding (mn)</v>
          </cell>
          <cell r="C283" t="str">
            <v>DILUTE_SHARES</v>
          </cell>
          <cell r="F283"/>
          <cell r="G283"/>
          <cell r="H283"/>
          <cell r="I283"/>
          <cell r="J283"/>
          <cell r="K283"/>
          <cell r="L283"/>
          <cell r="M283">
            <v>773.36904150000009</v>
          </cell>
          <cell r="N283">
            <v>754.16513386956512</v>
          </cell>
          <cell r="O283">
            <v>846.98671058620687</v>
          </cell>
          <cell r="P283">
            <v>1060.0663542386364</v>
          </cell>
          <cell r="Q283">
            <v>1129.813889</v>
          </cell>
          <cell r="R283">
            <v>1129.813889</v>
          </cell>
          <cell r="S283">
            <v>1129.813889</v>
          </cell>
          <cell r="T283">
            <v>1129.813889</v>
          </cell>
          <cell r="U283">
            <v>1129.813889</v>
          </cell>
          <cell r="V283">
            <v>1129.813889</v>
          </cell>
          <cell r="W283"/>
          <cell r="X283"/>
          <cell r="Y283"/>
          <cell r="Z283"/>
          <cell r="AA283"/>
          <cell r="AB283"/>
          <cell r="AC283"/>
          <cell r="AD283"/>
          <cell r="AE283"/>
          <cell r="AF283"/>
          <cell r="AG283"/>
          <cell r="AH283"/>
          <cell r="AI283"/>
          <cell r="AJ283"/>
          <cell r="AK283"/>
          <cell r="AL283"/>
          <cell r="AM283"/>
          <cell r="AN283"/>
          <cell r="AO283"/>
          <cell r="AP283">
            <v>846.98671058620687</v>
          </cell>
          <cell r="AQ283">
            <v>846.98671058620687</v>
          </cell>
          <cell r="AR283">
            <v>1060.0663542386364</v>
          </cell>
          <cell r="AS283">
            <v>1060.0663542386364</v>
          </cell>
          <cell r="AT283">
            <v>1060.0663542386364</v>
          </cell>
          <cell r="AU283">
            <v>1060.0663542386364</v>
          </cell>
          <cell r="AV283">
            <v>1129.813889</v>
          </cell>
          <cell r="AW283">
            <v>1129.813889</v>
          </cell>
          <cell r="AX283">
            <v>1129.813889</v>
          </cell>
          <cell r="AY283">
            <v>1129.813889</v>
          </cell>
          <cell r="AZ283">
            <v>1129.813889</v>
          </cell>
          <cell r="BA283">
            <v>1129.813889</v>
          </cell>
          <cell r="BB283">
            <v>1129.813889</v>
          </cell>
          <cell r="BC283">
            <v>1129.813889</v>
          </cell>
          <cell r="BD283">
            <v>1129.813889</v>
          </cell>
          <cell r="BE283">
            <v>1129.813889</v>
          </cell>
          <cell r="BF283">
            <v>1129.813889</v>
          </cell>
          <cell r="BG283">
            <v>1129.813889</v>
          </cell>
        </row>
        <row r="284">
          <cell r="B284" t="str">
            <v>Period-end shares outstanding</v>
          </cell>
          <cell r="C284" t="str">
            <v>NON_OP_ADD</v>
          </cell>
          <cell r="F284"/>
          <cell r="G284"/>
          <cell r="H284"/>
          <cell r="I284"/>
          <cell r="J284"/>
          <cell r="K284"/>
          <cell r="L284"/>
          <cell r="M284">
            <v>757.03177500000004</v>
          </cell>
          <cell r="N284">
            <v>757.03177500000004</v>
          </cell>
          <cell r="O284">
            <v>1016.8325</v>
          </cell>
          <cell r="P284">
            <v>1129.813889</v>
          </cell>
          <cell r="Q284">
            <v>1129.813889</v>
          </cell>
          <cell r="R284">
            <v>1129.813889</v>
          </cell>
          <cell r="S284">
            <v>1129.813889</v>
          </cell>
          <cell r="T284">
            <v>1129.813889</v>
          </cell>
          <cell r="U284">
            <v>1129.813889</v>
          </cell>
          <cell r="V284">
            <v>1129.813889</v>
          </cell>
          <cell r="W284"/>
          <cell r="X284"/>
          <cell r="Y284"/>
          <cell r="Z284"/>
          <cell r="AA284"/>
          <cell r="AB284"/>
          <cell r="AC284"/>
          <cell r="AD284"/>
          <cell r="AE284"/>
          <cell r="AF284"/>
          <cell r="AG284"/>
          <cell r="AH284"/>
          <cell r="AI284"/>
          <cell r="AJ284"/>
          <cell r="AK284"/>
          <cell r="AL284"/>
          <cell r="AM284"/>
          <cell r="AN284"/>
          <cell r="AO284"/>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row>
        <row r="285">
          <cell r="A285" t="str">
            <v>Additional Income Statement Items</v>
          </cell>
          <cell r="B285"/>
          <cell r="C285"/>
          <cell r="D285"/>
        </row>
        <row r="286">
          <cell r="B286" t="str">
            <v>Marginal tax rate</v>
          </cell>
          <cell r="C286" t="str">
            <v>MARGIN_TAX_RATE</v>
          </cell>
          <cell r="F286"/>
          <cell r="G286"/>
          <cell r="H286"/>
          <cell r="I286"/>
          <cell r="J286"/>
          <cell r="K286"/>
          <cell r="L286"/>
          <cell r="M286">
            <v>6.3458067564432272E-2</v>
          </cell>
          <cell r="N286">
            <v>4.2647252689011358E-2</v>
          </cell>
          <cell r="O286">
            <v>6.2772504891591877E-2</v>
          </cell>
          <cell r="P286">
            <v>4.6885064222016916E-2</v>
          </cell>
          <cell r="Q286">
            <v>6.1215216325665664E-2</v>
          </cell>
          <cell r="R286">
            <v>0.05</v>
          </cell>
          <cell r="S286">
            <v>4.9999999999999996E-2</v>
          </cell>
          <cell r="T286">
            <v>0.05</v>
          </cell>
          <cell r="U286">
            <v>0.05</v>
          </cell>
          <cell r="V286">
            <v>0.05</v>
          </cell>
          <cell r="W286"/>
          <cell r="X286"/>
          <cell r="Y286"/>
          <cell r="Z286"/>
          <cell r="AA286"/>
          <cell r="AB286"/>
          <cell r="AC286"/>
          <cell r="AD286"/>
          <cell r="AE286"/>
          <cell r="AF286"/>
          <cell r="AG286"/>
          <cell r="AH286"/>
          <cell r="AI286"/>
          <cell r="AJ286"/>
          <cell r="AK286"/>
          <cell r="AL286"/>
          <cell r="AM286"/>
          <cell r="AN286"/>
          <cell r="AO286"/>
          <cell r="AP286">
            <v>6.5939866678682124E-2</v>
          </cell>
          <cell r="AQ286">
            <v>0.1095079073958377</v>
          </cell>
          <cell r="AR286">
            <v>3.7536131913950783E-2</v>
          </cell>
          <cell r="AS286">
            <v>0</v>
          </cell>
          <cell r="AT286">
            <v>4.5745112393881661E-2</v>
          </cell>
          <cell r="AU286">
            <v>0.11431114366451407</v>
          </cell>
          <cell r="AV286">
            <v>4.922881397426903E-2</v>
          </cell>
          <cell r="AW286">
            <v>2.9899995047576611E-2</v>
          </cell>
          <cell r="AX286">
            <v>0.11432098924349497</v>
          </cell>
          <cell r="AY286">
            <v>0.05</v>
          </cell>
          <cell r="AZ286">
            <v>0.05</v>
          </cell>
          <cell r="BA286">
            <v>0.05</v>
          </cell>
          <cell r="BB286">
            <v>0.05</v>
          </cell>
          <cell r="BC286">
            <v>0.05</v>
          </cell>
          <cell r="BD286">
            <v>0.05</v>
          </cell>
          <cell r="BE286">
            <v>0.05</v>
          </cell>
          <cell r="BF286">
            <v>0.05</v>
          </cell>
          <cell r="BG286">
            <v>0.05</v>
          </cell>
        </row>
        <row r="287">
          <cell r="B287" t="str">
            <v>Net income (consensus) (Pub)</v>
          </cell>
          <cell r="C287" t="str">
            <v>NI_CONS</v>
          </cell>
          <cell r="D287" t="str">
            <v>CNY</v>
          </cell>
          <cell r="F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row>
        <row r="288">
          <cell r="A288" t="str">
            <v>Balance Sheet</v>
          </cell>
          <cell r="B288"/>
          <cell r="C288"/>
          <cell r="D288"/>
        </row>
        <row r="289">
          <cell r="B289" t="str">
            <v>BVPS, book value per share</v>
          </cell>
          <cell r="C289" t="str">
            <v>BVPS</v>
          </cell>
          <cell r="D289" t="str">
            <v>CNY</v>
          </cell>
          <cell r="F289"/>
          <cell r="G289"/>
          <cell r="H289"/>
          <cell r="I289"/>
          <cell r="J289"/>
          <cell r="K289"/>
          <cell r="L289"/>
          <cell r="M289">
            <v>1.1664291157659794</v>
          </cell>
          <cell r="N289">
            <v>1.567975998088059</v>
          </cell>
          <cell r="O289">
            <v>3.5558951596551052</v>
          </cell>
          <cell r="P289">
            <v>6.4875502257788229</v>
          </cell>
          <cell r="Q289">
            <v>7.0929270273427054</v>
          </cell>
          <cell r="R289">
            <v>7.8261513965393839</v>
          </cell>
          <cell r="S289">
            <v>9.0859099313106881</v>
          </cell>
          <cell r="T289">
            <v>11.064582286672874</v>
          </cell>
          <cell r="U289">
            <v>13.969020746015227</v>
          </cell>
          <cell r="V289">
            <v>18.106251991934347</v>
          </cell>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row>
        <row r="290">
          <cell r="A290" t="str">
            <v>Cash Flow Statement</v>
          </cell>
          <cell r="B290"/>
          <cell r="C290"/>
          <cell r="D290"/>
        </row>
        <row r="291">
          <cell r="B291" t="str">
            <v>Net income (pre-preferred dividends)</v>
          </cell>
          <cell r="C291" t="str">
            <v>CF_NI_PRE_PREF</v>
          </cell>
          <cell r="D291" t="str">
            <v>CNY</v>
          </cell>
          <cell r="F291"/>
          <cell r="G291"/>
          <cell r="H291"/>
          <cell r="I291"/>
          <cell r="J291"/>
          <cell r="K291"/>
          <cell r="L291"/>
          <cell r="M291">
            <v>92.804284980000006</v>
          </cell>
          <cell r="N291">
            <v>346.91596157999999</v>
          </cell>
          <cell r="O291">
            <v>736.87843821000001</v>
          </cell>
          <cell r="P291">
            <v>932.85839172999999</v>
          </cell>
          <cell r="Q291">
            <v>1074.2977821091533</v>
          </cell>
          <cell r="R291">
            <v>1301.1752541251838</v>
          </cell>
          <cell r="S291">
            <v>2235.5594010238565</v>
          </cell>
          <cell r="T291">
            <v>3511.3392475479181</v>
          </cell>
          <cell r="U291">
            <v>5154.1978270119671</v>
          </cell>
          <cell r="V291">
            <v>7341.9039845625475</v>
          </cell>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row>
        <row r="292">
          <cell r="A292" t="str">
            <v>Other Items</v>
          </cell>
          <cell r="B292"/>
          <cell r="C292"/>
          <cell r="D292"/>
        </row>
        <row r="293">
          <cell r="B293" t="str">
            <v>Beta</v>
          </cell>
          <cell r="C293" t="str">
            <v>BETA_ANALYST</v>
          </cell>
          <cell r="E293"/>
        </row>
        <row r="294">
          <cell r="B294" t="str">
            <v>Market equity risk premium</v>
          </cell>
          <cell r="C294" t="str">
            <v>MKT_EQ_RISK_PREM</v>
          </cell>
          <cell r="E294"/>
        </row>
        <row r="295">
          <cell r="B295" t="str">
            <v>Risk-free rate</v>
          </cell>
          <cell r="C295" t="str">
            <v>RISK_FR_RATE</v>
          </cell>
          <cell r="E295"/>
        </row>
      </sheetData>
      <sheetData sheetId="25">
        <row r="1">
          <cell r="A1" t="str">
            <v>Issuer: Montage</v>
          </cell>
          <cell r="C1">
            <v>2218378102</v>
          </cell>
          <cell r="F1">
            <v>2009</v>
          </cell>
          <cell r="G1">
            <v>2010</v>
          </cell>
          <cell r="H1">
            <v>2011</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cell r="V1">
            <v>2025</v>
          </cell>
          <cell r="X1" t="str">
            <v>2014 Q1</v>
          </cell>
          <cell r="Y1" t="str">
            <v>2014 Q2</v>
          </cell>
          <cell r="Z1" t="str">
            <v>2014 Q3</v>
          </cell>
          <cell r="AA1" t="str">
            <v>2014 Q4</v>
          </cell>
          <cell r="AB1" t="str">
            <v>2015 Q1</v>
          </cell>
          <cell r="AC1" t="str">
            <v>2015 Q2</v>
          </cell>
          <cell r="AD1" t="str">
            <v>2015 Q3</v>
          </cell>
          <cell r="AE1" t="str">
            <v>2015 Q4</v>
          </cell>
          <cell r="AF1" t="str">
            <v>2016 Q1</v>
          </cell>
          <cell r="AG1" t="str">
            <v>2016 Q2</v>
          </cell>
          <cell r="AH1" t="str">
            <v>2016 Q3</v>
          </cell>
          <cell r="AI1" t="str">
            <v>2016 Q4</v>
          </cell>
          <cell r="AJ1" t="str">
            <v>2017 Q1</v>
          </cell>
          <cell r="AK1" t="str">
            <v>2017 Q2</v>
          </cell>
          <cell r="AL1" t="str">
            <v>2017 Q3</v>
          </cell>
          <cell r="AM1" t="str">
            <v>2017 Q4</v>
          </cell>
          <cell r="AN1" t="str">
            <v>2018 Q1</v>
          </cell>
          <cell r="AO1" t="str">
            <v>2018 Q2</v>
          </cell>
          <cell r="AP1" t="str">
            <v>2018 Q3</v>
          </cell>
          <cell r="AQ1" t="str">
            <v>2018 Q4</v>
          </cell>
          <cell r="AR1" t="str">
            <v>2019 Q1</v>
          </cell>
          <cell r="AS1" t="str">
            <v>2019 Q2</v>
          </cell>
          <cell r="AT1" t="str">
            <v>2019 Q3</v>
          </cell>
          <cell r="AU1" t="str">
            <v>2019 Q4</v>
          </cell>
          <cell r="AV1" t="str">
            <v>2020 Q1</v>
          </cell>
          <cell r="AW1" t="str">
            <v>2020 Q2</v>
          </cell>
          <cell r="AX1" t="str">
            <v>2020 Q3</v>
          </cell>
          <cell r="AY1" t="str">
            <v>2020 Q4</v>
          </cell>
          <cell r="AZ1" t="str">
            <v>2021 Q1</v>
          </cell>
          <cell r="BA1" t="str">
            <v>2021 Q2</v>
          </cell>
          <cell r="BB1" t="str">
            <v>2021 Q3</v>
          </cell>
          <cell r="BC1" t="str">
            <v>2021 Q4</v>
          </cell>
          <cell r="BD1" t="str">
            <v>2022 Q1</v>
          </cell>
          <cell r="BE1" t="str">
            <v>2022 Q2</v>
          </cell>
          <cell r="BF1" t="str">
            <v>2022 Q3</v>
          </cell>
          <cell r="BG1" t="str">
            <v>2022 Q4</v>
          </cell>
        </row>
        <row r="2">
          <cell r="F2" t="str">
            <v>Actual</v>
          </cell>
          <cell r="G2" t="str">
            <v>Actual</v>
          </cell>
          <cell r="H2" t="str">
            <v>Actual</v>
          </cell>
          <cell r="I2" t="str">
            <v>Actual</v>
          </cell>
          <cell r="J2" t="str">
            <v>Actual</v>
          </cell>
          <cell r="K2" t="str">
            <v>Actual</v>
          </cell>
          <cell r="L2" t="str">
            <v>Actual</v>
          </cell>
          <cell r="M2" t="str">
            <v>Actual</v>
          </cell>
          <cell r="N2" t="str">
            <v>Actual</v>
          </cell>
          <cell r="O2" t="str">
            <v>Actual</v>
          </cell>
          <cell r="P2" t="str">
            <v>Actual</v>
          </cell>
          <cell r="Q2" t="str">
            <v>Estimate</v>
          </cell>
          <cell r="R2" t="str">
            <v>Estimate</v>
          </cell>
          <cell r="S2" t="str">
            <v>Estimate</v>
          </cell>
          <cell r="T2" t="str">
            <v>Estimate</v>
          </cell>
          <cell r="U2" t="str">
            <v>Estimate</v>
          </cell>
          <cell r="V2" t="str">
            <v>Estimate</v>
          </cell>
          <cell r="X2" t="str">
            <v>Actual</v>
          </cell>
          <cell r="Y2" t="str">
            <v>Actual</v>
          </cell>
          <cell r="Z2" t="str">
            <v>Actual</v>
          </cell>
          <cell r="AA2" t="str">
            <v>Actual</v>
          </cell>
          <cell r="AB2" t="str">
            <v>Actual</v>
          </cell>
          <cell r="AC2" t="str">
            <v>Actual</v>
          </cell>
          <cell r="AD2" t="str">
            <v>Actual</v>
          </cell>
          <cell r="AE2" t="str">
            <v>Actual</v>
          </cell>
          <cell r="AF2" t="str">
            <v>Actual</v>
          </cell>
          <cell r="AG2" t="str">
            <v>Actual</v>
          </cell>
          <cell r="AH2" t="str">
            <v>Actual</v>
          </cell>
          <cell r="AI2" t="str">
            <v>Actual</v>
          </cell>
          <cell r="AJ2" t="str">
            <v>Actual</v>
          </cell>
          <cell r="AK2" t="str">
            <v>Actual</v>
          </cell>
          <cell r="AL2" t="str">
            <v>Actual</v>
          </cell>
          <cell r="AM2" t="str">
            <v>Actual</v>
          </cell>
          <cell r="AN2" t="str">
            <v>Actual</v>
          </cell>
          <cell r="AO2" t="str">
            <v>Actual</v>
          </cell>
          <cell r="AP2" t="str">
            <v>Actual</v>
          </cell>
          <cell r="AQ2" t="str">
            <v>Actual</v>
          </cell>
          <cell r="AR2" t="str">
            <v>Actual</v>
          </cell>
          <cell r="AS2" t="str">
            <v>Actual</v>
          </cell>
          <cell r="AT2" t="str">
            <v>Actual</v>
          </cell>
          <cell r="AU2" t="str">
            <v>Actual</v>
          </cell>
          <cell r="AV2" t="str">
            <v>Actual</v>
          </cell>
          <cell r="AW2" t="str">
            <v>Actual</v>
          </cell>
          <cell r="AX2" t="str">
            <v>Actual</v>
          </cell>
          <cell r="AY2" t="str">
            <v>Estimate</v>
          </cell>
          <cell r="AZ2" t="str">
            <v>Estimate</v>
          </cell>
          <cell r="BA2" t="str">
            <v>Estimate</v>
          </cell>
          <cell r="BB2" t="str">
            <v>Estimate</v>
          </cell>
          <cell r="BC2" t="str">
            <v>Estimate</v>
          </cell>
          <cell r="BD2" t="str">
            <v>Estimate</v>
          </cell>
          <cell r="BE2" t="str">
            <v>Estimate</v>
          </cell>
          <cell r="BF2" t="str">
            <v>Estimate</v>
          </cell>
          <cell r="BG2" t="str">
            <v>Estimate</v>
          </cell>
        </row>
        <row r="3">
          <cell r="F3">
            <v>40178</v>
          </cell>
          <cell r="G3">
            <v>40543</v>
          </cell>
          <cell r="H3">
            <v>40908</v>
          </cell>
          <cell r="I3">
            <v>41274</v>
          </cell>
          <cell r="J3">
            <v>41639</v>
          </cell>
          <cell r="K3">
            <v>42004</v>
          </cell>
          <cell r="L3">
            <v>42369</v>
          </cell>
          <cell r="M3">
            <v>42735</v>
          </cell>
          <cell r="N3">
            <v>43100</v>
          </cell>
          <cell r="O3">
            <v>43465</v>
          </cell>
          <cell r="P3">
            <v>43830</v>
          </cell>
          <cell r="Q3">
            <v>44196</v>
          </cell>
          <cell r="R3">
            <v>44561</v>
          </cell>
          <cell r="S3">
            <v>44926</v>
          </cell>
          <cell r="T3">
            <v>45291</v>
          </cell>
          <cell r="U3">
            <v>45657</v>
          </cell>
          <cell r="V3">
            <v>46022</v>
          </cell>
          <cell r="X3">
            <v>41729</v>
          </cell>
          <cell r="Y3">
            <v>41820</v>
          </cell>
          <cell r="Z3">
            <v>41912</v>
          </cell>
          <cell r="AA3">
            <v>42004</v>
          </cell>
          <cell r="AB3">
            <v>42094</v>
          </cell>
          <cell r="AC3">
            <v>42185</v>
          </cell>
          <cell r="AD3">
            <v>42277</v>
          </cell>
          <cell r="AE3">
            <v>42369</v>
          </cell>
          <cell r="AF3">
            <v>42460</v>
          </cell>
          <cell r="AG3">
            <v>42551</v>
          </cell>
          <cell r="AH3">
            <v>42643</v>
          </cell>
          <cell r="AI3">
            <v>42735</v>
          </cell>
          <cell r="AJ3">
            <v>42825</v>
          </cell>
          <cell r="AK3">
            <v>42916</v>
          </cell>
          <cell r="AL3">
            <v>43008</v>
          </cell>
          <cell r="AM3">
            <v>43100</v>
          </cell>
          <cell r="AN3">
            <v>43190</v>
          </cell>
          <cell r="AO3">
            <v>43281</v>
          </cell>
          <cell r="AP3">
            <v>43373</v>
          </cell>
          <cell r="AQ3">
            <v>43465</v>
          </cell>
          <cell r="AR3">
            <v>43555</v>
          </cell>
          <cell r="AS3">
            <v>43646</v>
          </cell>
          <cell r="AT3">
            <v>43738</v>
          </cell>
          <cell r="AU3">
            <v>43830</v>
          </cell>
          <cell r="AV3">
            <v>43921</v>
          </cell>
          <cell r="AW3">
            <v>44012</v>
          </cell>
          <cell r="AX3">
            <v>44104</v>
          </cell>
          <cell r="AY3">
            <v>44196</v>
          </cell>
          <cell r="AZ3">
            <v>44286</v>
          </cell>
          <cell r="BA3">
            <v>44377</v>
          </cell>
          <cell r="BB3">
            <v>44469</v>
          </cell>
          <cell r="BC3">
            <v>44561</v>
          </cell>
          <cell r="BD3">
            <v>44651</v>
          </cell>
          <cell r="BE3">
            <v>44742</v>
          </cell>
          <cell r="BF3">
            <v>44834</v>
          </cell>
          <cell r="BG3">
            <v>44926</v>
          </cell>
        </row>
        <row r="4">
          <cell r="A4" t="str">
            <v>Issuer: Montage</v>
          </cell>
          <cell r="B4" t="str">
            <v>44X4F</v>
          </cell>
        </row>
        <row r="5">
          <cell r="A5" t="str">
            <v>Reference Data</v>
          </cell>
        </row>
        <row r="6">
          <cell r="B6" t="str">
            <v>Issuer Name</v>
          </cell>
          <cell r="C6" t="str">
            <v>Issuer Name</v>
          </cell>
          <cell r="E6" t="str">
            <v>Montage</v>
          </cell>
        </row>
        <row r="7">
          <cell r="B7" t="str">
            <v>Reporting Currency</v>
          </cell>
          <cell r="C7" t="str">
            <v>CURRENCY_ISO</v>
          </cell>
          <cell r="E7" t="str">
            <v>CNY</v>
          </cell>
        </row>
        <row r="8">
          <cell r="A8" t="str">
            <v>General Information</v>
          </cell>
        </row>
        <row r="9">
          <cell r="B9" t="str">
            <v>M&amp;A probability (1 = high, 3 = low)</v>
          </cell>
          <cell r="C9" t="str">
            <v>MA_PROB</v>
          </cell>
          <cell r="E9">
            <v>3</v>
          </cell>
        </row>
        <row r="10">
          <cell r="A10" t="str">
            <v>Income Statement</v>
          </cell>
        </row>
        <row r="11">
          <cell r="B11" t="str">
            <v>Sales, net revenue</v>
          </cell>
          <cell r="C11" t="str">
            <v>SALES</v>
          </cell>
          <cell r="D11" t="str">
            <v>CNY</v>
          </cell>
          <cell r="M11">
            <v>844.94463526000004</v>
          </cell>
          <cell r="N11">
            <v>1227.5149326999999</v>
          </cell>
          <cell r="O11">
            <v>1757.66458313</v>
          </cell>
          <cell r="P11">
            <v>1737.73471498</v>
          </cell>
          <cell r="Q11">
            <v>1886.0565438543399</v>
          </cell>
          <cell r="R11">
            <v>2531.6595899338399</v>
          </cell>
          <cell r="S11">
            <v>4039.5983578669902</v>
          </cell>
          <cell r="T11">
            <v>6223.7387790764697</v>
          </cell>
          <cell r="U11">
            <v>9033.33617612126</v>
          </cell>
          <cell r="V11">
            <v>12865.2309734137</v>
          </cell>
          <cell r="AP11">
            <v>542.06418836</v>
          </cell>
          <cell r="AQ11">
            <v>506.46952348999997</v>
          </cell>
          <cell r="AR11">
            <v>404.71709714000002</v>
          </cell>
          <cell r="AS11">
            <v>474.46152362999999</v>
          </cell>
          <cell r="AT11">
            <v>505.16771749999998</v>
          </cell>
          <cell r="AU11">
            <v>353.38837670999999</v>
          </cell>
          <cell r="AV11">
            <v>495.75247610999998</v>
          </cell>
          <cell r="AW11">
            <v>593.82419230999994</v>
          </cell>
          <cell r="AX11">
            <v>378.87464612999997</v>
          </cell>
          <cell r="AY11">
            <v>417.605229304337</v>
          </cell>
          <cell r="AZ11">
            <v>505.494844999073</v>
          </cell>
          <cell r="BA11">
            <v>670.43844502000798</v>
          </cell>
          <cell r="BB11">
            <v>686.18329349241105</v>
          </cell>
          <cell r="BC11">
            <v>669.54300642234898</v>
          </cell>
          <cell r="BD11">
            <v>629.63018957205099</v>
          </cell>
          <cell r="BE11">
            <v>940.73631576779906</v>
          </cell>
          <cell r="BF11">
            <v>1165.01559317446</v>
          </cell>
          <cell r="BG11">
            <v>1304.21625935268</v>
          </cell>
        </row>
        <row r="12">
          <cell r="B12" t="str">
            <v>Compensation &amp; benfits expense</v>
          </cell>
          <cell r="C12" t="str">
            <v>PERSONNEL</v>
          </cell>
          <cell r="D12" t="str">
            <v>CNY</v>
          </cell>
        </row>
        <row r="13">
          <cell r="B13" t="str">
            <v>Cost of goods sold, COGS</v>
          </cell>
          <cell r="C13" t="str">
            <v>COST_GD_SD</v>
          </cell>
          <cell r="D13" t="str">
            <v>CNY</v>
          </cell>
          <cell r="M13">
            <v>-412.30912940000002</v>
          </cell>
          <cell r="N13">
            <v>-570.95230832000004</v>
          </cell>
          <cell r="O13">
            <v>-517.73399204999998</v>
          </cell>
          <cell r="P13">
            <v>-452.49981363000001</v>
          </cell>
          <cell r="Q13">
            <v>-516.10537929881104</v>
          </cell>
          <cell r="R13">
            <v>-701.94413781383901</v>
          </cell>
          <cell r="S13">
            <v>-1114.4462123005901</v>
          </cell>
          <cell r="T13">
            <v>-1831.04920106342</v>
          </cell>
          <cell r="U13">
            <v>-2780.3084406994699</v>
          </cell>
          <cell r="V13">
            <v>-4173.1774650438801</v>
          </cell>
          <cell r="AP13">
            <v>-148.64970209000001</v>
          </cell>
          <cell r="AQ13">
            <v>-144.65288433000001</v>
          </cell>
          <cell r="AR13">
            <v>-96.298735699999995</v>
          </cell>
          <cell r="AS13">
            <v>-135.81786571000001</v>
          </cell>
          <cell r="AT13">
            <v>-124.56683008</v>
          </cell>
          <cell r="AU13">
            <v>-95.816382140000002</v>
          </cell>
          <cell r="AV13">
            <v>-136.18547498999999</v>
          </cell>
          <cell r="AW13">
            <v>-150.42349014999999</v>
          </cell>
          <cell r="AX13">
            <v>-111.43112144</v>
          </cell>
          <cell r="AY13">
            <v>-118.06529271881099</v>
          </cell>
          <cell r="AZ13">
            <v>-137.23072230216499</v>
          </cell>
          <cell r="BA13">
            <v>-186.39338277877599</v>
          </cell>
          <cell r="BB13">
            <v>-192.718579869981</v>
          </cell>
          <cell r="BC13">
            <v>-185.601452862917</v>
          </cell>
          <cell r="BD13">
            <v>-183.012861398914</v>
          </cell>
          <cell r="BE13">
            <v>-261.63095175780802</v>
          </cell>
          <cell r="BF13">
            <v>-322.300644987559</v>
          </cell>
          <cell r="BG13">
            <v>-347.50175415630798</v>
          </cell>
        </row>
        <row r="14">
          <cell r="B14" t="str">
            <v>SG&amp;A, selling, general and admin. expense</v>
          </cell>
          <cell r="C14" t="str">
            <v>SEL_GL_AD</v>
          </cell>
          <cell r="D14" t="str">
            <v>CNY</v>
          </cell>
          <cell r="M14">
            <v>-104.77609742</v>
          </cell>
          <cell r="N14">
            <v>-123.7960674</v>
          </cell>
          <cell r="O14">
            <v>-240.82309223999999</v>
          </cell>
          <cell r="P14">
            <v>-169.85769198</v>
          </cell>
          <cell r="Q14">
            <v>-241.50948856959101</v>
          </cell>
          <cell r="R14">
            <v>-266.36000855295498</v>
          </cell>
          <cell r="S14">
            <v>-299.40382660015399</v>
          </cell>
          <cell r="T14">
            <v>-333.89956219981201</v>
          </cell>
          <cell r="U14">
            <v>-369.25237300037799</v>
          </cell>
          <cell r="V14">
            <v>-405.19429800999598</v>
          </cell>
          <cell r="AP14">
            <v>-69.478221164999994</v>
          </cell>
          <cell r="AQ14">
            <v>-80.931577684999993</v>
          </cell>
          <cell r="AR14">
            <v>-19.954808615000001</v>
          </cell>
          <cell r="AS14">
            <v>-67.397089045000001</v>
          </cell>
          <cell r="AT14">
            <v>-25.966729305000001</v>
          </cell>
          <cell r="AU14">
            <v>-26.317985355000001</v>
          </cell>
          <cell r="AV14">
            <v>-59.358667560797002</v>
          </cell>
          <cell r="AW14">
            <v>-60.443436970797002</v>
          </cell>
          <cell r="AX14">
            <v>-60.305009510796999</v>
          </cell>
          <cell r="AY14">
            <v>-35.458875770387998</v>
          </cell>
          <cell r="AZ14">
            <v>-67.916146430664995</v>
          </cell>
          <cell r="BA14">
            <v>-68.577215370485007</v>
          </cell>
          <cell r="BB14">
            <v>-68.798232052846004</v>
          </cell>
          <cell r="BC14">
            <v>-41.414318348182</v>
          </cell>
          <cell r="BD14">
            <v>-76.700952916153994</v>
          </cell>
          <cell r="BE14">
            <v>-77.554756255626003</v>
          </cell>
          <cell r="BF14">
            <v>-77.987742002662003</v>
          </cell>
          <cell r="BG14">
            <v>-47.459405184695001</v>
          </cell>
        </row>
        <row r="15">
          <cell r="B15" t="str">
            <v>Total operating expense</v>
          </cell>
          <cell r="C15" t="str">
            <v>OP_COST</v>
          </cell>
          <cell r="D15" t="str">
            <v>CNY</v>
          </cell>
          <cell r="M15">
            <v>-517.08522682</v>
          </cell>
          <cell r="N15">
            <v>-694.74837572000001</v>
          </cell>
          <cell r="O15">
            <v>-758.55708429000003</v>
          </cell>
          <cell r="P15">
            <v>-622.35750560999998</v>
          </cell>
          <cell r="Q15">
            <v>-757.61486786840203</v>
          </cell>
          <cell r="R15">
            <v>-968.30414636679404</v>
          </cell>
          <cell r="S15">
            <v>-1413.8500389007399</v>
          </cell>
          <cell r="T15">
            <v>-2164.9487632632299</v>
          </cell>
          <cell r="U15">
            <v>-3149.5608136998499</v>
          </cell>
          <cell r="V15">
            <v>-4578.3717630538704</v>
          </cell>
          <cell r="AP15">
            <v>-218.12792325500001</v>
          </cell>
          <cell r="AQ15">
            <v>-225.58446201500001</v>
          </cell>
          <cell r="AR15">
            <v>-116.253544315</v>
          </cell>
          <cell r="AS15">
            <v>-203.21495475500001</v>
          </cell>
          <cell r="AT15">
            <v>-150.53355938499999</v>
          </cell>
          <cell r="AU15">
            <v>-122.13436749500001</v>
          </cell>
          <cell r="AV15">
            <v>-195.54414255079701</v>
          </cell>
          <cell r="AW15">
            <v>-210.86692712079699</v>
          </cell>
          <cell r="AX15">
            <v>-171.73613095079699</v>
          </cell>
          <cell r="AY15">
            <v>-153.52416848919901</v>
          </cell>
          <cell r="AZ15">
            <v>-205.14686873283</v>
          </cell>
          <cell r="BA15">
            <v>-254.97059814926101</v>
          </cell>
          <cell r="BB15">
            <v>-261.516811922827</v>
          </cell>
          <cell r="BC15">
            <v>-227.01577121109801</v>
          </cell>
          <cell r="BD15">
            <v>-259.71381431506899</v>
          </cell>
          <cell r="BE15">
            <v>-339.18570801343401</v>
          </cell>
          <cell r="BF15">
            <v>-400.28838699021998</v>
          </cell>
          <cell r="BG15">
            <v>-394.96115934100197</v>
          </cell>
        </row>
        <row r="16">
          <cell r="B16" t="str">
            <v>R&amp;D expense</v>
          </cell>
          <cell r="C16" t="str">
            <v>RD_EXP</v>
          </cell>
          <cell r="D16" t="str">
            <v>CNY</v>
          </cell>
          <cell r="M16">
            <v>-198.22686985999999</v>
          </cell>
          <cell r="N16">
            <v>-188.26925098000001</v>
          </cell>
          <cell r="O16">
            <v>-276.69519610999998</v>
          </cell>
          <cell r="P16">
            <v>-266.85516214</v>
          </cell>
          <cell r="Q16">
            <v>-320.25358209400002</v>
          </cell>
          <cell r="R16">
            <v>-386.24608273899997</v>
          </cell>
          <cell r="S16">
            <v>-471.22022094158001</v>
          </cell>
          <cell r="T16">
            <v>-570.17646733931201</v>
          </cell>
          <cell r="U16">
            <v>-684.21176080717396</v>
          </cell>
          <cell r="V16">
            <v>-814.211995360537</v>
          </cell>
          <cell r="AP16">
            <v>-72.522260849999995</v>
          </cell>
          <cell r="AQ16">
            <v>-110.09786604</v>
          </cell>
          <cell r="AR16">
            <v>-36.901363269999997</v>
          </cell>
          <cell r="AS16">
            <v>-113.21016552</v>
          </cell>
          <cell r="AT16">
            <v>-46.824083829999999</v>
          </cell>
          <cell r="AU16">
            <v>-69.919549520000004</v>
          </cell>
          <cell r="AV16">
            <v>-97.089211309999996</v>
          </cell>
          <cell r="AW16">
            <v>-67.249947860000006</v>
          </cell>
          <cell r="AX16">
            <v>-54.531076120000002</v>
          </cell>
          <cell r="AY16">
            <v>-101.383346804</v>
          </cell>
          <cell r="AZ16">
            <v>-118.4488377982</v>
          </cell>
          <cell r="BA16">
            <v>-80.699937431999999</v>
          </cell>
          <cell r="BB16">
            <v>-65.437291344000002</v>
          </cell>
          <cell r="BC16">
            <v>-121.6600161648</v>
          </cell>
          <cell r="BD16">
            <v>-144.50758211380401</v>
          </cell>
          <cell r="BE16">
            <v>-98.453923667040002</v>
          </cell>
          <cell r="BF16">
            <v>-79.833495439679993</v>
          </cell>
          <cell r="BG16">
            <v>-148.42521972105601</v>
          </cell>
        </row>
        <row r="17">
          <cell r="B17" t="str">
            <v>Other operating income/(expense) (incl. leases)</v>
          </cell>
          <cell r="C17" t="str">
            <v>OTH_OP_INC_EXP</v>
          </cell>
          <cell r="D17" t="str">
            <v>CNY</v>
          </cell>
        </row>
        <row r="18">
          <cell r="B18" t="str">
            <v>Total operating expense (incl. D&amp;A)</v>
          </cell>
          <cell r="C18" t="str">
            <v>TOT_OPS_EXP_DDA</v>
          </cell>
          <cell r="D18" t="str">
            <v>CNY</v>
          </cell>
          <cell r="M18">
            <v>-715.31209667999997</v>
          </cell>
          <cell r="N18">
            <v>-883.01762670000005</v>
          </cell>
          <cell r="O18">
            <v>-1035.2522804</v>
          </cell>
          <cell r="P18">
            <v>-889.21266775000004</v>
          </cell>
          <cell r="Q18">
            <v>-1077.8684499624001</v>
          </cell>
          <cell r="R18">
            <v>-1354.5502291057901</v>
          </cell>
          <cell r="S18">
            <v>-1885.07025984232</v>
          </cell>
          <cell r="T18">
            <v>-2735.1252306025399</v>
          </cell>
          <cell r="U18">
            <v>-3833.7725745070302</v>
          </cell>
          <cell r="V18">
            <v>-5392.5837584144101</v>
          </cell>
          <cell r="AP18">
            <v>-295.68936231999999</v>
          </cell>
          <cell r="AQ18">
            <v>-340.72150627000002</v>
          </cell>
          <cell r="AR18">
            <v>-160.71017749999999</v>
          </cell>
          <cell r="AS18">
            <v>-323.98039018999998</v>
          </cell>
          <cell r="AT18">
            <v>-204.91291312999999</v>
          </cell>
          <cell r="AU18">
            <v>-199.60918692999999</v>
          </cell>
          <cell r="AV18">
            <v>-299.11922855</v>
          </cell>
          <cell r="AW18">
            <v>-284.60274966999998</v>
          </cell>
          <cell r="AX18">
            <v>-232.75308175999999</v>
          </cell>
          <cell r="AY18">
            <v>-261.39338998240203</v>
          </cell>
          <cell r="AZ18">
            <v>-328.50923061872402</v>
          </cell>
          <cell r="BA18">
            <v>-340.58405966895498</v>
          </cell>
          <cell r="BB18">
            <v>-331.86762735452101</v>
          </cell>
          <cell r="BC18">
            <v>-353.58931146359299</v>
          </cell>
          <cell r="BD18">
            <v>-409.14663898912698</v>
          </cell>
          <cell r="BE18">
            <v>-442.56487424072799</v>
          </cell>
          <cell r="BF18">
            <v>-485.047124990155</v>
          </cell>
          <cell r="BG18">
            <v>-548.31162162231306</v>
          </cell>
        </row>
        <row r="19">
          <cell r="B19" t="str">
            <v>Total operating expense (excl. D&amp;A)</v>
          </cell>
          <cell r="C19" t="str">
            <v>TOT_OPS_EXP</v>
          </cell>
          <cell r="D19" t="str">
            <v>CNY</v>
          </cell>
          <cell r="M19">
            <v>-702.45320627000001</v>
          </cell>
          <cell r="N19">
            <v>-865.63966833999996</v>
          </cell>
          <cell r="O19">
            <v>-1015.09556754</v>
          </cell>
          <cell r="P19">
            <v>-858.99158809000005</v>
          </cell>
          <cell r="Q19">
            <v>-1051.9249512055901</v>
          </cell>
          <cell r="R19">
            <v>-1334.8961327550201</v>
          </cell>
          <cell r="S19">
            <v>-1865.3692896013099</v>
          </cell>
          <cell r="T19">
            <v>-2713.3979404984798</v>
          </cell>
          <cell r="U19">
            <v>-3809.72833538946</v>
          </cell>
          <cell r="V19">
            <v>-5366.0380788819302</v>
          </cell>
          <cell r="AP19">
            <v>-290.65018410499999</v>
          </cell>
          <cell r="AQ19">
            <v>-335.68232805500003</v>
          </cell>
          <cell r="AR19">
            <v>-153.15490758499999</v>
          </cell>
          <cell r="AS19">
            <v>-316.42512027499998</v>
          </cell>
          <cell r="AT19">
            <v>-197.357643215</v>
          </cell>
          <cell r="AU19">
            <v>-192.053917015</v>
          </cell>
          <cell r="AV19">
            <v>-292.633353860797</v>
          </cell>
          <cell r="AW19">
            <v>-278.11687498079698</v>
          </cell>
          <cell r="AX19">
            <v>-226.26720707079701</v>
          </cell>
          <cell r="AY19">
            <v>-254.907515293199</v>
          </cell>
          <cell r="AZ19">
            <v>-323.59570653102998</v>
          </cell>
          <cell r="BA19">
            <v>-335.67053558126099</v>
          </cell>
          <cell r="BB19">
            <v>-326.95410326682702</v>
          </cell>
          <cell r="BC19">
            <v>-348.67578737589798</v>
          </cell>
          <cell r="BD19">
            <v>-404.22139642887299</v>
          </cell>
          <cell r="BE19">
            <v>-437.639631680474</v>
          </cell>
          <cell r="BF19">
            <v>-480.12188242989998</v>
          </cell>
          <cell r="BG19">
            <v>-543.38637906205804</v>
          </cell>
        </row>
        <row r="20">
          <cell r="B20" t="str">
            <v>EBITDA</v>
          </cell>
          <cell r="C20" t="str">
            <v>EBITDA_CALC</v>
          </cell>
          <cell r="D20" t="str">
            <v>CNY</v>
          </cell>
          <cell r="M20">
            <v>142.49142899</v>
          </cell>
          <cell r="N20">
            <v>361.87526436000002</v>
          </cell>
          <cell r="O20">
            <v>742.56901559000005</v>
          </cell>
          <cell r="P20">
            <v>878.74312688999998</v>
          </cell>
          <cell r="Q20">
            <v>834.13159264874696</v>
          </cell>
          <cell r="R20">
            <v>1196.7634571788201</v>
          </cell>
          <cell r="S20">
            <v>2174.2290682656899</v>
          </cell>
          <cell r="T20">
            <v>3510.3408385779999</v>
          </cell>
          <cell r="U20">
            <v>5223.6078407318</v>
          </cell>
          <cell r="V20">
            <v>7499.1928945317504</v>
          </cell>
          <cell r="AP20">
            <v>251.41400425500001</v>
          </cell>
          <cell r="AQ20">
            <v>170.787195435</v>
          </cell>
          <cell r="AR20">
            <v>251.562189555</v>
          </cell>
          <cell r="AS20">
            <v>158.036403355</v>
          </cell>
          <cell r="AT20">
            <v>307.81007428499998</v>
          </cell>
          <cell r="AU20">
            <v>161.33445969499999</v>
          </cell>
          <cell r="AV20">
            <v>203.119122249203</v>
          </cell>
          <cell r="AW20">
            <v>315.70731732920302</v>
          </cell>
          <cell r="AX20">
            <v>152.60743905920299</v>
          </cell>
          <cell r="AY20">
            <v>162.697714011138</v>
          </cell>
          <cell r="AZ20">
            <v>181.89913846804299</v>
          </cell>
          <cell r="BA20">
            <v>334.76790943874698</v>
          </cell>
          <cell r="BB20">
            <v>359.22919022558398</v>
          </cell>
          <cell r="BC20">
            <v>320.867219046451</v>
          </cell>
          <cell r="BD20">
            <v>225.408793143178</v>
          </cell>
          <cell r="BE20">
            <v>503.096684087325</v>
          </cell>
          <cell r="BF20">
            <v>684.89371074456403</v>
          </cell>
          <cell r="BG20">
            <v>760.82988029062005</v>
          </cell>
        </row>
        <row r="21">
          <cell r="B21" t="str">
            <v>Depreciation</v>
          </cell>
          <cell r="C21" t="str">
            <v>DEPREC</v>
          </cell>
          <cell r="D21" t="str">
            <v>CNY</v>
          </cell>
          <cell r="M21">
            <v>-6.6559138200000003</v>
          </cell>
          <cell r="N21">
            <v>-6.3007062400000002</v>
          </cell>
          <cell r="O21">
            <v>-6.1150567499999999</v>
          </cell>
          <cell r="P21">
            <v>-12.384581499999999</v>
          </cell>
          <cell r="Q21">
            <v>-14.80245873909</v>
          </cell>
          <cell r="R21">
            <v>-16.033180516285</v>
          </cell>
          <cell r="S21">
            <v>-18.435412779060002</v>
          </cell>
          <cell r="T21">
            <v>-21.199448260613998</v>
          </cell>
          <cell r="U21">
            <v>-23.747455248194999</v>
          </cell>
          <cell r="V21">
            <v>-26.321264725180001</v>
          </cell>
          <cell r="AP21">
            <v>-1.5287641875</v>
          </cell>
          <cell r="AQ21">
            <v>-1.5287641875</v>
          </cell>
          <cell r="AR21">
            <v>-3.0961453749999999</v>
          </cell>
          <cell r="AS21">
            <v>-3.0961453749999999</v>
          </cell>
          <cell r="AT21">
            <v>-3.0961453749999999</v>
          </cell>
          <cell r="AU21">
            <v>-3.0961453749999999</v>
          </cell>
          <cell r="AV21">
            <v>-3.7006146847729999</v>
          </cell>
          <cell r="AW21">
            <v>-3.7006146847729999</v>
          </cell>
          <cell r="AX21">
            <v>-3.7006146847729999</v>
          </cell>
          <cell r="AY21">
            <v>-3.7006146847729999</v>
          </cell>
          <cell r="AZ21">
            <v>-4.0082951290709996</v>
          </cell>
          <cell r="BA21">
            <v>-4.0082951290709996</v>
          </cell>
          <cell r="BB21">
            <v>-4.0082951290709996</v>
          </cell>
          <cell r="BC21">
            <v>-4.0082951290709996</v>
          </cell>
          <cell r="BD21">
            <v>-4.6088531947650004</v>
          </cell>
          <cell r="BE21">
            <v>-4.6088531947650004</v>
          </cell>
          <cell r="BF21">
            <v>-4.6088531947650004</v>
          </cell>
          <cell r="BG21">
            <v>-4.6088531947650004</v>
          </cell>
        </row>
        <row r="22">
          <cell r="B22" t="str">
            <v>Amortization</v>
          </cell>
          <cell r="C22" t="str">
            <v>GOODWILL_AMORT</v>
          </cell>
          <cell r="D22" t="str">
            <v>CNY</v>
          </cell>
          <cell r="M22">
            <v>-6.2029765899999996</v>
          </cell>
          <cell r="N22">
            <v>-11.077252120000001</v>
          </cell>
          <cell r="O22">
            <v>-14.04165611</v>
          </cell>
          <cell r="P22">
            <v>-17.836498160000001</v>
          </cell>
          <cell r="Q22">
            <v>-11.141040017722</v>
          </cell>
          <cell r="R22">
            <v>-3.6209158344930001</v>
          </cell>
          <cell r="S22">
            <v>-1.265557461957</v>
          </cell>
          <cell r="T22">
            <v>-0.52784184344999996</v>
          </cell>
          <cell r="U22">
            <v>-0.29678386937099999</v>
          </cell>
          <cell r="V22">
            <v>-0.224414807302</v>
          </cell>
          <cell r="AP22">
            <v>-3.5104140275</v>
          </cell>
          <cell r="AQ22">
            <v>-3.5104140275</v>
          </cell>
          <cell r="AR22">
            <v>-4.4591245400000004</v>
          </cell>
          <cell r="AS22">
            <v>-4.4591245400000004</v>
          </cell>
          <cell r="AT22">
            <v>-4.4591245400000004</v>
          </cell>
          <cell r="AU22">
            <v>-4.4591245400000004</v>
          </cell>
          <cell r="AV22">
            <v>-2.78526000443</v>
          </cell>
          <cell r="AW22">
            <v>-2.78526000443</v>
          </cell>
          <cell r="AX22">
            <v>-2.78526000443</v>
          </cell>
          <cell r="AY22">
            <v>-2.78526000443</v>
          </cell>
          <cell r="AZ22">
            <v>-0.90522895862300001</v>
          </cell>
          <cell r="BA22">
            <v>-0.90522895862300001</v>
          </cell>
          <cell r="BB22">
            <v>-0.90522895862300001</v>
          </cell>
          <cell r="BC22">
            <v>-0.90522895862300001</v>
          </cell>
          <cell r="BD22">
            <v>-0.31638936548899999</v>
          </cell>
          <cell r="BE22">
            <v>-0.31638936548899999</v>
          </cell>
          <cell r="BF22">
            <v>-0.31638936548899999</v>
          </cell>
          <cell r="BG22">
            <v>-0.31638936548899999</v>
          </cell>
        </row>
        <row r="23">
          <cell r="B23" t="str">
            <v>EBIT, operating profit</v>
          </cell>
          <cell r="C23" t="str">
            <v>EBIT</v>
          </cell>
          <cell r="D23" t="str">
            <v>CNY</v>
          </cell>
          <cell r="M23">
            <v>129.63253857999999</v>
          </cell>
          <cell r="N23">
            <v>344.49730599999998</v>
          </cell>
          <cell r="O23">
            <v>722.41230272999996</v>
          </cell>
          <cell r="P23">
            <v>848.52204723</v>
          </cell>
          <cell r="Q23">
            <v>808.18809389193495</v>
          </cell>
          <cell r="R23">
            <v>1177.1093608280501</v>
          </cell>
          <cell r="S23">
            <v>2154.5280980246698</v>
          </cell>
          <cell r="T23">
            <v>3488.6135484739302</v>
          </cell>
          <cell r="U23">
            <v>5199.5636016142298</v>
          </cell>
          <cell r="V23">
            <v>7472.6472149992696</v>
          </cell>
          <cell r="AP23">
            <v>246.37482603999999</v>
          </cell>
          <cell r="AQ23">
            <v>165.74801722000001</v>
          </cell>
          <cell r="AR23">
            <v>244.00691964000001</v>
          </cell>
          <cell r="AS23">
            <v>150.48113344000001</v>
          </cell>
          <cell r="AT23">
            <v>300.25480436999999</v>
          </cell>
          <cell r="AU23">
            <v>153.77918978</v>
          </cell>
          <cell r="AV23">
            <v>196.63324756</v>
          </cell>
          <cell r="AW23">
            <v>309.22144264000002</v>
          </cell>
          <cell r="AX23">
            <v>146.12156436999999</v>
          </cell>
          <cell r="AY23">
            <v>156.211839321935</v>
          </cell>
          <cell r="AZ23">
            <v>176.98561438034901</v>
          </cell>
          <cell r="BA23">
            <v>329.85438535105197</v>
          </cell>
          <cell r="BB23">
            <v>354.31566613788999</v>
          </cell>
          <cell r="BC23">
            <v>315.95369495875599</v>
          </cell>
          <cell r="BD23">
            <v>220.48355058292401</v>
          </cell>
          <cell r="BE23">
            <v>498.17144152707101</v>
          </cell>
          <cell r="BF23">
            <v>679.96846818431004</v>
          </cell>
          <cell r="BG23">
            <v>755.90463773036595</v>
          </cell>
        </row>
        <row r="24">
          <cell r="B24" t="str">
            <v>Interest income</v>
          </cell>
          <cell r="C24" t="str">
            <v>INT_INC_IND</v>
          </cell>
          <cell r="D24" t="str">
            <v>CNY</v>
          </cell>
          <cell r="M24">
            <v>0.36120633000000002</v>
          </cell>
          <cell r="N24">
            <v>7.22377555</v>
          </cell>
          <cell r="O24">
            <v>21.097004420000001</v>
          </cell>
          <cell r="P24">
            <v>79.642140729999994</v>
          </cell>
          <cell r="Q24">
            <v>72.570637287699995</v>
          </cell>
          <cell r="R24">
            <v>78.148801408989002</v>
          </cell>
          <cell r="S24">
            <v>86.012324105705005</v>
          </cell>
          <cell r="T24">
            <v>96.487027892296993</v>
          </cell>
          <cell r="U24">
            <v>116.41409524047</v>
          </cell>
          <cell r="V24">
            <v>143.65375375078401</v>
          </cell>
          <cell r="AP24">
            <v>5.7340161399999996</v>
          </cell>
          <cell r="AQ24">
            <v>7.7089493899999999</v>
          </cell>
          <cell r="AR24">
            <v>9.7631737800000007</v>
          </cell>
          <cell r="AS24">
            <v>22.191550400000001</v>
          </cell>
          <cell r="AT24">
            <v>22.613801540000001</v>
          </cell>
          <cell r="AU24">
            <v>25.073615010000001</v>
          </cell>
          <cell r="AV24">
            <v>13.756094040000001</v>
          </cell>
          <cell r="AW24">
            <v>6.3858961699999996</v>
          </cell>
          <cell r="AX24">
            <v>24.504981570000002</v>
          </cell>
          <cell r="AY24">
            <v>27.923665507700001</v>
          </cell>
          <cell r="AZ24">
            <v>19.537200352247002</v>
          </cell>
          <cell r="BA24">
            <v>19.537200352247002</v>
          </cell>
          <cell r="BB24">
            <v>19.537200352247002</v>
          </cell>
          <cell r="BC24">
            <v>19.537200352247002</v>
          </cell>
          <cell r="BD24">
            <v>21.503081026425999</v>
          </cell>
          <cell r="BE24">
            <v>21.503081026425999</v>
          </cell>
          <cell r="BF24">
            <v>21.503081026425999</v>
          </cell>
          <cell r="BG24">
            <v>21.503081026425999</v>
          </cell>
        </row>
        <row r="25">
          <cell r="B25" t="str">
            <v>Interest expense</v>
          </cell>
          <cell r="C25" t="str">
            <v>INT_EXP_IND</v>
          </cell>
          <cell r="D25" t="str">
            <v>CNY</v>
          </cell>
          <cell r="M25">
            <v>0</v>
          </cell>
          <cell r="N25">
            <v>0</v>
          </cell>
          <cell r="O25">
            <v>0</v>
          </cell>
          <cell r="P25">
            <v>0</v>
          </cell>
          <cell r="Q25">
            <v>0</v>
          </cell>
          <cell r="R25">
            <v>0</v>
          </cell>
          <cell r="S25">
            <v>0</v>
          </cell>
          <cell r="T25">
            <v>0</v>
          </cell>
          <cell r="U25">
            <v>0</v>
          </cell>
          <cell r="V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row>
        <row r="26">
          <cell r="B26" t="str">
            <v>Net interest income/(expense)</v>
          </cell>
          <cell r="C26" t="str">
            <v>NET_INT_EXP</v>
          </cell>
          <cell r="D26" t="str">
            <v>CNY</v>
          </cell>
          <cell r="M26">
            <v>0.36120633000000002</v>
          </cell>
          <cell r="N26">
            <v>7.22377555</v>
          </cell>
          <cell r="O26">
            <v>21.097004420000001</v>
          </cell>
          <cell r="P26">
            <v>79.642140729999994</v>
          </cell>
          <cell r="Q26">
            <v>72.570637287699995</v>
          </cell>
          <cell r="R26">
            <v>78.148801408989002</v>
          </cell>
          <cell r="S26">
            <v>86.012324105705005</v>
          </cell>
          <cell r="T26">
            <v>96.487027892296993</v>
          </cell>
          <cell r="U26">
            <v>116.41409524047</v>
          </cell>
          <cell r="V26">
            <v>143.65375375078401</v>
          </cell>
          <cell r="AP26">
            <v>5.7340161399999996</v>
          </cell>
          <cell r="AQ26">
            <v>7.7089493899999999</v>
          </cell>
          <cell r="AR26">
            <v>9.7631737800000007</v>
          </cell>
          <cell r="AS26">
            <v>22.191550400000001</v>
          </cell>
          <cell r="AT26">
            <v>22.613801540000001</v>
          </cell>
          <cell r="AU26">
            <v>25.073615010000001</v>
          </cell>
          <cell r="AV26">
            <v>13.756094040000001</v>
          </cell>
          <cell r="AW26">
            <v>6.3858961699999996</v>
          </cell>
          <cell r="AX26">
            <v>24.504981570000002</v>
          </cell>
          <cell r="AY26">
            <v>27.923665507700001</v>
          </cell>
          <cell r="AZ26">
            <v>19.537200352247002</v>
          </cell>
          <cell r="BA26">
            <v>19.537200352247002</v>
          </cell>
          <cell r="BB26">
            <v>19.537200352247002</v>
          </cell>
          <cell r="BC26">
            <v>19.537200352247002</v>
          </cell>
          <cell r="BD26">
            <v>21.503081026425999</v>
          </cell>
          <cell r="BE26">
            <v>21.503081026425999</v>
          </cell>
          <cell r="BF26">
            <v>21.503081026425999</v>
          </cell>
          <cell r="BG26">
            <v>21.503081026425999</v>
          </cell>
        </row>
        <row r="27">
          <cell r="B27" t="str">
            <v>Income/(loss) from unconsolidated subs &amp; associates</v>
          </cell>
          <cell r="C27" t="str">
            <v>ASSOCIATE</v>
          </cell>
          <cell r="D27" t="str">
            <v>CNY</v>
          </cell>
        </row>
        <row r="28">
          <cell r="B28" t="str">
            <v>Profit/(loss) on disposals of assets, pre-tax</v>
          </cell>
          <cell r="C28" t="str">
            <v>PROFIT_ON_DISP</v>
          </cell>
          <cell r="D28" t="str">
            <v>CNY</v>
          </cell>
          <cell r="N28">
            <v>56.810372989999998</v>
          </cell>
        </row>
        <row r="29">
          <cell r="B29" t="str">
            <v>Other non-ops income/(expense)</v>
          </cell>
          <cell r="C29" t="str">
            <v>OTH_COST_INC</v>
          </cell>
          <cell r="D29" t="str">
            <v>CNY</v>
          </cell>
          <cell r="M29">
            <v>-30.901241129999999</v>
          </cell>
          <cell r="N29">
            <v>-46.161405930000001</v>
          </cell>
          <cell r="O29">
            <v>42.722895870000002</v>
          </cell>
          <cell r="P29">
            <v>50.582820099999999</v>
          </cell>
          <cell r="Q29">
            <v>263.59064558</v>
          </cell>
          <cell r="R29">
            <v>114.4</v>
          </cell>
          <cell r="S29">
            <v>112.68</v>
          </cell>
          <cell r="T29">
            <v>111.04600000000001</v>
          </cell>
          <cell r="U29">
            <v>109.4937</v>
          </cell>
          <cell r="V29">
            <v>112.019015</v>
          </cell>
          <cell r="AP29">
            <v>11.99758853</v>
          </cell>
          <cell r="AQ29">
            <v>21.444981089999999</v>
          </cell>
          <cell r="AR29">
            <v>-19.22577862</v>
          </cell>
          <cell r="AS29">
            <v>51.029980700000003</v>
          </cell>
          <cell r="AT29">
            <v>-16.155272490000002</v>
          </cell>
          <cell r="AU29">
            <v>34.933890509999998</v>
          </cell>
          <cell r="AV29">
            <v>66.215925330000005</v>
          </cell>
          <cell r="AW29">
            <v>33.36322869</v>
          </cell>
          <cell r="AX29">
            <v>141.27397518000001</v>
          </cell>
          <cell r="AY29">
            <v>22.737516379999999</v>
          </cell>
          <cell r="AZ29">
            <v>28.6</v>
          </cell>
          <cell r="BA29">
            <v>28.6</v>
          </cell>
          <cell r="BB29">
            <v>28.6</v>
          </cell>
          <cell r="BC29">
            <v>28.6</v>
          </cell>
          <cell r="BD29">
            <v>28.17</v>
          </cell>
          <cell r="BE29">
            <v>28.17</v>
          </cell>
          <cell r="BF29">
            <v>28.17</v>
          </cell>
          <cell r="BG29">
            <v>28.17</v>
          </cell>
        </row>
        <row r="30">
          <cell r="B30" t="str">
            <v>Pre-tax profit</v>
          </cell>
          <cell r="C30" t="str">
            <v>PT_PROF</v>
          </cell>
          <cell r="D30" t="str">
            <v>CNY</v>
          </cell>
          <cell r="M30">
            <v>99.092503780000001</v>
          </cell>
          <cell r="N30">
            <v>362.37004861000003</v>
          </cell>
          <cell r="O30">
            <v>786.23220302000004</v>
          </cell>
          <cell r="P30">
            <v>978.74700805999998</v>
          </cell>
          <cell r="Q30">
            <v>1144.3493767596401</v>
          </cell>
          <cell r="R30">
            <v>1369.65816223704</v>
          </cell>
          <cell r="S30">
            <v>2353.22042213037</v>
          </cell>
          <cell r="T30">
            <v>3696.14657636623</v>
          </cell>
          <cell r="U30">
            <v>5425.4713968547003</v>
          </cell>
          <cell r="V30">
            <v>7728.3199837500497</v>
          </cell>
          <cell r="AP30">
            <v>264.10643070999998</v>
          </cell>
          <cell r="AQ30">
            <v>194.90194769999999</v>
          </cell>
          <cell r="AR30">
            <v>234.5443148</v>
          </cell>
          <cell r="AS30">
            <v>223.70266454</v>
          </cell>
          <cell r="AT30">
            <v>306.71333342000003</v>
          </cell>
          <cell r="AU30">
            <v>213.78669529999999</v>
          </cell>
          <cell r="AV30">
            <v>276.60526693000003</v>
          </cell>
          <cell r="AW30">
            <v>348.97056750000002</v>
          </cell>
          <cell r="AX30">
            <v>311.90052112000001</v>
          </cell>
          <cell r="AY30">
            <v>206.873021209635</v>
          </cell>
          <cell r="AZ30">
            <v>225.122814732596</v>
          </cell>
          <cell r="BA30">
            <v>377.99158570330002</v>
          </cell>
          <cell r="BB30">
            <v>402.45286649013701</v>
          </cell>
          <cell r="BC30">
            <v>364.09089531100301</v>
          </cell>
          <cell r="BD30">
            <v>270.15663160934997</v>
          </cell>
          <cell r="BE30">
            <v>547.84452255349697</v>
          </cell>
          <cell r="BF30">
            <v>729.641549210736</v>
          </cell>
          <cell r="BG30">
            <v>805.57771875679202</v>
          </cell>
        </row>
        <row r="31">
          <cell r="A31" t="str">
            <v>Additional Income Statement Items</v>
          </cell>
        </row>
        <row r="32">
          <cell r="B32" t="str">
            <v>Contribution margin ratio</v>
          </cell>
          <cell r="C32" t="str">
            <v>CONTRIB_MARGIN_RATIO</v>
          </cell>
          <cell r="D32" t="str">
            <v>CNY</v>
          </cell>
        </row>
        <row r="33">
          <cell r="B33" t="str">
            <v>Operating lease cost</v>
          </cell>
          <cell r="C33" t="str">
            <v>LEASE_PAY</v>
          </cell>
          <cell r="D33" t="str">
            <v>CNY</v>
          </cell>
        </row>
        <row r="34">
          <cell r="B34" t="str">
            <v>Lease payments (deemed interest portion)</v>
          </cell>
          <cell r="C34" t="str">
            <v>LEASE_DEEM_INT</v>
          </cell>
          <cell r="D34" t="str">
            <v>CNY</v>
          </cell>
        </row>
        <row r="35">
          <cell r="B35" t="str">
            <v>Lease payments (deemed depreciation portion)</v>
          </cell>
          <cell r="C35" t="str">
            <v>LEASE_DEEM_DEPR</v>
          </cell>
          <cell r="D35" t="str">
            <v>CNY</v>
          </cell>
        </row>
        <row r="36">
          <cell r="B36" t="str">
            <v>Gross interest charge</v>
          </cell>
          <cell r="C36" t="str">
            <v>NET_INT_CH</v>
          </cell>
          <cell r="D36" t="str">
            <v>CNY</v>
          </cell>
        </row>
        <row r="37">
          <cell r="B37" t="str">
            <v>Income from associates (operating)</v>
          </cell>
          <cell r="C37" t="str">
            <v>ASSOCIATE_OP</v>
          </cell>
          <cell r="D37" t="str">
            <v>CNY</v>
          </cell>
        </row>
        <row r="38">
          <cell r="B38" t="str">
            <v>Depreciation ROU assets   (applicable to IFRS cos.)</v>
          </cell>
          <cell r="C38" t="str">
            <v>DEPR_ROU_ASSETS</v>
          </cell>
          <cell r="D38" t="str">
            <v>CNY</v>
          </cell>
        </row>
        <row r="39">
          <cell r="B39" t="str">
            <v>Lease interest charge  (applicable to IFRS cos.)</v>
          </cell>
          <cell r="C39" t="str">
            <v>LEASE_INT_CHG</v>
          </cell>
          <cell r="D39" t="str">
            <v>CNY</v>
          </cell>
        </row>
        <row r="40">
          <cell r="B40" t="str">
            <v>Lease standard adopted (US GAAP ASC 842/ IFRS 16)</v>
          </cell>
          <cell r="C40" t="str">
            <v>LEASE_ADOPT</v>
          </cell>
          <cell r="E40" t="str">
            <v>N</v>
          </cell>
        </row>
        <row r="41">
          <cell r="A41" t="str">
            <v>Balance Sheet</v>
          </cell>
        </row>
        <row r="42">
          <cell r="B42" t="str">
            <v>Cash &amp; cash equivalents</v>
          </cell>
          <cell r="C42" t="str">
            <v>CASH_EQ</v>
          </cell>
          <cell r="D42" t="str">
            <v>CNY</v>
          </cell>
          <cell r="M42">
            <v>454.35094485000002</v>
          </cell>
          <cell r="N42">
            <v>687.78587001999995</v>
          </cell>
          <cell r="O42">
            <v>3679.9912865199999</v>
          </cell>
          <cell r="P42">
            <v>7257.0637287700001</v>
          </cell>
          <cell r="Q42">
            <v>7814.8801408988602</v>
          </cell>
          <cell r="R42">
            <v>8601.2324105704593</v>
          </cell>
          <cell r="S42">
            <v>9648.7027892296701</v>
          </cell>
          <cell r="T42">
            <v>11641.409524047</v>
          </cell>
          <cell r="U42">
            <v>14365.3753750784</v>
          </cell>
          <cell r="V42">
            <v>18519.881923836099</v>
          </cell>
        </row>
        <row r="43">
          <cell r="B43" t="str">
            <v>Accounts receivable</v>
          </cell>
          <cell r="C43" t="str">
            <v>DEBTORS</v>
          </cell>
          <cell r="D43" t="str">
            <v>CNY</v>
          </cell>
          <cell r="M43">
            <v>58.796433620000002</v>
          </cell>
          <cell r="N43">
            <v>119.25793602</v>
          </cell>
          <cell r="O43">
            <v>241.14922121000001</v>
          </cell>
          <cell r="P43">
            <v>131.86481509000001</v>
          </cell>
          <cell r="Q43">
            <v>272.98729383574698</v>
          </cell>
          <cell r="R43">
            <v>270.44695653525702</v>
          </cell>
          <cell r="S43">
            <v>596.67440296187601</v>
          </cell>
          <cell r="T43">
            <v>739.28436154198505</v>
          </cell>
          <cell r="U43">
            <v>1199.76948785331</v>
          </cell>
          <cell r="V43">
            <v>1561.82104259774</v>
          </cell>
        </row>
        <row r="44">
          <cell r="B44" t="str">
            <v>Inventory</v>
          </cell>
          <cell r="C44" t="str">
            <v>STOCKS</v>
          </cell>
          <cell r="D44" t="str">
            <v>CNY</v>
          </cell>
          <cell r="M44">
            <v>256.06937363999998</v>
          </cell>
          <cell r="N44">
            <v>132.51292760000001</v>
          </cell>
          <cell r="O44">
            <v>120.67353909000001</v>
          </cell>
          <cell r="P44">
            <v>156.80486471</v>
          </cell>
          <cell r="Q44">
            <v>156.84927292537199</v>
          </cell>
          <cell r="R44">
            <v>265.89889385667902</v>
          </cell>
          <cell r="S44">
            <v>399.17345005658399</v>
          </cell>
          <cell r="T44">
            <v>683.51566383202601</v>
          </cell>
          <cell r="U44">
            <v>945.23054293359701</v>
          </cell>
          <cell r="V44">
            <v>1476.61241410299</v>
          </cell>
        </row>
        <row r="45">
          <cell r="B45" t="str">
            <v>Other current assets</v>
          </cell>
          <cell r="C45" t="str">
            <v>OTH_CUR_ASS</v>
          </cell>
          <cell r="D45" t="str">
            <v>CNY</v>
          </cell>
          <cell r="M45">
            <v>309.25922057999998</v>
          </cell>
          <cell r="N45">
            <v>486.64730462</v>
          </cell>
          <cell r="O45">
            <v>44.718244470000002</v>
          </cell>
          <cell r="P45">
            <v>133.01283169999999</v>
          </cell>
          <cell r="Q45">
            <v>133.01283169999999</v>
          </cell>
          <cell r="R45">
            <v>133.01283169999999</v>
          </cell>
          <cell r="S45">
            <v>133.01283169999999</v>
          </cell>
          <cell r="T45">
            <v>133.01283169999999</v>
          </cell>
          <cell r="U45">
            <v>133.012831699998</v>
          </cell>
          <cell r="V45">
            <v>133.012831699998</v>
          </cell>
        </row>
        <row r="46">
          <cell r="B46" t="str">
            <v>Total current assets</v>
          </cell>
          <cell r="C46" t="str">
            <v>CUR_ASS</v>
          </cell>
          <cell r="D46" t="str">
            <v>CNY</v>
          </cell>
          <cell r="M46">
            <v>1078.4759726899999</v>
          </cell>
          <cell r="N46">
            <v>1426.2040382600001</v>
          </cell>
          <cell r="O46">
            <v>4086.5322912900001</v>
          </cell>
          <cell r="P46">
            <v>7678.7462402700003</v>
          </cell>
          <cell r="Q46">
            <v>8377.7295393599798</v>
          </cell>
          <cell r="R46">
            <v>9270.5910926623892</v>
          </cell>
          <cell r="S46">
            <v>10777.563473948099</v>
          </cell>
          <cell r="T46">
            <v>13197.222381121001</v>
          </cell>
          <cell r="U46">
            <v>16643.388237565301</v>
          </cell>
          <cell r="V46">
            <v>21691.328212236898</v>
          </cell>
        </row>
        <row r="47">
          <cell r="B47" t="str">
            <v>Gross fixed assets, PP&amp;E</v>
          </cell>
          <cell r="C47" t="str">
            <v>GR_FIX_ASS</v>
          </cell>
          <cell r="D47" t="str">
            <v>CNY</v>
          </cell>
          <cell r="M47">
            <v>19.93438329</v>
          </cell>
          <cell r="N47">
            <v>21.749838910000001</v>
          </cell>
          <cell r="O47">
            <v>43.877071530000002</v>
          </cell>
          <cell r="P47">
            <v>57.7859719</v>
          </cell>
          <cell r="Q47">
            <v>74.888996332000005</v>
          </cell>
          <cell r="R47">
            <v>95.412625650400003</v>
          </cell>
          <cell r="S47">
            <v>119.01479936656</v>
          </cell>
          <cell r="T47">
            <v>144.97719045433601</v>
          </cell>
          <cell r="U47">
            <v>173.53582065089</v>
          </cell>
          <cell r="V47">
            <v>204.950313867099</v>
          </cell>
        </row>
        <row r="48">
          <cell r="B48" t="str">
            <v>Accumulated depreciation</v>
          </cell>
          <cell r="C48" t="str">
            <v>ACC_DDA</v>
          </cell>
          <cell r="D48" t="str">
            <v>CNY</v>
          </cell>
          <cell r="M48">
            <v>-7.7701799400000002</v>
          </cell>
          <cell r="N48">
            <v>-14.426093760000001</v>
          </cell>
          <cell r="O48">
            <v>-20.726800000000001</v>
          </cell>
          <cell r="P48">
            <v>-30.1160067</v>
          </cell>
          <cell r="Q48">
            <v>-44.918465439089999</v>
          </cell>
          <cell r="R48">
            <v>-60.951645955375</v>
          </cell>
          <cell r="S48">
            <v>-79.387058734435996</v>
          </cell>
          <cell r="T48">
            <v>-100.58650699505</v>
          </cell>
          <cell r="U48">
            <v>-124.333962243245</v>
          </cell>
          <cell r="V48">
            <v>-150.65522696842501</v>
          </cell>
        </row>
        <row r="49">
          <cell r="B49" t="str">
            <v>Net PP&amp;E</v>
          </cell>
          <cell r="C49" t="str">
            <v>NET_FIX_ASS</v>
          </cell>
          <cell r="D49" t="str">
            <v>CNY</v>
          </cell>
          <cell r="M49">
            <v>12.164203349999999</v>
          </cell>
          <cell r="N49">
            <v>7.3237451499999997</v>
          </cell>
          <cell r="O49">
            <v>23.150271530000001</v>
          </cell>
          <cell r="P49">
            <v>27.6699652</v>
          </cell>
          <cell r="Q49">
            <v>29.970530892909998</v>
          </cell>
          <cell r="R49">
            <v>34.460979695024001</v>
          </cell>
          <cell r="S49">
            <v>39.627740632124002</v>
          </cell>
          <cell r="T49">
            <v>44.390683459286002</v>
          </cell>
          <cell r="U49">
            <v>49.201858407644998</v>
          </cell>
          <cell r="V49">
            <v>54.295086898672999</v>
          </cell>
        </row>
        <row r="50">
          <cell r="B50" t="str">
            <v>Gross intangibles</v>
          </cell>
          <cell r="C50" t="str">
            <v>GR_INTANG</v>
          </cell>
          <cell r="D50" t="str">
            <v>CNY</v>
          </cell>
          <cell r="M50">
            <v>21.751506880000001</v>
          </cell>
          <cell r="N50">
            <v>30.794722549999999</v>
          </cell>
          <cell r="O50">
            <v>47.05431892</v>
          </cell>
          <cell r="P50">
            <v>55.15320809</v>
          </cell>
          <cell r="Q50">
            <v>55.344619450000003</v>
          </cell>
          <cell r="R50">
            <v>55.53603081</v>
          </cell>
          <cell r="S50">
            <v>55.727442170000003</v>
          </cell>
          <cell r="T50">
            <v>55.91885353</v>
          </cell>
          <cell r="U50">
            <v>56.110264890000003</v>
          </cell>
          <cell r="V50">
            <v>56.30167625</v>
          </cell>
        </row>
        <row r="51">
          <cell r="B51" t="str">
            <v>Accumulated amortization</v>
          </cell>
          <cell r="C51" t="str">
            <v>ACC_AMORT</v>
          </cell>
          <cell r="D51" t="str">
            <v>CNY</v>
          </cell>
          <cell r="M51">
            <v>-3.8033712899999998</v>
          </cell>
          <cell r="N51">
            <v>-10.00634788</v>
          </cell>
          <cell r="O51">
            <v>-21.083600000000001</v>
          </cell>
          <cell r="P51">
            <v>-38.931368120000002</v>
          </cell>
          <cell r="Q51">
            <v>-50.072408137722</v>
          </cell>
          <cell r="R51">
            <v>-53.693323972214003</v>
          </cell>
          <cell r="S51">
            <v>-54.958881434170998</v>
          </cell>
          <cell r="T51">
            <v>-55.486723277621003</v>
          </cell>
          <cell r="U51">
            <v>-55.783507146993003</v>
          </cell>
          <cell r="V51">
            <v>-56.007921954293998</v>
          </cell>
        </row>
        <row r="52">
          <cell r="B52" t="str">
            <v>Net intangible assets</v>
          </cell>
          <cell r="C52" t="str">
            <v>NET_INTANG</v>
          </cell>
          <cell r="D52" t="str">
            <v>CNY</v>
          </cell>
          <cell r="M52">
            <v>17.94813559</v>
          </cell>
          <cell r="N52">
            <v>20.78837467</v>
          </cell>
          <cell r="O52">
            <v>25.970718919999999</v>
          </cell>
          <cell r="P52">
            <v>16.221839970000001</v>
          </cell>
          <cell r="Q52">
            <v>5.2722113122780003</v>
          </cell>
          <cell r="R52">
            <v>1.8427068377860001</v>
          </cell>
          <cell r="S52">
            <v>0.76856073582899997</v>
          </cell>
          <cell r="T52">
            <v>0.43213025237899999</v>
          </cell>
          <cell r="U52">
            <v>0.326757743007</v>
          </cell>
          <cell r="V52">
            <v>0.29375429570599998</v>
          </cell>
        </row>
        <row r="53">
          <cell r="B53" t="str">
            <v>Equity method investments</v>
          </cell>
          <cell r="C53" t="str">
            <v>FIX_ASS_INV</v>
          </cell>
          <cell r="D53" t="str">
            <v>CNY</v>
          </cell>
        </row>
        <row r="54">
          <cell r="B54" t="str">
            <v>Investments in securities</v>
          </cell>
          <cell r="C54" t="str">
            <v>INV_SECUR</v>
          </cell>
          <cell r="D54" t="str">
            <v>CNY</v>
          </cell>
        </row>
        <row r="55">
          <cell r="B55" t="str">
            <v>Other long-term assets</v>
          </cell>
          <cell r="C55" t="str">
            <v>OTH_LT_ASS</v>
          </cell>
          <cell r="D55" t="str">
            <v>CNY</v>
          </cell>
          <cell r="M55">
            <v>12.75574035</v>
          </cell>
          <cell r="N55">
            <v>20.377118639999999</v>
          </cell>
          <cell r="O55">
            <v>45.004115560000002</v>
          </cell>
          <cell r="P55">
            <v>58.115411170000002</v>
          </cell>
          <cell r="Q55">
            <v>58.115411170000002</v>
          </cell>
          <cell r="R55">
            <v>58.115411170000002</v>
          </cell>
          <cell r="S55">
            <v>58.115411170000002</v>
          </cell>
          <cell r="T55">
            <v>58.115411170000002</v>
          </cell>
          <cell r="U55">
            <v>58.115411170000002</v>
          </cell>
          <cell r="V55">
            <v>58.115411170000002</v>
          </cell>
        </row>
        <row r="56">
          <cell r="B56" t="str">
            <v>Total assets</v>
          </cell>
          <cell r="C56" t="str">
            <v>TOT_ASSET</v>
          </cell>
          <cell r="D56" t="str">
            <v>CNY</v>
          </cell>
          <cell r="M56">
            <v>1121.3440519799999</v>
          </cell>
          <cell r="N56">
            <v>1474.6932767200001</v>
          </cell>
          <cell r="O56">
            <v>4180.6573973000004</v>
          </cell>
          <cell r="P56">
            <v>7780.7534566100003</v>
          </cell>
          <cell r="Q56">
            <v>8471.0876927351692</v>
          </cell>
          <cell r="R56">
            <v>9365.0101903651994</v>
          </cell>
          <cell r="S56">
            <v>10876.075186486099</v>
          </cell>
          <cell r="T56">
            <v>13300.160606002701</v>
          </cell>
          <cell r="U56">
            <v>16751.032264885998</v>
          </cell>
          <cell r="V56">
            <v>21804.032464601201</v>
          </cell>
        </row>
        <row r="57">
          <cell r="B57" t="str">
            <v>Accounts payable</v>
          </cell>
          <cell r="C57" t="str">
            <v>ACC_PAY_GQ</v>
          </cell>
          <cell r="D57" t="str">
            <v>CNY</v>
          </cell>
          <cell r="M57">
            <v>112.21037892</v>
          </cell>
          <cell r="N57">
            <v>107.3133165</v>
          </cell>
          <cell r="O57">
            <v>74.377569100000002</v>
          </cell>
          <cell r="P57">
            <v>91.294057839999994</v>
          </cell>
          <cell r="Q57">
            <v>97.665175479894003</v>
          </cell>
          <cell r="R57">
            <v>163.180597038261</v>
          </cell>
          <cell r="S57">
            <v>250.95290378823199</v>
          </cell>
          <cell r="T57">
            <v>439.50681443629702</v>
          </cell>
          <cell r="U57">
            <v>608.90356220881995</v>
          </cell>
          <cell r="V57">
            <v>987.60243827990496</v>
          </cell>
        </row>
        <row r="58">
          <cell r="B58" t="str">
            <v>Short-term debt</v>
          </cell>
          <cell r="C58" t="str">
            <v>SHORT_T_DEBT</v>
          </cell>
          <cell r="D58" t="str">
            <v>CNY</v>
          </cell>
        </row>
        <row r="59">
          <cell r="B59" t="str">
            <v>Current lease liabilities (op lease: US GAAP)</v>
          </cell>
          <cell r="C59" t="str">
            <v>ST_LEASE_LIAB</v>
          </cell>
          <cell r="D59" t="str">
            <v>CNY</v>
          </cell>
        </row>
        <row r="60">
          <cell r="B60" t="str">
            <v>Other current liabilities</v>
          </cell>
          <cell r="C60" t="str">
            <v>OTH_CUR_LIABS</v>
          </cell>
          <cell r="D60" t="str">
            <v>CNY</v>
          </cell>
          <cell r="M60">
            <v>108.02176914</v>
          </cell>
          <cell r="N60">
            <v>160.54430722999999</v>
          </cell>
          <cell r="O60">
            <v>352.64629939999998</v>
          </cell>
          <cell r="P60">
            <v>188.41860371999999</v>
          </cell>
          <cell r="Q60">
            <v>188.41860371999999</v>
          </cell>
          <cell r="R60">
            <v>188.41860371999999</v>
          </cell>
          <cell r="S60">
            <v>188.41860371999999</v>
          </cell>
          <cell r="T60">
            <v>188.41860371999999</v>
          </cell>
          <cell r="U60">
            <v>188.41860371999999</v>
          </cell>
          <cell r="V60">
            <v>188.41860371999999</v>
          </cell>
        </row>
        <row r="61">
          <cell r="B61" t="str">
            <v>Total current liabilities</v>
          </cell>
          <cell r="C61" t="str">
            <v>SHORT_TERM_LIABS</v>
          </cell>
          <cell r="D61" t="str">
            <v>CNY</v>
          </cell>
          <cell r="M61">
            <v>220.23214805999999</v>
          </cell>
          <cell r="N61">
            <v>267.85762373</v>
          </cell>
          <cell r="O61">
            <v>427.02386849999999</v>
          </cell>
          <cell r="P61">
            <v>279.71266156000002</v>
          </cell>
          <cell r="Q61">
            <v>286.08377919989402</v>
          </cell>
          <cell r="R61">
            <v>351.59920075826102</v>
          </cell>
          <cell r="S61">
            <v>439.37150750823201</v>
          </cell>
          <cell r="T61">
            <v>627.92541815629704</v>
          </cell>
          <cell r="U61">
            <v>797.32216592882003</v>
          </cell>
          <cell r="V61">
            <v>1176.0210419999</v>
          </cell>
        </row>
        <row r="62">
          <cell r="B62" t="str">
            <v>Long-term  debt</v>
          </cell>
          <cell r="C62" t="str">
            <v>LT_DEBT</v>
          </cell>
          <cell r="D62" t="str">
            <v>CNY</v>
          </cell>
        </row>
        <row r="63">
          <cell r="B63" t="str">
            <v>Non-current lease liabilities (op lease: US GAAP)</v>
          </cell>
          <cell r="C63" t="str">
            <v>LT_LEASE_LIAB</v>
          </cell>
          <cell r="D63" t="str">
            <v>CNY</v>
          </cell>
        </row>
        <row r="64">
          <cell r="B64" t="str">
            <v>Other long-term liabilities</v>
          </cell>
          <cell r="C64" t="str">
            <v>OTH_LT_CRED_GQ</v>
          </cell>
          <cell r="D64" t="str">
            <v>CNY</v>
          </cell>
          <cell r="M64">
            <v>18.088000000000001</v>
          </cell>
          <cell r="N64">
            <v>19.827999999999999</v>
          </cell>
          <cell r="O64">
            <v>137.88376387</v>
          </cell>
          <cell r="P64">
            <v>171.31644438000001</v>
          </cell>
          <cell r="Q64">
            <v>171.31644438000001</v>
          </cell>
          <cell r="R64">
            <v>171.31644438000001</v>
          </cell>
          <cell r="S64">
            <v>171.31644438000001</v>
          </cell>
          <cell r="T64">
            <v>171.31644438000001</v>
          </cell>
          <cell r="U64">
            <v>171.31644438000001</v>
          </cell>
          <cell r="V64">
            <v>171.31644438000001</v>
          </cell>
        </row>
        <row r="65">
          <cell r="B65" t="str">
            <v>Total long-term liabilities</v>
          </cell>
          <cell r="C65" t="str">
            <v>TOT_LT_LIAB</v>
          </cell>
          <cell r="D65" t="str">
            <v>CNY</v>
          </cell>
          <cell r="M65">
            <v>18.088000000000001</v>
          </cell>
          <cell r="N65">
            <v>19.827999999999999</v>
          </cell>
          <cell r="O65">
            <v>137.88376387</v>
          </cell>
          <cell r="P65">
            <v>171.31644438000001</v>
          </cell>
          <cell r="Q65">
            <v>171.31644438000001</v>
          </cell>
          <cell r="R65">
            <v>171.31644438000001</v>
          </cell>
          <cell r="S65">
            <v>171.31644438000001</v>
          </cell>
          <cell r="T65">
            <v>171.31644438000001</v>
          </cell>
          <cell r="U65">
            <v>171.31644438000001</v>
          </cell>
          <cell r="V65">
            <v>171.31644438000001</v>
          </cell>
        </row>
        <row r="66">
          <cell r="B66" t="str">
            <v>Total liabilities</v>
          </cell>
          <cell r="C66" t="str">
            <v>TOT_LIAB</v>
          </cell>
          <cell r="D66" t="str">
            <v>CNY</v>
          </cell>
          <cell r="M66">
            <v>238.32014806000001</v>
          </cell>
          <cell r="N66">
            <v>287.68562372999997</v>
          </cell>
          <cell r="O66">
            <v>564.90763236999999</v>
          </cell>
          <cell r="P66">
            <v>451.02910594000002</v>
          </cell>
          <cell r="Q66">
            <v>457.40022357989398</v>
          </cell>
          <cell r="R66">
            <v>522.91564513826097</v>
          </cell>
          <cell r="S66">
            <v>610.68795188823196</v>
          </cell>
          <cell r="T66">
            <v>799.24186253629705</v>
          </cell>
          <cell r="U66">
            <v>968.63861030882003</v>
          </cell>
          <cell r="V66">
            <v>1347.3374863798999</v>
          </cell>
        </row>
        <row r="67">
          <cell r="B67" t="str">
            <v>Preferred shares</v>
          </cell>
          <cell r="C67" t="str">
            <v>PREF_SH</v>
          </cell>
          <cell r="D67" t="str">
            <v>CNY</v>
          </cell>
        </row>
        <row r="68">
          <cell r="B68" t="str">
            <v>Total common equity</v>
          </cell>
          <cell r="C68" t="str">
            <v>ORD_SH_FUND</v>
          </cell>
          <cell r="D68" t="str">
            <v>CNY</v>
          </cell>
          <cell r="M68">
            <v>883.02390391999995</v>
          </cell>
          <cell r="N68">
            <v>1187.00765299</v>
          </cell>
          <cell r="O68">
            <v>3615.7497649299999</v>
          </cell>
          <cell r="P68">
            <v>7329.7243506699997</v>
          </cell>
          <cell r="Q68">
            <v>8013.6874691552703</v>
          </cell>
          <cell r="R68">
            <v>8842.0945452269407</v>
          </cell>
          <cell r="S68">
            <v>10265.3872345979</v>
          </cell>
          <cell r="T68">
            <v>12500.9187434664</v>
          </cell>
          <cell r="U68">
            <v>15782.393654577099</v>
          </cell>
          <cell r="V68">
            <v>20456.694978221301</v>
          </cell>
        </row>
        <row r="69">
          <cell r="B69" t="str">
            <v>Minority interest</v>
          </cell>
          <cell r="C69" t="str">
            <v>MINORITIES</v>
          </cell>
          <cell r="D69" t="str">
            <v>CNY</v>
          </cell>
        </row>
        <row r="70">
          <cell r="B70" t="str">
            <v>Total shareholders' equity</v>
          </cell>
          <cell r="C70" t="str">
            <v>EQ</v>
          </cell>
          <cell r="D70" t="str">
            <v>CNY</v>
          </cell>
          <cell r="M70">
            <v>883.02390391999995</v>
          </cell>
          <cell r="N70">
            <v>1187.00765299</v>
          </cell>
          <cell r="O70">
            <v>3615.7497649299999</v>
          </cell>
          <cell r="P70">
            <v>7329.7243506699997</v>
          </cell>
          <cell r="Q70">
            <v>8013.6874691552703</v>
          </cell>
          <cell r="R70">
            <v>8842.0945452269407</v>
          </cell>
          <cell r="S70">
            <v>10265.3872345979</v>
          </cell>
          <cell r="T70">
            <v>12500.9187434664</v>
          </cell>
          <cell r="U70">
            <v>15782.393654577099</v>
          </cell>
          <cell r="V70">
            <v>20456.694978221301</v>
          </cell>
        </row>
        <row r="71">
          <cell r="B71" t="str">
            <v>Total liabilities and equity</v>
          </cell>
          <cell r="C71" t="str">
            <v>TOT_LIAB_EQ</v>
          </cell>
          <cell r="D71" t="str">
            <v>CNY</v>
          </cell>
          <cell r="M71">
            <v>1121.3440519799999</v>
          </cell>
          <cell r="N71">
            <v>1474.6932767200001</v>
          </cell>
          <cell r="O71">
            <v>4180.6573973000004</v>
          </cell>
          <cell r="P71">
            <v>7780.7534566100003</v>
          </cell>
          <cell r="Q71">
            <v>8471.0876927351692</v>
          </cell>
          <cell r="R71">
            <v>9365.0101903651994</v>
          </cell>
          <cell r="S71">
            <v>10876.075186486099</v>
          </cell>
          <cell r="T71">
            <v>13300.160606002701</v>
          </cell>
          <cell r="U71">
            <v>16751.032264885998</v>
          </cell>
          <cell r="V71">
            <v>21804.032464601201</v>
          </cell>
        </row>
        <row r="72">
          <cell r="A72" t="str">
            <v>Additional Balance Sheet Items</v>
          </cell>
        </row>
        <row r="73">
          <cell r="B73" t="str">
            <v>Total US$ debt (in US$)</v>
          </cell>
          <cell r="C73" t="str">
            <v>TOT_USD_DEBT</v>
          </cell>
          <cell r="M73">
            <v>0</v>
          </cell>
          <cell r="N73">
            <v>0</v>
          </cell>
          <cell r="O73">
            <v>0</v>
          </cell>
          <cell r="P73">
            <v>0</v>
          </cell>
          <cell r="Q73">
            <v>0</v>
          </cell>
          <cell r="R73">
            <v>0</v>
          </cell>
          <cell r="S73">
            <v>0</v>
          </cell>
          <cell r="T73">
            <v>0</v>
          </cell>
          <cell r="U73">
            <v>0</v>
          </cell>
          <cell r="V73">
            <v>0</v>
          </cell>
        </row>
        <row r="74">
          <cell r="B74" t="str">
            <v>% US$ debt hedged (principal)</v>
          </cell>
          <cell r="C74" t="str">
            <v>TOT_PCT_USD_DEBT_HEDGED</v>
          </cell>
          <cell r="M74">
            <v>0</v>
          </cell>
          <cell r="N74">
            <v>0</v>
          </cell>
          <cell r="O74">
            <v>0</v>
          </cell>
          <cell r="P74">
            <v>0</v>
          </cell>
          <cell r="Q74">
            <v>0</v>
          </cell>
          <cell r="R74">
            <v>0</v>
          </cell>
          <cell r="S74">
            <v>0</v>
          </cell>
          <cell r="T74">
            <v>0</v>
          </cell>
          <cell r="U74">
            <v>0</v>
          </cell>
          <cell r="V74">
            <v>0</v>
          </cell>
        </row>
        <row r="75">
          <cell r="B75" t="str">
            <v>% Floating debt (local currency debt)</v>
          </cell>
          <cell r="C75" t="str">
            <v>FLOATING_PCT_LOCAL_DEBT</v>
          </cell>
          <cell r="M75">
            <v>0</v>
          </cell>
          <cell r="N75">
            <v>0</v>
          </cell>
          <cell r="O75">
            <v>0</v>
          </cell>
          <cell r="P75">
            <v>0</v>
          </cell>
          <cell r="Q75">
            <v>0</v>
          </cell>
          <cell r="R75">
            <v>0</v>
          </cell>
          <cell r="S75">
            <v>0</v>
          </cell>
          <cell r="T75">
            <v>0</v>
          </cell>
          <cell r="U75">
            <v>0</v>
          </cell>
          <cell r="V75">
            <v>0</v>
          </cell>
        </row>
        <row r="76">
          <cell r="B76" t="str">
            <v>% floating debt hedged (rates)</v>
          </cell>
          <cell r="C76" t="str">
            <v>FLOATING_PCT_LOCAL_DEBT_HEDGED</v>
          </cell>
          <cell r="M76">
            <v>0</v>
          </cell>
          <cell r="N76">
            <v>0</v>
          </cell>
          <cell r="O76">
            <v>0</v>
          </cell>
          <cell r="P76">
            <v>0</v>
          </cell>
          <cell r="Q76">
            <v>0</v>
          </cell>
          <cell r="R76">
            <v>0</v>
          </cell>
          <cell r="S76">
            <v>0</v>
          </cell>
          <cell r="T76">
            <v>0</v>
          </cell>
          <cell r="U76">
            <v>0</v>
          </cell>
          <cell r="V76">
            <v>0</v>
          </cell>
        </row>
        <row r="77">
          <cell r="B77" t="str">
            <v>Net debt</v>
          </cell>
          <cell r="C77" t="str">
            <v>NET_DEBT</v>
          </cell>
          <cell r="D77" t="str">
            <v>CNY</v>
          </cell>
          <cell r="M77">
            <v>-727.46094485000003</v>
          </cell>
          <cell r="N77">
            <v>-917.78587001999995</v>
          </cell>
          <cell r="O77">
            <v>-3679.9912865199999</v>
          </cell>
          <cell r="P77">
            <v>-7257.0637287700001</v>
          </cell>
          <cell r="Q77">
            <v>-7814.8801408988602</v>
          </cell>
          <cell r="R77">
            <v>-8601.2324105704593</v>
          </cell>
          <cell r="S77">
            <v>-9648.7027892296701</v>
          </cell>
          <cell r="T77">
            <v>-11641.409524047</v>
          </cell>
          <cell r="U77">
            <v>-14365.3753750784</v>
          </cell>
          <cell r="V77">
            <v>-18519.881923836099</v>
          </cell>
        </row>
        <row r="78">
          <cell r="B78" t="str">
            <v>Capitalized operating leases (off-balance sheet)</v>
          </cell>
          <cell r="C78" t="str">
            <v>CAP_LEASES</v>
          </cell>
          <cell r="D78" t="str">
            <v>CNY</v>
          </cell>
        </row>
        <row r="79">
          <cell r="B79" t="str">
            <v>Deferred income taxes</v>
          </cell>
          <cell r="C79" t="str">
            <v>DEF_INC_TAX</v>
          </cell>
          <cell r="D79" t="str">
            <v>CNY</v>
          </cell>
        </row>
        <row r="80">
          <cell r="B80" t="str">
            <v>Associates (mkt value) used in EV calculation</v>
          </cell>
          <cell r="C80" t="str">
            <v>MV_ASSOCIATES</v>
          </cell>
          <cell r="D80" t="str">
            <v>CNY</v>
          </cell>
        </row>
        <row r="81">
          <cell r="B81" t="str">
            <v>Net debt adjustment</v>
          </cell>
          <cell r="C81" t="str">
            <v>NET_DEBT_ADJ</v>
          </cell>
          <cell r="D81" t="str">
            <v>CNY</v>
          </cell>
          <cell r="M81">
            <v>-273.11</v>
          </cell>
          <cell r="N81">
            <v>-230</v>
          </cell>
        </row>
        <row r="82">
          <cell r="B82" t="str">
            <v>Company borrowing margin</v>
          </cell>
          <cell r="C82" t="str">
            <v>CO_BOR_MARGIN</v>
          </cell>
        </row>
        <row r="83">
          <cell r="B83" t="str">
            <v>Unfunded pensions &amp; other provisions</v>
          </cell>
          <cell r="C83" t="str">
            <v>UNF_PENS</v>
          </cell>
          <cell r="D83" t="str">
            <v>CNY</v>
          </cell>
        </row>
        <row r="84">
          <cell r="B84" t="str">
            <v>Unfunded pension liabilities (off balance sheet)</v>
          </cell>
          <cell r="C84" t="str">
            <v>UNF_PENS_OFF</v>
          </cell>
          <cell r="D84" t="str">
            <v>CNY</v>
          </cell>
          <cell r="M84">
            <v>0</v>
          </cell>
          <cell r="N84">
            <v>0</v>
          </cell>
          <cell r="O84">
            <v>0</v>
          </cell>
          <cell r="P84">
            <v>0</v>
          </cell>
          <cell r="Q84">
            <v>0</v>
          </cell>
          <cell r="R84">
            <v>0</v>
          </cell>
          <cell r="S84">
            <v>0</v>
          </cell>
          <cell r="T84">
            <v>0</v>
          </cell>
          <cell r="U84">
            <v>0</v>
          </cell>
          <cell r="V84">
            <v>0</v>
          </cell>
        </row>
        <row r="85">
          <cell r="B85" t="str">
            <v>Unfunded pension liabilities &amp; other, used in EV</v>
          </cell>
          <cell r="C85" t="str">
            <v>UNF_PENS_LIAB_OTH</v>
          </cell>
          <cell r="D85" t="str">
            <v>CNY</v>
          </cell>
        </row>
        <row r="86">
          <cell r="B86" t="str">
            <v>Adjustment for unfunded pensions &amp; goodwill</v>
          </cell>
          <cell r="C86" t="str">
            <v>ADJ_UNF_PENS_GOOD</v>
          </cell>
          <cell r="D86" t="str">
            <v>CNY</v>
          </cell>
        </row>
        <row r="87">
          <cell r="B87" t="str">
            <v>Other GCI adjustments</v>
          </cell>
          <cell r="C87" t="str">
            <v>OTH_GCI_ADJ</v>
          </cell>
          <cell r="D87" t="str">
            <v>CNY</v>
          </cell>
          <cell r="M87">
            <v>454.35094485000002</v>
          </cell>
          <cell r="N87">
            <v>687.78587001999995</v>
          </cell>
          <cell r="O87">
            <v>3679.9912865199999</v>
          </cell>
          <cell r="P87">
            <v>7257.0637287700001</v>
          </cell>
          <cell r="Q87">
            <v>7814.8801408988602</v>
          </cell>
          <cell r="R87">
            <v>8601.2324105704593</v>
          </cell>
          <cell r="S87">
            <v>9648.7027892296701</v>
          </cell>
          <cell r="T87">
            <v>11641.409524047</v>
          </cell>
          <cell r="U87">
            <v>14365.3753750784</v>
          </cell>
          <cell r="V87">
            <v>18519.881923836099</v>
          </cell>
        </row>
        <row r="88">
          <cell r="B88" t="str">
            <v>GCI inflator</v>
          </cell>
          <cell r="C88" t="str">
            <v>GCI_INFL</v>
          </cell>
        </row>
        <row r="89">
          <cell r="B89" t="str">
            <v>Minority interest</v>
          </cell>
          <cell r="C89" t="str">
            <v>BAL_MINO_INT</v>
          </cell>
          <cell r="D89" t="str">
            <v>CNY</v>
          </cell>
        </row>
        <row r="90">
          <cell r="B90" t="str">
            <v>Right-of-use assets (op lease assets under US GAAP)</v>
          </cell>
          <cell r="C90" t="str">
            <v>ROU_ASSET</v>
          </cell>
          <cell r="D90" t="str">
            <v>CNY</v>
          </cell>
        </row>
        <row r="91">
          <cell r="A91" t="str">
            <v>Cash Flow Statement</v>
          </cell>
        </row>
        <row r="92">
          <cell r="B92" t="str">
            <v>Minority interest add-back</v>
          </cell>
          <cell r="C92" t="str">
            <v>CF_INC_MINORITY</v>
          </cell>
          <cell r="D92" t="str">
            <v>CNY</v>
          </cell>
        </row>
        <row r="93">
          <cell r="B93" t="str">
            <v>Depreciation &amp; amortization add-back</v>
          </cell>
          <cell r="C93" t="str">
            <v>DEPR_AMORT</v>
          </cell>
          <cell r="D93" t="str">
            <v>CNY</v>
          </cell>
          <cell r="M93">
            <v>12.858890410000001</v>
          </cell>
          <cell r="N93">
            <v>17.377958360000001</v>
          </cell>
          <cell r="O93">
            <v>20.156712859999999</v>
          </cell>
          <cell r="P93">
            <v>30.221079660000001</v>
          </cell>
          <cell r="Q93">
            <v>25.943498756812001</v>
          </cell>
          <cell r="R93">
            <v>19.654096350778001</v>
          </cell>
          <cell r="S93">
            <v>19.700970241017</v>
          </cell>
          <cell r="T93">
            <v>21.727290104064998</v>
          </cell>
          <cell r="U93">
            <v>24.044239117566001</v>
          </cell>
          <cell r="V93">
            <v>26.545679532482001</v>
          </cell>
        </row>
        <row r="94">
          <cell r="B94" t="str">
            <v>(Increase)/decrease in working capital</v>
          </cell>
          <cell r="C94" t="str">
            <v>WORK_CAP</v>
          </cell>
          <cell r="D94" t="str">
            <v>CNY</v>
          </cell>
          <cell r="M94">
            <v>-202.65542833999999</v>
          </cell>
          <cell r="N94">
            <v>58.197881219999999</v>
          </cell>
          <cell r="O94">
            <v>-142.98764408</v>
          </cell>
          <cell r="P94">
            <v>90.069569240000007</v>
          </cell>
          <cell r="Q94">
            <v>-134.79576932122501</v>
          </cell>
          <cell r="R94">
            <v>-40.99386207245</v>
          </cell>
          <cell r="S94">
            <v>-371.72969587655302</v>
          </cell>
          <cell r="T94">
            <v>-238.398261707486</v>
          </cell>
          <cell r="U94">
            <v>-552.803257640369</v>
          </cell>
          <cell r="V94">
            <v>-514.73454984274304</v>
          </cell>
        </row>
        <row r="95">
          <cell r="B95" t="str">
            <v>Other operating cash flow items</v>
          </cell>
          <cell r="C95" t="str">
            <v>OTH_OP_CF</v>
          </cell>
          <cell r="D95" t="str">
            <v>CNY</v>
          </cell>
          <cell r="M95">
            <v>484.07701791</v>
          </cell>
          <cell r="N95">
            <v>-195.66042482</v>
          </cell>
          <cell r="O95">
            <v>355.09949468999997</v>
          </cell>
          <cell r="P95">
            <v>-184.18640363</v>
          </cell>
        </row>
        <row r="96">
          <cell r="B96" t="str">
            <v>Cash flow from operating activities</v>
          </cell>
          <cell r="C96" t="str">
            <v>CF_OPS</v>
          </cell>
          <cell r="D96" t="str">
            <v>CNY</v>
          </cell>
          <cell r="M96">
            <v>387.08476495999997</v>
          </cell>
          <cell r="N96">
            <v>226.83137633999999</v>
          </cell>
          <cell r="O96">
            <v>969.14700168000002</v>
          </cell>
          <cell r="P96">
            <v>868.96263699999997</v>
          </cell>
          <cell r="Q96">
            <v>965.44551154474095</v>
          </cell>
          <cell r="R96">
            <v>1279.83548840351</v>
          </cell>
          <cell r="S96">
            <v>1883.5306753883201</v>
          </cell>
          <cell r="T96">
            <v>3294.6682759444998</v>
          </cell>
          <cell r="U96">
            <v>4625.4388084891598</v>
          </cell>
          <cell r="V96">
            <v>6853.7151142522898</v>
          </cell>
        </row>
        <row r="97">
          <cell r="B97" t="str">
            <v>Capital expenditures, Capex</v>
          </cell>
          <cell r="C97" t="str">
            <v>CAPEX</v>
          </cell>
          <cell r="D97" t="str">
            <v>CNY</v>
          </cell>
          <cell r="M97">
            <v>-4.61257567</v>
          </cell>
          <cell r="N97">
            <v>-57.634932489999997</v>
          </cell>
          <cell r="O97">
            <v>-17.894430060000001</v>
          </cell>
          <cell r="P97">
            <v>-21.570191900000001</v>
          </cell>
          <cell r="Q97">
            <v>-17.294435792000002</v>
          </cell>
          <cell r="R97">
            <v>-20.715040678400001</v>
          </cell>
          <cell r="S97">
            <v>-23.793585076159999</v>
          </cell>
          <cell r="T97">
            <v>-26.153802447775998</v>
          </cell>
          <cell r="U97">
            <v>-28.750041556553999</v>
          </cell>
          <cell r="V97">
            <v>-31.605904576208999</v>
          </cell>
        </row>
        <row r="98">
          <cell r="B98" t="str">
            <v>Acquisitions</v>
          </cell>
          <cell r="C98" t="str">
            <v>ACQ</v>
          </cell>
          <cell r="D98" t="str">
            <v>CNY</v>
          </cell>
        </row>
        <row r="99">
          <cell r="B99" t="str">
            <v>Divestitures</v>
          </cell>
          <cell r="C99" t="str">
            <v>DIVEST</v>
          </cell>
          <cell r="D99" t="str">
            <v>CNY</v>
          </cell>
        </row>
        <row r="100">
          <cell r="B100" t="str">
            <v>Other investing cash flow items</v>
          </cell>
          <cell r="C100" t="str">
            <v>OTH_INV_CF</v>
          </cell>
          <cell r="D100" t="str">
            <v>CNY</v>
          </cell>
          <cell r="M100">
            <v>-218.05983545000001</v>
          </cell>
          <cell r="N100">
            <v>95.35048682</v>
          </cell>
          <cell r="O100">
            <v>-82.030127519999994</v>
          </cell>
          <cell r="P100">
            <v>-1987.2790290200001</v>
          </cell>
        </row>
        <row r="101">
          <cell r="B101" t="str">
            <v>Cash flow from investing</v>
          </cell>
          <cell r="C101" t="str">
            <v>CF_INV</v>
          </cell>
          <cell r="D101" t="str">
            <v>CNY</v>
          </cell>
          <cell r="M101">
            <v>-222.67241111999999</v>
          </cell>
          <cell r="N101">
            <v>37.715554330000003</v>
          </cell>
          <cell r="O101">
            <v>-99.924557579999998</v>
          </cell>
          <cell r="P101">
            <v>-2008.8492209200001</v>
          </cell>
          <cell r="Q101">
            <v>-17.294435792000002</v>
          </cell>
          <cell r="R101">
            <v>-20.715040678400001</v>
          </cell>
          <cell r="S101">
            <v>-23.793585076159999</v>
          </cell>
          <cell r="T101">
            <v>-26.153802447775998</v>
          </cell>
          <cell r="U101">
            <v>-28.750041556553999</v>
          </cell>
          <cell r="V101">
            <v>-31.605904576208999</v>
          </cell>
        </row>
        <row r="102">
          <cell r="B102" t="str">
            <v>Dividends paid</v>
          </cell>
          <cell r="C102" t="str">
            <v>DIV_PAID</v>
          </cell>
          <cell r="D102" t="str">
            <v>CNY</v>
          </cell>
          <cell r="O102">
            <v>-239.83044278</v>
          </cell>
          <cell r="P102">
            <v>-292.31189522</v>
          </cell>
          <cell r="Q102">
            <v>-390.33466362388202</v>
          </cell>
          <cell r="R102">
            <v>-472.76817805351197</v>
          </cell>
          <cell r="S102">
            <v>-812.26671165294499</v>
          </cell>
          <cell r="T102">
            <v>-1275.80773867938</v>
          </cell>
          <cell r="U102">
            <v>-1872.7229159012099</v>
          </cell>
          <cell r="V102">
            <v>-2667.60266091835</v>
          </cell>
        </row>
        <row r="103">
          <cell r="B103" t="str">
            <v>Common stock issuance/(repurchase)</v>
          </cell>
          <cell r="C103" t="str">
            <v>SH_REPUR</v>
          </cell>
          <cell r="D103" t="str">
            <v>CNY</v>
          </cell>
          <cell r="M103">
            <v>823.21670214000005</v>
          </cell>
          <cell r="O103">
            <v>2024.6890814000001</v>
          </cell>
          <cell r="P103">
            <v>2981.3912768199998</v>
          </cell>
        </row>
        <row r="104">
          <cell r="B104" t="str">
            <v>Increase/(decrease) in total debt</v>
          </cell>
          <cell r="C104" t="str">
            <v>CHG_LT_DEBT</v>
          </cell>
          <cell r="D104" t="str">
            <v>CNY</v>
          </cell>
        </row>
        <row r="105">
          <cell r="B105" t="str">
            <v>Lease principal payments  (applicable to IFRS cos.)</v>
          </cell>
          <cell r="C105" t="str">
            <v>LEASE_PRINCIPAL_CASH</v>
          </cell>
          <cell r="D105" t="str">
            <v>CNY</v>
          </cell>
        </row>
        <row r="106">
          <cell r="B106" t="str">
            <v>Other financing cash flow items</v>
          </cell>
          <cell r="C106" t="str">
            <v>OTH_FIN_CF</v>
          </cell>
          <cell r="D106" t="str">
            <v>CNY</v>
          </cell>
          <cell r="M106">
            <v>-533.27811112999996</v>
          </cell>
          <cell r="N106">
            <v>-31.112005499999999</v>
          </cell>
          <cell r="O106">
            <v>338.12433377999997</v>
          </cell>
          <cell r="P106">
            <v>2027.87964457</v>
          </cell>
        </row>
        <row r="107">
          <cell r="B107" t="str">
            <v>Cash flow from financing</v>
          </cell>
          <cell r="C107" t="str">
            <v>CF_FIN</v>
          </cell>
          <cell r="D107" t="str">
            <v>CNY</v>
          </cell>
          <cell r="M107">
            <v>289.93859100999998</v>
          </cell>
          <cell r="N107">
            <v>-31.112005499999999</v>
          </cell>
          <cell r="O107">
            <v>2122.9829724000001</v>
          </cell>
          <cell r="P107">
            <v>4716.9590261699996</v>
          </cell>
          <cell r="Q107">
            <v>-390.33466362388202</v>
          </cell>
          <cell r="R107">
            <v>-472.76817805351197</v>
          </cell>
          <cell r="S107">
            <v>-812.26671165294499</v>
          </cell>
          <cell r="T107">
            <v>-1275.80773867938</v>
          </cell>
          <cell r="U107">
            <v>-1872.7229159012099</v>
          </cell>
          <cell r="V107">
            <v>-2667.60266091835</v>
          </cell>
        </row>
        <row r="108">
          <cell r="B108" t="str">
            <v>Total cash flow</v>
          </cell>
          <cell r="C108" t="str">
            <v>TOT_CF</v>
          </cell>
          <cell r="D108" t="str">
            <v>CNY</v>
          </cell>
          <cell r="M108">
            <v>454.35094485000002</v>
          </cell>
          <cell r="N108">
            <v>233.43492517000001</v>
          </cell>
          <cell r="O108">
            <v>2992.2054165</v>
          </cell>
          <cell r="P108">
            <v>3577.0724422500002</v>
          </cell>
          <cell r="Q108">
            <v>557.81641212885904</v>
          </cell>
          <cell r="R108">
            <v>786.35226967159895</v>
          </cell>
          <cell r="S108">
            <v>1047.4703786592099</v>
          </cell>
          <cell r="T108">
            <v>1992.70673481734</v>
          </cell>
          <cell r="U108">
            <v>2723.9658510313998</v>
          </cell>
          <cell r="V108">
            <v>4154.5065487577303</v>
          </cell>
        </row>
        <row r="109">
          <cell r="A109" t="str">
            <v>Additional Cash Flow Items</v>
          </cell>
        </row>
        <row r="110">
          <cell r="B110" t="str">
            <v>Associate and JV add-back</v>
          </cell>
          <cell r="C110" t="str">
            <v>ASSOC_JV_ADDBK</v>
          </cell>
          <cell r="D110" t="str">
            <v>CNY</v>
          </cell>
        </row>
        <row r="111">
          <cell r="B111" t="str">
            <v>Profit/(loss) on sale of assets</v>
          </cell>
          <cell r="C111" t="str">
            <v>PL_SALE_ASSETS</v>
          </cell>
          <cell r="D111" t="str">
            <v>CNY</v>
          </cell>
        </row>
        <row r="112">
          <cell r="B112" t="str">
            <v>Other non-cash adjustments</v>
          </cell>
          <cell r="C112" t="str">
            <v>OTH_NONCASH_ADJ</v>
          </cell>
          <cell r="D112" t="str">
            <v>CNY</v>
          </cell>
        </row>
        <row r="113">
          <cell r="B113" t="str">
            <v>Other DACF adjustments</v>
          </cell>
          <cell r="C113" t="str">
            <v>OTH_DACF_ADJ</v>
          </cell>
          <cell r="D113" t="str">
            <v>CNY</v>
          </cell>
        </row>
        <row r="114">
          <cell r="B114" t="str">
            <v>Cash interest expense</v>
          </cell>
          <cell r="C114" t="str">
            <v>CASH_INT_EXP</v>
          </cell>
          <cell r="D114" t="str">
            <v>CNY</v>
          </cell>
        </row>
        <row r="115">
          <cell r="B115" t="str">
            <v>Cash tax expense</v>
          </cell>
          <cell r="C115" t="str">
            <v>CASH_TAX_EXP</v>
          </cell>
          <cell r="D115" t="str">
            <v>CNY</v>
          </cell>
        </row>
        <row r="116">
          <cell r="B116" t="str">
            <v>Dividends received from associates/JVs</v>
          </cell>
          <cell r="C116" t="str">
            <v>DIVDS_ASSOC_JV</v>
          </cell>
          <cell r="D116" t="str">
            <v>CNY</v>
          </cell>
        </row>
        <row r="117">
          <cell r="B117" t="str">
            <v>Capex maintenance</v>
          </cell>
          <cell r="C117" t="str">
            <v>CAPEX_MAINTENANCE</v>
          </cell>
          <cell r="D117" t="str">
            <v>CNY</v>
          </cell>
        </row>
        <row r="118">
          <cell r="B118" t="str">
            <v>Capex expansion</v>
          </cell>
          <cell r="C118" t="str">
            <v>CAPEX_EXPANSION</v>
          </cell>
          <cell r="D118" t="str">
            <v>CNY</v>
          </cell>
        </row>
        <row r="119">
          <cell r="B119" t="str">
            <v>Non-PP&amp;E capex</v>
          </cell>
          <cell r="C119" t="str">
            <v>NONPPE_CAPEX</v>
          </cell>
          <cell r="D119" t="str">
            <v>CNY</v>
          </cell>
        </row>
        <row r="120">
          <cell r="B120" t="str">
            <v>Dividends paid to minorities</v>
          </cell>
          <cell r="C120" t="str">
            <v>DIVDS_PD_MINORITIES</v>
          </cell>
          <cell r="D120" t="str">
            <v>CNY</v>
          </cell>
        </row>
        <row r="121">
          <cell r="A121" t="str">
            <v>Other Items</v>
          </cell>
        </row>
        <row r="122">
          <cell r="B122" t="str">
            <v>Number of employees</v>
          </cell>
          <cell r="C122" t="str">
            <v>EMPLOYEES</v>
          </cell>
          <cell r="M122">
            <v>0.33800000000000002</v>
          </cell>
          <cell r="N122">
            <v>0.20399999999999999</v>
          </cell>
          <cell r="O122">
            <v>0.255</v>
          </cell>
          <cell r="P122">
            <v>0.33400000000000002</v>
          </cell>
        </row>
        <row r="123">
          <cell r="A123" t="str">
            <v>Geographical Breakdown</v>
          </cell>
        </row>
        <row r="124">
          <cell r="B124" t="str">
            <v>Sales - % Canada</v>
          </cell>
          <cell r="C124" t="str">
            <v>SALES_CANADA</v>
          </cell>
        </row>
        <row r="125">
          <cell r="B125" t="str">
            <v>Sales - % United States</v>
          </cell>
          <cell r="C125" t="str">
            <v>SALES_US</v>
          </cell>
        </row>
        <row r="126">
          <cell r="B126" t="str">
            <v>Sales - % Other North Americas</v>
          </cell>
          <cell r="C126" t="str">
            <v>SALES_OTH_NO_AMER</v>
          </cell>
        </row>
        <row r="127">
          <cell r="B127" t="str">
            <v>Sales - % Argentina</v>
          </cell>
          <cell r="C127" t="str">
            <v>SALES_ARGENTINA</v>
          </cell>
        </row>
        <row r="128">
          <cell r="B128" t="str">
            <v>Sales - % Brazil</v>
          </cell>
          <cell r="C128" t="str">
            <v>SALES_BRAZIL</v>
          </cell>
        </row>
        <row r="129">
          <cell r="B129" t="str">
            <v>Sales - % Chile</v>
          </cell>
          <cell r="C129" t="str">
            <v>SALES_CHILE</v>
          </cell>
        </row>
        <row r="130">
          <cell r="B130" t="str">
            <v>Sales - % Colombia</v>
          </cell>
          <cell r="C130" t="str">
            <v>SALES_COLOMBIA</v>
          </cell>
        </row>
        <row r="131">
          <cell r="B131" t="str">
            <v>Sales - % Mexico</v>
          </cell>
          <cell r="C131" t="str">
            <v>SALES_MEXICO</v>
          </cell>
        </row>
        <row r="132">
          <cell r="B132" t="str">
            <v>Sales - % Venezuela</v>
          </cell>
          <cell r="C132" t="str">
            <v>SALES_VENEZUELA</v>
          </cell>
        </row>
        <row r="133">
          <cell r="B133" t="str">
            <v>Sales - % Other Latin Americas</v>
          </cell>
          <cell r="C133" t="str">
            <v>SALES_OTH_LATAM</v>
          </cell>
        </row>
        <row r="134">
          <cell r="B134" t="str">
            <v>Sales - % Austria</v>
          </cell>
          <cell r="C134" t="str">
            <v>SALES_AUSTRIA</v>
          </cell>
        </row>
        <row r="135">
          <cell r="B135" t="str">
            <v>Sales - % Belgium</v>
          </cell>
          <cell r="C135" t="str">
            <v>SALES_BEL</v>
          </cell>
        </row>
        <row r="136">
          <cell r="B136" t="str">
            <v>Sales - % France</v>
          </cell>
          <cell r="C136" t="str">
            <v>SALES_FRA</v>
          </cell>
        </row>
        <row r="137">
          <cell r="B137" t="str">
            <v>Sales - % Germany</v>
          </cell>
          <cell r="C137" t="str">
            <v>SALES_GER</v>
          </cell>
        </row>
        <row r="138">
          <cell r="B138" t="str">
            <v>Sales - % Greece</v>
          </cell>
          <cell r="C138" t="str">
            <v>SALES_GRE</v>
          </cell>
        </row>
        <row r="139">
          <cell r="B139" t="str">
            <v>Sales - % Ireland</v>
          </cell>
          <cell r="C139" t="str">
            <v>SALES_IRE</v>
          </cell>
        </row>
        <row r="140">
          <cell r="B140" t="str">
            <v>Sales - % Italy</v>
          </cell>
          <cell r="C140" t="str">
            <v>SALES_ITA</v>
          </cell>
        </row>
        <row r="141">
          <cell r="B141" t="str">
            <v>Sales - % Netherlands</v>
          </cell>
          <cell r="C141" t="str">
            <v>SALES_NETH</v>
          </cell>
        </row>
        <row r="142">
          <cell r="B142" t="str">
            <v>Sales - % Norway</v>
          </cell>
          <cell r="C142" t="str">
            <v>SALES_NOR</v>
          </cell>
        </row>
        <row r="143">
          <cell r="B143" t="str">
            <v>Sales - % Portugal</v>
          </cell>
          <cell r="C143" t="str">
            <v>SALES_POR</v>
          </cell>
        </row>
        <row r="144">
          <cell r="B144" t="str">
            <v>Sales - % Spain</v>
          </cell>
          <cell r="C144" t="str">
            <v>SALES_SPA</v>
          </cell>
        </row>
        <row r="145">
          <cell r="B145" t="str">
            <v>Sales - % Sweden</v>
          </cell>
          <cell r="C145" t="str">
            <v>SALES_SWE</v>
          </cell>
        </row>
        <row r="146">
          <cell r="B146" t="str">
            <v>Sales - % Switzerland</v>
          </cell>
          <cell r="C146" t="str">
            <v>SALES_SWIT</v>
          </cell>
        </row>
        <row r="147">
          <cell r="B147" t="str">
            <v>Sales - % UK</v>
          </cell>
          <cell r="C147" t="str">
            <v>SALES_UK</v>
          </cell>
        </row>
        <row r="148">
          <cell r="B148" t="str">
            <v>Sales - % Other Western Europe</v>
          </cell>
          <cell r="C148" t="str">
            <v>SALES_OTH_WEST_EURO</v>
          </cell>
        </row>
        <row r="149">
          <cell r="B149" t="str">
            <v>Sales - % Poland</v>
          </cell>
          <cell r="C149" t="str">
            <v>SALES_POLAND</v>
          </cell>
        </row>
        <row r="150">
          <cell r="B150" t="str">
            <v>Sales - % Russia</v>
          </cell>
          <cell r="C150" t="str">
            <v>SALES_RUSSIA</v>
          </cell>
        </row>
        <row r="151">
          <cell r="B151" t="str">
            <v>Sales - % Turkey</v>
          </cell>
          <cell r="C151" t="str">
            <v>SALES_TURKEY</v>
          </cell>
        </row>
        <row r="152">
          <cell r="B152" t="str">
            <v>Sales - % Other CEE</v>
          </cell>
          <cell r="C152" t="str">
            <v>SALES_OTH_CEE</v>
          </cell>
        </row>
        <row r="153">
          <cell r="B153" t="str">
            <v>Sales - % Saudi Arabia</v>
          </cell>
          <cell r="C153" t="str">
            <v>SALES_SAUDI_ARABIA</v>
          </cell>
        </row>
        <row r="154">
          <cell r="B154" t="str">
            <v>Sales - % United Arab Emirates</v>
          </cell>
          <cell r="C154" t="str">
            <v>SALES_UAE</v>
          </cell>
        </row>
        <row r="155">
          <cell r="B155" t="str">
            <v>Sales - % Other Middle East</v>
          </cell>
          <cell r="C155" t="str">
            <v>SALES_OTH_ME</v>
          </cell>
        </row>
        <row r="156">
          <cell r="B156" t="str">
            <v>Sales - % Nigeria</v>
          </cell>
          <cell r="C156" t="str">
            <v>SALES_NIGERIA</v>
          </cell>
        </row>
        <row r="157">
          <cell r="B157" t="str">
            <v>Sales - % South Africa</v>
          </cell>
          <cell r="C157" t="str">
            <v>SALES_SO_AFRICA</v>
          </cell>
        </row>
        <row r="158">
          <cell r="B158" t="str">
            <v>Sales - % Other Africa</v>
          </cell>
          <cell r="C158" t="str">
            <v>SALES_OTH_AFRICA</v>
          </cell>
        </row>
        <row r="159">
          <cell r="B159" t="str">
            <v>Sales - % Hong Kong</v>
          </cell>
          <cell r="C159" t="str">
            <v>SALES_HONG_KONG</v>
          </cell>
        </row>
        <row r="160">
          <cell r="B160" t="str">
            <v>Sales - % Japan</v>
          </cell>
          <cell r="C160" t="str">
            <v>SALES_JAPAN</v>
          </cell>
        </row>
        <row r="161">
          <cell r="B161" t="str">
            <v>Sales - % Singapore</v>
          </cell>
          <cell r="C161" t="str">
            <v>SALES_SINGAPORE</v>
          </cell>
          <cell r="M161">
            <v>8.9625990673999997E-2</v>
          </cell>
          <cell r="N161">
            <v>0.22579317987600001</v>
          </cell>
          <cell r="O161">
            <v>0.21278405651999999</v>
          </cell>
          <cell r="P161">
            <v>0.21278405651999999</v>
          </cell>
          <cell r="Q161">
            <v>0.21278405651999999</v>
          </cell>
        </row>
        <row r="162">
          <cell r="B162" t="str">
            <v>Sales - % South Korea</v>
          </cell>
          <cell r="C162" t="str">
            <v>SALES_SK</v>
          </cell>
          <cell r="M162">
            <v>0.511666187296</v>
          </cell>
          <cell r="N162">
            <v>0.23567346701299999</v>
          </cell>
          <cell r="O162">
            <v>0.29313266304899999</v>
          </cell>
          <cell r="P162">
            <v>0.29313266304899999</v>
          </cell>
          <cell r="Q162">
            <v>0.29313266304899999</v>
          </cell>
        </row>
        <row r="163">
          <cell r="B163" t="str">
            <v>Sales - % Taiwan</v>
          </cell>
          <cell r="C163" t="str">
            <v>SALES_TAIWAN</v>
          </cell>
        </row>
        <row r="164">
          <cell r="B164" t="str">
            <v>Sales - % Other Developed Asia</v>
          </cell>
          <cell r="C164" t="str">
            <v>SALES_OTH_DEV_ASIA</v>
          </cell>
        </row>
        <row r="165">
          <cell r="B165" t="str">
            <v>Sales - % China</v>
          </cell>
          <cell r="C165" t="str">
            <v>SALES_CHINA</v>
          </cell>
          <cell r="M165">
            <v>0.32098789516100001</v>
          </cell>
          <cell r="N165">
            <v>0.40255314769400002</v>
          </cell>
          <cell r="O165">
            <v>0.32316837094599998</v>
          </cell>
          <cell r="P165">
            <v>0.15004568749899999</v>
          </cell>
          <cell r="Q165">
            <v>0.15004568749899999</v>
          </cell>
        </row>
        <row r="166">
          <cell r="B166" t="str">
            <v>Sales - % India</v>
          </cell>
          <cell r="C166" t="str">
            <v>SALES_INDIA</v>
          </cell>
        </row>
        <row r="167">
          <cell r="B167" t="str">
            <v>Sales - % Indonesia</v>
          </cell>
          <cell r="C167" t="str">
            <v>SALES_INDONESIA</v>
          </cell>
          <cell r="P167">
            <v>7.8288145145000002E-2</v>
          </cell>
          <cell r="Q167">
            <v>7.8288145145000002E-2</v>
          </cell>
        </row>
        <row r="168">
          <cell r="B168" t="str">
            <v>Sales - % Thailand</v>
          </cell>
          <cell r="C168" t="str">
            <v>SALES_THAILAND</v>
          </cell>
        </row>
        <row r="169">
          <cell r="B169" t="str">
            <v>Sales - % Other Emerging Asia</v>
          </cell>
          <cell r="C169" t="str">
            <v>SALES_OTH_EMERG_ASIA</v>
          </cell>
          <cell r="M169">
            <v>1.3834042510000001E-3</v>
          </cell>
          <cell r="N169">
            <v>1.322965576E-2</v>
          </cell>
          <cell r="O169">
            <v>7.8288145145000002E-2</v>
          </cell>
        </row>
        <row r="170">
          <cell r="B170" t="str">
            <v>Sales - % Australia</v>
          </cell>
          <cell r="C170" t="str">
            <v>SALES_AUSTRA</v>
          </cell>
        </row>
        <row r="171">
          <cell r="B171" t="str">
            <v>Sales - % New Zealand</v>
          </cell>
          <cell r="C171" t="str">
            <v>SALES_NZ</v>
          </cell>
        </row>
        <row r="172">
          <cell r="B172" t="str">
            <v>Sales - % Others</v>
          </cell>
          <cell r="C172" t="str">
            <v>SALES_OTHER</v>
          </cell>
          <cell r="M172">
            <v>7.6336522616999997E-2</v>
          </cell>
          <cell r="N172">
            <v>0.122750549656</v>
          </cell>
          <cell r="O172">
            <v>9.2626764340000001E-2</v>
          </cell>
          <cell r="P172">
            <v>0.26574944778699999</v>
          </cell>
          <cell r="Q172">
            <v>0.26574944778699999</v>
          </cell>
        </row>
        <row r="173">
          <cell r="B173" t="str">
            <v>% of CoGS from U.S. (GS estimate)</v>
          </cell>
          <cell r="C173" t="str">
            <v>COGS_PCT_US</v>
          </cell>
          <cell r="M173">
            <v>0</v>
          </cell>
          <cell r="N173">
            <v>0</v>
          </cell>
          <cell r="O173">
            <v>0</v>
          </cell>
          <cell r="P173">
            <v>0</v>
          </cell>
          <cell r="Q173">
            <v>0</v>
          </cell>
        </row>
        <row r="174">
          <cell r="B174" t="str">
            <v>% of CoGS from non-U.S. (GS estimate)</v>
          </cell>
          <cell r="C174" t="str">
            <v>COGS_PCT_ROW</v>
          </cell>
          <cell r="M174">
            <v>1</v>
          </cell>
          <cell r="N174">
            <v>1</v>
          </cell>
          <cell r="O174">
            <v>1</v>
          </cell>
          <cell r="P174">
            <v>1</v>
          </cell>
          <cell r="Q174">
            <v>1</v>
          </cell>
        </row>
        <row r="175">
          <cell r="B175" t="str">
            <v>% of SG&amp;A from U.S. (GS estimate)</v>
          </cell>
          <cell r="C175" t="str">
            <v>SGA_PCT_US</v>
          </cell>
          <cell r="M175">
            <v>0</v>
          </cell>
          <cell r="N175">
            <v>0</v>
          </cell>
          <cell r="O175">
            <v>0</v>
          </cell>
          <cell r="P175">
            <v>0</v>
          </cell>
          <cell r="Q175">
            <v>0</v>
          </cell>
        </row>
        <row r="176">
          <cell r="B176" t="str">
            <v>% of SG&amp;A from non-U.S. (GS estimate)</v>
          </cell>
          <cell r="C176" t="str">
            <v>SGA_PCT_ROW</v>
          </cell>
          <cell r="M176">
            <v>1</v>
          </cell>
          <cell r="N176">
            <v>1</v>
          </cell>
          <cell r="O176">
            <v>1</v>
          </cell>
          <cell r="P176">
            <v>1</v>
          </cell>
          <cell r="Q176">
            <v>1</v>
          </cell>
        </row>
        <row r="177">
          <cell r="B177" t="str">
            <v>Sales -% Consumer (C)</v>
          </cell>
          <cell r="C177" t="str">
            <v>SALES_CONS</v>
          </cell>
        </row>
        <row r="178">
          <cell r="B178" t="str">
            <v>Sales -% Industry (I)</v>
          </cell>
          <cell r="C178" t="str">
            <v>SALES_IND</v>
          </cell>
          <cell r="M178">
            <v>1</v>
          </cell>
          <cell r="N178">
            <v>1</v>
          </cell>
          <cell r="O178">
            <v>1</v>
          </cell>
          <cell r="P178">
            <v>1</v>
          </cell>
          <cell r="Q178">
            <v>1</v>
          </cell>
        </row>
        <row r="179">
          <cell r="B179" t="str">
            <v>Sales -% Government (G)</v>
          </cell>
          <cell r="C179" t="str">
            <v>SALES_GOV</v>
          </cell>
        </row>
        <row r="180">
          <cell r="B180" t="str">
            <v>Sales - % Industry Sub-Segment: Financial Services</v>
          </cell>
          <cell r="C180" t="str">
            <v>SALES_FINAN</v>
          </cell>
        </row>
        <row r="181">
          <cell r="B181" t="str">
            <v>Sales - % Industry Sub-Segment: Oil &amp; Gas</v>
          </cell>
          <cell r="C181" t="str">
            <v>SALES_OIL_GAS</v>
          </cell>
        </row>
        <row r="182">
          <cell r="A182" t="str">
            <v>Commodities Exposure - Expense</v>
          </cell>
        </row>
        <row r="183">
          <cell r="B183" t="str">
            <v>Expense - % Oil/Petrol/Fuel</v>
          </cell>
          <cell r="C183" t="str">
            <v>EXP_OIL_PETRO_FUEL</v>
          </cell>
          <cell r="M183">
            <v>0</v>
          </cell>
          <cell r="N183">
            <v>0</v>
          </cell>
          <cell r="O183">
            <v>0</v>
          </cell>
          <cell r="P183">
            <v>0</v>
          </cell>
          <cell r="Q183">
            <v>0</v>
          </cell>
        </row>
        <row r="184">
          <cell r="B184" t="str">
            <v>Expense - % Oil derivatives/NGLs/plastics</v>
          </cell>
          <cell r="C184" t="str">
            <v>EXP_OIL_DERIV_NGLS_PLASTICS</v>
          </cell>
          <cell r="M184">
            <v>0</v>
          </cell>
          <cell r="N184">
            <v>0</v>
          </cell>
          <cell r="O184">
            <v>0</v>
          </cell>
          <cell r="P184">
            <v>0</v>
          </cell>
          <cell r="Q184">
            <v>0</v>
          </cell>
        </row>
        <row r="185">
          <cell r="B185" t="str">
            <v>Expense - % Gold</v>
          </cell>
          <cell r="C185" t="str">
            <v>EXP_GOLD</v>
          </cell>
        </row>
        <row r="186">
          <cell r="B186" t="str">
            <v>Expense - % Copper</v>
          </cell>
          <cell r="C186" t="str">
            <v>EXP_COPPER</v>
          </cell>
        </row>
        <row r="187">
          <cell r="B187" t="str">
            <v>Expense - % Silver</v>
          </cell>
          <cell r="C187" t="str">
            <v>EXP_SILVER</v>
          </cell>
        </row>
        <row r="188">
          <cell r="B188" t="str">
            <v>Expense - % Platinum</v>
          </cell>
          <cell r="C188" t="str">
            <v>EXP_PLATINUM</v>
          </cell>
        </row>
        <row r="189">
          <cell r="B189" t="str">
            <v>Expense - % Palladium</v>
          </cell>
          <cell r="C189" t="str">
            <v>EXP_PALLADIUM</v>
          </cell>
        </row>
        <row r="190">
          <cell r="B190" t="str">
            <v>Expense - % Aluminium</v>
          </cell>
          <cell r="C190" t="str">
            <v>EXP_ALUMINIUM</v>
          </cell>
        </row>
        <row r="191">
          <cell r="B191" t="str">
            <v>Expense - % Nickel</v>
          </cell>
          <cell r="C191" t="str">
            <v>EXP_NICKEL</v>
          </cell>
        </row>
        <row r="192">
          <cell r="B192" t="str">
            <v>Expense - % Zinc</v>
          </cell>
          <cell r="C192" t="str">
            <v>EXP_ZINC</v>
          </cell>
        </row>
        <row r="193">
          <cell r="B193" t="str">
            <v>Expense - % Paper/pulp</v>
          </cell>
          <cell r="C193" t="str">
            <v>EXP_PAPER_PULP</v>
          </cell>
        </row>
        <row r="194">
          <cell r="B194" t="str">
            <v>Expense - % Glass</v>
          </cell>
          <cell r="C194" t="str">
            <v>EXP_GLASS</v>
          </cell>
        </row>
        <row r="195">
          <cell r="B195" t="str">
            <v>Expense - % Water</v>
          </cell>
          <cell r="C195" t="str">
            <v>EXP_WATER</v>
          </cell>
        </row>
        <row r="196">
          <cell r="B196" t="str">
            <v>Expense - % Other commodity</v>
          </cell>
          <cell r="C196" t="str">
            <v>EXP_OTH_COMMODITY</v>
          </cell>
        </row>
        <row r="197">
          <cell r="B197" t="str">
            <v>Expense - % Other (Non-Commodity) cost</v>
          </cell>
          <cell r="C197" t="str">
            <v>EXP_OTH_COST</v>
          </cell>
        </row>
        <row r="198">
          <cell r="A198" t="str">
            <v>FX Exposure - Sales</v>
          </cell>
        </row>
        <row r="199">
          <cell r="B199" t="str">
            <v>Sales - % FX: British Pounds/Pence</v>
          </cell>
          <cell r="C199" t="str">
            <v>SALES_FX_GPB</v>
          </cell>
        </row>
        <row r="200">
          <cell r="B200" t="str">
            <v>Sales - % FX: Euro</v>
          </cell>
          <cell r="C200" t="str">
            <v>SALES_FX_EUR</v>
          </cell>
        </row>
        <row r="201">
          <cell r="B201" t="str">
            <v>Sales - % FX: New Russian Ruble</v>
          </cell>
          <cell r="C201" t="str">
            <v>SALES_FX_RUB</v>
          </cell>
        </row>
        <row r="202">
          <cell r="B202" t="str">
            <v>Sales - % FX: U.S. Dollar</v>
          </cell>
          <cell r="C202" t="str">
            <v>SALES_FX_USD</v>
          </cell>
          <cell r="M202">
            <v>0.75</v>
          </cell>
          <cell r="N202">
            <v>0.75</v>
          </cell>
          <cell r="O202">
            <v>0.75</v>
          </cell>
          <cell r="P202">
            <v>0.75</v>
          </cell>
        </row>
        <row r="203">
          <cell r="B203" t="str">
            <v>Sales - % FX: Brazilian Real</v>
          </cell>
          <cell r="C203" t="str">
            <v>SALES_FX_BRL</v>
          </cell>
        </row>
        <row r="204">
          <cell r="B204" t="str">
            <v>Sales - % FX: Japanese Yen</v>
          </cell>
          <cell r="C204" t="str">
            <v>SALES_FX_YEN</v>
          </cell>
        </row>
        <row r="205">
          <cell r="B205" t="str">
            <v>Sales - % FX: Chinese Renminbi</v>
          </cell>
          <cell r="C205" t="str">
            <v>SALES_FX_CNY</v>
          </cell>
          <cell r="M205">
            <v>0.25</v>
          </cell>
          <cell r="N205">
            <v>0.25</v>
          </cell>
          <cell r="O205">
            <v>0.25</v>
          </cell>
          <cell r="P205">
            <v>0.25</v>
          </cell>
        </row>
        <row r="206">
          <cell r="B206" t="str">
            <v>Sales - % FX: Indian Rupee</v>
          </cell>
          <cell r="C206" t="str">
            <v>SALES_FX_INR</v>
          </cell>
        </row>
        <row r="207">
          <cell r="B207" t="str">
            <v>Sales - % FX: South Korean Won</v>
          </cell>
          <cell r="C207" t="str">
            <v>SALES_FX_KRW</v>
          </cell>
        </row>
        <row r="208">
          <cell r="B208" t="str">
            <v>Sales - % FX: Taiwan Dollar</v>
          </cell>
          <cell r="C208" t="str">
            <v>SALES_FX_TWD</v>
          </cell>
        </row>
        <row r="209">
          <cell r="B209" t="str">
            <v>Sales - % FX: Other Currency</v>
          </cell>
          <cell r="C209" t="str">
            <v>SALES_FX_OTH</v>
          </cell>
        </row>
        <row r="210">
          <cell r="A210" t="str">
            <v>Items to be removed</v>
          </cell>
        </row>
        <row r="211">
          <cell r="B211" t="str">
            <v>Sales - Total % Americas</v>
          </cell>
          <cell r="C211" t="str">
            <v>SALES_TOT_AM</v>
          </cell>
        </row>
        <row r="212">
          <cell r="B212" t="str">
            <v>Sales - % Other Americas</v>
          </cell>
          <cell r="C212" t="str">
            <v>SALES_OTH_AM</v>
          </cell>
        </row>
        <row r="213">
          <cell r="B213" t="str">
            <v>Sales - Total % EMEA</v>
          </cell>
          <cell r="C213" t="str">
            <v>SALES_TOT_EMEA</v>
          </cell>
        </row>
        <row r="214">
          <cell r="B214" t="str">
            <v>Sales - % Western Europe-Ex UK</v>
          </cell>
          <cell r="C214" t="str">
            <v>SALES_EU_EX_UK</v>
          </cell>
        </row>
        <row r="215">
          <cell r="B215" t="str">
            <v>Sales - % Central &amp; Eastern Europe</v>
          </cell>
          <cell r="C215" t="str">
            <v>SALES_CEE</v>
          </cell>
        </row>
        <row r="216">
          <cell r="B216" t="str">
            <v>Sales - % Middle East</v>
          </cell>
          <cell r="C216" t="str">
            <v>SALES_ME</v>
          </cell>
        </row>
        <row r="217">
          <cell r="B217" t="str">
            <v>Sales - % Total Africa</v>
          </cell>
          <cell r="C217" t="str">
            <v>SALES_TOT_AFRICA</v>
          </cell>
        </row>
        <row r="218">
          <cell r="B218" t="str">
            <v>Sales - % Other EMEA</v>
          </cell>
          <cell r="C218" t="str">
            <v>SALES_OTH_EMEA</v>
          </cell>
        </row>
        <row r="219">
          <cell r="B219" t="str">
            <v>Sales - Total % Asia (incl Australia &amp; New Zealand)</v>
          </cell>
          <cell r="C219" t="str">
            <v>SALES_TOT_ASIA</v>
          </cell>
        </row>
        <row r="220">
          <cell r="B220" t="str">
            <v>Sales - % Other Asia</v>
          </cell>
          <cell r="C220" t="str">
            <v>SALES_OTH_AEJ</v>
          </cell>
        </row>
        <row r="221">
          <cell r="A221" t="str">
            <v>Security: Montage</v>
          </cell>
          <cell r="B221" t="str">
            <v>44X4F</v>
          </cell>
        </row>
        <row r="222">
          <cell r="A222" t="str">
            <v>Reference Data</v>
          </cell>
        </row>
        <row r="223">
          <cell r="B223" t="str">
            <v>Ticker</v>
          </cell>
          <cell r="C223" t="str">
            <v>Ticker</v>
          </cell>
          <cell r="E223" t="str">
            <v>688008.SS</v>
          </cell>
        </row>
        <row r="224">
          <cell r="B224" t="str">
            <v>Security Name</v>
          </cell>
          <cell r="C224" t="str">
            <v>Security Name</v>
          </cell>
          <cell r="E224" t="str">
            <v>Montage</v>
          </cell>
        </row>
        <row r="225">
          <cell r="B225" t="str">
            <v>Interim Type</v>
          </cell>
          <cell r="C225" t="str">
            <v>Interim Type</v>
          </cell>
          <cell r="E225" t="str">
            <v>Q</v>
          </cell>
        </row>
        <row r="226">
          <cell r="B226" t="str">
            <v>Publishing Currency</v>
          </cell>
          <cell r="C226" t="str">
            <v>PUB_CURRENCY_ISO</v>
          </cell>
          <cell r="E226" t="str">
            <v>CNY</v>
          </cell>
        </row>
        <row r="227">
          <cell r="B227" t="str">
            <v>Pricing Currency</v>
          </cell>
          <cell r="C227" t="str">
            <v>PRICE_CURRENCY_ISO</v>
          </cell>
          <cell r="E227" t="str">
            <v>CNY</v>
          </cell>
        </row>
        <row r="228">
          <cell r="B228" t="str">
            <v>Reporting Currency</v>
          </cell>
          <cell r="C228" t="str">
            <v>CURRENCY_ISO</v>
          </cell>
          <cell r="E228" t="str">
            <v>CNY</v>
          </cell>
        </row>
        <row r="229">
          <cell r="A229" t="str">
            <v>General Information</v>
          </cell>
        </row>
        <row r="230">
          <cell r="B230" t="str">
            <v>Asia ex. Japan Investment List</v>
          </cell>
          <cell r="C230" t="str">
            <v>AEJ_LIST</v>
          </cell>
          <cell r="E230" t="str">
            <v>Buy</v>
          </cell>
        </row>
        <row r="231">
          <cell r="B231" t="str">
            <v>Asia ex. Japan Conviction List</v>
          </cell>
          <cell r="C231" t="str">
            <v>AEJ_CONVICTION</v>
          </cell>
        </row>
        <row r="232">
          <cell r="B232" t="str">
            <v>Legal rating</v>
          </cell>
          <cell r="C232" t="str">
            <v>LEGAL_RATING</v>
          </cell>
        </row>
        <row r="233">
          <cell r="B233" t="str">
            <v>Target price</v>
          </cell>
          <cell r="C233" t="str">
            <v>TARGET_PRICE</v>
          </cell>
          <cell r="D233" t="str">
            <v>CNY</v>
          </cell>
          <cell r="E233">
            <v>161</v>
          </cell>
        </row>
        <row r="234">
          <cell r="B234" t="str">
            <v>Target price period</v>
          </cell>
          <cell r="C234" t="str">
            <v>TP_PERIOD</v>
          </cell>
          <cell r="E234" t="str">
            <v>12 months</v>
          </cell>
        </row>
        <row r="235">
          <cell r="B235" t="str">
            <v>Fundamental value</v>
          </cell>
          <cell r="C235" t="str">
            <v>TARGET_PRICE_FUNDAMENTAL</v>
          </cell>
          <cell r="D235" t="str">
            <v>CNY</v>
          </cell>
        </row>
        <row r="236">
          <cell r="B236" t="str">
            <v>M&amp;A value</v>
          </cell>
          <cell r="C236" t="str">
            <v>TARGET_PRICE_MA</v>
          </cell>
          <cell r="D236" t="str">
            <v>CNY</v>
          </cell>
        </row>
        <row r="237">
          <cell r="B237" t="str">
            <v>Current shares outstanding (mn)</v>
          </cell>
          <cell r="C237" t="str">
            <v>NUM_SH</v>
          </cell>
          <cell r="E237">
            <v>1129.813889</v>
          </cell>
        </row>
        <row r="238">
          <cell r="B238" t="str">
            <v>Free float</v>
          </cell>
          <cell r="C238" t="str">
            <v>FREE_FLOAT</v>
          </cell>
        </row>
        <row r="239">
          <cell r="B239" t="str">
            <v>Foreign ownership</v>
          </cell>
          <cell r="C239" t="str">
            <v>FOREIGN_HOLDNG</v>
          </cell>
        </row>
        <row r="240">
          <cell r="B240" t="str">
            <v>Catalyst 1 date</v>
          </cell>
          <cell r="C240" t="str">
            <v>CATALYST1_DATE</v>
          </cell>
        </row>
        <row r="241">
          <cell r="B241" t="str">
            <v>Catalyst 1 description</v>
          </cell>
          <cell r="C241" t="str">
            <v>CATALYST1_EVENT</v>
          </cell>
        </row>
        <row r="242">
          <cell r="B242" t="str">
            <v>Catalyst 2 date</v>
          </cell>
          <cell r="C242" t="str">
            <v>CATALYST2_DATE</v>
          </cell>
        </row>
        <row r="243">
          <cell r="B243" t="str">
            <v>Catalyst 2 description</v>
          </cell>
          <cell r="C243" t="str">
            <v>CATALYST2_EVENT</v>
          </cell>
        </row>
        <row r="244">
          <cell r="B244" t="str">
            <v>Catalyst 3 date</v>
          </cell>
          <cell r="C244" t="str">
            <v>CATALYST3_DATE</v>
          </cell>
        </row>
        <row r="245">
          <cell r="B245" t="str">
            <v>Catalyst 3 description</v>
          </cell>
          <cell r="C245" t="str">
            <v>CATALYST3_EVENT</v>
          </cell>
        </row>
        <row r="246">
          <cell r="B246" t="str">
            <v>Catalyst 4 date</v>
          </cell>
          <cell r="C246" t="str">
            <v>CATALYST4_DATE</v>
          </cell>
        </row>
        <row r="247">
          <cell r="B247" t="str">
            <v>Catalyst 4 description</v>
          </cell>
          <cell r="C247" t="str">
            <v>CATALYST4_EVENT</v>
          </cell>
        </row>
        <row r="248">
          <cell r="B248" t="str">
            <v>Catalyst 5 date</v>
          </cell>
          <cell r="C248" t="str">
            <v>CATALYST5_DATE</v>
          </cell>
        </row>
        <row r="249">
          <cell r="B249" t="str">
            <v>Catalyst 5 description</v>
          </cell>
          <cell r="C249" t="str">
            <v>CATALYST5_EVENT</v>
          </cell>
        </row>
        <row r="250">
          <cell r="B250" t="str">
            <v>Target price multiple</v>
          </cell>
          <cell r="C250" t="str">
            <v>PRI_TARG_MULT</v>
          </cell>
          <cell r="E250">
            <v>29</v>
          </cell>
        </row>
        <row r="251">
          <cell r="B251" t="str">
            <v>Target price methodology</v>
          </cell>
          <cell r="C251" t="str">
            <v>PRI_TARG_METH</v>
          </cell>
          <cell r="E251" t="str">
            <v>2030 PE</v>
          </cell>
        </row>
        <row r="252">
          <cell r="A252" t="str">
            <v>Publishing Items</v>
          </cell>
        </row>
        <row r="253">
          <cell r="B253" t="str">
            <v>Book value per share, BVPS (Pub)</v>
          </cell>
          <cell r="C253" t="str">
            <v>BVPS_PUB</v>
          </cell>
          <cell r="D253" t="str">
            <v>CNY</v>
          </cell>
          <cell r="M253">
            <v>1.1664291157660001</v>
          </cell>
          <cell r="N253">
            <v>1.5679759980879999</v>
          </cell>
          <cell r="O253">
            <v>3.5558951596549999</v>
          </cell>
          <cell r="P253">
            <v>6.4875502257789996</v>
          </cell>
          <cell r="Q253">
            <v>7.0929270273430003</v>
          </cell>
          <cell r="R253">
            <v>7.8261513965390002</v>
          </cell>
          <cell r="S253">
            <v>9.0859099313110008</v>
          </cell>
          <cell r="T253">
            <v>11.064582286673</v>
          </cell>
          <cell r="U253">
            <v>13.969020746015</v>
          </cell>
          <cell r="V253">
            <v>18.106251991933998</v>
          </cell>
        </row>
        <row r="254">
          <cell r="B254" t="str">
            <v>DPS, dividend per share (Pub)</v>
          </cell>
          <cell r="C254" t="str">
            <v>DPS_PUB</v>
          </cell>
          <cell r="D254" t="str">
            <v>CNY</v>
          </cell>
          <cell r="M254">
            <v>0</v>
          </cell>
          <cell r="N254">
            <v>0</v>
          </cell>
          <cell r="O254">
            <v>5.6</v>
          </cell>
          <cell r="P254">
            <v>3</v>
          </cell>
          <cell r="Q254">
            <v>0.34548580737399998</v>
          </cell>
          <cell r="R254">
            <v>0.41844783698999999</v>
          </cell>
          <cell r="S254">
            <v>0.71893850798000003</v>
          </cell>
          <cell r="T254">
            <v>1.1292193794930001</v>
          </cell>
          <cell r="U254">
            <v>1.657549915198</v>
          </cell>
          <cell r="V254">
            <v>2.3610991924340001</v>
          </cell>
        </row>
        <row r="255">
          <cell r="B255" t="str">
            <v>Special dividend per share</v>
          </cell>
          <cell r="C255" t="str">
            <v>DPS_SPECIAL_PUB</v>
          </cell>
          <cell r="D255" t="str">
            <v>CNY</v>
          </cell>
        </row>
        <row r="256">
          <cell r="B256" t="str">
            <v>EBITDA (Pub)</v>
          </cell>
          <cell r="C256" t="str">
            <v>EBITDA_PUB</v>
          </cell>
          <cell r="D256" t="str">
            <v>CNY</v>
          </cell>
          <cell r="M256">
            <v>142.49142899</v>
          </cell>
          <cell r="N256">
            <v>361.87526436000002</v>
          </cell>
          <cell r="O256">
            <v>742.56901559000005</v>
          </cell>
          <cell r="P256">
            <v>878.74312688999998</v>
          </cell>
          <cell r="Q256">
            <v>834.13159264874696</v>
          </cell>
          <cell r="R256">
            <v>1196.7634571788201</v>
          </cell>
          <cell r="S256">
            <v>2174.2290682656899</v>
          </cell>
          <cell r="T256">
            <v>3510.3408385779999</v>
          </cell>
          <cell r="U256">
            <v>5223.6078407318</v>
          </cell>
          <cell r="V256">
            <v>7499.1928945317504</v>
          </cell>
          <cell r="AP256">
            <v>251.41400425500001</v>
          </cell>
          <cell r="AQ256">
            <v>170.787195435</v>
          </cell>
          <cell r="AR256">
            <v>251.562189555</v>
          </cell>
          <cell r="AS256">
            <v>158.036403355</v>
          </cell>
          <cell r="AT256">
            <v>307.81007428499998</v>
          </cell>
          <cell r="AU256">
            <v>161.33445969499999</v>
          </cell>
          <cell r="AV256">
            <v>203.119122249203</v>
          </cell>
          <cell r="AW256">
            <v>315.70731732920302</v>
          </cell>
          <cell r="AX256">
            <v>152.60743905920299</v>
          </cell>
          <cell r="AY256">
            <v>162.697714011138</v>
          </cell>
          <cell r="AZ256">
            <v>181.89913846804299</v>
          </cell>
          <cell r="BA256">
            <v>334.76790943874698</v>
          </cell>
          <cell r="BB256">
            <v>359.22919022558398</v>
          </cell>
          <cell r="BC256">
            <v>320.867219046451</v>
          </cell>
          <cell r="BD256">
            <v>225.408793143178</v>
          </cell>
          <cell r="BE256">
            <v>503.096684087325</v>
          </cell>
          <cell r="BF256">
            <v>684.89371074456403</v>
          </cell>
          <cell r="BG256">
            <v>760.82988029062005</v>
          </cell>
        </row>
        <row r="257">
          <cell r="B257" t="str">
            <v>EPS (Pub)</v>
          </cell>
          <cell r="C257" t="str">
            <v>EPS_PUB</v>
          </cell>
          <cell r="D257" t="str">
            <v>CNY</v>
          </cell>
          <cell r="M257">
            <v>0.12</v>
          </cell>
          <cell r="N257">
            <v>0.46</v>
          </cell>
          <cell r="O257">
            <v>0.87</v>
          </cell>
          <cell r="P257">
            <v>0.88</v>
          </cell>
          <cell r="Q257">
            <v>0.95086260893800001</v>
          </cell>
          <cell r="R257">
            <v>1.1516722061869999</v>
          </cell>
          <cell r="S257">
            <v>1.978697042751</v>
          </cell>
          <cell r="T257">
            <v>3.1078917348549999</v>
          </cell>
          <cell r="U257">
            <v>4.5619883745400003</v>
          </cell>
          <cell r="V257">
            <v>6.4983304383530003</v>
          </cell>
          <cell r="AP257">
            <v>0.29125756614199999</v>
          </cell>
          <cell r="AQ257">
            <v>0.204913065448</v>
          </cell>
          <cell r="AR257">
            <v>0.21294933808399999</v>
          </cell>
          <cell r="AS257">
            <v>0.21233271974000001</v>
          </cell>
          <cell r="AT257">
            <v>0.27609846906300001</v>
          </cell>
          <cell r="AU257">
            <v>0.178619473114</v>
          </cell>
          <cell r="AV257">
            <v>0.23277136195699999</v>
          </cell>
          <cell r="AW257">
            <v>0.29963904016100001</v>
          </cell>
          <cell r="AX257">
            <v>0.24450376092000001</v>
          </cell>
          <cell r="AY257">
            <v>0.173948445901</v>
          </cell>
          <cell r="AZ257">
            <v>0.189293720035</v>
          </cell>
          <cell r="BA257">
            <v>0.31783288372899998</v>
          </cell>
          <cell r="BB257">
            <v>0.33840106488999999</v>
          </cell>
          <cell r="BC257">
            <v>0.30614453753199999</v>
          </cell>
          <cell r="BD257">
            <v>0.227160245176</v>
          </cell>
          <cell r="BE257">
            <v>0.46065312304400002</v>
          </cell>
          <cell r="BF257">
            <v>0.61351650789500001</v>
          </cell>
          <cell r="BG257">
            <v>0.67736716663700003</v>
          </cell>
        </row>
        <row r="258">
          <cell r="B258" t="str">
            <v>EV adjustment (Pub)</v>
          </cell>
          <cell r="C258" t="str">
            <v>EV_ADJ_PUB</v>
          </cell>
          <cell r="D258" t="str">
            <v>CNY</v>
          </cell>
        </row>
        <row r="259">
          <cell r="B259" t="str">
            <v>Net debt (Pub)</v>
          </cell>
          <cell r="C259" t="str">
            <v>NET_DEBT_PUB</v>
          </cell>
          <cell r="D259" t="str">
            <v>CNY</v>
          </cell>
          <cell r="M259">
            <v>-727.46094485000003</v>
          </cell>
          <cell r="N259">
            <v>-917.78587001999995</v>
          </cell>
          <cell r="O259">
            <v>-3679.9912865199999</v>
          </cell>
          <cell r="P259">
            <v>-7257.0637287700001</v>
          </cell>
          <cell r="Q259">
            <v>-7814.8801408988602</v>
          </cell>
          <cell r="R259">
            <v>-8601.2324105704593</v>
          </cell>
          <cell r="S259">
            <v>-9648.7027892296701</v>
          </cell>
          <cell r="T259">
            <v>-11641.409524047</v>
          </cell>
          <cell r="U259">
            <v>-14365.3753750784</v>
          </cell>
          <cell r="V259">
            <v>-18519.881923836099</v>
          </cell>
        </row>
        <row r="260">
          <cell r="B260" t="str">
            <v>Net Debt (ex leases) (Pub)</v>
          </cell>
          <cell r="C260" t="str">
            <v>NET_DEBT_EX_LEASES_PUB</v>
          </cell>
          <cell r="D260" t="str">
            <v>CNY</v>
          </cell>
          <cell r="M260">
            <v>-727.46094485000003</v>
          </cell>
          <cell r="N260">
            <v>-917.78587001999995</v>
          </cell>
          <cell r="O260">
            <v>-3679.9912865199999</v>
          </cell>
          <cell r="P260">
            <v>-7257.0637287700001</v>
          </cell>
          <cell r="Q260">
            <v>-7814.8801408988602</v>
          </cell>
          <cell r="R260">
            <v>-8601.2324105704593</v>
          </cell>
          <cell r="S260">
            <v>-9648.7027892296701</v>
          </cell>
          <cell r="T260">
            <v>-11641.409524047</v>
          </cell>
          <cell r="U260">
            <v>-14365.3753750784</v>
          </cell>
          <cell r="V260">
            <v>-18519.881923836099</v>
          </cell>
        </row>
        <row r="261">
          <cell r="B261" t="str">
            <v>Consensus equivalent net debt</v>
          </cell>
          <cell r="C261" t="str">
            <v>CEEE_NDEBT</v>
          </cell>
          <cell r="D261" t="str">
            <v>CNY</v>
          </cell>
        </row>
        <row r="262">
          <cell r="B262" t="str">
            <v>Net income (Pub)</v>
          </cell>
          <cell r="C262" t="str">
            <v>NI_PUB</v>
          </cell>
          <cell r="D262" t="str">
            <v>CNY</v>
          </cell>
          <cell r="M262">
            <v>92.804284980000006</v>
          </cell>
          <cell r="N262">
            <v>346.91596157999999</v>
          </cell>
          <cell r="O262">
            <v>736.87843821000001</v>
          </cell>
          <cell r="P262">
            <v>932.85839172999999</v>
          </cell>
          <cell r="Q262">
            <v>1074.2977821091499</v>
          </cell>
          <cell r="R262">
            <v>1301.1752541251799</v>
          </cell>
          <cell r="S262">
            <v>2235.5594010238601</v>
          </cell>
          <cell r="T262">
            <v>3511.33924754792</v>
          </cell>
          <cell r="U262">
            <v>5154.1978270119698</v>
          </cell>
          <cell r="V262">
            <v>7341.9039845625502</v>
          </cell>
          <cell r="AP262">
            <v>246.69128788</v>
          </cell>
          <cell r="AQ262">
            <v>173.55864326</v>
          </cell>
          <cell r="AR262">
            <v>225.74042846</v>
          </cell>
          <cell r="AS262">
            <v>225.08677209999999</v>
          </cell>
          <cell r="AT262">
            <v>292.68269751000003</v>
          </cell>
          <cell r="AU262">
            <v>189.34849366</v>
          </cell>
          <cell r="AV262">
            <v>262.98831769999998</v>
          </cell>
          <cell r="AW262">
            <v>338.53634926000001</v>
          </cell>
          <cell r="AX262">
            <v>276.24374499999999</v>
          </cell>
          <cell r="AY262">
            <v>196.52937014915301</v>
          </cell>
          <cell r="AZ262">
            <v>213.86667399596601</v>
          </cell>
          <cell r="BA262">
            <v>359.09200641813499</v>
          </cell>
          <cell r="BB262">
            <v>382.33022316563</v>
          </cell>
          <cell r="BC262">
            <v>345.88635054545301</v>
          </cell>
          <cell r="BD262">
            <v>256.64880002888299</v>
          </cell>
          <cell r="BE262">
            <v>520.45229642582206</v>
          </cell>
          <cell r="BF262">
            <v>693.15947175019903</v>
          </cell>
          <cell r="BG262">
            <v>765.29883281895195</v>
          </cell>
        </row>
        <row r="263">
          <cell r="B263" t="str">
            <v>EBIT, operating profit (Pub)</v>
          </cell>
          <cell r="C263" t="str">
            <v>EBIT_PUB</v>
          </cell>
          <cell r="D263" t="str">
            <v>CNY</v>
          </cell>
          <cell r="M263">
            <v>129.63253857999999</v>
          </cell>
          <cell r="N263">
            <v>344.49730599999998</v>
          </cell>
          <cell r="O263">
            <v>722.41230272999996</v>
          </cell>
          <cell r="P263">
            <v>848.52204723</v>
          </cell>
          <cell r="Q263">
            <v>808.18809389193495</v>
          </cell>
          <cell r="R263">
            <v>1177.1093608280501</v>
          </cell>
          <cell r="S263">
            <v>2154.5280980246698</v>
          </cell>
          <cell r="T263">
            <v>3488.6135484739302</v>
          </cell>
          <cell r="U263">
            <v>5199.5636016142298</v>
          </cell>
          <cell r="V263">
            <v>7472.6472149992696</v>
          </cell>
          <cell r="AP263">
            <v>246.37482603999999</v>
          </cell>
          <cell r="AQ263">
            <v>165.74801722000001</v>
          </cell>
          <cell r="AR263">
            <v>244.00691964000001</v>
          </cell>
          <cell r="AS263">
            <v>150.48113344000001</v>
          </cell>
          <cell r="AT263">
            <v>300.25480436999999</v>
          </cell>
          <cell r="AU263">
            <v>153.77918978</v>
          </cell>
          <cell r="AV263">
            <v>196.63324756</v>
          </cell>
          <cell r="AW263">
            <v>309.22144264000002</v>
          </cell>
          <cell r="AX263">
            <v>146.12156436999999</v>
          </cell>
          <cell r="AY263">
            <v>156.211839321935</v>
          </cell>
          <cell r="AZ263">
            <v>176.98561438034901</v>
          </cell>
          <cell r="BA263">
            <v>329.85438535105197</v>
          </cell>
          <cell r="BB263">
            <v>354.31566613788999</v>
          </cell>
          <cell r="BC263">
            <v>315.95369495875599</v>
          </cell>
          <cell r="BD263">
            <v>220.48355058292401</v>
          </cell>
          <cell r="BE263">
            <v>498.17144152707101</v>
          </cell>
          <cell r="BF263">
            <v>679.96846818431004</v>
          </cell>
          <cell r="BG263">
            <v>755.90463773036595</v>
          </cell>
        </row>
        <row r="264">
          <cell r="B264" t="str">
            <v>Pre-tax profit (Pub)</v>
          </cell>
          <cell r="C264" t="str">
            <v>PTP_PUB</v>
          </cell>
          <cell r="D264" t="str">
            <v>CNY</v>
          </cell>
          <cell r="M264">
            <v>99.092503780000001</v>
          </cell>
          <cell r="N264">
            <v>362.37004861000003</v>
          </cell>
          <cell r="O264">
            <v>786.23220302000004</v>
          </cell>
          <cell r="P264">
            <v>978.74700805999998</v>
          </cell>
          <cell r="Q264">
            <v>1144.3493767596401</v>
          </cell>
          <cell r="R264">
            <v>1369.65816223704</v>
          </cell>
          <cell r="S264">
            <v>2353.22042213037</v>
          </cell>
          <cell r="T264">
            <v>3696.14657636623</v>
          </cell>
          <cell r="U264">
            <v>5425.4713968547003</v>
          </cell>
          <cell r="V264">
            <v>7728.3199837500497</v>
          </cell>
          <cell r="AP264">
            <v>264.10643070999998</v>
          </cell>
          <cell r="AQ264">
            <v>194.90194769999999</v>
          </cell>
          <cell r="AR264">
            <v>234.5443148</v>
          </cell>
          <cell r="AS264">
            <v>223.70266454</v>
          </cell>
          <cell r="AT264">
            <v>306.71333342000003</v>
          </cell>
          <cell r="AU264">
            <v>213.78669529999999</v>
          </cell>
          <cell r="AV264">
            <v>276.60526693000003</v>
          </cell>
          <cell r="AW264">
            <v>348.97056750000002</v>
          </cell>
          <cell r="AX264">
            <v>311.90052112000001</v>
          </cell>
          <cell r="AY264">
            <v>206.873021209635</v>
          </cell>
          <cell r="AZ264">
            <v>225.122814732596</v>
          </cell>
          <cell r="BA264">
            <v>377.99158570330002</v>
          </cell>
          <cell r="BB264">
            <v>402.45286649013701</v>
          </cell>
          <cell r="BC264">
            <v>364.09089531100301</v>
          </cell>
          <cell r="BD264">
            <v>270.15663160934997</v>
          </cell>
          <cell r="BE264">
            <v>547.84452255349697</v>
          </cell>
          <cell r="BF264">
            <v>729.641549210736</v>
          </cell>
          <cell r="BG264">
            <v>805.57771875679202</v>
          </cell>
        </row>
        <row r="265">
          <cell r="B265" t="str">
            <v>Sales, revenue (Pub)</v>
          </cell>
          <cell r="C265" t="str">
            <v>REVS_PUB</v>
          </cell>
          <cell r="D265" t="str">
            <v>CNY</v>
          </cell>
          <cell r="M265">
            <v>844.94463526000004</v>
          </cell>
          <cell r="N265">
            <v>1227.5149326999999</v>
          </cell>
          <cell r="O265">
            <v>1757.66458313</v>
          </cell>
          <cell r="P265">
            <v>1737.73471498</v>
          </cell>
          <cell r="Q265">
            <v>1886.0565438543399</v>
          </cell>
          <cell r="R265">
            <v>2531.6595899338399</v>
          </cell>
          <cell r="S265">
            <v>4039.5983578669902</v>
          </cell>
          <cell r="T265">
            <v>6223.7387790764697</v>
          </cell>
          <cell r="U265">
            <v>9033.33617612126</v>
          </cell>
          <cell r="V265">
            <v>12865.2309734137</v>
          </cell>
          <cell r="AP265">
            <v>542.06418836</v>
          </cell>
          <cell r="AQ265">
            <v>506.46952348999997</v>
          </cell>
          <cell r="AR265">
            <v>404.71709714000002</v>
          </cell>
          <cell r="AS265">
            <v>474.46152362999999</v>
          </cell>
          <cell r="AT265">
            <v>505.16771749999998</v>
          </cell>
          <cell r="AU265">
            <v>353.38837670999999</v>
          </cell>
          <cell r="AV265">
            <v>495.75247610999998</v>
          </cell>
          <cell r="AW265">
            <v>593.82419230999994</v>
          </cell>
          <cell r="AX265">
            <v>378.87464612999997</v>
          </cell>
          <cell r="AY265">
            <v>417.605229304337</v>
          </cell>
          <cell r="AZ265">
            <v>505.494844999073</v>
          </cell>
          <cell r="BA265">
            <v>670.43844502000798</v>
          </cell>
          <cell r="BB265">
            <v>686.18329349241105</v>
          </cell>
          <cell r="BC265">
            <v>669.54300642234898</v>
          </cell>
          <cell r="BD265">
            <v>629.63018957205099</v>
          </cell>
          <cell r="BE265">
            <v>940.73631576779906</v>
          </cell>
          <cell r="BF265">
            <v>1165.01559317446</v>
          </cell>
          <cell r="BG265">
            <v>1304.21625935268</v>
          </cell>
        </row>
        <row r="266">
          <cell r="B266" t="str">
            <v>Total shareholders' equity (Pub)</v>
          </cell>
          <cell r="C266" t="str">
            <v>EQ_PUB</v>
          </cell>
          <cell r="D266" t="str">
            <v>CNY</v>
          </cell>
          <cell r="M266">
            <v>883.02390391999995</v>
          </cell>
          <cell r="N266">
            <v>1187.00765299</v>
          </cell>
          <cell r="O266">
            <v>3615.7497649299999</v>
          </cell>
          <cell r="P266">
            <v>7329.7243506699997</v>
          </cell>
          <cell r="Q266">
            <v>8013.6874691552703</v>
          </cell>
          <cell r="R266">
            <v>8842.0945452269407</v>
          </cell>
          <cell r="S266">
            <v>10265.3872345979</v>
          </cell>
          <cell r="T266">
            <v>12500.9187434664</v>
          </cell>
          <cell r="U266">
            <v>15782.393654577099</v>
          </cell>
          <cell r="V266">
            <v>20456.694978221301</v>
          </cell>
        </row>
        <row r="267">
          <cell r="B267" t="str">
            <v>EPS (consensus)</v>
          </cell>
          <cell r="C267" t="str">
            <v>EPS_CONS_PUB</v>
          </cell>
          <cell r="D267" t="str">
            <v>CNY</v>
          </cell>
        </row>
        <row r="268">
          <cell r="A268" t="str">
            <v>Income Statement</v>
          </cell>
        </row>
        <row r="269">
          <cell r="B269" t="str">
            <v>Provision for income tax</v>
          </cell>
          <cell r="C269" t="str">
            <v>PROV_INC_TAX</v>
          </cell>
          <cell r="D269" t="str">
            <v>CNY</v>
          </cell>
          <cell r="M269">
            <v>-6.2882188000000001</v>
          </cell>
          <cell r="N269">
            <v>-15.45408703</v>
          </cell>
          <cell r="O269">
            <v>-49.353764810000001</v>
          </cell>
          <cell r="P269">
            <v>-45.888616329999998</v>
          </cell>
          <cell r="Q269">
            <v>-70.051594650482002</v>
          </cell>
          <cell r="R269">
            <v>-68.482908111851998</v>
          </cell>
          <cell r="S269">
            <v>-117.661021106519</v>
          </cell>
          <cell r="T269">
            <v>-184.80732881831099</v>
          </cell>
          <cell r="U269">
            <v>-271.27356984273501</v>
          </cell>
          <cell r="V269">
            <v>-386.41599918750302</v>
          </cell>
          <cell r="AP269">
            <v>-17.415142830000001</v>
          </cell>
          <cell r="AQ269">
            <v>-21.343304440000001</v>
          </cell>
          <cell r="AR269">
            <v>-8.80388634</v>
          </cell>
          <cell r="AS269">
            <v>1.3841075599999999</v>
          </cell>
          <cell r="AT269">
            <v>-14.030635910000001</v>
          </cell>
          <cell r="AU269">
            <v>-24.438201639999999</v>
          </cell>
          <cell r="AV269">
            <v>-13.616949229999999</v>
          </cell>
          <cell r="AW269">
            <v>-10.43421824</v>
          </cell>
          <cell r="AX269">
            <v>-35.656776120000004</v>
          </cell>
          <cell r="AY269">
            <v>-10.343651060481999</v>
          </cell>
          <cell r="AZ269">
            <v>-11.25614073663</v>
          </cell>
          <cell r="BA269">
            <v>-18.899579285165</v>
          </cell>
          <cell r="BB269">
            <v>-20.122643324506999</v>
          </cell>
          <cell r="BC269">
            <v>-18.204544765550001</v>
          </cell>
          <cell r="BD269">
            <v>-13.507831580467</v>
          </cell>
          <cell r="BE269">
            <v>-27.392226127674999</v>
          </cell>
          <cell r="BF269">
            <v>-36.482077460536999</v>
          </cell>
          <cell r="BG269">
            <v>-40.278885937840002</v>
          </cell>
        </row>
        <row r="270">
          <cell r="B270" t="str">
            <v>Minority interest</v>
          </cell>
          <cell r="C270" t="str">
            <v>INC_MINORITY</v>
          </cell>
          <cell r="D270" t="str">
            <v>CNY</v>
          </cell>
        </row>
        <row r="271">
          <cell r="B271" t="str">
            <v>Net income (pre-preferred dividends)</v>
          </cell>
          <cell r="C271" t="str">
            <v>NI_PRE_PREF</v>
          </cell>
          <cell r="D271" t="str">
            <v>CNY</v>
          </cell>
          <cell r="M271">
            <v>92.804284980000006</v>
          </cell>
          <cell r="N271">
            <v>346.91596157999999</v>
          </cell>
          <cell r="O271">
            <v>736.87843821000001</v>
          </cell>
          <cell r="P271">
            <v>932.85839172999999</v>
          </cell>
          <cell r="Q271">
            <v>1074.2977821091499</v>
          </cell>
          <cell r="R271">
            <v>1301.1752541251799</v>
          </cell>
          <cell r="S271">
            <v>2235.5594010238601</v>
          </cell>
          <cell r="T271">
            <v>3511.33924754792</v>
          </cell>
          <cell r="U271">
            <v>5154.1978270119698</v>
          </cell>
          <cell r="V271">
            <v>7341.9039845625502</v>
          </cell>
          <cell r="AP271">
            <v>246.69128788</v>
          </cell>
          <cell r="AQ271">
            <v>173.55864326</v>
          </cell>
          <cell r="AR271">
            <v>225.74042846</v>
          </cell>
          <cell r="AS271">
            <v>225.08677209999999</v>
          </cell>
          <cell r="AT271">
            <v>292.68269751000003</v>
          </cell>
          <cell r="AU271">
            <v>189.34849366</v>
          </cell>
          <cell r="AV271">
            <v>262.98831769999998</v>
          </cell>
          <cell r="AW271">
            <v>338.53634926000001</v>
          </cell>
          <cell r="AX271">
            <v>276.24374499999999</v>
          </cell>
          <cell r="AY271">
            <v>196.52937014915301</v>
          </cell>
          <cell r="AZ271">
            <v>213.86667399596601</v>
          </cell>
          <cell r="BA271">
            <v>359.09200641813499</v>
          </cell>
          <cell r="BB271">
            <v>382.33022316563</v>
          </cell>
          <cell r="BC271">
            <v>345.88635054545301</v>
          </cell>
          <cell r="BD271">
            <v>256.64880002888299</v>
          </cell>
          <cell r="BE271">
            <v>520.45229642582206</v>
          </cell>
          <cell r="BF271">
            <v>693.15947175019903</v>
          </cell>
          <cell r="BG271">
            <v>765.29883281895195</v>
          </cell>
        </row>
        <row r="272">
          <cell r="B272" t="str">
            <v>Preferred dividends</v>
          </cell>
          <cell r="C272" t="str">
            <v>PREF_DIV</v>
          </cell>
          <cell r="D272" t="str">
            <v>CNY</v>
          </cell>
        </row>
        <row r="273">
          <cell r="B273" t="str">
            <v>Net income (pre-exceptionals)</v>
          </cell>
          <cell r="C273" t="str">
            <v>NET_EARNING</v>
          </cell>
          <cell r="D273" t="str">
            <v>CNY</v>
          </cell>
          <cell r="M273">
            <v>92.804284980000006</v>
          </cell>
          <cell r="N273">
            <v>346.91596157999999</v>
          </cell>
          <cell r="O273">
            <v>736.87843821000001</v>
          </cell>
          <cell r="P273">
            <v>932.85839172999999</v>
          </cell>
          <cell r="Q273">
            <v>1074.2977821091499</v>
          </cell>
          <cell r="R273">
            <v>1301.1752541251799</v>
          </cell>
          <cell r="S273">
            <v>2235.5594010238601</v>
          </cell>
          <cell r="T273">
            <v>3511.33924754792</v>
          </cell>
          <cell r="U273">
            <v>5154.1978270119698</v>
          </cell>
          <cell r="V273">
            <v>7341.9039845625502</v>
          </cell>
          <cell r="AP273">
            <v>246.69128788</v>
          </cell>
          <cell r="AQ273">
            <v>173.55864326</v>
          </cell>
          <cell r="AR273">
            <v>225.74042846</v>
          </cell>
          <cell r="AS273">
            <v>225.08677209999999</v>
          </cell>
          <cell r="AT273">
            <v>292.68269751000003</v>
          </cell>
          <cell r="AU273">
            <v>189.34849366</v>
          </cell>
          <cell r="AV273">
            <v>262.98831769999998</v>
          </cell>
          <cell r="AW273">
            <v>338.53634926000001</v>
          </cell>
          <cell r="AX273">
            <v>276.24374499999999</v>
          </cell>
          <cell r="AY273">
            <v>196.52937014915301</v>
          </cell>
          <cell r="AZ273">
            <v>213.86667399596601</v>
          </cell>
          <cell r="BA273">
            <v>359.09200641813499</v>
          </cell>
          <cell r="BB273">
            <v>382.33022316563</v>
          </cell>
          <cell r="BC273">
            <v>345.88635054545301</v>
          </cell>
          <cell r="BD273">
            <v>256.64880002888299</v>
          </cell>
          <cell r="BE273">
            <v>520.45229642582206</v>
          </cell>
          <cell r="BF273">
            <v>693.15947175019903</v>
          </cell>
          <cell r="BG273">
            <v>765.29883281895195</v>
          </cell>
        </row>
        <row r="274">
          <cell r="B274" t="str">
            <v>Post-tax exceptionals</v>
          </cell>
          <cell r="C274" t="str">
            <v>TAX_EXC</v>
          </cell>
          <cell r="D274" t="str">
            <v>CNY</v>
          </cell>
        </row>
        <row r="275">
          <cell r="B275" t="str">
            <v>Net income (post-exceptionals)</v>
          </cell>
          <cell r="C275" t="str">
            <v>NET_INC</v>
          </cell>
          <cell r="D275" t="str">
            <v>CNY</v>
          </cell>
          <cell r="M275">
            <v>92.804284980000006</v>
          </cell>
          <cell r="N275">
            <v>346.91596157999999</v>
          </cell>
          <cell r="O275">
            <v>736.87843821000001</v>
          </cell>
          <cell r="P275">
            <v>932.85839172999999</v>
          </cell>
          <cell r="Q275">
            <v>1074.2977821091499</v>
          </cell>
          <cell r="R275">
            <v>1301.1752541251799</v>
          </cell>
          <cell r="S275">
            <v>2235.5594010238601</v>
          </cell>
          <cell r="T275">
            <v>3511.33924754792</v>
          </cell>
          <cell r="U275">
            <v>5154.1978270119698</v>
          </cell>
          <cell r="V275">
            <v>7341.9039845625502</v>
          </cell>
          <cell r="AP275">
            <v>246.69128788</v>
          </cell>
          <cell r="AQ275">
            <v>173.55864326</v>
          </cell>
          <cell r="AR275">
            <v>225.74042846</v>
          </cell>
          <cell r="AS275">
            <v>225.08677209999999</v>
          </cell>
          <cell r="AT275">
            <v>292.68269751000003</v>
          </cell>
          <cell r="AU275">
            <v>189.34849366</v>
          </cell>
          <cell r="AV275">
            <v>262.98831769999998</v>
          </cell>
          <cell r="AW275">
            <v>338.53634926000001</v>
          </cell>
          <cell r="AX275">
            <v>276.24374499999999</v>
          </cell>
          <cell r="AY275">
            <v>196.52937014915301</v>
          </cell>
          <cell r="AZ275">
            <v>213.86667399596601</v>
          </cell>
          <cell r="BA275">
            <v>359.09200641813499</v>
          </cell>
          <cell r="BB275">
            <v>382.33022316563</v>
          </cell>
          <cell r="BC275">
            <v>345.88635054545301</v>
          </cell>
          <cell r="BD275">
            <v>256.64880002888299</v>
          </cell>
          <cell r="BE275">
            <v>520.45229642582206</v>
          </cell>
          <cell r="BF275">
            <v>693.15947175019903</v>
          </cell>
          <cell r="BG275">
            <v>765.29883281895195</v>
          </cell>
        </row>
        <row r="276">
          <cell r="B276" t="str">
            <v>EPS (pre-exceptionals, basic)</v>
          </cell>
          <cell r="C276" t="str">
            <v>EPS</v>
          </cell>
          <cell r="D276" t="str">
            <v>CNY</v>
          </cell>
          <cell r="M276">
            <v>0.12</v>
          </cell>
          <cell r="N276">
            <v>0.46</v>
          </cell>
          <cell r="O276">
            <v>0.87</v>
          </cell>
          <cell r="P276">
            <v>0.88</v>
          </cell>
          <cell r="Q276">
            <v>0.95086260893800001</v>
          </cell>
          <cell r="R276">
            <v>1.1516722061869999</v>
          </cell>
          <cell r="S276">
            <v>1.978697042751</v>
          </cell>
          <cell r="T276">
            <v>3.1078917348549999</v>
          </cell>
          <cell r="U276">
            <v>4.5619883745400003</v>
          </cell>
          <cell r="V276">
            <v>6.4983304383530003</v>
          </cell>
          <cell r="AP276">
            <v>0.29125756614199999</v>
          </cell>
          <cell r="AQ276">
            <v>0.204913065448</v>
          </cell>
          <cell r="AR276">
            <v>0.21294933808399999</v>
          </cell>
          <cell r="AS276">
            <v>0.21233271974000001</v>
          </cell>
          <cell r="AT276">
            <v>0.27609846906300001</v>
          </cell>
          <cell r="AU276">
            <v>0.178619473114</v>
          </cell>
          <cell r="AV276">
            <v>0.23277136195699999</v>
          </cell>
          <cell r="AW276">
            <v>0.29963904016100001</v>
          </cell>
          <cell r="AX276">
            <v>0.24450376092000001</v>
          </cell>
          <cell r="AY276">
            <v>0.173948445901</v>
          </cell>
          <cell r="AZ276">
            <v>0.189293720035</v>
          </cell>
          <cell r="BA276">
            <v>0.31783288372899998</v>
          </cell>
          <cell r="BB276">
            <v>0.33840106488999999</v>
          </cell>
          <cell r="BC276">
            <v>0.30614453753199999</v>
          </cell>
          <cell r="BD276">
            <v>0.227160245176</v>
          </cell>
          <cell r="BE276">
            <v>0.46065312304400002</v>
          </cell>
          <cell r="BF276">
            <v>0.61351650789500001</v>
          </cell>
          <cell r="BG276">
            <v>0.67736716663700003</v>
          </cell>
        </row>
        <row r="277">
          <cell r="B277" t="str">
            <v>EPS (pre-exceptionals, diluted)</v>
          </cell>
          <cell r="C277" t="str">
            <v>EPS_FUL_DIL</v>
          </cell>
          <cell r="D277" t="str">
            <v>CNY</v>
          </cell>
          <cell r="M277">
            <v>0.12</v>
          </cell>
          <cell r="N277">
            <v>0.46</v>
          </cell>
          <cell r="O277">
            <v>0.87</v>
          </cell>
          <cell r="P277">
            <v>0.88</v>
          </cell>
          <cell r="Q277">
            <v>0.95086260893800001</v>
          </cell>
          <cell r="R277">
            <v>1.1516722061869999</v>
          </cell>
          <cell r="S277">
            <v>1.978697042751</v>
          </cell>
          <cell r="T277">
            <v>3.1078917348549999</v>
          </cell>
          <cell r="U277">
            <v>4.5619883745400003</v>
          </cell>
          <cell r="V277">
            <v>6.4983304383530003</v>
          </cell>
          <cell r="AP277">
            <v>0.29125756614199999</v>
          </cell>
          <cell r="AQ277">
            <v>0.204913065448</v>
          </cell>
          <cell r="AR277">
            <v>0.21294933808399999</v>
          </cell>
          <cell r="AS277">
            <v>0.21233271974000001</v>
          </cell>
          <cell r="AT277">
            <v>0.27609846906300001</v>
          </cell>
          <cell r="AU277">
            <v>0.178619473114</v>
          </cell>
          <cell r="AV277">
            <v>0.23277136195699999</v>
          </cell>
          <cell r="AW277">
            <v>0.29963904016100001</v>
          </cell>
          <cell r="AX277">
            <v>0.24450376092000001</v>
          </cell>
          <cell r="AY277">
            <v>0.173948445901</v>
          </cell>
          <cell r="AZ277">
            <v>0.189293720035</v>
          </cell>
          <cell r="BA277">
            <v>0.31783288372899998</v>
          </cell>
          <cell r="BB277">
            <v>0.33840106488999999</v>
          </cell>
          <cell r="BC277">
            <v>0.30614453753199999</v>
          </cell>
          <cell r="BD277">
            <v>0.227160245176</v>
          </cell>
          <cell r="BE277">
            <v>0.46065312304400002</v>
          </cell>
          <cell r="BF277">
            <v>0.61351650789500001</v>
          </cell>
          <cell r="BG277">
            <v>0.67736716663700003</v>
          </cell>
        </row>
        <row r="278">
          <cell r="B278" t="str">
            <v>EPS (post-exceptionals, basic)</v>
          </cell>
          <cell r="C278" t="str">
            <v>EPS_POST_BASIC</v>
          </cell>
          <cell r="D278" t="str">
            <v>CNY</v>
          </cell>
          <cell r="M278">
            <v>0.12</v>
          </cell>
          <cell r="N278">
            <v>0.46</v>
          </cell>
          <cell r="O278">
            <v>0.87</v>
          </cell>
          <cell r="P278">
            <v>0.88</v>
          </cell>
          <cell r="Q278">
            <v>0.95086260893800001</v>
          </cell>
          <cell r="R278">
            <v>1.1516722061869999</v>
          </cell>
          <cell r="S278">
            <v>1.978697042751</v>
          </cell>
          <cell r="T278">
            <v>3.1078917348549999</v>
          </cell>
          <cell r="U278">
            <v>4.5619883745400003</v>
          </cell>
          <cell r="V278">
            <v>6.4983304383530003</v>
          </cell>
          <cell r="AP278">
            <v>0.29125756614199999</v>
          </cell>
          <cell r="AQ278">
            <v>0.204913065448</v>
          </cell>
          <cell r="AR278">
            <v>0.21294933808399999</v>
          </cell>
          <cell r="AS278">
            <v>0.21233271974000001</v>
          </cell>
          <cell r="AT278">
            <v>0.27609846906300001</v>
          </cell>
          <cell r="AU278">
            <v>0.178619473114</v>
          </cell>
          <cell r="AV278">
            <v>0.23277136195699999</v>
          </cell>
          <cell r="AW278">
            <v>0.29963904016100001</v>
          </cell>
          <cell r="AX278">
            <v>0.24450376092000001</v>
          </cell>
          <cell r="AY278">
            <v>0.173948445901</v>
          </cell>
          <cell r="AZ278">
            <v>0.189293720035</v>
          </cell>
          <cell r="BA278">
            <v>0.31783288372899998</v>
          </cell>
          <cell r="BB278">
            <v>0.33840106488999999</v>
          </cell>
          <cell r="BC278">
            <v>0.30614453753199999</v>
          </cell>
          <cell r="BD278">
            <v>0.227160245176</v>
          </cell>
          <cell r="BE278">
            <v>0.46065312304400002</v>
          </cell>
          <cell r="BF278">
            <v>0.61351650789500001</v>
          </cell>
          <cell r="BG278">
            <v>0.67736716663700003</v>
          </cell>
        </row>
        <row r="279">
          <cell r="B279" t="str">
            <v>EPS (post-exceptionals, diluted)</v>
          </cell>
          <cell r="C279" t="str">
            <v>FULLY_DIL_EPS</v>
          </cell>
          <cell r="D279" t="str">
            <v>CNY</v>
          </cell>
          <cell r="M279">
            <v>0.12</v>
          </cell>
          <cell r="N279">
            <v>0.46</v>
          </cell>
          <cell r="O279">
            <v>0.87</v>
          </cell>
          <cell r="P279">
            <v>0.88</v>
          </cell>
          <cell r="Q279">
            <v>0.95086260893800001</v>
          </cell>
          <cell r="R279">
            <v>1.1516722061869999</v>
          </cell>
          <cell r="S279">
            <v>1.978697042751</v>
          </cell>
          <cell r="T279">
            <v>3.1078917348549999</v>
          </cell>
          <cell r="U279">
            <v>4.5619883745400003</v>
          </cell>
          <cell r="V279">
            <v>6.4983304383530003</v>
          </cell>
          <cell r="AP279">
            <v>0.29125756614199999</v>
          </cell>
          <cell r="AQ279">
            <v>0.204913065448</v>
          </cell>
          <cell r="AR279">
            <v>0.21294933808399999</v>
          </cell>
          <cell r="AS279">
            <v>0.21233271974000001</v>
          </cell>
          <cell r="AT279">
            <v>0.27609846906300001</v>
          </cell>
          <cell r="AU279">
            <v>0.178619473114</v>
          </cell>
          <cell r="AV279">
            <v>0.23277136195699999</v>
          </cell>
          <cell r="AW279">
            <v>0.29963904016100001</v>
          </cell>
          <cell r="AX279">
            <v>0.24450376092000001</v>
          </cell>
          <cell r="AY279">
            <v>0.173948445901</v>
          </cell>
          <cell r="AZ279">
            <v>0.189293720035</v>
          </cell>
          <cell r="BA279">
            <v>0.31783288372899998</v>
          </cell>
          <cell r="BB279">
            <v>0.33840106488999999</v>
          </cell>
          <cell r="BC279">
            <v>0.30614453753199999</v>
          </cell>
          <cell r="BD279">
            <v>0.227160245176</v>
          </cell>
          <cell r="BE279">
            <v>0.46065312304400002</v>
          </cell>
          <cell r="BF279">
            <v>0.61351650789500001</v>
          </cell>
          <cell r="BG279">
            <v>0.67736716663700003</v>
          </cell>
        </row>
        <row r="280">
          <cell r="B280" t="str">
            <v>Common dividends paid</v>
          </cell>
          <cell r="C280" t="str">
            <v>COMMON_DIV_PAID</v>
          </cell>
          <cell r="D280" t="str">
            <v>CNY</v>
          </cell>
          <cell r="M280">
            <v>0</v>
          </cell>
          <cell r="N280">
            <v>0</v>
          </cell>
          <cell r="O280">
            <v>-239.83044278</v>
          </cell>
          <cell r="P280">
            <v>-292.31189522</v>
          </cell>
          <cell r="Q280">
            <v>-390.33466362388202</v>
          </cell>
          <cell r="R280">
            <v>-472.76817805351197</v>
          </cell>
          <cell r="S280">
            <v>-812.26671165294499</v>
          </cell>
          <cell r="T280">
            <v>-1275.80773867938</v>
          </cell>
          <cell r="U280">
            <v>-1872.7229159012099</v>
          </cell>
          <cell r="V280">
            <v>-2667.60266091835</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row>
        <row r="281">
          <cell r="B281" t="str">
            <v>DPS, dividend per share</v>
          </cell>
          <cell r="C281" t="str">
            <v>DPS</v>
          </cell>
          <cell r="D281" t="str">
            <v>CNY</v>
          </cell>
          <cell r="O281">
            <v>5.6</v>
          </cell>
          <cell r="P281">
            <v>3</v>
          </cell>
          <cell r="Q281">
            <v>0.34548580737399998</v>
          </cell>
          <cell r="R281">
            <v>0.41844783698999999</v>
          </cell>
          <cell r="S281">
            <v>0.71893850798000003</v>
          </cell>
          <cell r="T281">
            <v>1.1292193794930001</v>
          </cell>
          <cell r="U281">
            <v>1.657549915198</v>
          </cell>
          <cell r="V281">
            <v>2.3610991924340001</v>
          </cell>
        </row>
        <row r="282">
          <cell r="B282" t="str">
            <v>Weighted average shares outstanding, basic</v>
          </cell>
          <cell r="C282" t="str">
            <v>SH</v>
          </cell>
          <cell r="M282">
            <v>773.36904149999998</v>
          </cell>
          <cell r="N282">
            <v>754.16513386956501</v>
          </cell>
          <cell r="O282">
            <v>846.98671058620698</v>
          </cell>
          <cell r="P282">
            <v>1060.0663542386401</v>
          </cell>
          <cell r="Q282">
            <v>1129.813889</v>
          </cell>
          <cell r="R282">
            <v>1129.813889</v>
          </cell>
          <cell r="S282">
            <v>1129.813889</v>
          </cell>
          <cell r="T282">
            <v>1129.813889</v>
          </cell>
          <cell r="U282">
            <v>1129.813889</v>
          </cell>
          <cell r="V282">
            <v>1129.813889</v>
          </cell>
          <cell r="AP282">
            <v>846.98671058620698</v>
          </cell>
          <cell r="AQ282">
            <v>846.98671058620698</v>
          </cell>
          <cell r="AR282">
            <v>1060.0663542386401</v>
          </cell>
          <cell r="AS282">
            <v>1060.0663542386401</v>
          </cell>
          <cell r="AT282">
            <v>1060.0663542386401</v>
          </cell>
          <cell r="AU282">
            <v>1060.0663542386401</v>
          </cell>
          <cell r="AV282">
            <v>1129.813889</v>
          </cell>
          <cell r="AW282">
            <v>1129.813889</v>
          </cell>
          <cell r="AX282">
            <v>1129.813889</v>
          </cell>
          <cell r="AY282">
            <v>1129.813889</v>
          </cell>
          <cell r="AZ282">
            <v>1129.813889</v>
          </cell>
          <cell r="BA282">
            <v>1129.813889</v>
          </cell>
          <cell r="BB282">
            <v>1129.813889</v>
          </cell>
          <cell r="BC282">
            <v>1129.813889</v>
          </cell>
          <cell r="BD282">
            <v>1129.813889</v>
          </cell>
          <cell r="BE282">
            <v>1129.813889</v>
          </cell>
          <cell r="BF282">
            <v>1129.813889</v>
          </cell>
          <cell r="BG282">
            <v>1129.813889</v>
          </cell>
        </row>
        <row r="283">
          <cell r="B283" t="str">
            <v>Diluted average shares outstanding (mn)</v>
          </cell>
          <cell r="C283" t="str">
            <v>DILUTE_SHARES</v>
          </cell>
          <cell r="M283">
            <v>773.36904149999998</v>
          </cell>
          <cell r="N283">
            <v>754.16513386956501</v>
          </cell>
          <cell r="O283">
            <v>846.98671058620698</v>
          </cell>
          <cell r="P283">
            <v>1060.0663542386401</v>
          </cell>
          <cell r="Q283">
            <v>1129.813889</v>
          </cell>
          <cell r="R283">
            <v>1129.813889</v>
          </cell>
          <cell r="S283">
            <v>1129.813889</v>
          </cell>
          <cell r="T283">
            <v>1129.813889</v>
          </cell>
          <cell r="U283">
            <v>1129.813889</v>
          </cell>
          <cell r="V283">
            <v>1129.813889</v>
          </cell>
          <cell r="AP283">
            <v>846.98671058620698</v>
          </cell>
          <cell r="AQ283">
            <v>846.98671058620698</v>
          </cell>
          <cell r="AR283">
            <v>1060.0663542386401</v>
          </cell>
          <cell r="AS283">
            <v>1060.0663542386401</v>
          </cell>
          <cell r="AT283">
            <v>1060.0663542386401</v>
          </cell>
          <cell r="AU283">
            <v>1060.0663542386401</v>
          </cell>
          <cell r="AV283">
            <v>1129.813889</v>
          </cell>
          <cell r="AW283">
            <v>1129.813889</v>
          </cell>
          <cell r="AX283">
            <v>1129.813889</v>
          </cell>
          <cell r="AY283">
            <v>1129.813889</v>
          </cell>
          <cell r="AZ283">
            <v>1129.813889</v>
          </cell>
          <cell r="BA283">
            <v>1129.813889</v>
          </cell>
          <cell r="BB283">
            <v>1129.813889</v>
          </cell>
          <cell r="BC283">
            <v>1129.813889</v>
          </cell>
          <cell r="BD283">
            <v>1129.813889</v>
          </cell>
          <cell r="BE283">
            <v>1129.813889</v>
          </cell>
          <cell r="BF283">
            <v>1129.813889</v>
          </cell>
          <cell r="BG283">
            <v>1129.813889</v>
          </cell>
        </row>
        <row r="284">
          <cell r="B284" t="str">
            <v>Period-end shares outstanding</v>
          </cell>
          <cell r="C284" t="str">
            <v>NON_OP_ADD</v>
          </cell>
          <cell r="M284">
            <v>757.03177500000004</v>
          </cell>
          <cell r="N284">
            <v>757.03177500000004</v>
          </cell>
          <cell r="O284">
            <v>1016.8325</v>
          </cell>
          <cell r="P284">
            <v>1129.813889</v>
          </cell>
          <cell r="Q284">
            <v>1129.813889</v>
          </cell>
          <cell r="R284">
            <v>1129.813889</v>
          </cell>
          <cell r="S284">
            <v>1129.813889</v>
          </cell>
          <cell r="T284">
            <v>1129.813889</v>
          </cell>
          <cell r="U284">
            <v>1129.813889</v>
          </cell>
          <cell r="V284">
            <v>1129.813889</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row>
        <row r="285">
          <cell r="A285" t="str">
            <v>Additional Income Statement Items</v>
          </cell>
        </row>
        <row r="286">
          <cell r="B286" t="str">
            <v>Marginal tax rate</v>
          </cell>
          <cell r="C286" t="str">
            <v>MARGIN_TAX_RATE</v>
          </cell>
          <cell r="M286">
            <v>6.3458067564000006E-2</v>
          </cell>
          <cell r="N286">
            <v>4.2647252688999999E-2</v>
          </cell>
          <cell r="O286">
            <v>6.2772504891999995E-2</v>
          </cell>
          <cell r="P286">
            <v>4.6885064221999999E-2</v>
          </cell>
          <cell r="Q286">
            <v>6.1215216326000001E-2</v>
          </cell>
          <cell r="R286">
            <v>0.05</v>
          </cell>
          <cell r="S286">
            <v>0.05</v>
          </cell>
          <cell r="T286">
            <v>0.05</v>
          </cell>
          <cell r="U286">
            <v>0.05</v>
          </cell>
          <cell r="V286">
            <v>0.05</v>
          </cell>
          <cell r="AP286">
            <v>6.5939866678999995E-2</v>
          </cell>
          <cell r="AQ286">
            <v>0.109507907396</v>
          </cell>
          <cell r="AR286">
            <v>3.7536131914000001E-2</v>
          </cell>
          <cell r="AT286">
            <v>4.5745112393999997E-2</v>
          </cell>
          <cell r="AU286">
            <v>0.114311143665</v>
          </cell>
          <cell r="AV286">
            <v>4.9228813974000002E-2</v>
          </cell>
          <cell r="AW286">
            <v>2.9899995047999998E-2</v>
          </cell>
          <cell r="AX286">
            <v>0.11432098924300001</v>
          </cell>
          <cell r="AY286">
            <v>0.05</v>
          </cell>
          <cell r="AZ286">
            <v>0.05</v>
          </cell>
          <cell r="BA286">
            <v>0.05</v>
          </cell>
          <cell r="BB286">
            <v>0.05</v>
          </cell>
          <cell r="BC286">
            <v>0.05</v>
          </cell>
          <cell r="BD286">
            <v>0.05</v>
          </cell>
          <cell r="BE286">
            <v>0.05</v>
          </cell>
          <cell r="BF286">
            <v>0.05</v>
          </cell>
          <cell r="BG286">
            <v>0.05</v>
          </cell>
        </row>
        <row r="287">
          <cell r="B287" t="str">
            <v>Net income (consensus) (Pub)</v>
          </cell>
          <cell r="C287" t="str">
            <v>NI_CONS</v>
          </cell>
          <cell r="D287" t="str">
            <v>CNY</v>
          </cell>
        </row>
        <row r="288">
          <cell r="A288" t="str">
            <v>Balance Sheet</v>
          </cell>
        </row>
        <row r="289">
          <cell r="B289" t="str">
            <v>BVPS, book value per share</v>
          </cell>
          <cell r="C289" t="str">
            <v>BVPS</v>
          </cell>
          <cell r="D289" t="str">
            <v>CNY</v>
          </cell>
          <cell r="M289">
            <v>1.1664291157660001</v>
          </cell>
          <cell r="N289">
            <v>1.5679759980879999</v>
          </cell>
          <cell r="O289">
            <v>3.5558951596549999</v>
          </cell>
          <cell r="P289">
            <v>6.4875502257789996</v>
          </cell>
          <cell r="Q289">
            <v>7.0929270273430003</v>
          </cell>
          <cell r="R289">
            <v>7.8261513965390002</v>
          </cell>
          <cell r="S289">
            <v>9.0859099313110008</v>
          </cell>
          <cell r="T289">
            <v>11.064582286673</v>
          </cell>
          <cell r="U289">
            <v>13.969020746015</v>
          </cell>
          <cell r="V289">
            <v>18.106251991933998</v>
          </cell>
        </row>
        <row r="290">
          <cell r="A290" t="str">
            <v>Cash Flow Statement</v>
          </cell>
        </row>
        <row r="291">
          <cell r="B291" t="str">
            <v>Net income (pre-preferred dividends)</v>
          </cell>
          <cell r="C291" t="str">
            <v>CF_NI_PRE_PREF</v>
          </cell>
          <cell r="D291" t="str">
            <v>CNY</v>
          </cell>
          <cell r="M291">
            <v>92.804284980000006</v>
          </cell>
          <cell r="N291">
            <v>346.91596157999999</v>
          </cell>
          <cell r="O291">
            <v>736.87843821000001</v>
          </cell>
          <cell r="P291">
            <v>932.85839172999999</v>
          </cell>
          <cell r="Q291">
            <v>1074.2977821091499</v>
          </cell>
          <cell r="R291">
            <v>1301.1752541251799</v>
          </cell>
          <cell r="S291">
            <v>2235.5594010238601</v>
          </cell>
          <cell r="T291">
            <v>3511.33924754792</v>
          </cell>
          <cell r="U291">
            <v>5154.1978270119698</v>
          </cell>
          <cell r="V291">
            <v>7341.9039845625502</v>
          </cell>
        </row>
        <row r="292">
          <cell r="A292" t="str">
            <v>Other Items</v>
          </cell>
        </row>
        <row r="293">
          <cell r="B293" t="str">
            <v>Beta</v>
          </cell>
          <cell r="C293" t="str">
            <v>BETA_ANALYST</v>
          </cell>
        </row>
        <row r="294">
          <cell r="B294" t="str">
            <v>Market equity risk premium</v>
          </cell>
          <cell r="C294" t="str">
            <v>MKT_EQ_RISK_PREM</v>
          </cell>
        </row>
        <row r="295">
          <cell r="B295" t="str">
            <v>Risk-free rate</v>
          </cell>
          <cell r="C295" t="str">
            <v>RISK_FR_RATE</v>
          </cell>
        </row>
      </sheetData>
      <sheetData sheetId="26">
        <row r="1">
          <cell r="A1" t="str">
            <v>70a85639-f9ab-4408-aacf-b3c067726f9e</v>
          </cell>
        </row>
        <row r="2">
          <cell r="A2" t="str">
            <v>\\firmwide.corp.gs.com\irroot\Projects\hk\gc_tech_telco\GC Tech\Models\Montage\[Montage model_wip.xlsx]688008.SS_Validation_Sheet</v>
          </cell>
        </row>
        <row r="3">
          <cell r="A3" t="str">
            <v>Enabled</v>
          </cell>
          <cell r="AX3" t="str">
            <v>ERROR</v>
          </cell>
        </row>
        <row r="7">
          <cell r="A7" t="str">
            <v>Scalar|||208019929|||ISSR|||CURRENCY_ISO|||False|||</v>
          </cell>
          <cell r="C7" t="str">
            <v>V_KEYWORD_ISSR_208019929_CURRENCY_ISO</v>
          </cell>
        </row>
        <row r="9">
          <cell r="A9" t="str">
            <v>Scalar|||208019929|||ISSR|||MA_PROB|||False|||</v>
          </cell>
          <cell r="C9" t="str">
            <v>V_KEYWORD_ISSR_208019929_MA_PROB</v>
          </cell>
        </row>
        <row r="11">
          <cell r="A11" t="str">
            <v>Vector|||208019929|||ISSR|||SALES|||False|||</v>
          </cell>
          <cell r="C11" t="str">
            <v>V_KEYWORD_ISSR_208019929_SALES</v>
          </cell>
        </row>
        <row r="12">
          <cell r="A12" t="str">
            <v>Vector|||208019929|||ISSR|||PERSONNEL|||False|||</v>
          </cell>
          <cell r="C12" t="str">
            <v>V_KEYWORD_ISSR_208019929_PERSONNEL</v>
          </cell>
        </row>
        <row r="13">
          <cell r="A13" t="str">
            <v>Vector|||208019929|||ISSR|||COST_GD_SD|||False|||</v>
          </cell>
          <cell r="C13" t="str">
            <v>V_KEYWORD_ISSR_208019929_COST_GD_SD</v>
          </cell>
        </row>
        <row r="14">
          <cell r="A14" t="str">
            <v>Vector|||208019929|||ISSR|||SEL_GL_AD|||False|||</v>
          </cell>
          <cell r="C14" t="str">
            <v>V_KEYWORD_ISSR_208019929_SEL_GL_AD</v>
          </cell>
        </row>
        <row r="15">
          <cell r="A15" t="str">
            <v>Vector|||208019929|||ISSR|||OP_COST|||False|||</v>
          </cell>
          <cell r="C15" t="str">
            <v>V_KEYWORD_ISSR_208019929_OP_COST</v>
          </cell>
        </row>
        <row r="16">
          <cell r="A16" t="str">
            <v>Vector|||208019929|||ISSR|||RD_EXP|||False|||</v>
          </cell>
          <cell r="C16" t="str">
            <v>V_KEYWORD_ISSR_208019929_RD_EXP</v>
          </cell>
        </row>
        <row r="17">
          <cell r="A17" t="str">
            <v>Vector|||208019929|||ISSR|||OTH_OP_INC_EXP|||False|||</v>
          </cell>
          <cell r="C17" t="str">
            <v>V_KEYWORD_ISSR_208019929_OTH_OP_INC_EXP</v>
          </cell>
        </row>
        <row r="18">
          <cell r="A18" t="str">
            <v>Vector|||208019929|||ISSR|||TOT_OPS_EXP_DDA|||False|||</v>
          </cell>
          <cell r="C18" t="str">
            <v>V_KEYWORD_ISSR_208019929_TOT_OPS_EXP_DDA</v>
          </cell>
        </row>
        <row r="19">
          <cell r="A19" t="str">
            <v>Vector|||208019929|||ISSR|||TOT_OPS_EXP|||False|||</v>
          </cell>
          <cell r="C19" t="str">
            <v>V_KEYWORD_ISSR_208019929_TOT_OPS_EXP</v>
          </cell>
        </row>
        <row r="20">
          <cell r="A20" t="str">
            <v>Vector|||208019929|||ISSR|||EBITDA_CALC|||False|||</v>
          </cell>
          <cell r="C20" t="str">
            <v>V_KEYWORD_ISSR_208019929_EBITDA_CALC</v>
          </cell>
        </row>
        <row r="21">
          <cell r="A21" t="str">
            <v>Vector|||208019929|||ISSR|||DEPREC|||False|||</v>
          </cell>
          <cell r="C21" t="str">
            <v>V_KEYWORD_ISSR_208019929_DEPREC</v>
          </cell>
        </row>
        <row r="22">
          <cell r="A22" t="str">
            <v>Vector|||208019929|||ISSR|||GOODWILL_AMORT|||False|||</v>
          </cell>
          <cell r="C22" t="str">
            <v>V_KEYWORD_ISSR_208019929_GOODWILL_AMORT</v>
          </cell>
        </row>
        <row r="23">
          <cell r="A23" t="str">
            <v>Vector|||208019929|||ISSR|||EBIT|||False|||</v>
          </cell>
          <cell r="C23" t="str">
            <v>V_KEYWORD_ISSR_208019929_EBIT</v>
          </cell>
        </row>
        <row r="24">
          <cell r="A24" t="str">
            <v>Vector|||208019929|||ISSR|||INT_INC_IND|||False|||</v>
          </cell>
          <cell r="C24" t="str">
            <v>V_KEYWORD_ISSR_208019929_INT_INC_IND</v>
          </cell>
        </row>
        <row r="25">
          <cell r="A25" t="str">
            <v>Vector|||208019929|||ISSR|||INT_EXP_IND|||False|||</v>
          </cell>
          <cell r="C25" t="str">
            <v>V_KEYWORD_ISSR_208019929_INT_EXP_IND</v>
          </cell>
        </row>
        <row r="26">
          <cell r="A26" t="str">
            <v>Vector|||208019929|||ISSR|||NET_INT_EXP|||False|||</v>
          </cell>
          <cell r="C26" t="str">
            <v>V_KEYWORD_ISSR_208019929_NET_INT_EXP</v>
          </cell>
        </row>
        <row r="27">
          <cell r="A27" t="str">
            <v>Vector|||208019929|||ISSR|||ASSOCIATE|||False|||</v>
          </cell>
          <cell r="C27" t="str">
            <v>V_KEYWORD_ISSR_208019929_ASSOCIATE</v>
          </cell>
        </row>
        <row r="28">
          <cell r="A28" t="str">
            <v>Vector|||208019929|||ISSR|||PROFIT_ON_DISP|||False|||</v>
          </cell>
          <cell r="C28" t="str">
            <v>V_KEYWORD_ISSR_208019929_PROFIT_ON_DISP</v>
          </cell>
        </row>
        <row r="29">
          <cell r="A29" t="str">
            <v>Vector|||208019929|||ISSR|||OTH_COST_INC|||False|||</v>
          </cell>
          <cell r="C29" t="str">
            <v>V_KEYWORD_ISSR_208019929_OTH_COST_INC</v>
          </cell>
        </row>
        <row r="30">
          <cell r="A30" t="str">
            <v>Vector|||208019929|||ISSR|||PT_PROF|||False|||</v>
          </cell>
          <cell r="C30" t="str">
            <v>V_KEYWORD_ISSR_208019929_PT_PROF</v>
          </cell>
        </row>
        <row r="32">
          <cell r="A32" t="str">
            <v>Vector|||208019929|||ISSR|||CONTRIB_MARGIN_RATIO|||False|||</v>
          </cell>
          <cell r="C32" t="str">
            <v>V_KEYWORD_ISSR_208019929_CONTRIB_MARGIN_RATIO</v>
          </cell>
        </row>
        <row r="33">
          <cell r="A33" t="str">
            <v>Vector|||208019929|||ISSR|||LEASE_PAY|||False|||</v>
          </cell>
          <cell r="C33" t="str">
            <v>V_KEYWORD_ISSR_208019929_LEASE_PAY</v>
          </cell>
        </row>
        <row r="34">
          <cell r="A34" t="str">
            <v>Vector|||208019929|||ISSR|||LEASE_DEEM_INT|||False|||</v>
          </cell>
          <cell r="C34" t="str">
            <v>V_KEYWORD_ISSR_208019929_LEASE_DEEM_INT</v>
          </cell>
        </row>
        <row r="35">
          <cell r="A35" t="str">
            <v>Vector|||208019929|||ISSR|||LEASE_DEEM_DEPR|||False|||</v>
          </cell>
          <cell r="C35" t="str">
            <v>V_KEYWORD_ISSR_208019929_LEASE_DEEM_DEPR</v>
          </cell>
        </row>
        <row r="36">
          <cell r="A36" t="str">
            <v>Vector|||208019929|||ISSR|||NET_INT_CH|||False|||</v>
          </cell>
          <cell r="C36" t="str">
            <v>V_KEYWORD_ISSR_208019929_NET_INT_CH</v>
          </cell>
        </row>
        <row r="37">
          <cell r="A37" t="str">
            <v>Vector|||208019929|||ISSR|||ASSOCIATE_OP|||False|||</v>
          </cell>
          <cell r="C37" t="str">
            <v>V_KEYWORD_ISSR_208019929_ASSOCIATE_OP</v>
          </cell>
        </row>
        <row r="38">
          <cell r="A38" t="str">
            <v>Vector|||208019929|||ISSR|||DEPR_ROU_ASSETS|||False|||</v>
          </cell>
          <cell r="C38" t="str">
            <v>V_KEYWORD_ISSR_208019929_DEPR_ROU_ASSETS</v>
          </cell>
        </row>
        <row r="39">
          <cell r="A39" t="str">
            <v>Vector|||208019929|||ISSR|||LEASE_INT_CHG|||False|||</v>
          </cell>
          <cell r="C39" t="str">
            <v>V_KEYWORD_ISSR_208019929_LEASE_INT_CHG</v>
          </cell>
        </row>
        <row r="40">
          <cell r="A40" t="str">
            <v>Scalar|||208019929|||ISSR|||LEASE_ADOPT|||False|||</v>
          </cell>
          <cell r="C40" t="str">
            <v>V_KEYWORD_ISSR_208019929_LEASE_ADOPT</v>
          </cell>
        </row>
        <row r="42">
          <cell r="A42" t="str">
            <v>Vector|||208019929|||ISSR|||CASH_EQ|||False|||</v>
          </cell>
          <cell r="C42" t="str">
            <v>V_KEYWORD_ISSR_208019929_CASH_EQ</v>
          </cell>
        </row>
        <row r="43">
          <cell r="A43" t="str">
            <v>Vector|||208019929|||ISSR|||DEBTORS|||False|||</v>
          </cell>
          <cell r="C43" t="str">
            <v>V_KEYWORD_ISSR_208019929_DEBTORS</v>
          </cell>
        </row>
        <row r="44">
          <cell r="A44" t="str">
            <v>Vector|||208019929|||ISSR|||STOCKS|||False|||</v>
          </cell>
          <cell r="C44" t="str">
            <v>V_KEYWORD_ISSR_208019929_STOCKS</v>
          </cell>
        </row>
        <row r="45">
          <cell r="A45" t="str">
            <v>Vector|||208019929|||ISSR|||OTH_CUR_ASS|||False|||</v>
          </cell>
          <cell r="C45" t="str">
            <v>V_KEYWORD_ISSR_208019929_OTH_CUR_ASS</v>
          </cell>
        </row>
        <row r="46">
          <cell r="A46" t="str">
            <v>Vector|||208019929|||ISSR|||CUR_ASS|||False|||</v>
          </cell>
          <cell r="C46" t="str">
            <v>V_KEYWORD_ISSR_208019929_CUR_ASS</v>
          </cell>
        </row>
        <row r="47">
          <cell r="A47" t="str">
            <v>Vector|||208019929|||ISSR|||GR_FIX_ASS|||False|||</v>
          </cell>
          <cell r="C47" t="str">
            <v>V_KEYWORD_ISSR_208019929_GR_FIX_ASS</v>
          </cell>
        </row>
        <row r="48">
          <cell r="A48" t="str">
            <v>Vector|||208019929|||ISSR|||ACC_DDA|||False|||</v>
          </cell>
          <cell r="C48" t="str">
            <v>V_KEYWORD_ISSR_208019929_ACC_DDA</v>
          </cell>
        </row>
        <row r="49">
          <cell r="A49" t="str">
            <v>Vector|||208019929|||ISSR|||NET_FIX_ASS|||False|||</v>
          </cell>
          <cell r="C49" t="str">
            <v>V_KEYWORD_ISSR_208019929_NET_FIX_ASS</v>
          </cell>
        </row>
        <row r="50">
          <cell r="A50" t="str">
            <v>Vector|||208019929|||ISSR|||GR_INTANG|||False|||</v>
          </cell>
          <cell r="C50" t="str">
            <v>V_KEYWORD_ISSR_208019929_GR_INTANG</v>
          </cell>
        </row>
        <row r="51">
          <cell r="A51" t="str">
            <v>Vector|||208019929|||ISSR|||ACC_AMORT|||False|||</v>
          </cell>
          <cell r="C51" t="str">
            <v>V_KEYWORD_ISSR_208019929_ACC_AMORT</v>
          </cell>
        </row>
        <row r="52">
          <cell r="A52" t="str">
            <v>Vector|||208019929|||ISSR|||NET_INTANG|||False|||</v>
          </cell>
          <cell r="C52" t="str">
            <v>V_KEYWORD_ISSR_208019929_NET_INTANG</v>
          </cell>
        </row>
        <row r="53">
          <cell r="A53" t="str">
            <v>Vector|||208019929|||ISSR|||FIX_ASS_INV|||False|||</v>
          </cell>
          <cell r="C53" t="str">
            <v>V_KEYWORD_ISSR_208019929_FIX_ASS_INV</v>
          </cell>
        </row>
        <row r="54">
          <cell r="A54" t="str">
            <v>Vector|||208019929|||ISSR|||INV_SECUR|||False|||</v>
          </cell>
          <cell r="C54" t="str">
            <v>V_KEYWORD_ISSR_208019929_INV_SECUR</v>
          </cell>
        </row>
        <row r="55">
          <cell r="A55" t="str">
            <v>Vector|||208019929|||ISSR|||OTH_LT_ASS|||False|||</v>
          </cell>
          <cell r="C55" t="str">
            <v>V_KEYWORD_ISSR_208019929_OTH_LT_ASS</v>
          </cell>
        </row>
        <row r="56">
          <cell r="A56" t="str">
            <v>Vector|||208019929|||ISSR|||TOT_ASSET|||False|||</v>
          </cell>
          <cell r="C56" t="str">
            <v>V_KEYWORD_ISSR_208019929_TOT_ASSET</v>
          </cell>
        </row>
        <row r="57">
          <cell r="A57" t="str">
            <v>Vector|||208019929|||ISSR|||ACC_PAY_GQ|||False|||</v>
          </cell>
          <cell r="C57" t="str">
            <v>V_KEYWORD_ISSR_208019929_ACC_PAY_GQ</v>
          </cell>
        </row>
        <row r="58">
          <cell r="A58" t="str">
            <v>Vector|||208019929|||ISSR|||SHORT_T_DEBT|||False|||</v>
          </cell>
          <cell r="C58" t="str">
            <v>V_KEYWORD_ISSR_208019929_SHORT_T_DEBT</v>
          </cell>
        </row>
        <row r="59">
          <cell r="A59" t="str">
            <v>Vector|||208019929|||ISSR|||ST_LEASE_LIAB|||False|||</v>
          </cell>
          <cell r="C59" t="str">
            <v>V_KEYWORD_ISSR_208019929_ST_LEASE_LIAB</v>
          </cell>
        </row>
        <row r="60">
          <cell r="A60" t="str">
            <v>Vector|||208019929|||ISSR|||OTH_CUR_LIABS|||False|||</v>
          </cell>
          <cell r="C60" t="str">
            <v>V_KEYWORD_ISSR_208019929_OTH_CUR_LIABS</v>
          </cell>
        </row>
        <row r="61">
          <cell r="A61" t="str">
            <v>Vector|||208019929|||ISSR|||SHORT_TERM_LIABS|||False|||</v>
          </cell>
          <cell r="C61" t="str">
            <v>V_KEYWORD_ISSR_208019929_SHORT_TERM_LIABS</v>
          </cell>
        </row>
        <row r="62">
          <cell r="A62" t="str">
            <v>Vector|||208019929|||ISSR|||LT_DEBT|||False|||</v>
          </cell>
          <cell r="C62" t="str">
            <v>V_KEYWORD_ISSR_208019929_LT_DEBT</v>
          </cell>
        </row>
        <row r="63">
          <cell r="A63" t="str">
            <v>Vector|||208019929|||ISSR|||LT_LEASE_LIAB|||False|||</v>
          </cell>
          <cell r="C63" t="str">
            <v>V_KEYWORD_ISSR_208019929_LT_LEASE_LIAB</v>
          </cell>
        </row>
        <row r="64">
          <cell r="A64" t="str">
            <v>Vector|||208019929|||ISSR|||OTH_LT_CRED_GQ|||False|||</v>
          </cell>
          <cell r="C64" t="str">
            <v>V_KEYWORD_ISSR_208019929_OTH_LT_CRED_GQ</v>
          </cell>
        </row>
        <row r="65">
          <cell r="A65" t="str">
            <v>Vector|||208019929|||ISSR|||TOT_LT_LIAB|||False|||</v>
          </cell>
          <cell r="C65" t="str">
            <v>V_KEYWORD_ISSR_208019929_TOT_LT_LIAB</v>
          </cell>
        </row>
        <row r="66">
          <cell r="A66" t="str">
            <v>Vector|||208019929|||ISSR|||TOT_LIAB|||False|||</v>
          </cell>
          <cell r="C66" t="str">
            <v>V_KEYWORD_ISSR_208019929_TOT_LIAB</v>
          </cell>
        </row>
        <row r="67">
          <cell r="A67" t="str">
            <v>Vector|||208019929|||ISSR|||PREF_SH|||False|||</v>
          </cell>
          <cell r="C67" t="str">
            <v>V_KEYWORD_ISSR_208019929_PREF_SH</v>
          </cell>
        </row>
        <row r="68">
          <cell r="A68" t="str">
            <v>Vector|||208019929|||ISSR|||ORD_SH_FUND|||False|||</v>
          </cell>
          <cell r="C68" t="str">
            <v>V_KEYWORD_ISSR_208019929_ORD_SH_FUND</v>
          </cell>
        </row>
        <row r="69">
          <cell r="A69" t="str">
            <v>Vector|||208019929|||ISSR|||MINORITIES|||False|||</v>
          </cell>
          <cell r="C69" t="str">
            <v>V_KEYWORD_ISSR_208019929_MINORITIES</v>
          </cell>
        </row>
        <row r="70">
          <cell r="A70" t="str">
            <v>Vector|||208019929|||ISSR|||EQ|||False|||</v>
          </cell>
          <cell r="C70" t="str">
            <v>V_KEYWORD_ISSR_208019929_EQ</v>
          </cell>
        </row>
        <row r="71">
          <cell r="A71" t="str">
            <v>Vector|||208019929|||ISSR|||TOT_LIAB_EQ|||False|||</v>
          </cell>
          <cell r="C71" t="str">
            <v>V_KEYWORD_ISSR_208019929_TOT_LIAB_EQ</v>
          </cell>
        </row>
        <row r="73">
          <cell r="A73" t="str">
            <v>Vector|||208019929|||ISSR|||TOT_USD_DEBT|||False|||</v>
          </cell>
          <cell r="C73" t="str">
            <v>V_KEYWORD_ISSR_208019929_TOT_USD_DEBT</v>
          </cell>
        </row>
        <row r="74">
          <cell r="A74" t="str">
            <v>Vector|||208019929|||ISSR|||TOT_PCT_USD_DEBT_HEDGED|||False|||</v>
          </cell>
          <cell r="C74" t="str">
            <v>V_KEYWORD_ISSR_208019929_TOT_PCT_USD_DEBT_HEDGED</v>
          </cell>
        </row>
        <row r="75">
          <cell r="A75" t="str">
            <v>Vector|||208019929|||ISSR|||FLOATING_PCT_LOCAL_DEBT|||False|||</v>
          </cell>
          <cell r="C75" t="str">
            <v>V_KEYWORD_ISSR_208019929_FLOATING_PCT_LOCAL_DEBT</v>
          </cell>
        </row>
        <row r="76">
          <cell r="A76" t="str">
            <v>Vector|||208019929|||ISSR|||FLOATING_PCT_LOCAL_DEBT_HEDGED|||False|||</v>
          </cell>
          <cell r="C76" t="str">
            <v>V_KEYWORD_ISSR_208019929_FLOATING_PCT_LOCAL_DEBT_HEDGED</v>
          </cell>
        </row>
        <row r="77">
          <cell r="A77" t="str">
            <v>Vector|||208019929|||ISSR|||NET_DEBT|||False|||</v>
          </cell>
          <cell r="C77" t="str">
            <v>V_KEYWORD_ISSR_208019929_NET_DEBT</v>
          </cell>
        </row>
        <row r="78">
          <cell r="A78" t="str">
            <v>Vector|||208019929|||ISSR|||CAP_LEASES|||False|||</v>
          </cell>
          <cell r="C78" t="str">
            <v>V_KEYWORD_ISSR_208019929_CAP_LEASES</v>
          </cell>
        </row>
        <row r="79">
          <cell r="A79" t="str">
            <v>Vector|||208019929|||ISSR|||DEF_INC_TAX|||False|||</v>
          </cell>
          <cell r="C79" t="str">
            <v>V_KEYWORD_ISSR_208019929_DEF_INC_TAX</v>
          </cell>
        </row>
        <row r="80">
          <cell r="A80" t="str">
            <v>Vector|||208019929|||ISSR|||MV_ASSOCIATES|||False|||</v>
          </cell>
          <cell r="C80" t="str">
            <v>V_KEYWORD_ISSR_208019929_MV_ASSOCIATES</v>
          </cell>
        </row>
        <row r="81">
          <cell r="A81" t="str">
            <v>Vector|||208019929|||ISSR|||NET_DEBT_ADJ|||False|||</v>
          </cell>
          <cell r="C81" t="str">
            <v>V_KEYWORD_ISSR_208019929_NET_DEBT_ADJ</v>
          </cell>
        </row>
        <row r="82">
          <cell r="A82" t="str">
            <v>Vector|||208019929|||ISSR|||CO_BOR_MARGIN|||False|||</v>
          </cell>
          <cell r="C82" t="str">
            <v>V_KEYWORD_ISSR_208019929_CO_BOR_MARGIN</v>
          </cell>
        </row>
        <row r="83">
          <cell r="A83" t="str">
            <v>Vector|||208019929|||ISSR|||UNF_PENS|||False|||</v>
          </cell>
          <cell r="C83" t="str">
            <v>V_KEYWORD_ISSR_208019929_UNF_PENS</v>
          </cell>
        </row>
        <row r="84">
          <cell r="A84" t="str">
            <v>Vector|||208019929|||ISSR|||UNF_PENS_OFF|||False|||</v>
          </cell>
          <cell r="C84" t="str">
            <v>V_KEYWORD_ISSR_208019929_UNF_PENS_OFF</v>
          </cell>
        </row>
        <row r="85">
          <cell r="A85" t="str">
            <v>Vector|||208019929|||ISSR|||UNF_PENS_LIAB_OTH|||False|||</v>
          </cell>
          <cell r="C85" t="str">
            <v>V_KEYWORD_ISSR_208019929_UNF_PENS_LIAB_OTH</v>
          </cell>
        </row>
        <row r="86">
          <cell r="A86" t="str">
            <v>Vector|||208019929|||ISSR|||ADJ_UNF_PENS_GOOD|||False|||</v>
          </cell>
          <cell r="C86" t="str">
            <v>V_KEYWORD_ISSR_208019929_ADJ_UNF_PENS_GOOD</v>
          </cell>
        </row>
        <row r="87">
          <cell r="A87" t="str">
            <v>Vector|||208019929|||ISSR|||OTH_GCI_ADJ|||False|||</v>
          </cell>
          <cell r="C87" t="str">
            <v>V_KEYWORD_ISSR_208019929_OTH_GCI_ADJ</v>
          </cell>
        </row>
        <row r="88">
          <cell r="A88" t="str">
            <v>Vector|||208019929|||ISSR|||GCI_INFL|||False|||</v>
          </cell>
          <cell r="C88" t="str">
            <v>V_KEYWORD_ISSR_208019929_GCI_INFL</v>
          </cell>
        </row>
        <row r="89">
          <cell r="A89" t="str">
            <v>Vector|||208019929|||ISSR|||BAL_MINO_INT|||False|||</v>
          </cell>
          <cell r="C89" t="str">
            <v>V_KEYWORD_ISSR_208019929_BAL_MINO_INT</v>
          </cell>
        </row>
        <row r="90">
          <cell r="A90" t="str">
            <v>Vector|||208019929|||ISSR|||ROU_ASSET|||False|||</v>
          </cell>
          <cell r="C90" t="str">
            <v>V_KEYWORD_ISSR_208019929_ROU_ASSET</v>
          </cell>
        </row>
        <row r="92">
          <cell r="A92" t="str">
            <v>Vector|||208019929|||ISSR|||CF_INC_MINORITY|||False|||</v>
          </cell>
          <cell r="C92" t="str">
            <v>V_KEYWORD_ISSR_208019929_CF_INC_MINORITY</v>
          </cell>
        </row>
        <row r="93">
          <cell r="A93" t="str">
            <v>Vector|||208019929|||ISSR|||DEPR_AMORT|||False|||</v>
          </cell>
          <cell r="C93" t="str">
            <v>V_KEYWORD_ISSR_208019929_DEPR_AMORT</v>
          </cell>
        </row>
        <row r="94">
          <cell r="A94" t="str">
            <v>Vector|||208019929|||ISSR|||WORK_CAP|||False|||</v>
          </cell>
          <cell r="C94" t="str">
            <v>V_KEYWORD_ISSR_208019929_WORK_CAP</v>
          </cell>
        </row>
        <row r="95">
          <cell r="A95" t="str">
            <v>Vector|||208019929|||ISSR|||OTH_OP_CF|||False|||</v>
          </cell>
          <cell r="C95" t="str">
            <v>V_KEYWORD_ISSR_208019929_OTH_OP_CF</v>
          </cell>
        </row>
        <row r="96">
          <cell r="A96" t="str">
            <v>Vector|||208019929|||ISSR|||CF_OPS|||False|||</v>
          </cell>
          <cell r="C96" t="str">
            <v>V_KEYWORD_ISSR_208019929_CF_OPS</v>
          </cell>
        </row>
        <row r="97">
          <cell r="A97" t="str">
            <v>Vector|||208019929|||ISSR|||CAPEX|||False|||</v>
          </cell>
          <cell r="C97" t="str">
            <v>V_KEYWORD_ISSR_208019929_CAPEX</v>
          </cell>
        </row>
        <row r="98">
          <cell r="A98" t="str">
            <v>Vector|||208019929|||ISSR|||ACQ|||False|||</v>
          </cell>
          <cell r="C98" t="str">
            <v>V_KEYWORD_ISSR_208019929_ACQ</v>
          </cell>
        </row>
        <row r="99">
          <cell r="A99" t="str">
            <v>Vector|||208019929|||ISSR|||DIVEST|||False|||</v>
          </cell>
          <cell r="C99" t="str">
            <v>V_KEYWORD_ISSR_208019929_DIVEST</v>
          </cell>
        </row>
        <row r="100">
          <cell r="A100" t="str">
            <v>Vector|||208019929|||ISSR|||OTH_INV_CF|||False|||</v>
          </cell>
          <cell r="C100" t="str">
            <v>V_KEYWORD_ISSR_208019929_OTH_INV_CF</v>
          </cell>
        </row>
        <row r="101">
          <cell r="A101" t="str">
            <v>Vector|||208019929|||ISSR|||CF_INV|||False|||</v>
          </cell>
          <cell r="C101" t="str">
            <v>V_KEYWORD_ISSR_208019929_CF_INV</v>
          </cell>
        </row>
        <row r="102">
          <cell r="A102" t="str">
            <v>Vector|||208019929|||ISSR|||DIV_PAID|||False|||</v>
          </cell>
          <cell r="C102" t="str">
            <v>V_KEYWORD_ISSR_208019929_DIV_PAID</v>
          </cell>
        </row>
        <row r="103">
          <cell r="A103" t="str">
            <v>Vector|||208019929|||ISSR|||SH_REPUR|||False|||</v>
          </cell>
          <cell r="C103" t="str">
            <v>V_KEYWORD_ISSR_208019929_SH_REPUR</v>
          </cell>
        </row>
        <row r="104">
          <cell r="A104" t="str">
            <v>Vector|||208019929|||ISSR|||CHG_LT_DEBT|||False|||</v>
          </cell>
          <cell r="C104" t="str">
            <v>V_KEYWORD_ISSR_208019929_CHG_LT_DEBT</v>
          </cell>
        </row>
        <row r="105">
          <cell r="A105" t="str">
            <v>Vector|||208019929|||ISSR|||LEASE_PRINCIPAL_CASH|||False|||</v>
          </cell>
          <cell r="C105" t="str">
            <v>V_KEYWORD_ISSR_208019929_LEASE_PRINCIPAL_CASH</v>
          </cell>
        </row>
        <row r="106">
          <cell r="A106" t="str">
            <v>Vector|||208019929|||ISSR|||OTH_FIN_CF|||False|||</v>
          </cell>
          <cell r="C106" t="str">
            <v>V_KEYWORD_ISSR_208019929_OTH_FIN_CF</v>
          </cell>
        </row>
        <row r="107">
          <cell r="A107" t="str">
            <v>Vector|||208019929|||ISSR|||CF_FIN|||False|||</v>
          </cell>
          <cell r="C107" t="str">
            <v>V_KEYWORD_ISSR_208019929_CF_FIN</v>
          </cell>
        </row>
        <row r="108">
          <cell r="A108" t="str">
            <v>Vector|||208019929|||ISSR|||TOT_CF|||False|||</v>
          </cell>
          <cell r="C108" t="str">
            <v>V_KEYWORD_ISSR_208019929_TOT_CF</v>
          </cell>
        </row>
        <row r="110">
          <cell r="A110" t="str">
            <v>Vector|||208019929|||ISSR|||ASSOC_JV_ADDBK|||False|||</v>
          </cell>
          <cell r="C110" t="str">
            <v>V_KEYWORD_ISSR_208019929_ASSOC_JV_ADDBK</v>
          </cell>
        </row>
        <row r="111">
          <cell r="A111" t="str">
            <v>Vector|||208019929|||ISSR|||PL_SALE_ASSETS|||False|||</v>
          </cell>
          <cell r="C111" t="str">
            <v>V_KEYWORD_ISSR_208019929_PL_SALE_ASSETS</v>
          </cell>
        </row>
        <row r="112">
          <cell r="A112" t="str">
            <v>Vector|||208019929|||ISSR|||OTH_NONCASH_ADJ|||False|||</v>
          </cell>
          <cell r="C112" t="str">
            <v>V_KEYWORD_ISSR_208019929_OTH_NONCASH_ADJ</v>
          </cell>
        </row>
        <row r="113">
          <cell r="A113" t="str">
            <v>Vector|||208019929|||ISSR|||OTH_DACF_ADJ|||False|||</v>
          </cell>
          <cell r="C113" t="str">
            <v>V_KEYWORD_ISSR_208019929_OTH_DACF_ADJ</v>
          </cell>
        </row>
        <row r="114">
          <cell r="A114" t="str">
            <v>Vector|||208019929|||ISSR|||CASH_INT_EXP|||False|||</v>
          </cell>
          <cell r="C114" t="str">
            <v>V_KEYWORD_ISSR_208019929_CASH_INT_EXP</v>
          </cell>
        </row>
        <row r="115">
          <cell r="A115" t="str">
            <v>Vector|||208019929|||ISSR|||CASH_TAX_EXP|||False|||</v>
          </cell>
          <cell r="C115" t="str">
            <v>V_KEYWORD_ISSR_208019929_CASH_TAX_EXP</v>
          </cell>
        </row>
        <row r="116">
          <cell r="A116" t="str">
            <v>Vector|||208019929|||ISSR|||DIVDS_ASSOC_JV|||False|||</v>
          </cell>
          <cell r="C116" t="str">
            <v>V_KEYWORD_ISSR_208019929_DIVDS_ASSOC_JV</v>
          </cell>
        </row>
        <row r="117">
          <cell r="A117" t="str">
            <v>Vector|||208019929|||ISSR|||CAPEX_MAINTENANCE|||False|||</v>
          </cell>
          <cell r="C117" t="str">
            <v>V_KEYWORD_ISSR_208019929_CAPEX_MAINTENANCE</v>
          </cell>
        </row>
        <row r="118">
          <cell r="A118" t="str">
            <v>Vector|||208019929|||ISSR|||CAPEX_EXPANSION|||False|||</v>
          </cell>
          <cell r="C118" t="str">
            <v>V_KEYWORD_ISSR_208019929_CAPEX_EXPANSION</v>
          </cell>
        </row>
        <row r="119">
          <cell r="A119" t="str">
            <v>Vector|||208019929|||ISSR|||NONPPE_CAPEX|||False|||</v>
          </cell>
          <cell r="C119" t="str">
            <v>V_KEYWORD_ISSR_208019929_NONPPE_CAPEX</v>
          </cell>
        </row>
        <row r="120">
          <cell r="A120" t="str">
            <v>Vector|||208019929|||ISSR|||DIVDS_PD_MINORITIES|||False|||</v>
          </cell>
          <cell r="C120" t="str">
            <v>V_KEYWORD_ISSR_208019929_DIVDS_PD_MINORITIES</v>
          </cell>
        </row>
        <row r="122">
          <cell r="A122" t="str">
            <v>Vector|||208019929|||ISSR|||EMPLOYEES|||False|||</v>
          </cell>
          <cell r="C122" t="str">
            <v>V_KEYWORD_ISSR_208019929_EMPLOYEES</v>
          </cell>
        </row>
        <row r="124">
          <cell r="A124" t="str">
            <v>Vector|||208019929|||ISSR|||SALES_CANADA|||False|||</v>
          </cell>
          <cell r="C124" t="str">
            <v>V_KEYWORD_ISSR_208019929_SALES_CANADA</v>
          </cell>
        </row>
        <row r="125">
          <cell r="A125" t="str">
            <v>Vector|||208019929|||ISSR|||SALES_US|||False|||</v>
          </cell>
          <cell r="C125" t="str">
            <v>V_KEYWORD_ISSR_208019929_SALES_US</v>
          </cell>
        </row>
        <row r="126">
          <cell r="A126" t="str">
            <v>Vector|||208019929|||ISSR|||SALES_OTH_NO_AMER|||False|||</v>
          </cell>
          <cell r="C126" t="str">
            <v>V_KEYWORD_ISSR_208019929_SALES_OTH_NO_AMER</v>
          </cell>
        </row>
        <row r="127">
          <cell r="A127" t="str">
            <v>Vector|||208019929|||ISSR|||SALES_ARGENTINA|||False|||</v>
          </cell>
          <cell r="C127" t="str">
            <v>V_KEYWORD_ISSR_208019929_SALES_ARGENTINA</v>
          </cell>
        </row>
        <row r="128">
          <cell r="A128" t="str">
            <v>Vector|||208019929|||ISSR|||SALES_BRAZIL|||False|||</v>
          </cell>
          <cell r="C128" t="str">
            <v>V_KEYWORD_ISSR_208019929_SALES_BRAZIL</v>
          </cell>
        </row>
        <row r="129">
          <cell r="A129" t="str">
            <v>Vector|||208019929|||ISSR|||SALES_CHILE|||False|||</v>
          </cell>
          <cell r="C129" t="str">
            <v>V_KEYWORD_ISSR_208019929_SALES_CHILE</v>
          </cell>
        </row>
        <row r="130">
          <cell r="A130" t="str">
            <v>Vector|||208019929|||ISSR|||SALES_COLOMBIA|||False|||</v>
          </cell>
          <cell r="C130" t="str">
            <v>V_KEYWORD_ISSR_208019929_SALES_COLOMBIA</v>
          </cell>
        </row>
        <row r="131">
          <cell r="A131" t="str">
            <v>Vector|||208019929|||ISSR|||SALES_MEXICO|||False|||</v>
          </cell>
          <cell r="C131" t="str">
            <v>V_KEYWORD_ISSR_208019929_SALES_MEXICO</v>
          </cell>
        </row>
        <row r="132">
          <cell r="A132" t="str">
            <v>Vector|||208019929|||ISSR|||SALES_VENEZUELA|||False|||</v>
          </cell>
          <cell r="C132" t="str">
            <v>V_KEYWORD_ISSR_208019929_SALES_VENEZUELA</v>
          </cell>
        </row>
        <row r="133">
          <cell r="A133" t="str">
            <v>Vector|||208019929|||ISSR|||SALES_OTH_LATAM|||False|||</v>
          </cell>
          <cell r="C133" t="str">
            <v>V_KEYWORD_ISSR_208019929_SALES_OTH_LATAM</v>
          </cell>
        </row>
        <row r="134">
          <cell r="A134" t="str">
            <v>Vector|||208019929|||ISSR|||SALES_AUSTRIA|||False|||</v>
          </cell>
          <cell r="C134" t="str">
            <v>V_KEYWORD_ISSR_208019929_SALES_AUSTRIA</v>
          </cell>
        </row>
        <row r="135">
          <cell r="A135" t="str">
            <v>Vector|||208019929|||ISSR|||SALES_BEL|||False|||</v>
          </cell>
          <cell r="C135" t="str">
            <v>V_KEYWORD_ISSR_208019929_SALES_BEL</v>
          </cell>
        </row>
        <row r="136">
          <cell r="A136" t="str">
            <v>Vector|||208019929|||ISSR|||SALES_FRA|||False|||</v>
          </cell>
          <cell r="C136" t="str">
            <v>V_KEYWORD_ISSR_208019929_SALES_FRA</v>
          </cell>
        </row>
        <row r="137">
          <cell r="A137" t="str">
            <v>Vector|||208019929|||ISSR|||SALES_GER|||False|||</v>
          </cell>
          <cell r="C137" t="str">
            <v>V_KEYWORD_ISSR_208019929_SALES_GER</v>
          </cell>
        </row>
        <row r="138">
          <cell r="A138" t="str">
            <v>Vector|||208019929|||ISSR|||SALES_GRE|||False|||</v>
          </cell>
          <cell r="C138" t="str">
            <v>V_KEYWORD_ISSR_208019929_SALES_GRE</v>
          </cell>
        </row>
        <row r="139">
          <cell r="A139" t="str">
            <v>Vector|||208019929|||ISSR|||SALES_IRE|||False|||</v>
          </cell>
          <cell r="C139" t="str">
            <v>V_KEYWORD_ISSR_208019929_SALES_IRE</v>
          </cell>
        </row>
        <row r="140">
          <cell r="A140" t="str">
            <v>Vector|||208019929|||ISSR|||SALES_ITA|||False|||</v>
          </cell>
          <cell r="C140" t="str">
            <v>V_KEYWORD_ISSR_208019929_SALES_ITA</v>
          </cell>
        </row>
        <row r="141">
          <cell r="A141" t="str">
            <v>Vector|||208019929|||ISSR|||SALES_NETH|||False|||</v>
          </cell>
          <cell r="C141" t="str">
            <v>V_KEYWORD_ISSR_208019929_SALES_NETH</v>
          </cell>
        </row>
        <row r="142">
          <cell r="A142" t="str">
            <v>Vector|||208019929|||ISSR|||SALES_NOR|||False|||</v>
          </cell>
          <cell r="C142" t="str">
            <v>V_KEYWORD_ISSR_208019929_SALES_NOR</v>
          </cell>
        </row>
        <row r="143">
          <cell r="A143" t="str">
            <v>Vector|||208019929|||ISSR|||SALES_POR|||False|||</v>
          </cell>
          <cell r="C143" t="str">
            <v>V_KEYWORD_ISSR_208019929_SALES_POR</v>
          </cell>
        </row>
        <row r="144">
          <cell r="A144" t="str">
            <v>Vector|||208019929|||ISSR|||SALES_SPA|||False|||</v>
          </cell>
          <cell r="C144" t="str">
            <v>V_KEYWORD_ISSR_208019929_SALES_SPA</v>
          </cell>
        </row>
        <row r="145">
          <cell r="A145" t="str">
            <v>Vector|||208019929|||ISSR|||SALES_SWE|||False|||</v>
          </cell>
          <cell r="C145" t="str">
            <v>V_KEYWORD_ISSR_208019929_SALES_SWE</v>
          </cell>
        </row>
        <row r="146">
          <cell r="A146" t="str">
            <v>Vector|||208019929|||ISSR|||SALES_SWIT|||False|||</v>
          </cell>
          <cell r="C146" t="str">
            <v>V_KEYWORD_ISSR_208019929_SALES_SWIT</v>
          </cell>
        </row>
        <row r="147">
          <cell r="A147" t="str">
            <v>Vector|||208019929|||ISSR|||SALES_UK|||False|||</v>
          </cell>
          <cell r="C147" t="str">
            <v>V_KEYWORD_ISSR_208019929_SALES_UK</v>
          </cell>
        </row>
        <row r="148">
          <cell r="A148" t="str">
            <v>Vector|||208019929|||ISSR|||SALES_OTH_WEST_EURO|||False|||</v>
          </cell>
          <cell r="C148" t="str">
            <v>V_KEYWORD_ISSR_208019929_SALES_OTH_WEST_EURO</v>
          </cell>
        </row>
        <row r="149">
          <cell r="A149" t="str">
            <v>Vector|||208019929|||ISSR|||SALES_POLAND|||False|||</v>
          </cell>
          <cell r="C149" t="str">
            <v>V_KEYWORD_ISSR_208019929_SALES_POLAND</v>
          </cell>
        </row>
        <row r="150">
          <cell r="A150" t="str">
            <v>Vector|||208019929|||ISSR|||SALES_RUSSIA|||False|||</v>
          </cell>
          <cell r="C150" t="str">
            <v>V_KEYWORD_ISSR_208019929_SALES_RUSSIA</v>
          </cell>
        </row>
        <row r="151">
          <cell r="A151" t="str">
            <v>Vector|||208019929|||ISSR|||SALES_TURKEY|||False|||</v>
          </cell>
          <cell r="C151" t="str">
            <v>V_KEYWORD_ISSR_208019929_SALES_TURKEY</v>
          </cell>
        </row>
        <row r="152">
          <cell r="A152" t="str">
            <v>Vector|||208019929|||ISSR|||SALES_OTH_CEE|||False|||</v>
          </cell>
          <cell r="C152" t="str">
            <v>V_KEYWORD_ISSR_208019929_SALES_OTH_CEE</v>
          </cell>
        </row>
        <row r="153">
          <cell r="A153" t="str">
            <v>Vector|||208019929|||ISSR|||SALES_SAUDI_ARABIA|||False|||</v>
          </cell>
          <cell r="C153" t="str">
            <v>V_KEYWORD_ISSR_208019929_SALES_SAUDI_ARABIA</v>
          </cell>
        </row>
        <row r="154">
          <cell r="A154" t="str">
            <v>Vector|||208019929|||ISSR|||SALES_UAE|||False|||</v>
          </cell>
          <cell r="C154" t="str">
            <v>V_KEYWORD_ISSR_208019929_SALES_UAE</v>
          </cell>
        </row>
        <row r="155">
          <cell r="A155" t="str">
            <v>Vector|||208019929|||ISSR|||SALES_OTH_ME|||False|||</v>
          </cell>
          <cell r="C155" t="str">
            <v>V_KEYWORD_ISSR_208019929_SALES_OTH_ME</v>
          </cell>
        </row>
        <row r="156">
          <cell r="A156" t="str">
            <v>Vector|||208019929|||ISSR|||SALES_NIGERIA|||False|||</v>
          </cell>
          <cell r="C156" t="str">
            <v>V_KEYWORD_ISSR_208019929_SALES_NIGERIA</v>
          </cell>
        </row>
        <row r="157">
          <cell r="A157" t="str">
            <v>Vector|||208019929|||ISSR|||SALES_SO_AFRICA|||False|||</v>
          </cell>
          <cell r="C157" t="str">
            <v>V_KEYWORD_ISSR_208019929_SALES_SO_AFRICA</v>
          </cell>
        </row>
        <row r="158">
          <cell r="A158" t="str">
            <v>Vector|||208019929|||ISSR|||SALES_OTH_AFRICA|||False|||</v>
          </cell>
          <cell r="C158" t="str">
            <v>V_KEYWORD_ISSR_208019929_SALES_OTH_AFRICA</v>
          </cell>
        </row>
        <row r="159">
          <cell r="A159" t="str">
            <v>Vector|||208019929|||ISSR|||SALES_HONG_KONG|||False|||</v>
          </cell>
          <cell r="C159" t="str">
            <v>V_KEYWORD_ISSR_208019929_SALES_HONG_KONG</v>
          </cell>
        </row>
        <row r="160">
          <cell r="A160" t="str">
            <v>Vector|||208019929|||ISSR|||SALES_JAPAN|||False|||</v>
          </cell>
          <cell r="C160" t="str">
            <v>V_KEYWORD_ISSR_208019929_SALES_JAPAN</v>
          </cell>
        </row>
        <row r="161">
          <cell r="A161" t="str">
            <v>Vector|||208019929|||ISSR|||SALES_SINGAPORE|||False|||</v>
          </cell>
          <cell r="C161" t="str">
            <v>V_KEYWORD_ISSR_208019929_SALES_SINGAPORE</v>
          </cell>
        </row>
        <row r="162">
          <cell r="A162" t="str">
            <v>Vector|||208019929|||ISSR|||SALES_SK|||False|||</v>
          </cell>
          <cell r="C162" t="str">
            <v>V_KEYWORD_ISSR_208019929_SALES_SK</v>
          </cell>
        </row>
        <row r="163">
          <cell r="A163" t="str">
            <v>Vector|||208019929|||ISSR|||SALES_TAIWAN|||False|||</v>
          </cell>
          <cell r="C163" t="str">
            <v>V_KEYWORD_ISSR_208019929_SALES_TAIWAN</v>
          </cell>
        </row>
        <row r="164">
          <cell r="A164" t="str">
            <v>Vector|||208019929|||ISSR|||SALES_OTH_DEV_ASIA|||False|||</v>
          </cell>
          <cell r="C164" t="str">
            <v>V_KEYWORD_ISSR_208019929_SALES_OTH_DEV_ASIA</v>
          </cell>
        </row>
        <row r="165">
          <cell r="A165" t="str">
            <v>Vector|||208019929|||ISSR|||SALES_CHINA|||False|||</v>
          </cell>
          <cell r="C165" t="str">
            <v>V_KEYWORD_ISSR_208019929_SALES_CHINA</v>
          </cell>
        </row>
        <row r="166">
          <cell r="A166" t="str">
            <v>Vector|||208019929|||ISSR|||SALES_INDIA|||False|||</v>
          </cell>
          <cell r="C166" t="str">
            <v>V_KEYWORD_ISSR_208019929_SALES_INDIA</v>
          </cell>
        </row>
        <row r="167">
          <cell r="A167" t="str">
            <v>Vector|||208019929|||ISSR|||SALES_INDONESIA|||False|||</v>
          </cell>
          <cell r="C167" t="str">
            <v>V_KEYWORD_ISSR_208019929_SALES_INDONESIA</v>
          </cell>
        </row>
        <row r="168">
          <cell r="A168" t="str">
            <v>Vector|||208019929|||ISSR|||SALES_THAILAND|||False|||</v>
          </cell>
          <cell r="C168" t="str">
            <v>V_KEYWORD_ISSR_208019929_SALES_THAILAND</v>
          </cell>
        </row>
        <row r="169">
          <cell r="A169" t="str">
            <v>Vector|||208019929|||ISSR|||SALES_OTH_EMERG_ASIA|||False|||</v>
          </cell>
          <cell r="C169" t="str">
            <v>V_KEYWORD_ISSR_208019929_SALES_OTH_EMERG_ASIA</v>
          </cell>
        </row>
        <row r="170">
          <cell r="A170" t="str">
            <v>Vector|||208019929|||ISSR|||SALES_AUSTRA|||False|||</v>
          </cell>
          <cell r="C170" t="str">
            <v>V_KEYWORD_ISSR_208019929_SALES_AUSTRA</v>
          </cell>
        </row>
        <row r="171">
          <cell r="A171" t="str">
            <v>Vector|||208019929|||ISSR|||SALES_NZ|||False|||</v>
          </cell>
          <cell r="C171" t="str">
            <v>V_KEYWORD_ISSR_208019929_SALES_NZ</v>
          </cell>
        </row>
        <row r="172">
          <cell r="A172" t="str">
            <v>Vector|||208019929|||ISSR|||SALES_OTHER|||False|||</v>
          </cell>
          <cell r="C172" t="str">
            <v>V_KEYWORD_ISSR_208019929_SALES_OTHER</v>
          </cell>
        </row>
        <row r="173">
          <cell r="A173" t="str">
            <v>Vector|||208019929|||ISSR|||COGS_PCT_US|||False|||</v>
          </cell>
          <cell r="C173" t="str">
            <v>V_KEYWORD_ISSR_208019929_COGS_PCT_US</v>
          </cell>
        </row>
        <row r="174">
          <cell r="A174" t="str">
            <v>Vector|||208019929|||ISSR|||COGS_PCT_ROW|||False|||</v>
          </cell>
          <cell r="C174" t="str">
            <v>V_KEYWORD_ISSR_208019929_COGS_PCT_ROW</v>
          </cell>
        </row>
        <row r="175">
          <cell r="A175" t="str">
            <v>Vector|||208019929|||ISSR|||SGA_PCT_US|||False|||</v>
          </cell>
          <cell r="C175" t="str">
            <v>V_KEYWORD_ISSR_208019929_SGA_PCT_US</v>
          </cell>
        </row>
        <row r="176">
          <cell r="A176" t="str">
            <v>Vector|||208019929|||ISSR|||SGA_PCT_ROW|||False|||</v>
          </cell>
          <cell r="C176" t="str">
            <v>V_KEYWORD_ISSR_208019929_SGA_PCT_ROW</v>
          </cell>
        </row>
        <row r="177">
          <cell r="A177" t="str">
            <v>Vector|||208019929|||ISSR|||SALES_CONS|||False|||</v>
          </cell>
          <cell r="C177" t="str">
            <v>V_KEYWORD_ISSR_208019929_SALES_CONS</v>
          </cell>
        </row>
        <row r="178">
          <cell r="A178" t="str">
            <v>Vector|||208019929|||ISSR|||SALES_IND|||False|||</v>
          </cell>
          <cell r="C178" t="str">
            <v>V_KEYWORD_ISSR_208019929_SALES_IND</v>
          </cell>
        </row>
        <row r="179">
          <cell r="A179" t="str">
            <v>Vector|||208019929|||ISSR|||SALES_GOV|||False|||</v>
          </cell>
          <cell r="C179" t="str">
            <v>V_KEYWORD_ISSR_208019929_SALES_GOV</v>
          </cell>
        </row>
        <row r="180">
          <cell r="A180" t="str">
            <v>Vector|||208019929|||ISSR|||SALES_FINAN|||False|||</v>
          </cell>
          <cell r="C180" t="str">
            <v>V_KEYWORD_ISSR_208019929_SALES_FINAN</v>
          </cell>
        </row>
        <row r="181">
          <cell r="A181" t="str">
            <v>Vector|||208019929|||ISSR|||SALES_OIL_GAS|||False|||</v>
          </cell>
          <cell r="C181" t="str">
            <v>V_KEYWORD_ISSR_208019929_SALES_OIL_GAS</v>
          </cell>
        </row>
        <row r="183">
          <cell r="A183" t="str">
            <v>Vector|||208019929|||ISSR|||EXP_OIL_PETRO_FUEL|||False|||</v>
          </cell>
          <cell r="C183" t="str">
            <v>V_KEYWORD_ISSR_208019929_EXP_OIL_PETRO_FUEL</v>
          </cell>
        </row>
        <row r="184">
          <cell r="A184" t="str">
            <v>Vector|||208019929|||ISSR|||EXP_OIL_DERIV_NGLS_PLASTICS|||False|||</v>
          </cell>
          <cell r="C184" t="str">
            <v>V_KEYWORD_ISSR_208019929_EXP_OIL_DERIV_NGLS_PLASTICS</v>
          </cell>
        </row>
        <row r="185">
          <cell r="A185" t="str">
            <v>Vector|||208019929|||ISSR|||EXP_GOLD|||False|||</v>
          </cell>
          <cell r="C185" t="str">
            <v>V_KEYWORD_ISSR_208019929_EXP_GOLD</v>
          </cell>
        </row>
        <row r="186">
          <cell r="A186" t="str">
            <v>Vector|||208019929|||ISSR|||EXP_COPPER|||False|||</v>
          </cell>
          <cell r="C186" t="str">
            <v>V_KEYWORD_ISSR_208019929_EXP_COPPER</v>
          </cell>
        </row>
        <row r="187">
          <cell r="A187" t="str">
            <v>Vector|||208019929|||ISSR|||EXP_SILVER|||False|||</v>
          </cell>
          <cell r="C187" t="str">
            <v>V_KEYWORD_ISSR_208019929_EXP_SILVER</v>
          </cell>
        </row>
        <row r="188">
          <cell r="A188" t="str">
            <v>Vector|||208019929|||ISSR|||EXP_PLATINUM|||False|||</v>
          </cell>
          <cell r="C188" t="str">
            <v>V_KEYWORD_ISSR_208019929_EXP_PLATINUM</v>
          </cell>
        </row>
        <row r="189">
          <cell r="A189" t="str">
            <v>Vector|||208019929|||ISSR|||EXP_PALLADIUM|||False|||</v>
          </cell>
          <cell r="C189" t="str">
            <v>V_KEYWORD_ISSR_208019929_EXP_PALLADIUM</v>
          </cell>
        </row>
        <row r="190">
          <cell r="A190" t="str">
            <v>Vector|||208019929|||ISSR|||EXP_ALUMINIUM|||False|||</v>
          </cell>
          <cell r="C190" t="str">
            <v>V_KEYWORD_ISSR_208019929_EXP_ALUMINIUM</v>
          </cell>
        </row>
        <row r="191">
          <cell r="A191" t="str">
            <v>Vector|||208019929|||ISSR|||EXP_NICKEL|||False|||</v>
          </cell>
          <cell r="C191" t="str">
            <v>V_KEYWORD_ISSR_208019929_EXP_NICKEL</v>
          </cell>
        </row>
        <row r="192">
          <cell r="A192" t="str">
            <v>Vector|||208019929|||ISSR|||EXP_ZINC|||False|||</v>
          </cell>
          <cell r="C192" t="str">
            <v>V_KEYWORD_ISSR_208019929_EXP_ZINC</v>
          </cell>
        </row>
        <row r="193">
          <cell r="A193" t="str">
            <v>Vector|||208019929|||ISSR|||EXP_PAPER_PULP|||False|||</v>
          </cell>
          <cell r="C193" t="str">
            <v>V_KEYWORD_ISSR_208019929_EXP_PAPER_PULP</v>
          </cell>
        </row>
        <row r="194">
          <cell r="A194" t="str">
            <v>Vector|||208019929|||ISSR|||EXP_GLASS|||False|||</v>
          </cell>
          <cell r="C194" t="str">
            <v>V_KEYWORD_ISSR_208019929_EXP_GLASS</v>
          </cell>
        </row>
        <row r="195">
          <cell r="A195" t="str">
            <v>Vector|||208019929|||ISSR|||EXP_WATER|||False|||</v>
          </cell>
          <cell r="C195" t="str">
            <v>V_KEYWORD_ISSR_208019929_EXP_WATER</v>
          </cell>
        </row>
        <row r="196">
          <cell r="A196" t="str">
            <v>Vector|||208019929|||ISSR|||EXP_OTH_COMMODITY|||False|||</v>
          </cell>
          <cell r="C196" t="str">
            <v>V_KEYWORD_ISSR_208019929_EXP_OTH_COMMODITY</v>
          </cell>
        </row>
        <row r="197">
          <cell r="A197" t="str">
            <v>Vector|||208019929|||ISSR|||EXP_OTH_COST|||False|||</v>
          </cell>
          <cell r="C197" t="str">
            <v>V_KEYWORD_ISSR_208019929_EXP_OTH_COST</v>
          </cell>
        </row>
        <row r="199">
          <cell r="A199" t="str">
            <v>Vector|||208019929|||ISSR|||SALES_FX_GPB|||False|||</v>
          </cell>
          <cell r="C199" t="str">
            <v>V_KEYWORD_ISSR_208019929_SALES_FX_GPB</v>
          </cell>
        </row>
        <row r="200">
          <cell r="A200" t="str">
            <v>Vector|||208019929|||ISSR|||SALES_FX_EUR|||False|||</v>
          </cell>
          <cell r="C200" t="str">
            <v>V_KEYWORD_ISSR_208019929_SALES_FX_EUR</v>
          </cell>
        </row>
        <row r="201">
          <cell r="A201" t="str">
            <v>Vector|||208019929|||ISSR|||SALES_FX_RUB|||False|||</v>
          </cell>
          <cell r="C201" t="str">
            <v>V_KEYWORD_ISSR_208019929_SALES_FX_RUB</v>
          </cell>
        </row>
        <row r="202">
          <cell r="A202" t="str">
            <v>Vector|||208019929|||ISSR|||SALES_FX_USD|||False|||</v>
          </cell>
          <cell r="C202" t="str">
            <v>V_KEYWORD_ISSR_208019929_SALES_FX_USD</v>
          </cell>
        </row>
        <row r="203">
          <cell r="A203" t="str">
            <v>Vector|||208019929|||ISSR|||SALES_FX_BRL|||False|||</v>
          </cell>
          <cell r="C203" t="str">
            <v>V_KEYWORD_ISSR_208019929_SALES_FX_BRL</v>
          </cell>
        </row>
        <row r="204">
          <cell r="A204" t="str">
            <v>Vector|||208019929|||ISSR|||SALES_FX_YEN|||False|||</v>
          </cell>
          <cell r="C204" t="str">
            <v>V_KEYWORD_ISSR_208019929_SALES_FX_YEN</v>
          </cell>
        </row>
        <row r="205">
          <cell r="A205" t="str">
            <v>Vector|||208019929|||ISSR|||SALES_FX_CNY|||False|||</v>
          </cell>
          <cell r="C205" t="str">
            <v>V_KEYWORD_ISSR_208019929_SALES_FX_CNY</v>
          </cell>
        </row>
        <row r="206">
          <cell r="A206" t="str">
            <v>Vector|||208019929|||ISSR|||SALES_FX_INR|||False|||</v>
          </cell>
          <cell r="C206" t="str">
            <v>V_KEYWORD_ISSR_208019929_SALES_FX_INR</v>
          </cell>
        </row>
        <row r="207">
          <cell r="A207" t="str">
            <v>Vector|||208019929|||ISSR|||SALES_FX_KRW|||False|||</v>
          </cell>
          <cell r="C207" t="str">
            <v>V_KEYWORD_ISSR_208019929_SALES_FX_KRW</v>
          </cell>
        </row>
        <row r="208">
          <cell r="A208" t="str">
            <v>Vector|||208019929|||ISSR|||SALES_FX_TWD|||False|||</v>
          </cell>
          <cell r="C208" t="str">
            <v>V_KEYWORD_ISSR_208019929_SALES_FX_TWD</v>
          </cell>
        </row>
        <row r="209">
          <cell r="A209" t="str">
            <v>Vector|||208019929|||ISSR|||SALES_FX_OTH|||False|||</v>
          </cell>
          <cell r="C209" t="str">
            <v>V_KEYWORD_ISSR_208019929_SALES_FX_OTH</v>
          </cell>
        </row>
        <row r="211">
          <cell r="A211" t="str">
            <v>Vector|||208019929|||ISSR|||SALES_TOT_AM|||False|||</v>
          </cell>
          <cell r="C211" t="str">
            <v>V_KEYWORD_ISSR_208019929_SALES_TOT_AM</v>
          </cell>
        </row>
        <row r="212">
          <cell r="A212" t="str">
            <v>Vector|||208019929|||ISSR|||SALES_OTH_AM|||False|||</v>
          </cell>
          <cell r="C212" t="str">
            <v>V_KEYWORD_ISSR_208019929_SALES_OTH_AM</v>
          </cell>
        </row>
        <row r="213">
          <cell r="A213" t="str">
            <v>Vector|||208019929|||ISSR|||SALES_TOT_EMEA|||False|||</v>
          </cell>
          <cell r="C213" t="str">
            <v>V_KEYWORD_ISSR_208019929_SALES_TOT_EMEA</v>
          </cell>
        </row>
        <row r="214">
          <cell r="A214" t="str">
            <v>Vector|||208019929|||ISSR|||SALES_EU_EX_UK|||False|||</v>
          </cell>
          <cell r="C214" t="str">
            <v>V_KEYWORD_ISSR_208019929_SALES_EU_EX_UK</v>
          </cell>
        </row>
        <row r="215">
          <cell r="A215" t="str">
            <v>Vector|||208019929|||ISSR|||SALES_CEE|||False|||</v>
          </cell>
          <cell r="C215" t="str">
            <v>V_KEYWORD_ISSR_208019929_SALES_CEE</v>
          </cell>
        </row>
        <row r="216">
          <cell r="A216" t="str">
            <v>Vector|||208019929|||ISSR|||SALES_ME|||False|||</v>
          </cell>
          <cell r="C216" t="str">
            <v>V_KEYWORD_ISSR_208019929_SALES_ME</v>
          </cell>
        </row>
        <row r="217">
          <cell r="A217" t="str">
            <v>Vector|||208019929|||ISSR|||SALES_TOT_AFRICA|||False|||</v>
          </cell>
          <cell r="C217" t="str">
            <v>V_KEYWORD_ISSR_208019929_SALES_TOT_AFRICA</v>
          </cell>
        </row>
        <row r="218">
          <cell r="A218" t="str">
            <v>Vector|||208019929|||ISSR|||SALES_OTH_EMEA|||False|||</v>
          </cell>
          <cell r="C218" t="str">
            <v>V_KEYWORD_ISSR_208019929_SALES_OTH_EMEA</v>
          </cell>
        </row>
        <row r="219">
          <cell r="A219" t="str">
            <v>Vector|||208019929|||ISSR|||SALES_TOT_ASIA|||False|||</v>
          </cell>
          <cell r="C219" t="str">
            <v>V_KEYWORD_ISSR_208019929_SALES_TOT_ASIA</v>
          </cell>
        </row>
        <row r="220">
          <cell r="A220" t="str">
            <v>Vector|||208019929|||ISSR|||SALES_OTH_AEJ|||False|||</v>
          </cell>
          <cell r="C220" t="str">
            <v>V_KEYWORD_ISSR_208019929_SALES_OTH_AEJ</v>
          </cell>
        </row>
        <row r="226">
          <cell r="A226" t="str">
            <v>Scalar|||200020663|||EQTY|||PUB_CURRENCY_ISO|||False|||</v>
          </cell>
          <cell r="C226" t="str">
            <v>V_KEYWORD_EQTY_200020663_PUB_CURRENCY_ISO</v>
          </cell>
        </row>
        <row r="227">
          <cell r="A227" t="str">
            <v>Scalar|||200020663|||EQTY|||PRICE_CURRENCY_ISO|||False|||</v>
          </cell>
          <cell r="C227" t="str">
            <v>V_KEYWORD_EQTY_200020663_PRICE_CURRENCY_ISO</v>
          </cell>
        </row>
        <row r="228">
          <cell r="A228" t="str">
            <v>Scalar|||200020663|||EQTY|||CURRENCY_ISO|||False|||</v>
          </cell>
          <cell r="C228" t="str">
            <v>V_KEYWORD_EQTY_200020663_CURRENCY_ISO</v>
          </cell>
        </row>
        <row r="230">
          <cell r="A230" t="str">
            <v>Scalar|||200020663|||EQTY|||AEJ_LIST|||False|||</v>
          </cell>
          <cell r="C230" t="str">
            <v>V_KEYWORD_EQTY_200020663_AEJ_LIST</v>
          </cell>
        </row>
        <row r="231">
          <cell r="A231" t="str">
            <v>Scalar|||200020663|||EQTY|||AEJ_CONVICTION|||False|||</v>
          </cell>
          <cell r="C231" t="str">
            <v>V_KEYWORD_EQTY_200020663_AEJ_CONVICTION</v>
          </cell>
        </row>
        <row r="232">
          <cell r="A232" t="str">
            <v>Scalar|||200020663|||EQTY|||LEGAL_RATING|||False|||</v>
          </cell>
          <cell r="C232" t="str">
            <v>V_KEYWORD_EQTY_200020663_LEGAL_RATING</v>
          </cell>
        </row>
        <row r="233">
          <cell r="A233" t="str">
            <v>Scalar|||200020663|||EQTY|||TARGET_PRICE|||False|||</v>
          </cell>
          <cell r="C233" t="str">
            <v>V_KEYWORD_EQTY_200020663_TARGET_PRICE</v>
          </cell>
        </row>
        <row r="234">
          <cell r="A234" t="str">
            <v>Scalar|||200020663|||EQTY|||TP_PERIOD|||False|||</v>
          </cell>
          <cell r="C234" t="str">
            <v>V_KEYWORD_EQTY_200020663_TP_PERIOD</v>
          </cell>
        </row>
        <row r="235">
          <cell r="A235" t="str">
            <v>Scalar|||200020663|||EQTY|||TARGET_PRICE_FUNDAMENTAL|||False|||</v>
          </cell>
          <cell r="C235" t="str">
            <v>V_KEYWORD_EQTY_200020663_TARGET_PRICE_FUNDAMENTAL</v>
          </cell>
        </row>
        <row r="236">
          <cell r="A236" t="str">
            <v>Scalar|||200020663|||EQTY|||TARGET_PRICE_MA|||False|||</v>
          </cell>
          <cell r="C236" t="str">
            <v>V_KEYWORD_EQTY_200020663_TARGET_PRICE_MA</v>
          </cell>
        </row>
        <row r="237">
          <cell r="A237" t="str">
            <v>Scalar|||200020663|||EQTY|||NUM_SH|||False|||</v>
          </cell>
          <cell r="C237" t="str">
            <v>V_KEYWORD_EQTY_200020663_NUM_SH</v>
          </cell>
        </row>
        <row r="238">
          <cell r="A238" t="str">
            <v>Scalar|||200020663|||EQTY|||FREE_FLOAT|||False|||</v>
          </cell>
          <cell r="C238" t="str">
            <v>V_KEYWORD_EQTY_200020663_FREE_FLOAT</v>
          </cell>
        </row>
        <row r="239">
          <cell r="A239" t="str">
            <v>Scalar|||200020663|||EQTY|||FOREIGN_HOLDNG|||False|||</v>
          </cell>
          <cell r="C239" t="str">
            <v>V_KEYWORD_EQTY_200020663_FOREIGN_HOLDNG</v>
          </cell>
        </row>
        <row r="240">
          <cell r="A240" t="str">
            <v>Scalar|||200020663|||EQTY|||CATALYST1_DATE|||True|||</v>
          </cell>
          <cell r="C240" t="str">
            <v>V_KEYWORD_EQTY_200020663_CATALYST1_DATE</v>
          </cell>
        </row>
        <row r="241">
          <cell r="A241" t="str">
            <v>Scalar|||200020663|||EQTY|||CATALYST1_EVENT|||False|||</v>
          </cell>
          <cell r="C241" t="str">
            <v>V_KEYWORD_EQTY_200020663_CATALYST1_EVENT</v>
          </cell>
        </row>
        <row r="242">
          <cell r="A242" t="str">
            <v>Scalar|||200020663|||EQTY|||CATALYST2_DATE|||True|||</v>
          </cell>
          <cell r="C242" t="str">
            <v>V_KEYWORD_EQTY_200020663_CATALYST2_DATE</v>
          </cell>
        </row>
        <row r="243">
          <cell r="A243" t="str">
            <v>Scalar|||200020663|||EQTY|||CATALYST2_EVENT|||False|||</v>
          </cell>
          <cell r="C243" t="str">
            <v>V_KEYWORD_EQTY_200020663_CATALYST2_EVENT</v>
          </cell>
        </row>
        <row r="244">
          <cell r="A244" t="str">
            <v>Scalar|||200020663|||EQTY|||CATALYST3_DATE|||True|||</v>
          </cell>
          <cell r="C244" t="str">
            <v>V_KEYWORD_EQTY_200020663_CATALYST3_DATE</v>
          </cell>
        </row>
        <row r="245">
          <cell r="A245" t="str">
            <v>Scalar|||200020663|||EQTY|||CATALYST3_EVENT|||False|||</v>
          </cell>
          <cell r="C245" t="str">
            <v>V_KEYWORD_EQTY_200020663_CATALYST3_EVENT</v>
          </cell>
        </row>
        <row r="246">
          <cell r="A246" t="str">
            <v>Scalar|||200020663|||EQTY|||CATALYST4_DATE|||True|||</v>
          </cell>
          <cell r="C246" t="str">
            <v>V_KEYWORD_EQTY_200020663_CATALYST4_DATE</v>
          </cell>
        </row>
        <row r="247">
          <cell r="A247" t="str">
            <v>Scalar|||200020663|||EQTY|||CATALYST4_EVENT|||False|||</v>
          </cell>
          <cell r="C247" t="str">
            <v>V_KEYWORD_EQTY_200020663_CATALYST4_EVENT</v>
          </cell>
        </row>
        <row r="248">
          <cell r="A248" t="str">
            <v>Scalar|||200020663|||EQTY|||CATALYST5_DATE|||True|||</v>
          </cell>
          <cell r="C248" t="str">
            <v>V_KEYWORD_EQTY_200020663_CATALYST5_DATE</v>
          </cell>
        </row>
        <row r="249">
          <cell r="A249" t="str">
            <v>Scalar|||200020663|||EQTY|||CATALYST5_EVENT|||False|||</v>
          </cell>
          <cell r="C249" t="str">
            <v>V_KEYWORD_EQTY_200020663_CATALYST5_EVENT</v>
          </cell>
        </row>
        <row r="250">
          <cell r="A250" t="str">
            <v>Scalar|||200020663|||EQTY|||PRI_TARG_MULT|||False|||</v>
          </cell>
          <cell r="C250" t="str">
            <v>V_KEYWORD_EQTY_200020663_PRI_TARG_MULT</v>
          </cell>
        </row>
        <row r="251">
          <cell r="A251" t="str">
            <v>Scalar|||200020663|||EQTY|||PRI_TARG_METH|||False|||</v>
          </cell>
          <cell r="C251" t="str">
            <v>V_KEYWORD_EQTY_200020663_PRI_TARG_METH</v>
          </cell>
        </row>
        <row r="253">
          <cell r="A253" t="str">
            <v>Vector|||200020663|||EQTY|||BVPS_PUB|||False|||</v>
          </cell>
          <cell r="C253" t="str">
            <v>V_KEYWORD_EQTY_200020663_BVPS_PUB</v>
          </cell>
        </row>
        <row r="254">
          <cell r="A254" t="str">
            <v>Vector|||200020663|||EQTY|||DPS_PUB|||False|||</v>
          </cell>
          <cell r="C254" t="str">
            <v>V_KEYWORD_EQTY_200020663_DPS_PUB</v>
          </cell>
        </row>
        <row r="255">
          <cell r="A255" t="str">
            <v>Vector|||200020663|||EQTY|||DPS_SPECIAL_PUB|||False|||</v>
          </cell>
          <cell r="C255" t="str">
            <v>V_KEYWORD_EQTY_200020663_DPS_SPECIAL_PUB</v>
          </cell>
        </row>
        <row r="256">
          <cell r="A256" t="str">
            <v>Vector|||200020663|||EQTY|||EBITDA_PUB|||False|||</v>
          </cell>
          <cell r="C256" t="str">
            <v>V_KEYWORD_EQTY_200020663_EBITDA_PUB</v>
          </cell>
        </row>
        <row r="257">
          <cell r="A257" t="str">
            <v>Vector|||200020663|||EQTY|||EPS_PUB|||False|||</v>
          </cell>
          <cell r="C257" t="str">
            <v>V_KEYWORD_EQTY_200020663_EPS_PUB</v>
          </cell>
          <cell r="Q257" t="str">
            <v>ERROR</v>
          </cell>
          <cell r="R257" t="str">
            <v>ERROR</v>
          </cell>
          <cell r="S257" t="str">
            <v>ERROR</v>
          </cell>
          <cell r="T257" t="str">
            <v>ERROR</v>
          </cell>
          <cell r="U257" t="str">
            <v>ERROR</v>
          </cell>
          <cell r="AX257" t="str">
            <v>ERROR</v>
          </cell>
          <cell r="AY257" t="str">
            <v>ERROR</v>
          </cell>
          <cell r="AZ257" t="str">
            <v>ERROR</v>
          </cell>
          <cell r="BA257" t="str">
            <v>ERROR</v>
          </cell>
          <cell r="BB257" t="str">
            <v>ERROR</v>
          </cell>
          <cell r="BC257" t="str">
            <v>ERROR</v>
          </cell>
          <cell r="BD257" t="str">
            <v>ERROR</v>
          </cell>
          <cell r="BE257" t="str">
            <v>ERROR</v>
          </cell>
          <cell r="BF257" t="str">
            <v>ERROR</v>
          </cell>
          <cell r="BG257" t="str">
            <v>ERROR</v>
          </cell>
        </row>
        <row r="258">
          <cell r="A258" t="str">
            <v>Vector|||200020663|||EQTY|||EV_ADJ_PUB|||False|||</v>
          </cell>
          <cell r="C258" t="str">
            <v>V_KEYWORD_EQTY_200020663_EV_ADJ_PUB</v>
          </cell>
        </row>
        <row r="259">
          <cell r="A259" t="str">
            <v>Vector|||200020663|||EQTY|||NET_DEBT_PUB|||False|||</v>
          </cell>
          <cell r="C259" t="str">
            <v>V_KEYWORD_EQTY_200020663_NET_DEBT_PUB</v>
          </cell>
        </row>
        <row r="260">
          <cell r="A260" t="str">
            <v>Vector|||200020663|||EQTY|||NET_DEBT_EX_LEASES_PUB|||False|||</v>
          </cell>
          <cell r="C260" t="str">
            <v>V_KEYWORD_EQTY_200020663_NET_DEBT_EX_LEASES_PUB</v>
          </cell>
        </row>
        <row r="261">
          <cell r="A261" t="str">
            <v>Vector|||200020663|||EQTY|||CEEE_NDEBT|||False|||</v>
          </cell>
          <cell r="C261" t="str">
            <v>V_KEYWORD_EQTY_200020663_CEEE_NDEBT</v>
          </cell>
        </row>
        <row r="262">
          <cell r="A262" t="str">
            <v>Vector|||200020663|||EQTY|||NI_PUB|||False|||</v>
          </cell>
          <cell r="C262" t="str">
            <v>V_KEYWORD_EQTY_200020663_NI_PUB</v>
          </cell>
        </row>
        <row r="263">
          <cell r="A263" t="str">
            <v>Vector|||200020663|||EQTY|||EBIT_PUB|||False|||</v>
          </cell>
          <cell r="C263" t="str">
            <v>V_KEYWORD_EQTY_200020663_EBIT_PUB</v>
          </cell>
        </row>
        <row r="264">
          <cell r="A264" t="str">
            <v>Vector|||200020663|||EQTY|||PTP_PUB|||False|||</v>
          </cell>
          <cell r="C264" t="str">
            <v>V_KEYWORD_EQTY_200020663_PTP_PUB</v>
          </cell>
        </row>
        <row r="265">
          <cell r="A265" t="str">
            <v>Vector|||200020663|||EQTY|||REVS_PUB|||False|||</v>
          </cell>
          <cell r="C265" t="str">
            <v>V_KEYWORD_EQTY_200020663_REVS_PUB</v>
          </cell>
        </row>
        <row r="266">
          <cell r="A266" t="str">
            <v>Vector|||200020663|||EQTY|||EQ_PUB|||False|||</v>
          </cell>
          <cell r="C266" t="str">
            <v>V_KEYWORD_EQTY_200020663_EQ_PUB</v>
          </cell>
        </row>
        <row r="267">
          <cell r="A267" t="str">
            <v>Vector|||200020663|||EQTY|||EPS_CONS_PUB|||False|||</v>
          </cell>
          <cell r="C267" t="str">
            <v>V_KEYWORD_EQTY_200020663_EPS_CONS_PUB</v>
          </cell>
        </row>
        <row r="269">
          <cell r="A269" t="str">
            <v>Vector|||200020663|||EQTY|||PROV_INC_TAX|||False|||</v>
          </cell>
          <cell r="C269" t="str">
            <v>V_KEYWORD_EQTY_200020663_PROV_INC_TAX</v>
          </cell>
        </row>
        <row r="270">
          <cell r="A270" t="str">
            <v>Vector|||200020663|||EQTY|||INC_MINORITY|||False|||</v>
          </cell>
          <cell r="C270" t="str">
            <v>V_KEYWORD_EQTY_200020663_INC_MINORITY</v>
          </cell>
        </row>
        <row r="271">
          <cell r="A271" t="str">
            <v>Vector|||200020663|||EQTY|||NI_PRE_PREF|||False|||</v>
          </cell>
          <cell r="C271" t="str">
            <v>V_KEYWORD_EQTY_200020663_NI_PRE_PREF</v>
          </cell>
        </row>
        <row r="272">
          <cell r="A272" t="str">
            <v>Vector|||200020663|||EQTY|||PREF_DIV|||False|||</v>
          </cell>
          <cell r="C272" t="str">
            <v>V_KEYWORD_EQTY_200020663_PREF_DIV</v>
          </cell>
        </row>
        <row r="273">
          <cell r="A273" t="str">
            <v>Vector|||200020663|||EQTY|||NET_EARNING|||False|||</v>
          </cell>
          <cell r="C273" t="str">
            <v>V_KEYWORD_EQTY_200020663_NET_EARNING</v>
          </cell>
        </row>
        <row r="274">
          <cell r="A274" t="str">
            <v>Vector|||200020663|||EQTY|||TAX_EXC|||False|||</v>
          </cell>
          <cell r="C274" t="str">
            <v>V_KEYWORD_EQTY_200020663_TAX_EXC</v>
          </cell>
        </row>
        <row r="275">
          <cell r="A275" t="str">
            <v>Vector|||200020663|||EQTY|||NET_INC|||False|||</v>
          </cell>
          <cell r="C275" t="str">
            <v>V_KEYWORD_EQTY_200020663_NET_INC</v>
          </cell>
        </row>
        <row r="276">
          <cell r="A276" t="str">
            <v>Vector|||200020663|||EQTY|||EPS|||False|||</v>
          </cell>
          <cell r="C276" t="str">
            <v>V_KEYWORD_EQTY_200020663_EPS</v>
          </cell>
        </row>
        <row r="277">
          <cell r="A277" t="str">
            <v>Vector|||200020663|||EQTY|||EPS_FUL_DIL|||False|||</v>
          </cell>
          <cell r="C277" t="str">
            <v>V_KEYWORD_EQTY_200020663_EPS_FUL_DIL</v>
          </cell>
        </row>
        <row r="278">
          <cell r="A278" t="str">
            <v>Vector|||200020663|||EQTY|||EPS_POST_BASIC|||False|||</v>
          </cell>
          <cell r="C278" t="str">
            <v>V_KEYWORD_EQTY_200020663_EPS_POST_BASIC</v>
          </cell>
        </row>
        <row r="279">
          <cell r="A279" t="str">
            <v>Vector|||200020663|||EQTY|||FULLY_DIL_EPS|||False|||</v>
          </cell>
          <cell r="C279" t="str">
            <v>V_KEYWORD_EQTY_200020663_FULLY_DIL_EPS</v>
          </cell>
        </row>
        <row r="280">
          <cell r="A280" t="str">
            <v>Vector|||200020663|||EQTY|||COMMON_DIV_PAID|||False|||</v>
          </cell>
          <cell r="C280" t="str">
            <v>V_KEYWORD_EQTY_200020663_COMMON_DIV_PAID</v>
          </cell>
        </row>
        <row r="281">
          <cell r="A281" t="str">
            <v>Vector|||200020663|||EQTY|||DPS|||False|||</v>
          </cell>
          <cell r="C281" t="str">
            <v>V_KEYWORD_EQTY_200020663_DPS</v>
          </cell>
        </row>
        <row r="282">
          <cell r="A282" t="str">
            <v>Vector|||200020663|||EQTY|||SH|||False|||</v>
          </cell>
          <cell r="C282" t="str">
            <v>V_KEYWORD_EQTY_200020663_SH</v>
          </cell>
        </row>
        <row r="283">
          <cell r="A283" t="str">
            <v>Vector|||200020663|||EQTY|||DILUTE_SHARES|||False|||</v>
          </cell>
          <cell r="C283" t="str">
            <v>V_KEYWORD_EQTY_200020663_DILUTE_SHARES</v>
          </cell>
        </row>
        <row r="284">
          <cell r="A284" t="str">
            <v>Vector|||200020663|||EQTY|||NON_OP_ADD|||False|||</v>
          </cell>
          <cell r="C284" t="str">
            <v>V_KEYWORD_EQTY_200020663_NON_OP_ADD</v>
          </cell>
        </row>
        <row r="286">
          <cell r="A286" t="str">
            <v>Vector|||200020663|||EQTY|||MARGIN_TAX_RATE|||False|||</v>
          </cell>
          <cell r="C286" t="str">
            <v>V_KEYWORD_EQTY_200020663_MARGIN_TAX_RATE</v>
          </cell>
        </row>
        <row r="287">
          <cell r="A287" t="str">
            <v>Vector|||200020663|||EQTY|||NI_CONS|||False|||</v>
          </cell>
          <cell r="C287" t="str">
            <v>V_KEYWORD_EQTY_200020663_NI_CONS</v>
          </cell>
        </row>
        <row r="289">
          <cell r="A289" t="str">
            <v>Vector|||200020663|||EQTY|||BVPS|||False|||</v>
          </cell>
          <cell r="C289" t="str">
            <v>V_KEYWORD_EQTY_200020663_BVPS</v>
          </cell>
        </row>
        <row r="291">
          <cell r="A291" t="str">
            <v>Vector|||200020663|||EQTY|||CF_NI_PRE_PREF|||False|||</v>
          </cell>
          <cell r="C291" t="str">
            <v>V_KEYWORD_EQTY_200020663_CF_NI_PRE_PREF</v>
          </cell>
        </row>
        <row r="293">
          <cell r="A293" t="str">
            <v>Scalar|||200020663|||EQTY|||BETA_ANALYST|||False|||</v>
          </cell>
          <cell r="C293" t="str">
            <v>V_KEYWORD_EQTY_200020663_BETA_ANALYST</v>
          </cell>
        </row>
        <row r="294">
          <cell r="A294" t="str">
            <v>Scalar|||200020663|||EQTY|||MKT_EQ_RISK_PREM|||False|||</v>
          </cell>
          <cell r="C294" t="str">
            <v>V_KEYWORD_EQTY_200020663_MKT_EQ_RISK_PREM</v>
          </cell>
        </row>
        <row r="295">
          <cell r="A295" t="str">
            <v>Scalar|||200020663|||EQTY|||RISK_FR_RATE|||False|||</v>
          </cell>
          <cell r="C295" t="str">
            <v>V_KEYWORD_EQTY_200020663_RISK_FR_RATE</v>
          </cell>
        </row>
      </sheetData>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Page"/>
      <sheetName val="Assumption"/>
      <sheetName val="Discounted PE"/>
      <sheetName val="Model"/>
      <sheetName val="Valuation"/>
      <sheetName val="Comp-LLonly"/>
      <sheetName val="10y capex"/>
      <sheetName val="Depreciation"/>
      <sheetName val="charts"/>
      <sheetName val="Charts new"/>
      <sheetName val="Sheet1"/>
      <sheetName val="Discounted PE A"/>
      <sheetName val="0981.HK_Exchange_Sheet"/>
      <sheetName val="Capacity"/>
      <sheetName val="Sheet2"/>
      <sheetName val="Discount PE new"/>
      <sheetName val="P&amp;L sum"/>
      <sheetName val="SUM"/>
      <sheetName val="Comp"/>
      <sheetName val="HW"/>
      <sheetName val="Comp 28d"/>
      <sheetName val="Basic Data TR"/>
      <sheetName val="Raw Data"/>
      <sheetName val="Scenario"/>
      <sheetName val="Segment"/>
      <sheetName val="PE PB"/>
      <sheetName val="0981.HK_Live_Sheet"/>
      <sheetName val="0981.HK_Validation_Sheet"/>
      <sheetName val="0981.HK_Annotation_Sheet"/>
    </sheetNames>
    <sheetDataSet>
      <sheetData sheetId="0"/>
      <sheetData sheetId="1">
        <row r="22">
          <cell r="AI22">
            <v>0.92534101046337824</v>
          </cell>
        </row>
      </sheetData>
      <sheetData sheetId="2">
        <row r="4">
          <cell r="C4" t="str">
            <v>28nm</v>
          </cell>
          <cell r="D4" t="str">
            <v>14nm</v>
          </cell>
          <cell r="E4" t="str">
            <v>12nm</v>
          </cell>
          <cell r="F4"/>
          <cell r="G4"/>
          <cell r="H4"/>
          <cell r="I4"/>
          <cell r="J4"/>
          <cell r="K4"/>
          <cell r="L4"/>
          <cell r="M4"/>
          <cell r="N4"/>
        </row>
        <row r="5">
          <cell r="C5">
            <v>3359.9839999999999</v>
          </cell>
          <cell r="D5">
            <v>3115.672</v>
          </cell>
          <cell r="E5">
            <v>3906.9750000000004</v>
          </cell>
          <cell r="F5">
            <v>5443.1120000000001</v>
          </cell>
          <cell r="G5">
            <v>7273.2839999999997</v>
          </cell>
          <cell r="H5">
            <v>6346.8571262674286</v>
          </cell>
          <cell r="I5">
            <v>8678.3274948273938</v>
          </cell>
          <cell r="J5">
            <v>10477.466288199452</v>
          </cell>
          <cell r="K5">
            <v>12256.406855060715</v>
          </cell>
          <cell r="L5">
            <v>14071.326635128942</v>
          </cell>
          <cell r="M5">
            <v>15829.130068864681</v>
          </cell>
          <cell r="N5"/>
        </row>
        <row r="15">
          <cell r="C15">
            <v>-14.475999999999999</v>
          </cell>
          <cell r="D15">
            <v>-23.416</v>
          </cell>
          <cell r="E15">
            <v>-68.31</v>
          </cell>
          <cell r="F15">
            <v>-65.165999999999997</v>
          </cell>
          <cell r="G15">
            <v>-16.023000000000003</v>
          </cell>
          <cell r="H15">
            <v>-78.495860219261019</v>
          </cell>
          <cell r="I15">
            <v>-213.97850432718604</v>
          </cell>
          <cell r="J15">
            <v>-336.87625775615942</v>
          </cell>
          <cell r="K15">
            <v>-415.69406662654598</v>
          </cell>
          <cell r="L15">
            <v>-504.6768062863456</v>
          </cell>
          <cell r="M15">
            <v>-596.43609328630407</v>
          </cell>
          <cell r="N15"/>
        </row>
      </sheetData>
      <sheetData sheetId="3"/>
      <sheetData sheetId="4">
        <row r="3">
          <cell r="J3">
            <v>1.9707264935064936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odel"/>
      <sheetName val="Table"/>
      <sheetName val="Assumption"/>
      <sheetName val="Valuation"/>
      <sheetName val="TP"/>
      <sheetName val="10y capex"/>
      <sheetName val="Scenario analysis"/>
      <sheetName val="Depr"/>
      <sheetName val="Charts"/>
      <sheetName val="P&amp;L sum"/>
      <sheetName val="Gov sub"/>
      <sheetName val="SUM"/>
      <sheetName val="12‘’ fab capaicty breakdown"/>
      <sheetName val="1347.HK_Exchange_Sheet"/>
      <sheetName val="Discount PE new"/>
      <sheetName val="12&quot;fab"/>
      <sheetName val="Comp 28d"/>
      <sheetName val="Comp"/>
      <sheetName val="Share price"/>
      <sheetName val="PE PB"/>
      <sheetName val="Raw Data"/>
      <sheetName val="1347.HK_Live_Sheet"/>
      <sheetName val="1347.HK_Validation_Sheet"/>
      <sheetName val="1347.HK_Annotation_Sheet"/>
      <sheetName val="Basic Data TR"/>
      <sheetName val="Segment"/>
      <sheetName val="july 7 call summary"/>
    </sheetNames>
    <sheetDataSet>
      <sheetData sheetId="0" refreshError="1"/>
      <sheetData sheetId="1" refreshError="1"/>
      <sheetData sheetId="2" refreshError="1"/>
      <sheetData sheetId="3" refreshError="1"/>
      <sheetData sheetId="4" refreshError="1"/>
      <sheetData sheetId="5">
        <row r="56">
          <cell r="B56" t="str">
            <v>Hua Hong - H</v>
          </cell>
        </row>
        <row r="57">
          <cell r="B57" t="str">
            <v>Hua Hong - A</v>
          </cell>
        </row>
        <row r="58">
          <cell r="B58" t="str">
            <v>TSMC - TW</v>
          </cell>
        </row>
        <row r="59">
          <cell r="B59" t="str">
            <v>TSMC - US</v>
          </cell>
        </row>
        <row r="60">
          <cell r="B60" t="str">
            <v>UMC</v>
          </cell>
        </row>
        <row r="61">
          <cell r="B61" t="str">
            <v>Vanguard</v>
          </cell>
        </row>
        <row r="62">
          <cell r="B62" t="str">
            <v>SMIC-A</v>
          </cell>
        </row>
        <row r="63">
          <cell r="B63" t="str">
            <v>SMIC-H</v>
          </cell>
        </row>
        <row r="64">
          <cell r="B64" t="str">
            <v>Nexchip</v>
          </cell>
        </row>
        <row r="65">
          <cell r="B65" t="str">
            <v>CR Micro</v>
          </cell>
        </row>
        <row r="66">
          <cell r="B66" t="str">
            <v>Sanan</v>
          </cell>
        </row>
        <row r="67">
          <cell r="B67" t="str">
            <v>Silan</v>
          </cell>
        </row>
        <row r="68">
          <cell r="B68" t="str">
            <v>United Nova</v>
          </cell>
        </row>
        <row r="69">
          <cell r="B69" t="str">
            <v>Powerchip</v>
          </cell>
        </row>
        <row r="70">
          <cell r="B70" t="str">
            <v>Globalfoundries</v>
          </cell>
        </row>
        <row r="71">
          <cell r="B71" t="str">
            <v>Tower Semi</v>
          </cell>
        </row>
        <row r="72">
          <cell r="B72" t="str">
            <v>Samsung</v>
          </cell>
        </row>
        <row r="73">
          <cell r="B73" t="str">
            <v>Jingjia Micro</v>
          </cell>
        </row>
        <row r="74">
          <cell r="B74" t="str">
            <v>Hygon</v>
          </cell>
        </row>
        <row r="75">
          <cell r="B75" t="str">
            <v>Empyrean</v>
          </cell>
        </row>
        <row r="78">
          <cell r="B78" t="str">
            <v>JCET</v>
          </cell>
        </row>
        <row r="79">
          <cell r="B79" t="str">
            <v>Tongfu</v>
          </cell>
        </row>
        <row r="80">
          <cell r="B80" t="str">
            <v>Yangjie</v>
          </cell>
        </row>
        <row r="81">
          <cell r="B81" t="str">
            <v>Accotest</v>
          </cell>
        </row>
        <row r="82">
          <cell r="B82" t="str">
            <v>Naura</v>
          </cell>
        </row>
        <row r="83">
          <cell r="B83" t="str">
            <v>AMEC</v>
          </cell>
        </row>
        <row r="84">
          <cell r="B84" t="str">
            <v>Will Semi</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Page"/>
      <sheetName val="Assumption"/>
      <sheetName val="Sheet1"/>
      <sheetName val="Model"/>
      <sheetName val="Comp-LLonly"/>
      <sheetName val="Valuation"/>
      <sheetName val="HW"/>
      <sheetName val="Discounted PE"/>
      <sheetName val="P&amp;L sum"/>
      <sheetName val="Comp"/>
      <sheetName val="Comp 28d"/>
      <sheetName val="10y capex"/>
      <sheetName val="Discount PE new"/>
      <sheetName val="charts"/>
      <sheetName val="Basic Data TR"/>
      <sheetName val="Depreciation"/>
      <sheetName val="Raw Data"/>
      <sheetName val="SUM"/>
      <sheetName val="Scenario"/>
      <sheetName val="Capacity"/>
      <sheetName val="Segment"/>
      <sheetName val="0981.HK_Exchange_Sheet"/>
      <sheetName val="PE PB"/>
      <sheetName val="0981.HK_Live_Sheet"/>
      <sheetName val="0981.HK_Validation_Sheet"/>
      <sheetName val="0981.HK_Annotation_Sheet"/>
    </sheetNames>
    <sheetDataSet>
      <sheetData sheetId="0"/>
      <sheetData sheetId="1"/>
      <sheetData sheetId="2"/>
      <sheetData sheetId="3"/>
      <sheetData sheetId="4"/>
      <sheetData sheetId="5"/>
      <sheetData sheetId="6"/>
      <sheetData sheetId="7"/>
      <sheetData sheetId="8"/>
      <sheetData sheetId="9"/>
      <sheetData sheetId="10"/>
      <sheetData sheetId="11">
        <row r="46">
          <cell r="D46">
            <v>2029.3000000000002</v>
          </cell>
          <cell r="E46">
            <v>4300</v>
          </cell>
          <cell r="F46">
            <v>4730</v>
          </cell>
          <cell r="G46">
            <v>5203.0000000000009</v>
          </cell>
          <cell r="H46">
            <v>5340.8900000000012</v>
          </cell>
          <cell r="I46">
            <v>5265.0322000000006</v>
          </cell>
          <cell r="J46">
            <v>5181.6715020000011</v>
          </cell>
          <cell r="K46">
            <v>5746.5671558969989</v>
          </cell>
          <cell r="L46">
            <v>6611.7345880181738</v>
          </cell>
          <cell r="M46">
            <v>6304.67880821176</v>
          </cell>
          <cell r="N46">
            <v>6853.4968745142105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PE"/>
      <sheetName val="002456.SZ_Live_Sheet"/>
      <sheetName val="002456.SZ_Validation_Sheet"/>
      <sheetName val="002456.SZ_Annotation_Sheet"/>
      <sheetName val="Cover Page"/>
      <sheetName val="AFOSHEET"/>
      <sheetName val="Ratios_old"/>
      <sheetName val="Basic Data_Wind"/>
      <sheetName val="5G TAM"/>
      <sheetName val="Charts"/>
      <sheetName val="Model"/>
      <sheetName val="Assumptions"/>
      <sheetName val="Valuation page"/>
      <sheetName val="Raw PL annual"/>
      <sheetName val="Raw PL quarterly"/>
      <sheetName val="Raw BS"/>
      <sheetName val="Raw CF"/>
      <sheetName val="002456.SZ_Exchange_Sheet"/>
      <sheetName val="GS vs. BBG"/>
      <sheetName val="Valuation"/>
    </sheetNames>
    <sheetDataSet>
      <sheetData sheetId="0"/>
      <sheetData sheetId="1"/>
      <sheetData sheetId="2"/>
      <sheetData sheetId="3"/>
      <sheetData sheetId="4"/>
      <sheetData sheetId="5"/>
      <sheetData sheetId="6"/>
      <sheetData sheetId="7"/>
      <sheetData sheetId="8"/>
      <sheetData sheetId="9"/>
      <sheetData sheetId="10"/>
      <sheetData sheetId="11">
        <row r="51">
          <cell r="M51">
            <v>0.51020889091671162</v>
          </cell>
        </row>
      </sheetData>
      <sheetData sheetId="12">
        <row r="40">
          <cell r="AI40" t="str">
            <v>Camera module</v>
          </cell>
        </row>
        <row r="41">
          <cell r="AI41" t="str">
            <v>Fingerprint module</v>
          </cell>
        </row>
        <row r="42">
          <cell r="AI42" t="str">
            <v>Touch module</v>
          </cell>
        </row>
        <row r="43">
          <cell r="AI43" t="str">
            <v>Automotives</v>
          </cell>
        </row>
        <row r="44">
          <cell r="AI44" t="str">
            <v>Others</v>
          </cell>
        </row>
        <row r="45">
          <cell r="AI45" t="str">
            <v>GM</v>
          </cell>
        </row>
        <row r="46">
          <cell r="AI46" t="str">
            <v>Camera module</v>
          </cell>
        </row>
        <row r="47">
          <cell r="AI47" t="str">
            <v>Fingerprint module</v>
          </cell>
        </row>
        <row r="48">
          <cell r="AI48" t="str">
            <v>Touch module</v>
          </cell>
        </row>
        <row r="49">
          <cell r="AI49" t="str">
            <v>Automotives</v>
          </cell>
        </row>
      </sheetData>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theme/theme1.xml><?xml version="1.0" encoding="utf-8"?>
<a:theme xmlns:a="http://schemas.openxmlformats.org/drawingml/2006/main" name="GIR Product">
  <a:themeElements>
    <a:clrScheme name="GIR Exhibits">
      <a:dk1>
        <a:srgbClr val="000000"/>
      </a:dk1>
      <a:lt1>
        <a:sysClr val="window" lastClr="FFFFFF"/>
      </a:lt1>
      <a:dk2>
        <a:srgbClr val="BE3232"/>
      </a:dk2>
      <a:lt2>
        <a:srgbClr val="F67F26"/>
      </a:lt2>
      <a:accent1>
        <a:srgbClr val="00355F"/>
      </a:accent1>
      <a:accent2>
        <a:srgbClr val="ACD4F1"/>
      </a:accent2>
      <a:accent3>
        <a:srgbClr val="A5A5A5"/>
      </a:accent3>
      <a:accent4>
        <a:srgbClr val="7399C6"/>
      </a:accent4>
      <a:accent5>
        <a:srgbClr val="078549"/>
      </a:accent5>
      <a:accent6>
        <a:srgbClr val="8BC346"/>
      </a:accent6>
      <a:hlink>
        <a:srgbClr val="7399C6"/>
      </a:hlink>
      <a:folHlink>
        <a:srgbClr val="A5A5A5"/>
      </a:folHlink>
    </a:clrScheme>
    <a:fontScheme name="Relay Exhibits">
      <a:majorFont>
        <a:latin typeface="Arial"/>
        <a:ea typeface="MS Gothic"/>
        <a:cs typeface=""/>
      </a:majorFont>
      <a:minorFont>
        <a:latin typeface="Arial"/>
        <a:ea typeface="MS Gothic"/>
        <a:cs typeface=""/>
      </a:minorFont>
    </a:fontScheme>
    <a:fmtScheme name="GIR Product">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quity">
    <a:dk1>
      <a:sysClr val="windowText" lastClr="000000"/>
    </a:dk1>
    <a:lt1>
      <a:sysClr val="window" lastClr="FFFFFF"/>
    </a:lt1>
    <a:dk2>
      <a:srgbClr val="AEBAD5"/>
    </a:dk2>
    <a:lt2>
      <a:srgbClr val="DFE4EE"/>
    </a:lt2>
    <a:accent1>
      <a:srgbClr val="5E76AA"/>
    </a:accent1>
    <a:accent2>
      <a:srgbClr val="CFD6E6"/>
    </a:accent2>
    <a:accent3>
      <a:srgbClr val="9EADCC"/>
    </a:accent3>
    <a:accent4>
      <a:srgbClr val="EFF1F6"/>
    </a:accent4>
    <a:accent5>
      <a:srgbClr val="BFC8DD"/>
    </a:accent5>
    <a:accent6>
      <a:srgbClr val="8E9FC4"/>
    </a:accent6>
    <a:hlink>
      <a:srgbClr val="0070C6"/>
    </a:hlink>
    <a:folHlink>
      <a:srgbClr val="800080"/>
    </a:folHlink>
  </a:clrScheme>
  <a:fontScheme name="Relay Exhibits">
    <a:majorFont>
      <a:latin typeface="Arial"/>
      <a:ea typeface="MS Gothic"/>
      <a:cs typeface=""/>
    </a:majorFont>
    <a:minorFont>
      <a:latin typeface="Arial"/>
      <a:ea typeface="MS Gothic"/>
      <a:cs typeface=""/>
    </a:minorFont>
  </a:fontScheme>
  <a:fmtScheme name="GIR Product">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Equity">
    <a:dk1>
      <a:sysClr val="windowText" lastClr="000000"/>
    </a:dk1>
    <a:lt1>
      <a:sysClr val="window" lastClr="FFFFFF"/>
    </a:lt1>
    <a:dk2>
      <a:srgbClr val="AEBAD5"/>
    </a:dk2>
    <a:lt2>
      <a:srgbClr val="DFE4EE"/>
    </a:lt2>
    <a:accent1>
      <a:srgbClr val="5E76AA"/>
    </a:accent1>
    <a:accent2>
      <a:srgbClr val="CFD6E6"/>
    </a:accent2>
    <a:accent3>
      <a:srgbClr val="9EADCC"/>
    </a:accent3>
    <a:accent4>
      <a:srgbClr val="EFF1F6"/>
    </a:accent4>
    <a:accent5>
      <a:srgbClr val="BFC8DD"/>
    </a:accent5>
    <a:accent6>
      <a:srgbClr val="8E9FC4"/>
    </a:accent6>
    <a:hlink>
      <a:srgbClr val="0070C6"/>
    </a:hlink>
    <a:folHlink>
      <a:srgbClr val="800080"/>
    </a:folHlink>
  </a:clrScheme>
  <a:fontScheme name="Relay Exhibits">
    <a:majorFont>
      <a:latin typeface="Arial"/>
      <a:ea typeface="MS Gothic"/>
      <a:cs typeface=""/>
    </a:majorFont>
    <a:minorFont>
      <a:latin typeface="Arial"/>
      <a:ea typeface="MS Gothic"/>
      <a:cs typeface=""/>
    </a:minorFont>
  </a:fontScheme>
  <a:fmtScheme name="GIR Product">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Equity">
    <a:dk1>
      <a:sysClr val="windowText" lastClr="000000"/>
    </a:dk1>
    <a:lt1>
      <a:sysClr val="window" lastClr="FFFFFF"/>
    </a:lt1>
    <a:dk2>
      <a:srgbClr val="AEBAD5"/>
    </a:dk2>
    <a:lt2>
      <a:srgbClr val="DFE4EE"/>
    </a:lt2>
    <a:accent1>
      <a:srgbClr val="5E76AA"/>
    </a:accent1>
    <a:accent2>
      <a:srgbClr val="CFD6E6"/>
    </a:accent2>
    <a:accent3>
      <a:srgbClr val="9EADCC"/>
    </a:accent3>
    <a:accent4>
      <a:srgbClr val="EFF1F6"/>
    </a:accent4>
    <a:accent5>
      <a:srgbClr val="BFC8DD"/>
    </a:accent5>
    <a:accent6>
      <a:srgbClr val="8E9FC4"/>
    </a:accent6>
    <a:hlink>
      <a:srgbClr val="0070C6"/>
    </a:hlink>
    <a:folHlink>
      <a:srgbClr val="800080"/>
    </a:folHlink>
  </a:clrScheme>
  <a:fontScheme name="Relay Exhibits">
    <a:majorFont>
      <a:latin typeface="Arial"/>
      <a:ea typeface="MS Gothic"/>
      <a:cs typeface=""/>
    </a:majorFont>
    <a:minorFont>
      <a:latin typeface="Arial"/>
      <a:ea typeface="MS Gothic"/>
      <a:cs typeface=""/>
    </a:minorFont>
  </a:fontScheme>
  <a:fmtScheme name="GIR Product">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55CCD424-60E4-4E0D-8BF2-6152CE3D6A0A}">
  <we:reference id="49825c50-e8d8-4c4a-9a2c-e6f24181e018" version="1.0.0.0" store="EXCatalog" storeType="EXCatalog"/>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customProperty" Target="../customProperty25.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customProperty" Target="../customProperty6.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4.bin"/><Relationship Id="rId4" Type="http://schemas.openxmlformats.org/officeDocument/2006/relationships/customProperty" Target="../customProperty11.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6.bin"/><Relationship Id="rId1" Type="http://schemas.openxmlformats.org/officeDocument/2006/relationships/hyperlink" Target="https://m.moneydj.com/f1a.aspx?a=a6026eb5-9488-4879-b6e5-a54bc3b3c914" TargetMode="External"/><Relationship Id="rId4" Type="http://schemas.openxmlformats.org/officeDocument/2006/relationships/customProperty" Target="../customProperty15.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customProperty" Target="../customProperty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25"/>
  <sheetViews>
    <sheetView tabSelected="1" showOutlineSymbols="0" showWhiteSpace="0" workbookViewId="0">
      <selection activeCell="C23" sqref="C23"/>
    </sheetView>
  </sheetViews>
  <sheetFormatPr defaultColWidth="0" defaultRowHeight="36" customHeight="1" zeroHeight="1"/>
  <cols>
    <col min="1" max="1" width="2.5703125" style="73" customWidth="1"/>
    <col min="2" max="2" width="61.140625" style="73" bestFit="1" customWidth="1"/>
    <col min="3" max="3" width="18.42578125" style="73" customWidth="1"/>
    <col min="4" max="9" width="9.140625" style="73" customWidth="1"/>
    <col min="10" max="10" width="2.5703125" style="73" customWidth="1"/>
    <col min="11" max="21" width="9.140625" style="73" hidden="1" customWidth="1"/>
    <col min="22" max="16384" width="9.140625" style="73" hidden="1"/>
  </cols>
  <sheetData>
    <row r="1" spans="2:9" ht="10.15" customHeight="1"/>
    <row r="2" spans="2:9" ht="14.25"/>
    <row r="3" spans="2:9" ht="14.25"/>
    <row r="4" spans="2:9" ht="15">
      <c r="B4" s="74" t="s">
        <v>294</v>
      </c>
    </row>
    <row r="5" spans="2:9" ht="14.25"/>
    <row r="6" spans="2:9" ht="15">
      <c r="B6" s="1147" t="s">
        <v>696</v>
      </c>
      <c r="C6" s="1147"/>
      <c r="D6" s="1147"/>
      <c r="E6" s="1147"/>
      <c r="F6" s="1147"/>
      <c r="G6" s="1147"/>
      <c r="H6" s="1147"/>
      <c r="I6" s="1147"/>
    </row>
    <row r="7" spans="2:9" ht="14.25">
      <c r="B7" s="75" t="s">
        <v>141</v>
      </c>
      <c r="C7" s="76" t="s">
        <v>889</v>
      </c>
    </row>
    <row r="8" spans="2:9" ht="14.25">
      <c r="B8" s="75" t="s">
        <v>295</v>
      </c>
      <c r="C8" s="76" t="s">
        <v>1210</v>
      </c>
    </row>
    <row r="9" spans="2:9" ht="14.25">
      <c r="B9" s="75" t="s">
        <v>232</v>
      </c>
      <c r="C9" s="76">
        <v>3</v>
      </c>
    </row>
    <row r="10" spans="2:9" ht="14.25">
      <c r="B10" s="75" t="s">
        <v>1211</v>
      </c>
      <c r="C10" s="77">
        <v>95689</v>
      </c>
    </row>
    <row r="11" spans="2:9" ht="14.25">
      <c r="B11" s="75" t="s">
        <v>296</v>
      </c>
      <c r="C11" s="77">
        <f>Model!R62</f>
        <v>8013</v>
      </c>
    </row>
    <row r="12" spans="2:9" ht="14.25">
      <c r="B12" s="75" t="s">
        <v>297</v>
      </c>
      <c r="C12" s="76" t="s">
        <v>922</v>
      </c>
    </row>
    <row r="13" spans="2:9" ht="14.25">
      <c r="B13" s="75" t="s">
        <v>298</v>
      </c>
      <c r="C13" s="78">
        <v>46181</v>
      </c>
    </row>
    <row r="14" spans="2:9" ht="14.25">
      <c r="B14" s="75" t="s">
        <v>299</v>
      </c>
      <c r="C14" s="78">
        <v>46083</v>
      </c>
    </row>
    <row r="15" spans="2:9" ht="14.25"/>
    <row r="16" spans="2:9" ht="15">
      <c r="B16" s="1147" t="s">
        <v>300</v>
      </c>
      <c r="C16" s="1147"/>
      <c r="D16" s="1147"/>
      <c r="E16" s="1147"/>
      <c r="F16" s="1147"/>
      <c r="G16" s="1147"/>
      <c r="H16" s="1147"/>
      <c r="I16" s="1147"/>
    </row>
    <row r="17" spans="2:2" ht="14.25">
      <c r="B17" s="79" t="s">
        <v>301</v>
      </c>
    </row>
    <row r="18" spans="2:2" ht="14.25">
      <c r="B18" s="80" t="s">
        <v>432</v>
      </c>
    </row>
    <row r="19" spans="2:2" ht="14.25">
      <c r="B19" s="1281" t="s">
        <v>1212</v>
      </c>
    </row>
    <row r="20" spans="2:2" ht="14.25">
      <c r="B20" s="79"/>
    </row>
    <row r="21" spans="2:2" ht="14.25">
      <c r="B21" s="80"/>
    </row>
    <row r="22" spans="2:2" ht="14.25">
      <c r="B22" s="848" t="s">
        <v>1089</v>
      </c>
    </row>
    <row r="23" spans="2:2" ht="85.5">
      <c r="B23" s="849" t="s">
        <v>1090</v>
      </c>
    </row>
    <row r="24" spans="2:2" ht="14.25"/>
    <row r="25" spans="2:2" ht="14.25"/>
  </sheetData>
  <mergeCells count="2">
    <mergeCell ref="B6:I6"/>
    <mergeCell ref="B16:I16"/>
  </mergeCells>
  <dataValidations count="2">
    <dataValidation type="list" allowBlank="1" showInputMessage="1" showErrorMessage="1" sqref="C9" xr:uid="{00000000-0002-0000-0000-000000000000}">
      <formula1>"1, 2, 3"</formula1>
    </dataValidation>
    <dataValidation type="list" allowBlank="1" showInputMessage="1" showErrorMessage="1" sqref="C7" xr:uid="{00000000-0002-0000-0000-000001000000}">
      <formula1>"Buy, Sell, Neutral, Not Rated, Rating Suspended"</formula1>
    </dataValidation>
  </dataValidations>
  <pageMargins left="0.7" right="0.7" top="0.75" bottom="0.75" header="0.3" footer="0.3"/>
  <pageSetup paperSize="9" orientation="portrait" horizontalDpi="300" verticalDpi="300" r:id="rId1"/>
  <customProperties>
    <customPr name="Qube.Worksheet.Visibility" r:id="rId2"/>
    <customPr name="QXL_SHEET_ID" r:id="rId3"/>
    <customPr name="SHEET_UNIQUE_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FF316"/>
  <sheetViews>
    <sheetView showOutlineSymbols="0" showWhiteSpace="0" topLeftCell="B1" workbookViewId="0">
      <selection activeCell="B1" sqref="A1:XFD1048576"/>
    </sheetView>
  </sheetViews>
  <sheetFormatPr defaultColWidth="9.140625" defaultRowHeight="12.75" outlineLevelCol="1"/>
  <cols>
    <col min="1" max="1" width="42.5703125" style="1165" hidden="1" customWidth="1" outlineLevel="1"/>
    <col min="2" max="2" width="51" style="1165" customWidth="1" collapsed="1"/>
    <col min="3" max="14" width="10.5703125" style="1236" hidden="1" customWidth="1" outlineLevel="1"/>
    <col min="15" max="15" width="9.5703125" style="1236" hidden="1" customWidth="1" outlineLevel="1"/>
    <col min="16" max="17" width="10.42578125" style="1236" hidden="1" customWidth="1" outlineLevel="1"/>
    <col min="18" max="18" width="12.28515625" style="1236" customWidth="1" collapsed="1"/>
    <col min="19" max="26" width="10.42578125" style="1236" customWidth="1"/>
    <col min="27" max="29" width="10.42578125" style="1236" customWidth="1" outlineLevel="1"/>
    <col min="30" max="32" width="3" style="1236" customWidth="1"/>
    <col min="33" max="60" width="9.140625" style="1236" hidden="1" customWidth="1" outlineLevel="1"/>
    <col min="61" max="61" width="9.140625" style="1236" hidden="1" customWidth="1" outlineLevel="1" collapsed="1"/>
    <col min="62" max="92" width="9.140625" style="1236" hidden="1" customWidth="1" outlineLevel="1"/>
    <col min="93" max="93" width="3.85546875" style="1236" customWidth="1" collapsed="1"/>
    <col min="94" max="94" width="15.5703125" style="1236" customWidth="1"/>
    <col min="95" max="114" width="9.140625" style="1236" hidden="1" customWidth="1" outlineLevel="1"/>
    <col min="115" max="115" width="9.140625" style="1236" customWidth="1" collapsed="1"/>
    <col min="116" max="141" width="9.140625" style="1236" customWidth="1"/>
    <col min="142" max="150" width="10.42578125" style="1236" bestFit="1" customWidth="1"/>
    <col min="151" max="151" width="9.5703125" style="1236" bestFit="1" customWidth="1"/>
    <col min="152" max="16384" width="9.140625" style="1236"/>
  </cols>
  <sheetData>
    <row r="1" spans="1:162" s="1165" customFormat="1" ht="15.75">
      <c r="A1" s="1211"/>
      <c r="C1" s="1216"/>
      <c r="D1" s="1216"/>
      <c r="E1" s="1216"/>
      <c r="F1" s="1216"/>
      <c r="G1" s="1216"/>
      <c r="H1" s="1216"/>
      <c r="I1" s="1216"/>
      <c r="J1" s="1216"/>
      <c r="K1" s="1216"/>
      <c r="L1" s="1216"/>
      <c r="M1" s="1216"/>
      <c r="N1" s="1216"/>
      <c r="O1" s="1217"/>
      <c r="P1" s="1218"/>
      <c r="Q1" s="1216"/>
      <c r="R1" s="1216"/>
      <c r="S1" s="1216"/>
      <c r="T1" s="1216"/>
      <c r="U1" s="1216"/>
      <c r="V1" s="1216"/>
      <c r="W1" s="1216" t="s">
        <v>224</v>
      </c>
      <c r="X1" s="1216"/>
      <c r="Y1" s="1216"/>
      <c r="Z1" s="1216"/>
      <c r="AA1" s="1216"/>
      <c r="AB1" s="1216"/>
      <c r="AC1" s="1216"/>
      <c r="AD1" s="1216"/>
      <c r="AE1" s="1216"/>
      <c r="AF1" s="1216"/>
    </row>
    <row r="2" spans="1:162" s="1165" customFormat="1" ht="18">
      <c r="B2" s="1219" t="str">
        <f>Model!B3</f>
        <v>SMIC (0981.HK)</v>
      </c>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CQ2" s="1221">
        <v>2005</v>
      </c>
      <c r="CR2" s="1221">
        <v>2005</v>
      </c>
      <c r="CS2" s="1221">
        <v>2005</v>
      </c>
      <c r="CT2" s="1221">
        <v>2005</v>
      </c>
      <c r="CU2" s="1221">
        <f>CQ2+1</f>
        <v>2006</v>
      </c>
      <c r="CV2" s="1221">
        <f t="shared" ref="CV2:EX2" si="0">CR2+1</f>
        <v>2006</v>
      </c>
      <c r="CW2" s="1221">
        <f t="shared" si="0"/>
        <v>2006</v>
      </c>
      <c r="CX2" s="1221">
        <f t="shared" si="0"/>
        <v>2006</v>
      </c>
      <c r="CY2" s="1221">
        <f t="shared" si="0"/>
        <v>2007</v>
      </c>
      <c r="CZ2" s="1221">
        <f t="shared" si="0"/>
        <v>2007</v>
      </c>
      <c r="DA2" s="1221">
        <f t="shared" si="0"/>
        <v>2007</v>
      </c>
      <c r="DB2" s="1221">
        <f t="shared" si="0"/>
        <v>2007</v>
      </c>
      <c r="DC2" s="1221">
        <f t="shared" si="0"/>
        <v>2008</v>
      </c>
      <c r="DD2" s="1221">
        <f t="shared" si="0"/>
        <v>2008</v>
      </c>
      <c r="DE2" s="1221">
        <f t="shared" si="0"/>
        <v>2008</v>
      </c>
      <c r="DF2" s="1221">
        <f t="shared" si="0"/>
        <v>2008</v>
      </c>
      <c r="DG2" s="1221">
        <f t="shared" si="0"/>
        <v>2009</v>
      </c>
      <c r="DH2" s="1221">
        <f t="shared" si="0"/>
        <v>2009</v>
      </c>
      <c r="DI2" s="1221">
        <f t="shared" si="0"/>
        <v>2009</v>
      </c>
      <c r="DJ2" s="1221">
        <f t="shared" si="0"/>
        <v>2009</v>
      </c>
      <c r="DK2" s="1221">
        <f t="shared" si="0"/>
        <v>2010</v>
      </c>
      <c r="DL2" s="1221">
        <f t="shared" si="0"/>
        <v>2010</v>
      </c>
      <c r="DM2" s="1221">
        <f t="shared" si="0"/>
        <v>2010</v>
      </c>
      <c r="DN2" s="1221">
        <f t="shared" si="0"/>
        <v>2010</v>
      </c>
      <c r="DO2" s="1221">
        <f t="shared" si="0"/>
        <v>2011</v>
      </c>
      <c r="DP2" s="1221">
        <f t="shared" si="0"/>
        <v>2011</v>
      </c>
      <c r="DQ2" s="1221">
        <f t="shared" si="0"/>
        <v>2011</v>
      </c>
      <c r="DR2" s="1221">
        <f t="shared" si="0"/>
        <v>2011</v>
      </c>
      <c r="DS2" s="1221">
        <f t="shared" si="0"/>
        <v>2012</v>
      </c>
      <c r="DT2" s="1221">
        <f t="shared" si="0"/>
        <v>2012</v>
      </c>
      <c r="DU2" s="1221">
        <f t="shared" si="0"/>
        <v>2012</v>
      </c>
      <c r="DV2" s="1221">
        <f t="shared" si="0"/>
        <v>2012</v>
      </c>
      <c r="DW2" s="1221">
        <f t="shared" si="0"/>
        <v>2013</v>
      </c>
      <c r="DX2" s="1221">
        <f t="shared" si="0"/>
        <v>2013</v>
      </c>
      <c r="DY2" s="1221">
        <f t="shared" si="0"/>
        <v>2013</v>
      </c>
      <c r="DZ2" s="1221">
        <f t="shared" si="0"/>
        <v>2013</v>
      </c>
      <c r="EA2" s="1221">
        <f t="shared" si="0"/>
        <v>2014</v>
      </c>
      <c r="EB2" s="1221">
        <f t="shared" si="0"/>
        <v>2014</v>
      </c>
      <c r="EC2" s="1221">
        <f t="shared" si="0"/>
        <v>2014</v>
      </c>
      <c r="ED2" s="1221">
        <f t="shared" si="0"/>
        <v>2014</v>
      </c>
      <c r="EE2" s="1221">
        <f t="shared" si="0"/>
        <v>2015</v>
      </c>
      <c r="EF2" s="1221">
        <f t="shared" si="0"/>
        <v>2015</v>
      </c>
      <c r="EG2" s="1221">
        <f t="shared" si="0"/>
        <v>2015</v>
      </c>
      <c r="EH2" s="1221">
        <f t="shared" si="0"/>
        <v>2015</v>
      </c>
      <c r="EI2" s="1221">
        <f t="shared" si="0"/>
        <v>2016</v>
      </c>
      <c r="EJ2" s="1221">
        <f t="shared" si="0"/>
        <v>2016</v>
      </c>
      <c r="EK2" s="1221">
        <f t="shared" si="0"/>
        <v>2016</v>
      </c>
      <c r="EL2" s="1221">
        <f t="shared" si="0"/>
        <v>2016</v>
      </c>
      <c r="EM2" s="1221">
        <f t="shared" si="0"/>
        <v>2017</v>
      </c>
      <c r="EN2" s="1221">
        <f t="shared" si="0"/>
        <v>2017</v>
      </c>
      <c r="EO2" s="1221">
        <f t="shared" si="0"/>
        <v>2017</v>
      </c>
      <c r="EP2" s="1221">
        <f t="shared" si="0"/>
        <v>2017</v>
      </c>
      <c r="EQ2" s="1221">
        <f t="shared" si="0"/>
        <v>2018</v>
      </c>
      <c r="ER2" s="1221">
        <f t="shared" si="0"/>
        <v>2018</v>
      </c>
      <c r="ES2" s="1221">
        <f t="shared" si="0"/>
        <v>2018</v>
      </c>
      <c r="ET2" s="1221">
        <f t="shared" si="0"/>
        <v>2018</v>
      </c>
      <c r="EU2" s="1221">
        <f t="shared" si="0"/>
        <v>2019</v>
      </c>
      <c r="EV2" s="1221">
        <f t="shared" si="0"/>
        <v>2019</v>
      </c>
      <c r="EW2" s="1221">
        <f t="shared" si="0"/>
        <v>2019</v>
      </c>
      <c r="EX2" s="1221">
        <f t="shared" si="0"/>
        <v>2019</v>
      </c>
      <c r="EY2" s="1221">
        <f t="shared" ref="EY2:FF2" si="1">EU2+1</f>
        <v>2020</v>
      </c>
      <c r="EZ2" s="1221">
        <f t="shared" si="1"/>
        <v>2020</v>
      </c>
      <c r="FA2" s="1221">
        <f t="shared" si="1"/>
        <v>2020</v>
      </c>
      <c r="FB2" s="1221">
        <f t="shared" si="1"/>
        <v>2020</v>
      </c>
      <c r="FC2" s="1221">
        <f t="shared" si="1"/>
        <v>2021</v>
      </c>
      <c r="FD2" s="1221">
        <f t="shared" si="1"/>
        <v>2021</v>
      </c>
      <c r="FE2" s="1221">
        <f t="shared" si="1"/>
        <v>2021</v>
      </c>
      <c r="FF2" s="1221">
        <f t="shared" si="1"/>
        <v>2021</v>
      </c>
    </row>
    <row r="3" spans="1:162" s="1165" customFormat="1" ht="15">
      <c r="B3" s="1222" t="str">
        <f>Model!B4</f>
        <v>In USD millions</v>
      </c>
      <c r="C3" s="1220"/>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2" t="s">
        <v>288</v>
      </c>
      <c r="AH3" s="1222"/>
      <c r="CP3" s="1222" t="s">
        <v>289</v>
      </c>
      <c r="CQ3" s="1223" t="s">
        <v>338</v>
      </c>
      <c r="CR3" s="1223" t="s">
        <v>339</v>
      </c>
      <c r="CS3" s="1221" t="s">
        <v>340</v>
      </c>
      <c r="CT3" s="1221" t="s">
        <v>341</v>
      </c>
      <c r="CU3" s="1223" t="s">
        <v>338</v>
      </c>
      <c r="CV3" s="1223" t="s">
        <v>339</v>
      </c>
      <c r="CW3" s="1221" t="s">
        <v>340</v>
      </c>
      <c r="CX3" s="1221" t="s">
        <v>341</v>
      </c>
      <c r="CY3" s="1223" t="s">
        <v>338</v>
      </c>
      <c r="CZ3" s="1223" t="s">
        <v>339</v>
      </c>
      <c r="DA3" s="1221" t="s">
        <v>340</v>
      </c>
      <c r="DB3" s="1221" t="s">
        <v>341</v>
      </c>
      <c r="DC3" s="1223" t="s">
        <v>338</v>
      </c>
      <c r="DD3" s="1223" t="s">
        <v>339</v>
      </c>
      <c r="DE3" s="1221" t="s">
        <v>340</v>
      </c>
      <c r="DF3" s="1221" t="s">
        <v>341</v>
      </c>
      <c r="DG3" s="1223" t="s">
        <v>338</v>
      </c>
      <c r="DH3" s="1223" t="s">
        <v>339</v>
      </c>
      <c r="DI3" s="1221" t="s">
        <v>340</v>
      </c>
      <c r="DJ3" s="1221" t="s">
        <v>341</v>
      </c>
      <c r="DK3" s="1223" t="s">
        <v>338</v>
      </c>
      <c r="DL3" s="1223" t="s">
        <v>339</v>
      </c>
      <c r="DM3" s="1221" t="s">
        <v>340</v>
      </c>
      <c r="DN3" s="1221" t="s">
        <v>341</v>
      </c>
      <c r="DO3" s="1223" t="s">
        <v>338</v>
      </c>
      <c r="DP3" s="1223" t="s">
        <v>339</v>
      </c>
      <c r="DQ3" s="1221" t="s">
        <v>340</v>
      </c>
      <c r="DR3" s="1221" t="s">
        <v>341</v>
      </c>
      <c r="DS3" s="1223" t="s">
        <v>338</v>
      </c>
      <c r="DT3" s="1223" t="s">
        <v>339</v>
      </c>
      <c r="DU3" s="1221" t="s">
        <v>340</v>
      </c>
      <c r="DV3" s="1221" t="s">
        <v>341</v>
      </c>
      <c r="DW3" s="1223" t="s">
        <v>338</v>
      </c>
      <c r="DX3" s="1223" t="s">
        <v>339</v>
      </c>
      <c r="DY3" s="1221" t="s">
        <v>340</v>
      </c>
      <c r="DZ3" s="1221" t="s">
        <v>341</v>
      </c>
      <c r="EA3" s="1223" t="s">
        <v>338</v>
      </c>
      <c r="EB3" s="1223" t="s">
        <v>339</v>
      </c>
      <c r="EC3" s="1221" t="s">
        <v>340</v>
      </c>
      <c r="ED3" s="1221" t="s">
        <v>341</v>
      </c>
      <c r="EE3" s="1223" t="s">
        <v>338</v>
      </c>
      <c r="EF3" s="1223" t="s">
        <v>339</v>
      </c>
      <c r="EG3" s="1221" t="s">
        <v>340</v>
      </c>
      <c r="EH3" s="1221" t="s">
        <v>341</v>
      </c>
      <c r="EI3" s="1223" t="s">
        <v>338</v>
      </c>
      <c r="EJ3" s="1223" t="s">
        <v>339</v>
      </c>
      <c r="EK3" s="1221" t="s">
        <v>340</v>
      </c>
      <c r="EL3" s="1221" t="s">
        <v>341</v>
      </c>
      <c r="EM3" s="1223" t="s">
        <v>338</v>
      </c>
      <c r="EN3" s="1223" t="s">
        <v>339</v>
      </c>
      <c r="EO3" s="1221" t="s">
        <v>340</v>
      </c>
      <c r="EP3" s="1221" t="s">
        <v>341</v>
      </c>
      <c r="EQ3" s="1223" t="s">
        <v>338</v>
      </c>
      <c r="ER3" s="1223" t="s">
        <v>339</v>
      </c>
      <c r="ES3" s="1223" t="s">
        <v>340</v>
      </c>
      <c r="ET3" s="1223" t="s">
        <v>341</v>
      </c>
      <c r="EU3" s="1223" t="s">
        <v>338</v>
      </c>
      <c r="EV3" s="1223" t="s">
        <v>339</v>
      </c>
      <c r="EW3" s="1221" t="s">
        <v>340</v>
      </c>
      <c r="EX3" s="1221" t="s">
        <v>341</v>
      </c>
      <c r="EY3" s="1221" t="s">
        <v>338</v>
      </c>
      <c r="EZ3" s="1221" t="s">
        <v>339</v>
      </c>
      <c r="FA3" s="1221" t="s">
        <v>340</v>
      </c>
      <c r="FB3" s="1221" t="s">
        <v>341</v>
      </c>
      <c r="FC3" s="1221" t="s">
        <v>338</v>
      </c>
      <c r="FD3" s="1221" t="s">
        <v>339</v>
      </c>
      <c r="FE3" s="1221" t="s">
        <v>340</v>
      </c>
      <c r="FF3" s="1221" t="s">
        <v>341</v>
      </c>
    </row>
    <row r="4" spans="1:162" s="1165" customFormat="1">
      <c r="C4" s="1216"/>
      <c r="D4" s="1216"/>
      <c r="E4" s="1216"/>
      <c r="F4" s="1216"/>
      <c r="G4" s="1216"/>
      <c r="H4" s="1216"/>
      <c r="I4" s="1216"/>
      <c r="J4" s="1216"/>
      <c r="K4" s="1216"/>
      <c r="L4" s="1216"/>
      <c r="M4" s="1216"/>
      <c r="N4" s="1216"/>
      <c r="O4" s="1216"/>
      <c r="P4" s="1216"/>
      <c r="Q4" s="1216"/>
      <c r="R4" s="1216"/>
      <c r="S4" s="1216"/>
      <c r="T4" s="1216"/>
      <c r="U4" s="1216"/>
      <c r="V4" s="1216"/>
      <c r="W4" s="1216"/>
      <c r="X4" s="1216"/>
      <c r="Y4" s="1216"/>
      <c r="Z4" s="1216"/>
      <c r="AA4" s="1216"/>
      <c r="AB4" s="1216"/>
      <c r="AC4" s="1216"/>
      <c r="AD4" s="1216"/>
      <c r="AE4" s="1216"/>
      <c r="AF4" s="1216"/>
    </row>
    <row r="5" spans="1:162" s="1165" customFormat="1">
      <c r="B5" s="1224">
        <v>1000</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c r="Z5" s="1216"/>
      <c r="AA5" s="1216"/>
      <c r="AB5" s="1216"/>
      <c r="AC5" s="1216"/>
      <c r="AD5" s="1216"/>
      <c r="AE5" s="1216"/>
      <c r="AF5" s="1216"/>
    </row>
    <row r="6" spans="1:162" s="1227" customFormat="1" ht="15">
      <c r="A6" s="1225"/>
      <c r="B6" s="1225"/>
      <c r="C6" s="1226" t="e">
        <f>LEFT(Model!#REF!,4)*1</f>
        <v>#REF!</v>
      </c>
      <c r="D6" s="1226" t="e">
        <f>LEFT(Model!#REF!,4)*1</f>
        <v>#REF!</v>
      </c>
      <c r="E6" s="1226" t="e">
        <f>LEFT(Model!#REF!,4)*1</f>
        <v>#REF!</v>
      </c>
      <c r="F6" s="1226" t="e">
        <f>LEFT(Model!#REF!,4)*1</f>
        <v>#REF!</v>
      </c>
      <c r="G6" s="1226" t="e">
        <f>LEFT(Model!#REF!,4)*1</f>
        <v>#REF!</v>
      </c>
      <c r="H6" s="1226" t="e">
        <f>LEFT(Model!#REF!,4)*1</f>
        <v>#REF!</v>
      </c>
      <c r="I6" s="1226" t="e">
        <f>LEFT(Model!#REF!,4)*1</f>
        <v>#REF!</v>
      </c>
      <c r="J6" s="1226" t="e">
        <f>LEFT(Model!#REF!,4)*1</f>
        <v>#REF!</v>
      </c>
      <c r="K6" s="1226" t="e">
        <f>LEFT(Model!#REF!,4)*1</f>
        <v>#REF!</v>
      </c>
      <c r="L6" s="1226" t="e">
        <f>LEFT(Model!#REF!,4)*1</f>
        <v>#REF!</v>
      </c>
      <c r="M6" s="1226" t="e">
        <f>LEFT(Model!#REF!,4)*1</f>
        <v>#REF!</v>
      </c>
      <c r="N6" s="1226" t="e">
        <f>LEFT(Model!#REF!,4)*1</f>
        <v>#REF!</v>
      </c>
      <c r="O6" s="1226" t="e">
        <f>LEFT(Model!#REF!,4)*1</f>
        <v>#REF!</v>
      </c>
      <c r="P6" s="1226" t="e">
        <f>LEFT(Model!#REF!,4)*1</f>
        <v>#REF!</v>
      </c>
      <c r="Q6" s="1226" t="e">
        <f>LEFT(Model!#REF!,4)*1</f>
        <v>#REF!</v>
      </c>
      <c r="R6" s="1226">
        <v>2010</v>
      </c>
      <c r="S6" s="1226">
        <v>2011</v>
      </c>
      <c r="T6" s="1226">
        <f>LEFT(Model!C5,4)*1</f>
        <v>2012</v>
      </c>
      <c r="U6" s="1226">
        <f>LEFT(Model!D5,4)*1</f>
        <v>2013</v>
      </c>
      <c r="V6" s="1226">
        <f>LEFT(Model!E5,4)*1</f>
        <v>2014</v>
      </c>
      <c r="W6" s="1226">
        <f>LEFT(Model!F5,4)*1</f>
        <v>2015</v>
      </c>
      <c r="X6" s="1226">
        <f>LEFT(Model!G5,4)*1</f>
        <v>2016</v>
      </c>
      <c r="Y6" s="1226">
        <f>LEFT(Model!H5,4)*1</f>
        <v>2017</v>
      </c>
      <c r="Z6" s="1226">
        <f>LEFT(Model!I5,4)*1</f>
        <v>2018</v>
      </c>
      <c r="AA6" s="1226">
        <f>LEFT(Model!J5,4)*1</f>
        <v>2019</v>
      </c>
      <c r="AB6" s="1226">
        <f>LEFT(Model!K5,4)*1</f>
        <v>2020</v>
      </c>
      <c r="AC6" s="1226">
        <f>LEFT(Model!L5,4)*1</f>
        <v>2021</v>
      </c>
      <c r="AD6" s="1226"/>
      <c r="AE6" s="1226"/>
      <c r="AF6" s="1226"/>
      <c r="AG6" s="1226" t="e">
        <f>LEFT(Model!#REF!,6)</f>
        <v>#REF!</v>
      </c>
      <c r="AH6" s="1226" t="e">
        <f>LEFT(Model!#REF!,6)</f>
        <v>#REF!</v>
      </c>
      <c r="AI6" s="1226" t="e">
        <f>LEFT(Model!#REF!,6)</f>
        <v>#REF!</v>
      </c>
      <c r="AJ6" s="1226" t="e">
        <f>LEFT(Model!#REF!,6)</f>
        <v>#REF!</v>
      </c>
      <c r="AK6" s="1226" t="e">
        <f>LEFT(Model!#REF!,6)</f>
        <v>#REF!</v>
      </c>
      <c r="AL6" s="1226" t="e">
        <f>LEFT(Model!#REF!,6)</f>
        <v>#REF!</v>
      </c>
      <c r="AM6" s="1226" t="e">
        <f>LEFT(Model!#REF!,6)</f>
        <v>#REF!</v>
      </c>
      <c r="AN6" s="1226" t="e">
        <f>LEFT(Model!#REF!,6)</f>
        <v>#REF!</v>
      </c>
      <c r="AO6" s="1226" t="e">
        <f>LEFT(Model!#REF!,6)</f>
        <v>#REF!</v>
      </c>
      <c r="AP6" s="1226" t="e">
        <f>LEFT(Model!#REF!,6)</f>
        <v>#REF!</v>
      </c>
      <c r="AQ6" s="1226" t="e">
        <f>LEFT(Model!#REF!,6)</f>
        <v>#REF!</v>
      </c>
      <c r="AR6" s="1226" t="e">
        <f>LEFT(Model!#REF!,6)</f>
        <v>#REF!</v>
      </c>
      <c r="AS6" s="1226" t="e">
        <f>LEFT(Model!#REF!,6)</f>
        <v>#REF!</v>
      </c>
      <c r="AT6" s="1226" t="e">
        <f>LEFT(Model!#REF!,6)</f>
        <v>#REF!</v>
      </c>
      <c r="AU6" s="1226" t="e">
        <f>LEFT(Model!#REF!,6)</f>
        <v>#REF!</v>
      </c>
      <c r="AV6" s="1226" t="e">
        <f>LEFT(Model!#REF!,6)</f>
        <v>#REF!</v>
      </c>
      <c r="AW6" s="1226" t="e">
        <f>LEFT(Model!#REF!,6)</f>
        <v>#REF!</v>
      </c>
      <c r="AX6" s="1226" t="e">
        <f>LEFT(Model!#REF!,6)</f>
        <v>#REF!</v>
      </c>
      <c r="AY6" s="1226" t="e">
        <f>LEFT(Model!#REF!,6)</f>
        <v>#REF!</v>
      </c>
      <c r="AZ6" s="1226" t="e">
        <f>LEFT(Model!#REF!,6)</f>
        <v>#REF!</v>
      </c>
      <c r="BA6" s="1226" t="e">
        <f>LEFT(Model!#REF!,6)</f>
        <v>#REF!</v>
      </c>
      <c r="BB6" s="1226" t="e">
        <f>LEFT(Model!#REF!,6)</f>
        <v>#REF!</v>
      </c>
      <c r="BC6" s="1226" t="e">
        <f>LEFT(Model!#REF!,6)</f>
        <v>#REF!</v>
      </c>
      <c r="BD6" s="1226" t="e">
        <f>LEFT(Model!#REF!,6)</f>
        <v>#REF!</v>
      </c>
      <c r="BE6" s="1226" t="e">
        <f>LEFT(Model!#REF!,6)</f>
        <v>#REF!</v>
      </c>
      <c r="BF6" s="1226" t="e">
        <f>LEFT(Model!#REF!,6)</f>
        <v>#REF!</v>
      </c>
      <c r="BG6" s="1226" t="e">
        <f>LEFT(Model!#REF!,6)</f>
        <v>#REF!</v>
      </c>
      <c r="BH6" s="1226" t="e">
        <f>LEFT(Model!#REF!,6)</f>
        <v>#REF!</v>
      </c>
      <c r="BI6" s="1226" t="e">
        <f>LEFT(Model!#REF!,6)</f>
        <v>#REF!</v>
      </c>
      <c r="BJ6" s="1226" t="e">
        <f>LEFT(Model!#REF!,6)</f>
        <v>#REF!</v>
      </c>
      <c r="BK6" s="1226" t="e">
        <f>LEFT(Model!#REF!,6)</f>
        <v>#REF!</v>
      </c>
      <c r="BL6" s="1226" t="e">
        <f>LEFT(Model!#REF!,6)</f>
        <v>#REF!</v>
      </c>
      <c r="BM6" s="1226" t="e">
        <f>LEFT(Model!#REF!,6)</f>
        <v>#REF!</v>
      </c>
      <c r="BN6" s="1226" t="e">
        <f>LEFT(Model!#REF!,6)</f>
        <v>#REF!</v>
      </c>
      <c r="BO6" s="1226" t="e">
        <f>LEFT(Model!#REF!,6)</f>
        <v>#REF!</v>
      </c>
      <c r="BP6" s="1226" t="e">
        <f>LEFT(Model!#REF!,6)</f>
        <v>#REF!</v>
      </c>
      <c r="BQ6" s="1226" t="e">
        <f>LEFT(Model!#REF!,6)</f>
        <v>#REF!</v>
      </c>
      <c r="BR6" s="1226" t="e">
        <f>LEFT(Model!#REF!,6)</f>
        <v>#REF!</v>
      </c>
      <c r="BS6" s="1226" t="e">
        <f>LEFT(Model!#REF!,6)</f>
        <v>#REF!</v>
      </c>
      <c r="BT6" s="1226" t="e">
        <f>LEFT(Model!#REF!,6)</f>
        <v>#REF!</v>
      </c>
      <c r="BU6" s="1226" t="e">
        <f>LEFT(Model!#REF!,6)</f>
        <v>#REF!</v>
      </c>
      <c r="BV6" s="1226" t="e">
        <f>LEFT(Model!#REF!,6)</f>
        <v>#REF!</v>
      </c>
      <c r="BW6" s="1226" t="e">
        <f>LEFT(Model!#REF!,6)</f>
        <v>#REF!</v>
      </c>
      <c r="BX6" s="1226" t="e">
        <f>LEFT(Model!#REF!,6)</f>
        <v>#REF!</v>
      </c>
      <c r="BY6" s="1226" t="e">
        <f>LEFT(Model!#REF!,6)</f>
        <v>#REF!</v>
      </c>
      <c r="BZ6" s="1226" t="e">
        <f>LEFT(Model!#REF!,6)</f>
        <v>#REF!</v>
      </c>
      <c r="CA6" s="1226" t="e">
        <f>LEFT(Model!#REF!,6)</f>
        <v>#REF!</v>
      </c>
      <c r="CB6" s="1226" t="e">
        <f>LEFT(Model!#REF!,6)</f>
        <v>#REF!</v>
      </c>
      <c r="CC6" s="1226" t="e">
        <f>LEFT(Model!#REF!,6)</f>
        <v>#REF!</v>
      </c>
      <c r="CD6" s="1226" t="e">
        <f>LEFT(Model!#REF!,6)</f>
        <v>#REF!</v>
      </c>
      <c r="CE6" s="1226" t="e">
        <f>LEFT(Model!#REF!,6)</f>
        <v>#REF!</v>
      </c>
      <c r="CF6" s="1226" t="e">
        <f>LEFT(Model!#REF!,6)</f>
        <v>#REF!</v>
      </c>
      <c r="CG6" s="1226" t="e">
        <f>LEFT(Model!#REF!,6)</f>
        <v>#REF!</v>
      </c>
      <c r="CH6" s="1226" t="e">
        <f>LEFT(Model!#REF!,6)</f>
        <v>#REF!</v>
      </c>
      <c r="CI6" s="1226" t="e">
        <f>LEFT(Model!#REF!,6)</f>
        <v>#REF!</v>
      </c>
      <c r="CJ6" s="1226" t="e">
        <f>LEFT(Model!#REF!,6)</f>
        <v>#REF!</v>
      </c>
      <c r="CK6" s="1226" t="e">
        <f>LEFT(Model!#REF!,6)</f>
        <v>#REF!</v>
      </c>
      <c r="CL6" s="1226" t="e">
        <f>LEFT(Model!#REF!,6)</f>
        <v>#REF!</v>
      </c>
      <c r="CM6" s="1226" t="e">
        <f>LEFT(Model!#REF!,6)</f>
        <v>#REF!</v>
      </c>
      <c r="CN6" s="1226" t="e">
        <f>LEFT(Model!#REF!,6)</f>
        <v>#REF!</v>
      </c>
      <c r="CQ6" s="1226" t="str">
        <f>CONCATENATE(CQ3,RIGHT(CQ2,2))</f>
        <v>1Q05</v>
      </c>
      <c r="CR6" s="1226" t="str">
        <f t="shared" ref="CR6:ES6" si="2">CONCATENATE(CR3,RIGHT(CR2,2))</f>
        <v>2Q05</v>
      </c>
      <c r="CS6" s="1226" t="str">
        <f t="shared" si="2"/>
        <v>3Q05</v>
      </c>
      <c r="CT6" s="1226" t="str">
        <f t="shared" si="2"/>
        <v>4Q05</v>
      </c>
      <c r="CU6" s="1226" t="str">
        <f t="shared" si="2"/>
        <v>1Q06</v>
      </c>
      <c r="CV6" s="1226" t="str">
        <f t="shared" si="2"/>
        <v>2Q06</v>
      </c>
      <c r="CW6" s="1226" t="str">
        <f t="shared" si="2"/>
        <v>3Q06</v>
      </c>
      <c r="CX6" s="1226" t="str">
        <f t="shared" si="2"/>
        <v>4Q06</v>
      </c>
      <c r="CY6" s="1226" t="str">
        <f t="shared" si="2"/>
        <v>1Q07</v>
      </c>
      <c r="CZ6" s="1226" t="str">
        <f t="shared" si="2"/>
        <v>2Q07</v>
      </c>
      <c r="DA6" s="1226" t="str">
        <f t="shared" si="2"/>
        <v>3Q07</v>
      </c>
      <c r="DB6" s="1226" t="str">
        <f t="shared" si="2"/>
        <v>4Q07</v>
      </c>
      <c r="DC6" s="1226" t="str">
        <f t="shared" si="2"/>
        <v>1Q08</v>
      </c>
      <c r="DD6" s="1226" t="str">
        <f t="shared" si="2"/>
        <v>2Q08</v>
      </c>
      <c r="DE6" s="1226" t="str">
        <f t="shared" si="2"/>
        <v>3Q08</v>
      </c>
      <c r="DF6" s="1226" t="str">
        <f t="shared" si="2"/>
        <v>4Q08</v>
      </c>
      <c r="DG6" s="1226" t="str">
        <f t="shared" si="2"/>
        <v>1Q09</v>
      </c>
      <c r="DH6" s="1226" t="str">
        <f t="shared" si="2"/>
        <v>2Q09</v>
      </c>
      <c r="DI6" s="1226" t="str">
        <f t="shared" si="2"/>
        <v>3Q09</v>
      </c>
      <c r="DJ6" s="1226" t="str">
        <f t="shared" si="2"/>
        <v>4Q09</v>
      </c>
      <c r="DK6" s="1226" t="str">
        <f t="shared" si="2"/>
        <v>1Q10</v>
      </c>
      <c r="DL6" s="1226" t="str">
        <f t="shared" si="2"/>
        <v>2Q10</v>
      </c>
      <c r="DM6" s="1226" t="str">
        <f t="shared" si="2"/>
        <v>3Q10</v>
      </c>
      <c r="DN6" s="1226" t="str">
        <f t="shared" si="2"/>
        <v>4Q10</v>
      </c>
      <c r="DO6" s="1226" t="str">
        <f t="shared" si="2"/>
        <v>1Q11</v>
      </c>
      <c r="DP6" s="1226" t="str">
        <f t="shared" si="2"/>
        <v>2Q11</v>
      </c>
      <c r="DQ6" s="1226" t="str">
        <f t="shared" si="2"/>
        <v>3Q11</v>
      </c>
      <c r="DR6" s="1226" t="str">
        <f t="shared" si="2"/>
        <v>4Q11</v>
      </c>
      <c r="DS6" s="1226" t="str">
        <f t="shared" si="2"/>
        <v>1Q12</v>
      </c>
      <c r="DT6" s="1226" t="str">
        <f t="shared" si="2"/>
        <v>2Q12</v>
      </c>
      <c r="DU6" s="1226" t="str">
        <f t="shared" si="2"/>
        <v>3Q12</v>
      </c>
      <c r="DV6" s="1226" t="str">
        <f t="shared" si="2"/>
        <v>4Q12</v>
      </c>
      <c r="DW6" s="1226" t="str">
        <f t="shared" si="2"/>
        <v>1Q13</v>
      </c>
      <c r="DX6" s="1226" t="str">
        <f t="shared" si="2"/>
        <v>2Q13</v>
      </c>
      <c r="DY6" s="1226" t="str">
        <f t="shared" si="2"/>
        <v>3Q13</v>
      </c>
      <c r="DZ6" s="1226" t="str">
        <f t="shared" si="2"/>
        <v>4Q13</v>
      </c>
      <c r="EA6" s="1226" t="str">
        <f t="shared" si="2"/>
        <v>1Q14</v>
      </c>
      <c r="EB6" s="1226" t="str">
        <f t="shared" si="2"/>
        <v>2Q14</v>
      </c>
      <c r="EC6" s="1226" t="str">
        <f t="shared" si="2"/>
        <v>3Q14</v>
      </c>
      <c r="ED6" s="1226" t="str">
        <f t="shared" si="2"/>
        <v>4Q14</v>
      </c>
      <c r="EE6" s="1226" t="str">
        <f t="shared" si="2"/>
        <v>1Q15</v>
      </c>
      <c r="EF6" s="1226" t="str">
        <f t="shared" si="2"/>
        <v>2Q15</v>
      </c>
      <c r="EG6" s="1226" t="str">
        <f t="shared" si="2"/>
        <v>3Q15</v>
      </c>
      <c r="EH6" s="1226" t="str">
        <f t="shared" si="2"/>
        <v>4Q15</v>
      </c>
      <c r="EI6" s="1226" t="str">
        <f t="shared" si="2"/>
        <v>1Q16</v>
      </c>
      <c r="EJ6" s="1226" t="str">
        <f t="shared" si="2"/>
        <v>2Q16</v>
      </c>
      <c r="EK6" s="1226" t="str">
        <f t="shared" si="2"/>
        <v>3Q16</v>
      </c>
      <c r="EL6" s="1226" t="str">
        <f t="shared" si="2"/>
        <v>4Q16</v>
      </c>
      <c r="EM6" s="1226" t="str">
        <f t="shared" si="2"/>
        <v>1Q17</v>
      </c>
      <c r="EN6" s="1226" t="str">
        <f t="shared" si="2"/>
        <v>2Q17</v>
      </c>
      <c r="EO6" s="1226" t="str">
        <f t="shared" si="2"/>
        <v>3Q17</v>
      </c>
      <c r="EP6" s="1226" t="str">
        <f t="shared" si="2"/>
        <v>4Q17</v>
      </c>
      <c r="EQ6" s="1226" t="str">
        <f t="shared" si="2"/>
        <v>1Q18</v>
      </c>
      <c r="ER6" s="1226" t="str">
        <f t="shared" si="2"/>
        <v>2Q18</v>
      </c>
      <c r="ES6" s="1226" t="str">
        <f t="shared" si="2"/>
        <v>3Q18</v>
      </c>
      <c r="ET6" s="1226" t="str">
        <f>CONCATENATE(ET3,RIGHT(ET2,2))</f>
        <v>4Q18</v>
      </c>
      <c r="EU6" s="1226" t="str">
        <f>CONCATENATE(EU3,RIGHT(EU2,2),"E")</f>
        <v>1Q19E</v>
      </c>
      <c r="EV6" s="1226" t="str">
        <f>CONCATENATE(EV3,RIGHT(EV2,2),"E")</f>
        <v>2Q19E</v>
      </c>
      <c r="EW6" s="1226" t="str">
        <f>CONCATENATE(EW3,RIGHT(EW2,2),"E")</f>
        <v>3Q19E</v>
      </c>
      <c r="EX6" s="1226" t="str">
        <f>CONCATENATE(EX3,RIGHT(EX2,2),"E")</f>
        <v>4Q19E</v>
      </c>
      <c r="EY6" s="1226" t="str">
        <f>CONCATENATE(EY3,RIGHT(EY2,2),"E")</f>
        <v>1Q20E</v>
      </c>
      <c r="EZ6" s="1226" t="str">
        <f t="shared" ref="EZ6:FF6" si="3">CONCATENATE(EZ3,RIGHT(EZ2,2),"E")</f>
        <v>2Q20E</v>
      </c>
      <c r="FA6" s="1226" t="str">
        <f t="shared" si="3"/>
        <v>3Q20E</v>
      </c>
      <c r="FB6" s="1226" t="str">
        <f t="shared" si="3"/>
        <v>4Q20E</v>
      </c>
      <c r="FC6" s="1226" t="str">
        <f t="shared" si="3"/>
        <v>1Q21E</v>
      </c>
      <c r="FD6" s="1226" t="str">
        <f t="shared" si="3"/>
        <v>2Q21E</v>
      </c>
      <c r="FE6" s="1226" t="str">
        <f t="shared" si="3"/>
        <v>3Q21E</v>
      </c>
      <c r="FF6" s="1226" t="str">
        <f t="shared" si="3"/>
        <v>4Q21E</v>
      </c>
    </row>
    <row r="7" spans="1:162" s="1224" customFormat="1">
      <c r="B7" s="1165"/>
      <c r="M7" s="1224">
        <v>0</v>
      </c>
      <c r="N7" s="1224">
        <f>M7+4</f>
        <v>4</v>
      </c>
      <c r="O7" s="1224">
        <f t="shared" ref="O7:AC7" si="4">N7+4</f>
        <v>8</v>
      </c>
      <c r="P7" s="1224">
        <f t="shared" si="4"/>
        <v>12</v>
      </c>
      <c r="Q7" s="1224">
        <f t="shared" si="4"/>
        <v>16</v>
      </c>
      <c r="R7" s="1224">
        <f t="shared" si="4"/>
        <v>20</v>
      </c>
      <c r="S7" s="1224">
        <f t="shared" si="4"/>
        <v>24</v>
      </c>
      <c r="T7" s="1224">
        <f t="shared" si="4"/>
        <v>28</v>
      </c>
      <c r="U7" s="1224">
        <f t="shared" si="4"/>
        <v>32</v>
      </c>
      <c r="V7" s="1224">
        <f t="shared" si="4"/>
        <v>36</v>
      </c>
      <c r="W7" s="1224">
        <f t="shared" si="4"/>
        <v>40</v>
      </c>
      <c r="X7" s="1224">
        <f t="shared" si="4"/>
        <v>44</v>
      </c>
      <c r="Y7" s="1224">
        <f t="shared" si="4"/>
        <v>48</v>
      </c>
      <c r="Z7" s="1224">
        <f t="shared" si="4"/>
        <v>52</v>
      </c>
      <c r="AA7" s="1224">
        <f t="shared" si="4"/>
        <v>56</v>
      </c>
      <c r="AB7" s="1224">
        <f t="shared" si="4"/>
        <v>60</v>
      </c>
      <c r="AC7" s="1224">
        <f t="shared" si="4"/>
        <v>64</v>
      </c>
      <c r="AG7" s="1224">
        <v>0</v>
      </c>
      <c r="AH7" s="1224">
        <v>0</v>
      </c>
      <c r="AI7" s="1224">
        <v>0</v>
      </c>
      <c r="AJ7" s="1224">
        <v>0</v>
      </c>
      <c r="AK7" s="1224">
        <f t="shared" ref="AK7:BP7" si="5">AG7+4</f>
        <v>4</v>
      </c>
      <c r="AL7" s="1224">
        <f t="shared" si="5"/>
        <v>4</v>
      </c>
      <c r="AM7" s="1224">
        <f t="shared" si="5"/>
        <v>4</v>
      </c>
      <c r="AN7" s="1224">
        <f t="shared" si="5"/>
        <v>4</v>
      </c>
      <c r="AO7" s="1224">
        <f t="shared" si="5"/>
        <v>8</v>
      </c>
      <c r="AP7" s="1224">
        <f t="shared" si="5"/>
        <v>8</v>
      </c>
      <c r="AQ7" s="1224">
        <f t="shared" si="5"/>
        <v>8</v>
      </c>
      <c r="AR7" s="1224">
        <f t="shared" si="5"/>
        <v>8</v>
      </c>
      <c r="AS7" s="1224">
        <f t="shared" si="5"/>
        <v>12</v>
      </c>
      <c r="AT7" s="1224">
        <f t="shared" si="5"/>
        <v>12</v>
      </c>
      <c r="AU7" s="1224">
        <f t="shared" si="5"/>
        <v>12</v>
      </c>
      <c r="AV7" s="1224">
        <f t="shared" si="5"/>
        <v>12</v>
      </c>
      <c r="AW7" s="1224">
        <f t="shared" si="5"/>
        <v>16</v>
      </c>
      <c r="AX7" s="1224">
        <f t="shared" si="5"/>
        <v>16</v>
      </c>
      <c r="AY7" s="1224">
        <f t="shared" si="5"/>
        <v>16</v>
      </c>
      <c r="AZ7" s="1224">
        <f t="shared" si="5"/>
        <v>16</v>
      </c>
      <c r="BA7" s="1224">
        <f t="shared" si="5"/>
        <v>20</v>
      </c>
      <c r="BB7" s="1224">
        <f t="shared" si="5"/>
        <v>20</v>
      </c>
      <c r="BC7" s="1224">
        <f t="shared" si="5"/>
        <v>20</v>
      </c>
      <c r="BD7" s="1224">
        <f t="shared" si="5"/>
        <v>20</v>
      </c>
      <c r="BE7" s="1224">
        <f t="shared" si="5"/>
        <v>24</v>
      </c>
      <c r="BF7" s="1224">
        <f t="shared" si="5"/>
        <v>24</v>
      </c>
      <c r="BG7" s="1224">
        <f t="shared" si="5"/>
        <v>24</v>
      </c>
      <c r="BH7" s="1224">
        <f t="shared" si="5"/>
        <v>24</v>
      </c>
      <c r="BI7" s="1224">
        <f t="shared" si="5"/>
        <v>28</v>
      </c>
      <c r="BJ7" s="1224">
        <f t="shared" si="5"/>
        <v>28</v>
      </c>
      <c r="BK7" s="1224">
        <f t="shared" si="5"/>
        <v>28</v>
      </c>
      <c r="BL7" s="1224">
        <f t="shared" si="5"/>
        <v>28</v>
      </c>
      <c r="BM7" s="1224">
        <f t="shared" si="5"/>
        <v>32</v>
      </c>
      <c r="BN7" s="1224">
        <f t="shared" si="5"/>
        <v>32</v>
      </c>
      <c r="BO7" s="1224">
        <f t="shared" si="5"/>
        <v>32</v>
      </c>
      <c r="BP7" s="1224">
        <f t="shared" si="5"/>
        <v>32</v>
      </c>
      <c r="BQ7" s="1224">
        <f t="shared" ref="BQ7:CN7" si="6">BM7+4</f>
        <v>36</v>
      </c>
      <c r="BR7" s="1224">
        <f t="shared" si="6"/>
        <v>36</v>
      </c>
      <c r="BS7" s="1224">
        <f t="shared" si="6"/>
        <v>36</v>
      </c>
      <c r="BT7" s="1224">
        <f t="shared" si="6"/>
        <v>36</v>
      </c>
      <c r="BU7" s="1224">
        <f t="shared" si="6"/>
        <v>40</v>
      </c>
      <c r="BV7" s="1224">
        <f t="shared" si="6"/>
        <v>40</v>
      </c>
      <c r="BW7" s="1224">
        <f t="shared" si="6"/>
        <v>40</v>
      </c>
      <c r="BX7" s="1224">
        <f t="shared" si="6"/>
        <v>40</v>
      </c>
      <c r="BY7" s="1224">
        <f t="shared" si="6"/>
        <v>44</v>
      </c>
      <c r="BZ7" s="1224">
        <f t="shared" si="6"/>
        <v>44</v>
      </c>
      <c r="CA7" s="1224">
        <f t="shared" si="6"/>
        <v>44</v>
      </c>
      <c r="CB7" s="1224">
        <f t="shared" si="6"/>
        <v>44</v>
      </c>
      <c r="CC7" s="1224">
        <f t="shared" si="6"/>
        <v>48</v>
      </c>
      <c r="CD7" s="1224">
        <f t="shared" si="6"/>
        <v>48</v>
      </c>
      <c r="CE7" s="1224">
        <f t="shared" si="6"/>
        <v>48</v>
      </c>
      <c r="CF7" s="1224">
        <f t="shared" si="6"/>
        <v>48</v>
      </c>
      <c r="CG7" s="1224">
        <f t="shared" si="6"/>
        <v>52</v>
      </c>
      <c r="CH7" s="1224">
        <f t="shared" si="6"/>
        <v>52</v>
      </c>
      <c r="CI7" s="1224">
        <f t="shared" si="6"/>
        <v>52</v>
      </c>
      <c r="CJ7" s="1224">
        <f t="shared" si="6"/>
        <v>52</v>
      </c>
      <c r="CK7" s="1224">
        <f t="shared" si="6"/>
        <v>56</v>
      </c>
      <c r="CL7" s="1224">
        <f t="shared" si="6"/>
        <v>56</v>
      </c>
      <c r="CM7" s="1224">
        <f t="shared" si="6"/>
        <v>56</v>
      </c>
      <c r="CN7" s="1224">
        <f t="shared" si="6"/>
        <v>56</v>
      </c>
      <c r="EG7" s="1165"/>
    </row>
    <row r="8" spans="1:162" s="1227" customFormat="1" ht="15.75">
      <c r="A8" s="1225"/>
      <c r="B8" s="1228" t="s">
        <v>168</v>
      </c>
      <c r="C8" s="1226" t="e">
        <f t="shared" ref="C8:Z8" si="7">C6</f>
        <v>#REF!</v>
      </c>
      <c r="D8" s="1226" t="e">
        <f t="shared" si="7"/>
        <v>#REF!</v>
      </c>
      <c r="E8" s="1226" t="e">
        <f t="shared" si="7"/>
        <v>#REF!</v>
      </c>
      <c r="F8" s="1226" t="e">
        <f t="shared" si="7"/>
        <v>#REF!</v>
      </c>
      <c r="G8" s="1226" t="e">
        <f t="shared" si="7"/>
        <v>#REF!</v>
      </c>
      <c r="H8" s="1226" t="e">
        <f t="shared" si="7"/>
        <v>#REF!</v>
      </c>
      <c r="I8" s="1226" t="e">
        <f t="shared" si="7"/>
        <v>#REF!</v>
      </c>
      <c r="J8" s="1226" t="e">
        <f t="shared" si="7"/>
        <v>#REF!</v>
      </c>
      <c r="K8" s="1226" t="e">
        <f t="shared" si="7"/>
        <v>#REF!</v>
      </c>
      <c r="L8" s="1226" t="e">
        <f t="shared" si="7"/>
        <v>#REF!</v>
      </c>
      <c r="M8" s="1226" t="e">
        <f t="shared" si="7"/>
        <v>#REF!</v>
      </c>
      <c r="N8" s="1226" t="e">
        <f t="shared" si="7"/>
        <v>#REF!</v>
      </c>
      <c r="O8" s="1226" t="e">
        <f t="shared" si="7"/>
        <v>#REF!</v>
      </c>
      <c r="P8" s="1226" t="e">
        <f t="shared" si="7"/>
        <v>#REF!</v>
      </c>
      <c r="Q8" s="1226" t="e">
        <f t="shared" si="7"/>
        <v>#REF!</v>
      </c>
      <c r="R8" s="1226">
        <f t="shared" si="7"/>
        <v>2010</v>
      </c>
      <c r="S8" s="1226">
        <f t="shared" si="7"/>
        <v>2011</v>
      </c>
      <c r="T8" s="1226">
        <f t="shared" si="7"/>
        <v>2012</v>
      </c>
      <c r="U8" s="1226">
        <f t="shared" si="7"/>
        <v>2013</v>
      </c>
      <c r="V8" s="1226">
        <f t="shared" si="7"/>
        <v>2014</v>
      </c>
      <c r="W8" s="1226">
        <f t="shared" si="7"/>
        <v>2015</v>
      </c>
      <c r="X8" s="1226">
        <f t="shared" si="7"/>
        <v>2016</v>
      </c>
      <c r="Y8" s="1226">
        <f t="shared" si="7"/>
        <v>2017</v>
      </c>
      <c r="Z8" s="1226">
        <f t="shared" si="7"/>
        <v>2018</v>
      </c>
      <c r="AA8" s="1226">
        <f>AA6</f>
        <v>2019</v>
      </c>
      <c r="AB8" s="1226">
        <f>AB6</f>
        <v>2020</v>
      </c>
      <c r="AC8" s="1226">
        <f>AC6</f>
        <v>2021</v>
      </c>
      <c r="AD8" s="1226"/>
      <c r="AE8" s="1226"/>
      <c r="AF8" s="1226"/>
      <c r="AG8" s="1226" t="e">
        <f t="shared" ref="AG8:CN8" si="8">AG6</f>
        <v>#REF!</v>
      </c>
      <c r="AH8" s="1226" t="e">
        <f t="shared" si="8"/>
        <v>#REF!</v>
      </c>
      <c r="AI8" s="1226" t="e">
        <f t="shared" si="8"/>
        <v>#REF!</v>
      </c>
      <c r="AJ8" s="1226" t="e">
        <f t="shared" si="8"/>
        <v>#REF!</v>
      </c>
      <c r="AK8" s="1226" t="e">
        <f t="shared" si="8"/>
        <v>#REF!</v>
      </c>
      <c r="AL8" s="1226" t="e">
        <f t="shared" si="8"/>
        <v>#REF!</v>
      </c>
      <c r="AM8" s="1226" t="e">
        <f t="shared" si="8"/>
        <v>#REF!</v>
      </c>
      <c r="AN8" s="1226" t="e">
        <f t="shared" si="8"/>
        <v>#REF!</v>
      </c>
      <c r="AO8" s="1226" t="e">
        <f t="shared" si="8"/>
        <v>#REF!</v>
      </c>
      <c r="AP8" s="1226" t="e">
        <f t="shared" si="8"/>
        <v>#REF!</v>
      </c>
      <c r="AQ8" s="1226" t="e">
        <f t="shared" si="8"/>
        <v>#REF!</v>
      </c>
      <c r="AR8" s="1226" t="e">
        <f t="shared" si="8"/>
        <v>#REF!</v>
      </c>
      <c r="AS8" s="1226" t="e">
        <f t="shared" si="8"/>
        <v>#REF!</v>
      </c>
      <c r="AT8" s="1226" t="e">
        <f t="shared" si="8"/>
        <v>#REF!</v>
      </c>
      <c r="AU8" s="1226" t="e">
        <f t="shared" si="8"/>
        <v>#REF!</v>
      </c>
      <c r="AV8" s="1226" t="e">
        <f t="shared" si="8"/>
        <v>#REF!</v>
      </c>
      <c r="AW8" s="1226" t="e">
        <f t="shared" si="8"/>
        <v>#REF!</v>
      </c>
      <c r="AX8" s="1226" t="e">
        <f t="shared" si="8"/>
        <v>#REF!</v>
      </c>
      <c r="AY8" s="1226" t="e">
        <f t="shared" si="8"/>
        <v>#REF!</v>
      </c>
      <c r="AZ8" s="1226" t="e">
        <f t="shared" si="8"/>
        <v>#REF!</v>
      </c>
      <c r="BA8" s="1226" t="e">
        <f t="shared" si="8"/>
        <v>#REF!</v>
      </c>
      <c r="BB8" s="1226" t="e">
        <f t="shared" si="8"/>
        <v>#REF!</v>
      </c>
      <c r="BC8" s="1226" t="e">
        <f t="shared" si="8"/>
        <v>#REF!</v>
      </c>
      <c r="BD8" s="1226" t="e">
        <f t="shared" si="8"/>
        <v>#REF!</v>
      </c>
      <c r="BE8" s="1226" t="e">
        <f t="shared" si="8"/>
        <v>#REF!</v>
      </c>
      <c r="BF8" s="1226" t="e">
        <f t="shared" si="8"/>
        <v>#REF!</v>
      </c>
      <c r="BG8" s="1226" t="e">
        <f t="shared" si="8"/>
        <v>#REF!</v>
      </c>
      <c r="BH8" s="1226" t="e">
        <f t="shared" si="8"/>
        <v>#REF!</v>
      </c>
      <c r="BI8" s="1226" t="e">
        <f t="shared" si="8"/>
        <v>#REF!</v>
      </c>
      <c r="BJ8" s="1226" t="e">
        <f t="shared" si="8"/>
        <v>#REF!</v>
      </c>
      <c r="BK8" s="1226" t="e">
        <f t="shared" si="8"/>
        <v>#REF!</v>
      </c>
      <c r="BL8" s="1226" t="e">
        <f t="shared" si="8"/>
        <v>#REF!</v>
      </c>
      <c r="BM8" s="1226" t="e">
        <f t="shared" si="8"/>
        <v>#REF!</v>
      </c>
      <c r="BN8" s="1226" t="e">
        <f t="shared" si="8"/>
        <v>#REF!</v>
      </c>
      <c r="BO8" s="1226" t="e">
        <f t="shared" si="8"/>
        <v>#REF!</v>
      </c>
      <c r="BP8" s="1226" t="e">
        <f t="shared" si="8"/>
        <v>#REF!</v>
      </c>
      <c r="BQ8" s="1226" t="e">
        <f t="shared" si="8"/>
        <v>#REF!</v>
      </c>
      <c r="BR8" s="1226" t="e">
        <f t="shared" si="8"/>
        <v>#REF!</v>
      </c>
      <c r="BS8" s="1226" t="e">
        <f t="shared" si="8"/>
        <v>#REF!</v>
      </c>
      <c r="BT8" s="1226" t="e">
        <f t="shared" si="8"/>
        <v>#REF!</v>
      </c>
      <c r="BU8" s="1226" t="e">
        <f t="shared" si="8"/>
        <v>#REF!</v>
      </c>
      <c r="BV8" s="1226" t="e">
        <f t="shared" si="8"/>
        <v>#REF!</v>
      </c>
      <c r="BW8" s="1226" t="e">
        <f t="shared" si="8"/>
        <v>#REF!</v>
      </c>
      <c r="BX8" s="1226" t="e">
        <f t="shared" si="8"/>
        <v>#REF!</v>
      </c>
      <c r="BY8" s="1226" t="e">
        <f t="shared" si="8"/>
        <v>#REF!</v>
      </c>
      <c r="BZ8" s="1226" t="e">
        <f t="shared" si="8"/>
        <v>#REF!</v>
      </c>
      <c r="CA8" s="1226" t="e">
        <f t="shared" si="8"/>
        <v>#REF!</v>
      </c>
      <c r="CB8" s="1226" t="e">
        <f t="shared" si="8"/>
        <v>#REF!</v>
      </c>
      <c r="CC8" s="1226" t="e">
        <f t="shared" si="8"/>
        <v>#REF!</v>
      </c>
      <c r="CD8" s="1226" t="e">
        <f t="shared" si="8"/>
        <v>#REF!</v>
      </c>
      <c r="CE8" s="1226" t="e">
        <f t="shared" si="8"/>
        <v>#REF!</v>
      </c>
      <c r="CF8" s="1226" t="e">
        <f t="shared" si="8"/>
        <v>#REF!</v>
      </c>
      <c r="CG8" s="1226" t="e">
        <f t="shared" si="8"/>
        <v>#REF!</v>
      </c>
      <c r="CH8" s="1226" t="e">
        <f t="shared" si="8"/>
        <v>#REF!</v>
      </c>
      <c r="CI8" s="1226" t="e">
        <f t="shared" si="8"/>
        <v>#REF!</v>
      </c>
      <c r="CJ8" s="1226" t="e">
        <f t="shared" si="8"/>
        <v>#REF!</v>
      </c>
      <c r="CK8" s="1226" t="e">
        <f t="shared" si="8"/>
        <v>#REF!</v>
      </c>
      <c r="CL8" s="1226" t="e">
        <f t="shared" si="8"/>
        <v>#REF!</v>
      </c>
      <c r="CM8" s="1226" t="e">
        <f t="shared" si="8"/>
        <v>#REF!</v>
      </c>
      <c r="CN8" s="1226" t="e">
        <f t="shared" si="8"/>
        <v>#REF!</v>
      </c>
      <c r="CQ8" s="1226" t="str">
        <f t="shared" ref="CQ8:CX8" si="9">CQ6</f>
        <v>1Q05</v>
      </c>
      <c r="CR8" s="1226" t="str">
        <f t="shared" si="9"/>
        <v>2Q05</v>
      </c>
      <c r="CS8" s="1226" t="str">
        <f t="shared" si="9"/>
        <v>3Q05</v>
      </c>
      <c r="CT8" s="1226" t="str">
        <f t="shared" si="9"/>
        <v>4Q05</v>
      </c>
      <c r="CU8" s="1226" t="str">
        <f t="shared" si="9"/>
        <v>1Q06</v>
      </c>
      <c r="CV8" s="1226" t="str">
        <f t="shared" si="9"/>
        <v>2Q06</v>
      </c>
      <c r="CW8" s="1226" t="str">
        <f t="shared" si="9"/>
        <v>3Q06</v>
      </c>
      <c r="CX8" s="1226" t="str">
        <f t="shared" si="9"/>
        <v>4Q06</v>
      </c>
      <c r="CY8" s="1226" t="str">
        <f>CY6</f>
        <v>1Q07</v>
      </c>
      <c r="CZ8" s="1226" t="str">
        <f t="shared" ref="CZ8:EG8" si="10">CZ6</f>
        <v>2Q07</v>
      </c>
      <c r="DA8" s="1226" t="str">
        <f t="shared" si="10"/>
        <v>3Q07</v>
      </c>
      <c r="DB8" s="1226" t="str">
        <f t="shared" si="10"/>
        <v>4Q07</v>
      </c>
      <c r="DC8" s="1226" t="str">
        <f t="shared" si="10"/>
        <v>1Q08</v>
      </c>
      <c r="DD8" s="1226" t="str">
        <f t="shared" si="10"/>
        <v>2Q08</v>
      </c>
      <c r="DE8" s="1226" t="str">
        <f t="shared" si="10"/>
        <v>3Q08</v>
      </c>
      <c r="DF8" s="1226" t="str">
        <f t="shared" si="10"/>
        <v>4Q08</v>
      </c>
      <c r="DG8" s="1226" t="str">
        <f t="shared" si="10"/>
        <v>1Q09</v>
      </c>
      <c r="DH8" s="1226" t="str">
        <f t="shared" si="10"/>
        <v>2Q09</v>
      </c>
      <c r="DI8" s="1226" t="str">
        <f t="shared" si="10"/>
        <v>3Q09</v>
      </c>
      <c r="DJ8" s="1226" t="str">
        <f t="shared" si="10"/>
        <v>4Q09</v>
      </c>
      <c r="DK8" s="1226" t="str">
        <f t="shared" si="10"/>
        <v>1Q10</v>
      </c>
      <c r="DL8" s="1226" t="str">
        <f t="shared" si="10"/>
        <v>2Q10</v>
      </c>
      <c r="DM8" s="1226" t="str">
        <f t="shared" si="10"/>
        <v>3Q10</v>
      </c>
      <c r="DN8" s="1226" t="str">
        <f t="shared" si="10"/>
        <v>4Q10</v>
      </c>
      <c r="DO8" s="1226" t="str">
        <f t="shared" si="10"/>
        <v>1Q11</v>
      </c>
      <c r="DP8" s="1226" t="str">
        <f t="shared" si="10"/>
        <v>2Q11</v>
      </c>
      <c r="DQ8" s="1226" t="str">
        <f t="shared" si="10"/>
        <v>3Q11</v>
      </c>
      <c r="DR8" s="1226" t="str">
        <f t="shared" si="10"/>
        <v>4Q11</v>
      </c>
      <c r="DS8" s="1226" t="str">
        <f t="shared" si="10"/>
        <v>1Q12</v>
      </c>
      <c r="DT8" s="1226" t="str">
        <f t="shared" si="10"/>
        <v>2Q12</v>
      </c>
      <c r="DU8" s="1226" t="str">
        <f t="shared" si="10"/>
        <v>3Q12</v>
      </c>
      <c r="DV8" s="1226" t="str">
        <f t="shared" si="10"/>
        <v>4Q12</v>
      </c>
      <c r="DW8" s="1226" t="str">
        <f t="shared" si="10"/>
        <v>1Q13</v>
      </c>
      <c r="DX8" s="1226" t="str">
        <f t="shared" si="10"/>
        <v>2Q13</v>
      </c>
      <c r="DY8" s="1226" t="str">
        <f t="shared" si="10"/>
        <v>3Q13</v>
      </c>
      <c r="DZ8" s="1226" t="str">
        <f t="shared" si="10"/>
        <v>4Q13</v>
      </c>
      <c r="EA8" s="1226" t="str">
        <f t="shared" si="10"/>
        <v>1Q14</v>
      </c>
      <c r="EB8" s="1226" t="str">
        <f t="shared" si="10"/>
        <v>2Q14</v>
      </c>
      <c r="EC8" s="1226" t="str">
        <f t="shared" si="10"/>
        <v>3Q14</v>
      </c>
      <c r="ED8" s="1226" t="str">
        <f t="shared" si="10"/>
        <v>4Q14</v>
      </c>
      <c r="EE8" s="1226" t="str">
        <f t="shared" si="10"/>
        <v>1Q15</v>
      </c>
      <c r="EF8" s="1226" t="str">
        <f t="shared" si="10"/>
        <v>2Q15</v>
      </c>
      <c r="EG8" s="1226" t="str">
        <f t="shared" si="10"/>
        <v>3Q15</v>
      </c>
      <c r="EH8" s="1226" t="str">
        <f>EH6</f>
        <v>4Q15</v>
      </c>
      <c r="EI8" s="1226" t="str">
        <f>EI6</f>
        <v>1Q16</v>
      </c>
      <c r="EJ8" s="1226" t="str">
        <f t="shared" ref="EJ8:EX8" si="11">EJ6</f>
        <v>2Q16</v>
      </c>
      <c r="EK8" s="1226" t="str">
        <f t="shared" si="11"/>
        <v>3Q16</v>
      </c>
      <c r="EL8" s="1226" t="str">
        <f t="shared" si="11"/>
        <v>4Q16</v>
      </c>
      <c r="EM8" s="1226" t="str">
        <f t="shared" si="11"/>
        <v>1Q17</v>
      </c>
      <c r="EN8" s="1226" t="str">
        <f t="shared" si="11"/>
        <v>2Q17</v>
      </c>
      <c r="EO8" s="1226" t="str">
        <f t="shared" si="11"/>
        <v>3Q17</v>
      </c>
      <c r="EP8" s="1226" t="str">
        <f t="shared" si="11"/>
        <v>4Q17</v>
      </c>
      <c r="EQ8" s="1226" t="str">
        <f t="shared" si="11"/>
        <v>1Q18</v>
      </c>
      <c r="ER8" s="1226" t="str">
        <f t="shared" si="11"/>
        <v>2Q18</v>
      </c>
      <c r="ES8" s="1226" t="str">
        <f t="shared" si="11"/>
        <v>3Q18</v>
      </c>
      <c r="ET8" s="1226" t="str">
        <f>ET6</f>
        <v>4Q18</v>
      </c>
      <c r="EU8" s="1226" t="str">
        <f t="shared" si="11"/>
        <v>1Q19E</v>
      </c>
      <c r="EV8" s="1226" t="str">
        <f t="shared" si="11"/>
        <v>2Q19E</v>
      </c>
      <c r="EW8" s="1226" t="str">
        <f t="shared" si="11"/>
        <v>3Q19E</v>
      </c>
      <c r="EX8" s="1226" t="str">
        <f t="shared" si="11"/>
        <v>4Q19E</v>
      </c>
      <c r="EY8" s="1226" t="str">
        <f t="shared" ref="EY8:FF8" si="12">EY6</f>
        <v>1Q20E</v>
      </c>
      <c r="EZ8" s="1226" t="str">
        <f t="shared" si="12"/>
        <v>2Q20E</v>
      </c>
      <c r="FA8" s="1226" t="str">
        <f t="shared" si="12"/>
        <v>3Q20E</v>
      </c>
      <c r="FB8" s="1226" t="str">
        <f t="shared" si="12"/>
        <v>4Q20E</v>
      </c>
      <c r="FC8" s="1226" t="str">
        <f t="shared" si="12"/>
        <v>1Q21E</v>
      </c>
      <c r="FD8" s="1226" t="str">
        <f t="shared" si="12"/>
        <v>2Q21E</v>
      </c>
      <c r="FE8" s="1226" t="str">
        <f t="shared" si="12"/>
        <v>3Q21E</v>
      </c>
      <c r="FF8" s="1226" t="str">
        <f t="shared" si="12"/>
        <v>4Q21E</v>
      </c>
    </row>
    <row r="9" spans="1:162" s="1231" customFormat="1">
      <c r="A9" s="1229"/>
      <c r="B9" s="1230"/>
      <c r="EG9" s="1165"/>
    </row>
    <row r="10" spans="1:162" s="1231" customFormat="1">
      <c r="A10" s="1206" t="s">
        <v>440</v>
      </c>
      <c r="B10" s="1230" t="s">
        <v>385</v>
      </c>
      <c r="M10" s="1231">
        <f t="shared" ref="M10:AC10" ca="1" si="13">OFFSET($CQ10,0,M$7)+OFFSET($CR10,0,M$7)+OFFSET($CS10,0,M$7)+OFFSET($CT10,0,M$7)</f>
        <v>0</v>
      </c>
      <c r="N10" s="1231">
        <f t="shared" ca="1" si="13"/>
        <v>0</v>
      </c>
      <c r="O10" s="1231">
        <f t="shared" ca="1" si="13"/>
        <v>0</v>
      </c>
      <c r="P10" s="1231">
        <f t="shared" ca="1" si="13"/>
        <v>0</v>
      </c>
      <c r="Q10" s="1231">
        <f t="shared" ca="1" si="13"/>
        <v>0</v>
      </c>
      <c r="R10" s="1231">
        <f t="shared" ca="1" si="13"/>
        <v>0</v>
      </c>
      <c r="S10" s="1231">
        <f t="shared" ca="1" si="13"/>
        <v>0</v>
      </c>
      <c r="T10" s="1231">
        <f t="shared" ca="1" si="13"/>
        <v>0</v>
      </c>
      <c r="U10" s="1231">
        <f t="shared" ca="1" si="13"/>
        <v>2068.9639999999999</v>
      </c>
      <c r="V10" s="1231">
        <f t="shared" ca="1" si="13"/>
        <v>1969.9659999999999</v>
      </c>
      <c r="W10" s="1231">
        <f t="shared" ca="1" si="13"/>
        <v>2236.415</v>
      </c>
      <c r="X10" s="1231">
        <f t="shared" ca="1" si="13"/>
        <v>2914.18</v>
      </c>
      <c r="Y10" s="1231">
        <f t="shared" ca="1" si="13"/>
        <v>3101.1750000000002</v>
      </c>
      <c r="Z10" s="1231">
        <f t="shared" ca="1" si="13"/>
        <v>3359.9839999999999</v>
      </c>
      <c r="AA10" s="1231">
        <f t="shared" ca="1" si="13"/>
        <v>0</v>
      </c>
      <c r="AB10" s="1231">
        <f t="shared" ca="1" si="13"/>
        <v>0</v>
      </c>
      <c r="AC10" s="1231">
        <f t="shared" ca="1" si="13"/>
        <v>0</v>
      </c>
      <c r="AG10" s="1231">
        <f ca="1">OFFSET($CQ10,0,AG$7)</f>
        <v>0</v>
      </c>
      <c r="AH10" s="1231">
        <f ca="1">OFFSET($CQ10,0,AH$7)+OFFSET($CR10,0,AH$7)</f>
        <v>0</v>
      </c>
      <c r="AI10" s="1231">
        <f ca="1">OFFSET($CQ10,0,AI$7)+OFFSET($CR10,0,AI$7)+OFFSET($CS10,0,AI$7)</f>
        <v>0</v>
      </c>
      <c r="AJ10" s="1231">
        <f ca="1">OFFSET($CQ10,0,AJ$7)+OFFSET($CR10,0,AJ$7)+OFFSET($CS10,0,AJ$7)+OFFSET($CT10,0,AJ$7)</f>
        <v>0</v>
      </c>
      <c r="AK10" s="1231">
        <f ca="1">OFFSET($CQ10,0,AK$7)</f>
        <v>0</v>
      </c>
      <c r="AL10" s="1231">
        <f ca="1">OFFSET($CQ10,0,AL$7)+OFFSET($CR10,0,AL$7)</f>
        <v>0</v>
      </c>
      <c r="AM10" s="1231">
        <f ca="1">OFFSET($CQ10,0,AM$7)+OFFSET($CR10,0,AM$7)+OFFSET($CS10,0,AM$7)</f>
        <v>0</v>
      </c>
      <c r="AN10" s="1231">
        <f ca="1">OFFSET($CQ10,0,AN$7)+OFFSET($CR10,0,AN$7)+OFFSET($CS10,0,AN$7)+OFFSET($CT10,0,AN$7)</f>
        <v>0</v>
      </c>
      <c r="AO10" s="1231">
        <f ca="1">OFFSET($CQ10,0,AO$7)</f>
        <v>0</v>
      </c>
      <c r="AP10" s="1231">
        <f ca="1">OFFSET($CQ10,0,AP$7)+OFFSET($CR10,0,AP$7)</f>
        <v>0</v>
      </c>
      <c r="AQ10" s="1231">
        <f ca="1">OFFSET($CQ10,0,AQ$7)+OFFSET($CR10,0,AQ$7)+OFFSET($CS10,0,AQ$7)</f>
        <v>0</v>
      </c>
      <c r="AR10" s="1231">
        <f ca="1">OFFSET($CQ10,0,AR$7)+OFFSET($CR10,0,AR$7)+OFFSET($CS10,0,AR$7)+OFFSET($CT10,0,AR$7)</f>
        <v>0</v>
      </c>
      <c r="AS10" s="1231">
        <f ca="1">OFFSET($CQ10,0,AS$7)</f>
        <v>0</v>
      </c>
      <c r="AT10" s="1231">
        <f ca="1">OFFSET($CQ10,0,AT$7)+OFFSET($CR10,0,AT$7)</f>
        <v>0</v>
      </c>
      <c r="AU10" s="1231">
        <f ca="1">OFFSET($CQ10,0,AU$7)+OFFSET($CR10,0,AU$7)+OFFSET($CS10,0,AU$7)</f>
        <v>0</v>
      </c>
      <c r="AV10" s="1231">
        <f ca="1">OFFSET($CQ10,0,AV$7)+OFFSET($CR10,0,AV$7)+OFFSET($CS10,0,AV$7)+OFFSET($CT10,0,AV$7)</f>
        <v>0</v>
      </c>
      <c r="AW10" s="1231">
        <f ca="1">OFFSET($CQ10,0,AW$7)</f>
        <v>0</v>
      </c>
      <c r="AX10" s="1231">
        <f ca="1">OFFSET($CQ10,0,AX$7)+OFFSET($CR10,0,AX$7)</f>
        <v>0</v>
      </c>
      <c r="AY10" s="1231">
        <f ca="1">OFFSET($CQ10,0,AY$7)+OFFSET($CR10,0,AY$7)+OFFSET($CS10,0,AY$7)</f>
        <v>0</v>
      </c>
      <c r="AZ10" s="1231">
        <f ca="1">OFFSET($CQ10,0,AZ$7)+OFFSET($CR10,0,AZ$7)+OFFSET($CS10,0,AZ$7)+OFFSET($CT10,0,AZ$7)</f>
        <v>0</v>
      </c>
      <c r="BA10" s="1231">
        <f ca="1">OFFSET($CQ10,0,BA$7)</f>
        <v>0</v>
      </c>
      <c r="BB10" s="1231">
        <f ca="1">OFFSET($CQ10,0,BB$7)+OFFSET($CR10,0,BB$7)</f>
        <v>0</v>
      </c>
      <c r="BC10" s="1231">
        <f ca="1">OFFSET($CQ10,0,BC$7)+OFFSET($CR10,0,BC$7)+OFFSET($CS10,0,BC$7)</f>
        <v>0</v>
      </c>
      <c r="BD10" s="1231">
        <f ca="1">OFFSET($CQ10,0,BD$7)+OFFSET($CR10,0,BD$7)+OFFSET($CS10,0,BD$7)+OFFSET($CT10,0,BD$7)</f>
        <v>0</v>
      </c>
      <c r="BE10" s="1231">
        <f ca="1">OFFSET($CQ10,0,BE$7)</f>
        <v>0</v>
      </c>
      <c r="BF10" s="1231">
        <f ca="1">OFFSET($CQ10,0,BF$7)+OFFSET($CR10,0,BF$7)</f>
        <v>0</v>
      </c>
      <c r="BG10" s="1231">
        <f ca="1">OFFSET($CQ10,0,BG$7)+OFFSET($CR10,0,BG$7)+OFFSET($CS10,0,BG$7)</f>
        <v>0</v>
      </c>
      <c r="BH10" s="1231">
        <f ca="1">OFFSET($CQ10,0,BH$7)+OFFSET($CR10,0,BH$7)+OFFSET($CS10,0,BH$7)+OFFSET($CT10,0,BH$7)</f>
        <v>0</v>
      </c>
      <c r="BI10" s="1231">
        <f ca="1">OFFSET($CQ10,0,BI$7)</f>
        <v>0</v>
      </c>
      <c r="BJ10" s="1231">
        <f ca="1">OFFSET($CQ10,0,BJ$7)+OFFSET($CR10,0,BJ$7)</f>
        <v>0</v>
      </c>
      <c r="BK10" s="1231">
        <f ca="1">OFFSET($CQ10,0,BK$7)+OFFSET($CR10,0,BK$7)+OFFSET($CS10,0,BK$7)</f>
        <v>0</v>
      </c>
      <c r="BL10" s="1231">
        <f ca="1">OFFSET($CQ10,0,BL$7)+OFFSET($CR10,0,BL$7)+OFFSET($CS10,0,BL$7)+OFFSET($CT10,0,BL$7)</f>
        <v>0</v>
      </c>
      <c r="BM10" s="1231">
        <f ca="1">OFFSET($CQ10,0,BM$7)</f>
        <v>501.60899999999998</v>
      </c>
      <c r="BN10" s="1231">
        <f ca="1">OFFSET($CQ10,0,BN$7)+OFFSET($CR10,0,BN$7)</f>
        <v>1042.9110000000001</v>
      </c>
      <c r="BO10" s="1231">
        <f ca="1">OFFSET($CQ10,0,BO$7)+OFFSET($CR10,0,BO$7)+OFFSET($CS10,0,BO$7)</f>
        <v>1577.1669999999999</v>
      </c>
      <c r="BP10" s="1231">
        <f ca="1">OFFSET($CQ10,0,BP$7)+OFFSET($CR10,0,BP$7)+OFFSET($CS10,0,BP$7)+OFFSET($CT10,0,BP$7)</f>
        <v>2068.9639999999999</v>
      </c>
      <c r="BQ10" s="1231">
        <f ca="1">OFFSET($CQ10,0,BQ$7)</f>
        <v>451.08300000000003</v>
      </c>
      <c r="BR10" s="1231">
        <f ca="1">OFFSET($CQ10,0,BR$7)+OFFSET($CR10,0,BR$7)</f>
        <v>962.42700000000002</v>
      </c>
      <c r="BS10" s="1231">
        <f ca="1">OFFSET($CQ10,0,BS$7)+OFFSET($CR10,0,BS$7)+OFFSET($CS10,0,BS$7)</f>
        <v>1484.0729999999999</v>
      </c>
      <c r="BT10" s="1231">
        <f ca="1">OFFSET($CQ10,0,BT$7)+OFFSET($CR10,0,BT$7)+OFFSET($CS10,0,BT$7)+OFFSET($CT10,0,BT$7)</f>
        <v>1969.9659999999999</v>
      </c>
      <c r="BU10" s="1231">
        <f ca="1">OFFSET($CQ10,0,BU$7)</f>
        <v>509.798</v>
      </c>
      <c r="BV10" s="1231">
        <f ca="1">OFFSET($CQ10,0,BV$7)+OFFSET($CR10,0,BV$7)</f>
        <v>1056.413</v>
      </c>
      <c r="BW10" s="1231">
        <f ca="1">OFFSET($CQ10,0,BW$7)+OFFSET($CR10,0,BW$7)+OFFSET($CS10,0,BW$7)</f>
        <v>1626.2670000000001</v>
      </c>
      <c r="BX10" s="1231">
        <f ca="1">OFFSET($CQ10,0,BX$7)+OFFSET($CR10,0,BX$7)+OFFSET($CS10,0,BX$7)+OFFSET($CT10,0,BX$7)</f>
        <v>2236.415</v>
      </c>
      <c r="BY10" s="1231">
        <f ca="1">OFFSET($CQ10,0,BY$7)</f>
        <v>634.31200000000001</v>
      </c>
      <c r="BZ10" s="1231">
        <f ca="1">OFFSET($CQ10,0,BZ$7)+OFFSET($CR10,0,BZ$7)</f>
        <v>1324.5329999999999</v>
      </c>
      <c r="CA10" s="1231">
        <f ca="1">OFFSET($CQ10,0,CA$7)+OFFSET($CR10,0,CA$7)+OFFSET($CS10,0,CA$7)</f>
        <v>2099.3779999999997</v>
      </c>
      <c r="CB10" s="1231">
        <f ca="1">OFFSET($CQ10,0,CB$7)+OFFSET($CR10,0,CB$7)+OFFSET($CS10,0,CB$7)+OFFSET($CT10,0,CB$7)</f>
        <v>2914.18</v>
      </c>
      <c r="CC10" s="1231">
        <f ca="1">OFFSET($CQ10,0,CC$7)</f>
        <v>793.08500000000004</v>
      </c>
      <c r="CD10" s="1231">
        <f ca="1">OFFSET($CQ10,0,CD$7)+OFFSET($CR10,0,CD$7)</f>
        <v>1544.278</v>
      </c>
      <c r="CE10" s="1231">
        <f ca="1">OFFSET($CQ10,0,CE$7)+OFFSET($CR10,0,CE$7)+OFFSET($CS10,0,CE$7)</f>
        <v>2314.0010000000002</v>
      </c>
      <c r="CF10" s="1231">
        <f ca="1">OFFSET($CQ10,0,CF$7)+OFFSET($CR10,0,CF$7)+OFFSET($CS10,0,CF$7)+OFFSET($CT10,0,CF$7)</f>
        <v>3101.1750000000002</v>
      </c>
      <c r="CG10" s="1231">
        <f ca="1">OFFSET($CQ10,0,CG$7)</f>
        <v>831.04399999999998</v>
      </c>
      <c r="CH10" s="1231">
        <f ca="1">OFFSET($CQ10,0,CH$7)+OFFSET($CR10,0,CH$7)</f>
        <v>1721.7570000000001</v>
      </c>
      <c r="CI10" s="1231">
        <f ca="1">OFFSET($CQ10,0,CI$7)+OFFSET($CR10,0,CI$7)+OFFSET($CS10,0,CI$7)</f>
        <v>2572.4189999999999</v>
      </c>
      <c r="CJ10" s="1231">
        <f ca="1">OFFSET($CQ10,0,CJ$7)+OFFSET($CR10,0,CJ$7)+OFFSET($CS10,0,CJ$7)+OFFSET($CT10,0,CJ$7)</f>
        <v>3359.9839999999999</v>
      </c>
      <c r="DK10" s="1232"/>
      <c r="DL10" s="1232"/>
      <c r="DM10" s="1232"/>
      <c r="DN10" s="1232"/>
      <c r="DO10" s="1232"/>
      <c r="DP10" s="1232"/>
      <c r="DQ10" s="1232"/>
      <c r="DR10" s="1232"/>
      <c r="DS10" s="1232"/>
      <c r="DT10" s="1232"/>
      <c r="DU10" s="1232"/>
      <c r="DV10" s="1232"/>
      <c r="DW10" s="1232">
        <f>INDEX('Basic Data TR'!$A$1:$AMJ$9673,MATCH($A10,'Basic Data TR'!$A$1:$A$9673,0),MATCH(DW$6,'Basic Data TR'!$A$1:$AMJ$1,0))</f>
        <v>501.60899999999998</v>
      </c>
      <c r="DX10" s="1232">
        <f>INDEX('Basic Data TR'!$A$1:$AMJ$9673,MATCH($A10,'Basic Data TR'!$A$1:$A$9673,0),MATCH(DX$6,'Basic Data TR'!$A$1:$AMJ$1,0))</f>
        <v>541.30200000000002</v>
      </c>
      <c r="DY10" s="1232">
        <f>INDEX('Basic Data TR'!$A$1:$AMJ$9673,MATCH($A10,'Basic Data TR'!$A$1:$A$9673,0),MATCH(DY$6,'Basic Data TR'!$A$1:$AMJ$1,0))</f>
        <v>534.25599999999997</v>
      </c>
      <c r="DZ10" s="1232">
        <f>INDEX('Basic Data TR'!$A$1:$AMJ$9673,MATCH($A10,'Basic Data TR'!$A$1:$A$9673,0),MATCH(DZ$6,'Basic Data TR'!$A$1:$AMJ$1,0))</f>
        <v>491.79700000000003</v>
      </c>
      <c r="EA10" s="1232">
        <f>INDEX('Basic Data TR'!$A$1:$AMJ$9673,MATCH($A10,'Basic Data TR'!$A$1:$A$9673,0),MATCH(EA$6,'Basic Data TR'!$A$1:$AMJ$1,0))</f>
        <v>451.08300000000003</v>
      </c>
      <c r="EB10" s="1232">
        <f>INDEX('Basic Data TR'!$A$1:$AMJ$9673,MATCH($A10,'Basic Data TR'!$A$1:$A$9673,0),MATCH(EB$6,'Basic Data TR'!$A$1:$AMJ$1,0))</f>
        <v>511.34399999999999</v>
      </c>
      <c r="EC10" s="1232">
        <f>INDEX('Basic Data TR'!$A$1:$AMJ$9673,MATCH($A10,'Basic Data TR'!$A$1:$A$9673,0),MATCH(EC$6,'Basic Data TR'!$A$1:$AMJ$1,0))</f>
        <v>521.64599999999996</v>
      </c>
      <c r="ED10" s="1232">
        <f>INDEX('Basic Data TR'!$A$1:$AMJ$9673,MATCH($A10,'Basic Data TR'!$A$1:$A$9673,0),MATCH(ED$6,'Basic Data TR'!$A$1:$AMJ$1,0))</f>
        <v>485.89299999999997</v>
      </c>
      <c r="EE10" s="1232">
        <f>INDEX('Basic Data TR'!$A$1:$AMJ$9673,MATCH($A10,'Basic Data TR'!$A$1:$A$9673,0),MATCH(EE$6,'Basic Data TR'!$A$1:$AMJ$1,0))</f>
        <v>509.798</v>
      </c>
      <c r="EF10" s="1232">
        <f>INDEX('Basic Data TR'!$A$1:$AMJ$9673,MATCH($A10,'Basic Data TR'!$A$1:$A$9673,0),MATCH(EF$6,'Basic Data TR'!$A$1:$AMJ$1,0))</f>
        <v>546.61500000000001</v>
      </c>
      <c r="EG10" s="1232">
        <f>INDEX('Basic Data TR'!$A$1:$AMJ$9673,MATCH($A10,'Basic Data TR'!$A$1:$A$9673,0),MATCH(EG$6,'Basic Data TR'!$A$1:$AMJ$1,0))</f>
        <v>569.85400000000004</v>
      </c>
      <c r="EH10" s="1232">
        <f>INDEX('Basic Data TR'!$A$1:$AMJ$9673,MATCH($A10,'Basic Data TR'!$A$1:$A$9673,0),MATCH(EH$6,'Basic Data TR'!$A$1:$AMJ$1,0))</f>
        <v>610.14800000000002</v>
      </c>
      <c r="EI10" s="1232">
        <f>INDEX('Basic Data TR'!$A$1:$AMJ$9673,MATCH($A10,'Basic Data TR'!$A$1:$A$9673,0),MATCH(EI$6,'Basic Data TR'!$A$1:$AMJ$1,0))</f>
        <v>634.31200000000001</v>
      </c>
      <c r="EJ10" s="1232">
        <f>INDEX('Basic Data TR'!$A$1:$AMJ$9673,MATCH($A10,'Basic Data TR'!$A$1:$A$9673,0),MATCH(EJ$6,'Basic Data TR'!$A$1:$AMJ$1,0))</f>
        <v>690.221</v>
      </c>
      <c r="EK10" s="1232">
        <f>INDEX('Basic Data TR'!$A$1:$AMJ$9673,MATCH($A10,'Basic Data TR'!$A$1:$A$9673,0),MATCH(EK$6,'Basic Data TR'!$A$1:$AMJ$1,0))</f>
        <v>774.84500000000003</v>
      </c>
      <c r="EL10" s="1232">
        <f>INDEX('Basic Data TR'!$A$1:$AMJ$9673,MATCH($A10,'Basic Data TR'!$A$1:$A$9673,0),MATCH(EL$6,'Basic Data TR'!$A$1:$AMJ$1,0))</f>
        <v>814.80200000000002</v>
      </c>
      <c r="EM10" s="1232">
        <f>INDEX('Basic Data TR'!$A$1:$AMJ$9673,MATCH($A10,'Basic Data TR'!$A$1:$A$9673,0),MATCH(EM$6,'Basic Data TR'!$A$1:$AMJ$1,0))</f>
        <v>793.08500000000004</v>
      </c>
      <c r="EN10" s="1232">
        <f>INDEX('Basic Data TR'!$A$1:$AMJ$9673,MATCH($A10,'Basic Data TR'!$A$1:$A$9673,0),MATCH(EN$6,'Basic Data TR'!$A$1:$AMJ$1,0))</f>
        <v>751.19299999999998</v>
      </c>
      <c r="EO10" s="1232">
        <f>INDEX('Basic Data TR'!$A$1:$AMJ$9673,MATCH($A10,'Basic Data TR'!$A$1:$A$9673,0),MATCH(EO$6,'Basic Data TR'!$A$1:$AMJ$1,0))</f>
        <v>769.72299999999996</v>
      </c>
      <c r="EP10" s="1232">
        <f>INDEX('Basic Data TR'!$A$1:$AMJ$9673,MATCH($A10,'Basic Data TR'!$A$1:$A$9673,0),MATCH(EP$6,'Basic Data TR'!$A$1:$AMJ$1,0))</f>
        <v>787.17399999999998</v>
      </c>
      <c r="EQ10" s="1232">
        <f>INDEX('Basic Data TR'!$A$1:$AMJ$9673,MATCH($A10,'Basic Data TR'!$A$1:$A$9673,0),MATCH(EQ$6,'Basic Data TR'!$A$1:$AMJ$1,0))</f>
        <v>831.04399999999998</v>
      </c>
      <c r="ER10" s="1232">
        <f>INDEX('Basic Data TR'!$A$1:$AMJ$9673,MATCH($A10,'Basic Data TR'!$A$1:$A$9673,0),MATCH(ER$6,'Basic Data TR'!$A$1:$AMJ$1,0))</f>
        <v>890.71299999999997</v>
      </c>
      <c r="ES10" s="1232">
        <f>INDEX('Basic Data TR'!$A$1:$AMJ$9673,MATCH($A10,'Basic Data TR'!$A$1:$A$9673,0),MATCH(ES$6,'Basic Data TR'!$A$1:$AMJ$1,0))</f>
        <v>850.66200000000003</v>
      </c>
      <c r="ET10" s="1232">
        <f>INDEX('Basic Data TR'!$A$1:$AMJ$9673,MATCH($A10,'Basic Data TR'!$A$1:$A$9673,0),MATCH(ET$6,'Basic Data TR'!$A$1:$AMJ$1,0))</f>
        <v>787.56500000000005</v>
      </c>
    </row>
    <row r="11" spans="1:162" s="1235" customFormat="1">
      <c r="A11" s="1233"/>
      <c r="B11" s="1234" t="s">
        <v>290</v>
      </c>
      <c r="M11" s="1235" t="e">
        <f ca="1">Model!#REF!-M10</f>
        <v>#REF!</v>
      </c>
      <c r="N11" s="1235" t="e">
        <f ca="1">Model!#REF!-N10</f>
        <v>#REF!</v>
      </c>
      <c r="O11" s="1235" t="e">
        <f ca="1">Model!#REF!-O10</f>
        <v>#REF!</v>
      </c>
      <c r="P11" s="1235" t="e">
        <f ca="1">Model!#REF!-P10</f>
        <v>#REF!</v>
      </c>
      <c r="Q11" s="1235" t="e">
        <f ca="1">Model!#REF!-Q10</f>
        <v>#REF!</v>
      </c>
      <c r="T11" s="1235">
        <f ca="1">Model!C9-T10</f>
        <v>0</v>
      </c>
      <c r="U11" s="1235">
        <f ca="1">Model!D9-U10</f>
        <v>0</v>
      </c>
      <c r="V11" s="1235">
        <f ca="1">Model!E9-V10</f>
        <v>0</v>
      </c>
      <c r="W11" s="1235">
        <f ca="1">Model!F9-W10</f>
        <v>0</v>
      </c>
      <c r="X11" s="1235">
        <f ca="1">Model!G9-X10</f>
        <v>0</v>
      </c>
      <c r="Y11" s="1235">
        <f ca="1">Model!H9-Y10</f>
        <v>0</v>
      </c>
      <c r="Z11" s="1235">
        <f ca="1">Model!I9-Z10</f>
        <v>0</v>
      </c>
      <c r="AA11" s="1235">
        <f ca="1">Model!J9-AA10</f>
        <v>3115.672</v>
      </c>
      <c r="AB11" s="1235">
        <f ca="1">Model!K9-AB10</f>
        <v>3906.9750000000004</v>
      </c>
      <c r="AC11" s="1235">
        <f ca="1">Model!L9-AC10</f>
        <v>5443.1120000000001</v>
      </c>
      <c r="DW11" s="1235">
        <f>Model!V9-DW10</f>
        <v>0</v>
      </c>
      <c r="DX11" s="1235">
        <f>Model!W9-DX10</f>
        <v>0</v>
      </c>
      <c r="DY11" s="1235">
        <f>Model!X9-DY10</f>
        <v>0</v>
      </c>
      <c r="DZ11" s="1235">
        <f>Model!Y9-DZ10</f>
        <v>0</v>
      </c>
      <c r="EA11" s="1235">
        <f>Model!Z9-EA10</f>
        <v>0</v>
      </c>
      <c r="EB11" s="1235">
        <f>Model!AA9-EB10</f>
        <v>0</v>
      </c>
      <c r="EC11" s="1235">
        <f>Model!AB9-EC10</f>
        <v>0</v>
      </c>
      <c r="ED11" s="1235">
        <f>Model!AC9-ED10</f>
        <v>0</v>
      </c>
      <c r="EE11" s="1235">
        <f>Model!AD9-EE10</f>
        <v>0</v>
      </c>
      <c r="EF11" s="1235">
        <f>Model!AE9-EF10</f>
        <v>0</v>
      </c>
      <c r="EG11" s="1235">
        <f>Model!AF9-EG10</f>
        <v>0</v>
      </c>
      <c r="EH11" s="1235">
        <f>Model!AG9-EH10</f>
        <v>0</v>
      </c>
      <c r="EI11" s="1235">
        <f>Model!AH9-EI10</f>
        <v>0</v>
      </c>
      <c r="EJ11" s="1235">
        <f>Model!AI9-EJ10</f>
        <v>0</v>
      </c>
      <c r="EK11" s="1235">
        <f>Model!AJ9-EK10</f>
        <v>0</v>
      </c>
      <c r="EL11" s="1235">
        <f>Model!AK9-EL10</f>
        <v>0</v>
      </c>
      <c r="EM11" s="1235">
        <f>Model!AL9-EM10</f>
        <v>0</v>
      </c>
      <c r="EN11" s="1235">
        <f>Model!AM9-EN10</f>
        <v>0</v>
      </c>
      <c r="EO11" s="1235">
        <f>Model!AN9-EO10</f>
        <v>0</v>
      </c>
      <c r="EP11" s="1235">
        <f>Model!AO9-EP10</f>
        <v>0</v>
      </c>
      <c r="EQ11" s="1235">
        <f>Model!AP9-EQ10</f>
        <v>0</v>
      </c>
      <c r="ER11" s="1235">
        <f>Model!AQ9-ER10</f>
        <v>0</v>
      </c>
      <c r="ES11" s="1235">
        <f>Model!AR9-ES10</f>
        <v>0</v>
      </c>
      <c r="ET11" s="1235">
        <f>Model!AS9-ET10</f>
        <v>0</v>
      </c>
    </row>
    <row r="12" spans="1:162">
      <c r="A12" s="1224"/>
      <c r="CQ12" s="1165"/>
      <c r="CR12" s="1165"/>
      <c r="CS12" s="1165"/>
      <c r="CT12" s="1165"/>
      <c r="CU12" s="1165"/>
      <c r="CV12" s="1165"/>
      <c r="CW12" s="1165"/>
      <c r="CX12" s="1165"/>
      <c r="CY12" s="1165"/>
      <c r="CZ12" s="1165"/>
      <c r="DA12" s="1165"/>
      <c r="DB12" s="1165"/>
      <c r="DC12" s="1165"/>
      <c r="DD12" s="1165"/>
      <c r="DE12" s="1165"/>
      <c r="DF12" s="1165"/>
      <c r="DG12" s="1165"/>
      <c r="DH12" s="1165"/>
      <c r="DI12" s="1165"/>
      <c r="DJ12" s="1165"/>
      <c r="DK12" s="1165"/>
      <c r="DL12" s="1165"/>
      <c r="DM12" s="1165"/>
      <c r="DN12" s="1165"/>
      <c r="DO12" s="1165"/>
      <c r="DP12" s="1165"/>
      <c r="DQ12" s="1165"/>
      <c r="DR12" s="1165"/>
      <c r="DS12" s="1165"/>
      <c r="DT12" s="1165"/>
      <c r="DU12" s="1165"/>
      <c r="DV12" s="1165"/>
      <c r="DW12" s="1165"/>
      <c r="DX12" s="1165"/>
      <c r="DY12" s="1165"/>
      <c r="DZ12" s="1165"/>
      <c r="EA12" s="1165"/>
      <c r="EB12" s="1165"/>
      <c r="EC12" s="1165"/>
      <c r="ED12" s="1165"/>
      <c r="EE12" s="1165"/>
      <c r="EF12" s="1165"/>
      <c r="EG12" s="1165"/>
      <c r="EH12" s="1165"/>
      <c r="EI12" s="1165"/>
      <c r="EJ12" s="1165"/>
      <c r="EK12" s="1165"/>
      <c r="EL12" s="1165"/>
      <c r="EM12" s="1165"/>
      <c r="EN12" s="1165"/>
      <c r="EO12" s="1165"/>
      <c r="EP12" s="1165"/>
      <c r="EQ12" s="1165"/>
      <c r="ER12" s="1165"/>
      <c r="ES12" s="1165"/>
      <c r="ET12" s="1165"/>
      <c r="EU12" s="1165"/>
      <c r="EV12" s="1165"/>
      <c r="EW12" s="1165"/>
      <c r="EX12" s="1165"/>
      <c r="EY12" s="1165"/>
      <c r="EZ12" s="1165"/>
      <c r="FA12" s="1165"/>
      <c r="FB12" s="1165"/>
      <c r="FC12" s="1165"/>
      <c r="FD12" s="1165"/>
      <c r="FE12" s="1165"/>
      <c r="FF12" s="1165"/>
    </row>
    <row r="13" spans="1:162">
      <c r="A13" s="1205" t="s">
        <v>443</v>
      </c>
      <c r="B13" s="1237" t="s">
        <v>117</v>
      </c>
      <c r="M13" s="1236">
        <f t="shared" ref="M13:AC13" ca="1" si="14">OFFSET($CQ13,0,M$7)+OFFSET($CR13,0,M$7)+OFFSET($CS13,0,M$7)+OFFSET($CT13,0,M$7)</f>
        <v>0</v>
      </c>
      <c r="N13" s="1236">
        <f t="shared" ca="1" si="14"/>
        <v>0</v>
      </c>
      <c r="O13" s="1236">
        <f t="shared" ca="1" si="14"/>
        <v>0</v>
      </c>
      <c r="P13" s="1236">
        <f t="shared" ca="1" si="14"/>
        <v>0</v>
      </c>
      <c r="Q13" s="1236">
        <f t="shared" ca="1" si="14"/>
        <v>0</v>
      </c>
      <c r="R13" s="1236">
        <f t="shared" ca="1" si="14"/>
        <v>0</v>
      </c>
      <c r="S13" s="1236">
        <f t="shared" ca="1" si="14"/>
        <v>0</v>
      </c>
      <c r="T13" s="1236">
        <f t="shared" ca="1" si="14"/>
        <v>0</v>
      </c>
      <c r="U13" s="1236">
        <f t="shared" ca="1" si="14"/>
        <v>-1630.528</v>
      </c>
      <c r="V13" s="1236">
        <f t="shared" ca="1" si="14"/>
        <v>-1486.5140000000001</v>
      </c>
      <c r="W13" s="1236">
        <f t="shared" ca="1" si="14"/>
        <v>-1553.7949999999998</v>
      </c>
      <c r="X13" s="1236">
        <f t="shared" ca="1" si="14"/>
        <v>-2064.4989999999998</v>
      </c>
      <c r="Y13" s="1236">
        <f t="shared" ca="1" si="14"/>
        <v>-2360.431</v>
      </c>
      <c r="Z13" s="1236">
        <f t="shared" ca="1" si="14"/>
        <v>-2613.3070000000002</v>
      </c>
      <c r="AA13" s="1236">
        <f t="shared" ca="1" si="14"/>
        <v>0</v>
      </c>
      <c r="AB13" s="1236">
        <f t="shared" ca="1" si="14"/>
        <v>0</v>
      </c>
      <c r="AC13" s="1236">
        <f t="shared" ca="1" si="14"/>
        <v>0</v>
      </c>
      <c r="AG13" s="1236">
        <f ca="1">OFFSET($CQ13,0,AG$7)</f>
        <v>0</v>
      </c>
      <c r="AH13" s="1236">
        <f ca="1">OFFSET($CQ13,0,AH$7)+OFFSET($CR13,0,AH$7)</f>
        <v>0</v>
      </c>
      <c r="AI13" s="1236">
        <f ca="1">OFFSET($CQ13,0,AI$7)+OFFSET($CR13,0,AI$7)+OFFSET($CS13,0,AI$7)</f>
        <v>0</v>
      </c>
      <c r="AJ13" s="1236">
        <f ca="1">OFFSET($CQ13,0,AJ$7)+OFFSET($CR13,0,AJ$7)+OFFSET($CS13,0,AJ$7)+OFFSET($CT13,0,AJ$7)</f>
        <v>0</v>
      </c>
      <c r="AK13" s="1236">
        <f ca="1">OFFSET($CQ13,0,AK$7)</f>
        <v>0</v>
      </c>
      <c r="AL13" s="1236">
        <f ca="1">OFFSET($CQ13,0,AL$7)+OFFSET($CR13,0,AL$7)</f>
        <v>0</v>
      </c>
      <c r="AM13" s="1236">
        <f ca="1">OFFSET($CQ13,0,AM$7)+OFFSET($CR13,0,AM$7)+OFFSET($CS13,0,AM$7)</f>
        <v>0</v>
      </c>
      <c r="AN13" s="1236">
        <f ca="1">OFFSET($CQ13,0,AN$7)+OFFSET($CR13,0,AN$7)+OFFSET($CS13,0,AN$7)+OFFSET($CT13,0,AN$7)</f>
        <v>0</v>
      </c>
      <c r="AO13" s="1236">
        <f ca="1">OFFSET($CQ13,0,AO$7)</f>
        <v>0</v>
      </c>
      <c r="AP13" s="1236">
        <f ca="1">OFFSET($CQ13,0,AP$7)+OFFSET($CR13,0,AP$7)</f>
        <v>0</v>
      </c>
      <c r="AQ13" s="1236">
        <f ca="1">OFFSET($CQ13,0,AQ$7)+OFFSET($CR13,0,AQ$7)+OFFSET($CS13,0,AQ$7)</f>
        <v>0</v>
      </c>
      <c r="AR13" s="1236">
        <f ca="1">OFFSET($CQ13,0,AR$7)+OFFSET($CR13,0,AR$7)+OFFSET($CS13,0,AR$7)+OFFSET($CT13,0,AR$7)</f>
        <v>0</v>
      </c>
      <c r="AS13" s="1236">
        <f ca="1">OFFSET($CQ13,0,AS$7)</f>
        <v>0</v>
      </c>
      <c r="AT13" s="1236">
        <f ca="1">OFFSET($CQ13,0,AT$7)+OFFSET($CR13,0,AT$7)</f>
        <v>0</v>
      </c>
      <c r="AU13" s="1236">
        <f ca="1">OFFSET($CQ13,0,AU$7)+OFFSET($CR13,0,AU$7)+OFFSET($CS13,0,AU$7)</f>
        <v>0</v>
      </c>
      <c r="AV13" s="1236">
        <f ca="1">OFFSET($CQ13,0,AV$7)+OFFSET($CR13,0,AV$7)+OFFSET($CS13,0,AV$7)+OFFSET($CT13,0,AV$7)</f>
        <v>0</v>
      </c>
      <c r="AW13" s="1236">
        <f ca="1">OFFSET($CQ13,0,AW$7)</f>
        <v>0</v>
      </c>
      <c r="AX13" s="1236">
        <f ca="1">OFFSET($CQ13,0,AX$7)+OFFSET($CR13,0,AX$7)</f>
        <v>0</v>
      </c>
      <c r="AY13" s="1236">
        <f ca="1">OFFSET($CQ13,0,AY$7)+OFFSET($CR13,0,AY$7)+OFFSET($CS13,0,AY$7)</f>
        <v>0</v>
      </c>
      <c r="AZ13" s="1236">
        <f ca="1">OFFSET($CQ13,0,AZ$7)+OFFSET($CR13,0,AZ$7)+OFFSET($CS13,0,AZ$7)+OFFSET($CT13,0,AZ$7)</f>
        <v>0</v>
      </c>
      <c r="BA13" s="1236">
        <f ca="1">OFFSET($CQ13,0,BA$7)</f>
        <v>0</v>
      </c>
      <c r="BB13" s="1236">
        <f ca="1">OFFSET($CQ13,0,BB$7)+OFFSET($CR13,0,BB$7)</f>
        <v>0</v>
      </c>
      <c r="BC13" s="1236">
        <f ca="1">OFFSET($CQ13,0,BC$7)+OFFSET($CR13,0,BC$7)+OFFSET($CS13,0,BC$7)</f>
        <v>0</v>
      </c>
      <c r="BD13" s="1236">
        <f ca="1">OFFSET($CQ13,0,BD$7)+OFFSET($CR13,0,BD$7)+OFFSET($CS13,0,BD$7)+OFFSET($CT13,0,BD$7)</f>
        <v>0</v>
      </c>
      <c r="BE13" s="1236">
        <f ca="1">OFFSET($CQ13,0,BE$7)</f>
        <v>0</v>
      </c>
      <c r="BF13" s="1236">
        <f ca="1">OFFSET($CQ13,0,BF$7)+OFFSET($CR13,0,BF$7)</f>
        <v>0</v>
      </c>
      <c r="BG13" s="1236">
        <f ca="1">OFFSET($CQ13,0,BG$7)+OFFSET($CR13,0,BG$7)+OFFSET($CS13,0,BG$7)</f>
        <v>0</v>
      </c>
      <c r="BH13" s="1236">
        <f ca="1">OFFSET($CQ13,0,BH$7)+OFFSET($CR13,0,BH$7)+OFFSET($CS13,0,BH$7)+OFFSET($CT13,0,BH$7)</f>
        <v>0</v>
      </c>
      <c r="BI13" s="1236">
        <f ca="1">OFFSET($CQ13,0,BI$7)</f>
        <v>0</v>
      </c>
      <c r="BJ13" s="1236">
        <f ca="1">OFFSET($CQ13,0,BJ$7)+OFFSET($CR13,0,BJ$7)</f>
        <v>0</v>
      </c>
      <c r="BK13" s="1236">
        <f ca="1">OFFSET($CQ13,0,BK$7)+OFFSET($CR13,0,BK$7)+OFFSET($CS13,0,BK$7)</f>
        <v>0</v>
      </c>
      <c r="BL13" s="1236">
        <f ca="1">OFFSET($CQ13,0,BL$7)+OFFSET($CR13,0,BL$7)+OFFSET($CS13,0,BL$7)+OFFSET($CT13,0,BL$7)</f>
        <v>0</v>
      </c>
      <c r="BM13" s="1236">
        <f ca="1">OFFSET($CQ13,0,BM$7)</f>
        <v>-399.471</v>
      </c>
      <c r="BN13" s="1236">
        <f ca="1">OFFSET($CQ13,0,BN$7)+OFFSET($CR13,0,BN$7)</f>
        <v>-809.39599999999996</v>
      </c>
      <c r="BO13" s="1236">
        <f ca="1">OFFSET($CQ13,0,BO$7)+OFFSET($CR13,0,BO$7)+OFFSET($CS13,0,BO$7)</f>
        <v>-1231.67</v>
      </c>
      <c r="BP13" s="1236">
        <f ca="1">OFFSET($CQ13,0,BP$7)+OFFSET($CR13,0,BP$7)+OFFSET($CS13,0,BP$7)+OFFSET($CT13,0,BP$7)</f>
        <v>-1630.528</v>
      </c>
      <c r="BQ13" s="1236">
        <f ca="1">OFFSET($CQ13,0,BQ$7)</f>
        <v>-354.96499999999997</v>
      </c>
      <c r="BR13" s="1236">
        <f ca="1">OFFSET($CQ13,0,BR$7)+OFFSET($CR13,0,BR$7)</f>
        <v>-723.25599999999997</v>
      </c>
      <c r="BS13" s="1236">
        <f ca="1">OFFSET($CQ13,0,BS$7)+OFFSET($CR13,0,BS$7)+OFFSET($CS13,0,BS$7)</f>
        <v>-1109.96</v>
      </c>
      <c r="BT13" s="1236">
        <f ca="1">OFFSET($CQ13,0,BT$7)+OFFSET($CR13,0,BT$7)+OFFSET($CS13,0,BT$7)+OFFSET($CT13,0,BT$7)</f>
        <v>-1486.5140000000001</v>
      </c>
      <c r="BU13" s="1236">
        <f ca="1">OFFSET($CQ13,0,BU$7)</f>
        <v>-359.87099999999998</v>
      </c>
      <c r="BV13" s="1236">
        <f ca="1">OFFSET($CQ13,0,BV$7)+OFFSET($CR13,0,BV$7)</f>
        <v>-730.0809999999999</v>
      </c>
      <c r="BW13" s="1236">
        <f ca="1">OFFSET($CQ13,0,BW$7)+OFFSET($CR13,0,BW$7)+OFFSET($CS13,0,BW$7)</f>
        <v>-1117.5839999999998</v>
      </c>
      <c r="BX13" s="1236">
        <f ca="1">OFFSET($CQ13,0,BX$7)+OFFSET($CR13,0,BX$7)+OFFSET($CS13,0,BX$7)+OFFSET($CT13,0,BX$7)</f>
        <v>-1553.7949999999998</v>
      </c>
      <c r="BY13" s="1236">
        <f ca="1">OFFSET($CQ13,0,BY$7)</f>
        <v>-480.56</v>
      </c>
      <c r="BZ13" s="1236">
        <f ca="1">OFFSET($CQ13,0,BZ$7)+OFFSET($CR13,0,BZ$7)</f>
        <v>-952.96699999999998</v>
      </c>
      <c r="CA13" s="1236">
        <f ca="1">OFFSET($CQ13,0,CA$7)+OFFSET($CR13,0,CA$7)+OFFSET($CS13,0,CA$7)</f>
        <v>-1495.7089999999998</v>
      </c>
      <c r="CB13" s="1236">
        <f ca="1">OFFSET($CQ13,0,CB$7)+OFFSET($CR13,0,CB$7)+OFFSET($CS13,0,CB$7)+OFFSET($CT13,0,CB$7)</f>
        <v>-2064.4989999999998</v>
      </c>
      <c r="CC13" s="1236">
        <f ca="1">OFFSET($CQ13,0,CC$7)</f>
        <v>-572.26599999999996</v>
      </c>
      <c r="CD13" s="1236">
        <f ca="1">OFFSET($CQ13,0,CD$7)+OFFSET($CR13,0,CD$7)</f>
        <v>-1129.327</v>
      </c>
      <c r="CE13" s="1236">
        <f ca="1">OFFSET($CQ13,0,CE$7)+OFFSET($CR13,0,CE$7)+OFFSET($CS13,0,CE$7)</f>
        <v>-1721.7530000000002</v>
      </c>
      <c r="CF13" s="1236">
        <f ca="1">OFFSET($CQ13,0,CF$7)+OFFSET($CR13,0,CF$7)+OFFSET($CS13,0,CF$7)+OFFSET($CT13,0,CF$7)</f>
        <v>-2360.431</v>
      </c>
      <c r="CG13" s="1236">
        <f ca="1">OFFSET($CQ13,0,CG$7)</f>
        <v>-610.86800000000005</v>
      </c>
      <c r="CH13" s="1236">
        <f ca="1">OFFSET($CQ13,0,CH$7)+OFFSET($CR13,0,CH$7)</f>
        <v>-1283.748</v>
      </c>
      <c r="CI13" s="1236">
        <f ca="1">OFFSET($CQ13,0,CI$7)+OFFSET($CR13,0,CI$7)+OFFSET($CS13,0,CI$7)</f>
        <v>-1959.8670000000002</v>
      </c>
      <c r="CJ13" s="1236">
        <f ca="1">OFFSET($CQ13,0,CJ$7)+OFFSET($CR13,0,CJ$7)+OFFSET($CS13,0,CJ$7)+OFFSET($CT13,0,CJ$7)</f>
        <v>-2613.3070000000002</v>
      </c>
      <c r="CO13" s="1165"/>
      <c r="CP13" s="1165"/>
      <c r="DK13" s="1238"/>
      <c r="DL13" s="1238"/>
      <c r="DM13" s="1238"/>
      <c r="DN13" s="1238"/>
      <c r="DO13" s="1238"/>
      <c r="DP13" s="1238"/>
      <c r="DQ13" s="1238"/>
      <c r="DR13" s="1238"/>
      <c r="DS13" s="1238"/>
      <c r="DT13" s="1238"/>
      <c r="DU13" s="1238"/>
      <c r="DV13" s="1238"/>
      <c r="DW13" s="1238">
        <f>-INDEX('Basic Data TR'!$A$1:$AMJ$9673,MATCH($A13,'Basic Data TR'!$A$1:$A$9673,0),MATCH(DW$6,'Basic Data TR'!$A$1:$AMJ$1,0))</f>
        <v>-399.471</v>
      </c>
      <c r="DX13" s="1238">
        <f>-INDEX('Basic Data TR'!$A$1:$AMJ$9673,MATCH($A13,'Basic Data TR'!$A$1:$A$9673,0),MATCH(DX$6,'Basic Data TR'!$A$1:$AMJ$1,0))</f>
        <v>-409.92500000000001</v>
      </c>
      <c r="DY13" s="1238">
        <f>-INDEX('Basic Data TR'!$A$1:$AMJ$9673,MATCH($A13,'Basic Data TR'!$A$1:$A$9673,0),MATCH(DY$6,'Basic Data TR'!$A$1:$AMJ$1,0))</f>
        <v>-422.274</v>
      </c>
      <c r="DZ13" s="1238">
        <f>-INDEX('Basic Data TR'!$A$1:$AMJ$9673,MATCH($A13,'Basic Data TR'!$A$1:$A$9673,0),MATCH(DZ$6,'Basic Data TR'!$A$1:$AMJ$1,0))</f>
        <v>-398.858</v>
      </c>
      <c r="EA13" s="1238">
        <f>-INDEX('Basic Data TR'!$A$1:$AMJ$9673,MATCH($A13,'Basic Data TR'!$A$1:$A$9673,0),MATCH(EA$6,'Basic Data TR'!$A$1:$AMJ$1,0))</f>
        <v>-354.96499999999997</v>
      </c>
      <c r="EB13" s="1238">
        <f>-INDEX('Basic Data TR'!$A$1:$AMJ$9673,MATCH($A13,'Basic Data TR'!$A$1:$A$9673,0),MATCH(EB$6,'Basic Data TR'!$A$1:$AMJ$1,0))</f>
        <v>-368.291</v>
      </c>
      <c r="EC13" s="1238">
        <f>-INDEX('Basic Data TR'!$A$1:$AMJ$9673,MATCH($A13,'Basic Data TR'!$A$1:$A$9673,0),MATCH(EC$6,'Basic Data TR'!$A$1:$AMJ$1,0))</f>
        <v>-386.70400000000001</v>
      </c>
      <c r="ED13" s="1238">
        <f>-INDEX('Basic Data TR'!$A$1:$AMJ$9673,MATCH($A13,'Basic Data TR'!$A$1:$A$9673,0),MATCH(ED$6,'Basic Data TR'!$A$1:$AMJ$1,0))</f>
        <v>-376.55399999999997</v>
      </c>
      <c r="EE13" s="1238">
        <f>-INDEX('Basic Data TR'!$A$1:$AMJ$9673,MATCH($A13,'Basic Data TR'!$A$1:$A$9673,0),MATCH(EE$6,'Basic Data TR'!$A$1:$AMJ$1,0))</f>
        <v>-359.87099999999998</v>
      </c>
      <c r="EF13" s="1238">
        <f>-INDEX('Basic Data TR'!$A$1:$AMJ$9673,MATCH($A13,'Basic Data TR'!$A$1:$A$9673,0),MATCH(EF$6,'Basic Data TR'!$A$1:$AMJ$1,0))</f>
        <v>-370.21</v>
      </c>
      <c r="EG13" s="1238">
        <f>-INDEX('Basic Data TR'!$A$1:$AMJ$9673,MATCH($A13,'Basic Data TR'!$A$1:$A$9673,0),MATCH(EG$6,'Basic Data TR'!$A$1:$AMJ$1,0))</f>
        <v>-387.50299999999999</v>
      </c>
      <c r="EH13" s="1238">
        <f>-INDEX('Basic Data TR'!$A$1:$AMJ$9673,MATCH($A13,'Basic Data TR'!$A$1:$A$9673,0),MATCH(EH$6,'Basic Data TR'!$A$1:$AMJ$1,0))</f>
        <v>-436.21100000000001</v>
      </c>
      <c r="EI13" s="1238">
        <f>-INDEX('Basic Data TR'!$A$1:$AMJ$9673,MATCH($A13,'Basic Data TR'!$A$1:$A$9673,0),MATCH(EI$6,'Basic Data TR'!$A$1:$AMJ$1,0))</f>
        <v>-480.56</v>
      </c>
      <c r="EJ13" s="1238">
        <f>-INDEX('Basic Data TR'!$A$1:$AMJ$9673,MATCH($A13,'Basic Data TR'!$A$1:$A$9673,0),MATCH(EJ$6,'Basic Data TR'!$A$1:$AMJ$1,0))</f>
        <v>-472.40699999999998</v>
      </c>
      <c r="EK13" s="1238">
        <f>-INDEX('Basic Data TR'!$A$1:$AMJ$9673,MATCH($A13,'Basic Data TR'!$A$1:$A$9673,0),MATCH(EK$6,'Basic Data TR'!$A$1:$AMJ$1,0))</f>
        <v>-542.74199999999996</v>
      </c>
      <c r="EL13" s="1238">
        <f>-INDEX('Basic Data TR'!$A$1:$AMJ$9673,MATCH($A13,'Basic Data TR'!$A$1:$A$9673,0),MATCH(EL$6,'Basic Data TR'!$A$1:$AMJ$1,0))</f>
        <v>-568.79</v>
      </c>
      <c r="EM13" s="1238">
        <f>-INDEX('Basic Data TR'!$A$1:$AMJ$9673,MATCH($A13,'Basic Data TR'!$A$1:$A$9673,0),MATCH(EM$6,'Basic Data TR'!$A$1:$AMJ$1,0))</f>
        <v>-572.26599999999996</v>
      </c>
      <c r="EN13" s="1238">
        <f>-INDEX('Basic Data TR'!$A$1:$AMJ$9673,MATCH($A13,'Basic Data TR'!$A$1:$A$9673,0),MATCH(EN$6,'Basic Data TR'!$A$1:$AMJ$1,0))</f>
        <v>-557.06100000000004</v>
      </c>
      <c r="EO13" s="1238">
        <f>-INDEX('Basic Data TR'!$A$1:$AMJ$9673,MATCH($A13,'Basic Data TR'!$A$1:$A$9673,0),MATCH(EO$6,'Basic Data TR'!$A$1:$AMJ$1,0))</f>
        <v>-592.42600000000004</v>
      </c>
      <c r="EP13" s="1238">
        <f>-INDEX('Basic Data TR'!$A$1:$AMJ$9673,MATCH($A13,'Basic Data TR'!$A$1:$A$9673,0),MATCH(EP$6,'Basic Data TR'!$A$1:$AMJ$1,0))</f>
        <v>-638.678</v>
      </c>
      <c r="EQ13" s="1238">
        <f>-INDEX('Basic Data TR'!$A$1:$AMJ$9673,MATCH($A13,'Basic Data TR'!$A$1:$A$9673,0),MATCH(EQ$6,'Basic Data TR'!$A$1:$AMJ$1,0))</f>
        <v>-610.86800000000005</v>
      </c>
      <c r="ER13" s="1238">
        <f>-INDEX('Basic Data TR'!$A$1:$AMJ$9673,MATCH($A13,'Basic Data TR'!$A$1:$A$9673,0),MATCH(ER$6,'Basic Data TR'!$A$1:$AMJ$1,0))</f>
        <v>-672.88</v>
      </c>
      <c r="ES13" s="1238">
        <f>-INDEX('Basic Data TR'!$A$1:$AMJ$9673,MATCH($A13,'Basic Data TR'!$A$1:$A$9673,0),MATCH(ES$6,'Basic Data TR'!$A$1:$AMJ$1,0))</f>
        <v>-676.11900000000003</v>
      </c>
      <c r="ET13" s="1238">
        <f>-INDEX('Basic Data TR'!$A$1:$AMJ$9673,MATCH($A13,'Basic Data TR'!$A$1:$A$9673,0),MATCH(ET$6,'Basic Data TR'!$A$1:$AMJ$1,0))</f>
        <v>-653.44000000000005</v>
      </c>
    </row>
    <row r="14" spans="1:162">
      <c r="A14" s="1224"/>
      <c r="B14" s="1237" t="s">
        <v>118</v>
      </c>
      <c r="AG14" s="1236">
        <f ca="1">OFFSET($CQ14,0,AG$7)</f>
        <v>0</v>
      </c>
      <c r="AH14" s="1236">
        <f ca="1">OFFSET($CQ14,0,AH$7)+OFFSET($CR14,0,AH$7)</f>
        <v>0</v>
      </c>
      <c r="AI14" s="1236">
        <f ca="1">OFFSET($CQ14,0,AI$7)+OFFSET($CR14,0,AI$7)+OFFSET($CS14,0,AI$7)</f>
        <v>0</v>
      </c>
      <c r="AJ14" s="1236">
        <f ca="1">OFFSET($CQ14,0,AJ$7)+OFFSET($CR14,0,AJ$7)+OFFSET($CS14,0,AJ$7)+OFFSET($CT14,0,AJ$7)</f>
        <v>0</v>
      </c>
      <c r="AK14" s="1236">
        <f ca="1">OFFSET($CQ14,0,AK$7)</f>
        <v>0</v>
      </c>
      <c r="AL14" s="1236">
        <f ca="1">OFFSET($CQ14,0,AL$7)+OFFSET($CR14,0,AL$7)</f>
        <v>0</v>
      </c>
      <c r="AM14" s="1236">
        <f ca="1">OFFSET($CQ14,0,AM$7)+OFFSET($CR14,0,AM$7)+OFFSET($CS14,0,AM$7)</f>
        <v>0</v>
      </c>
      <c r="AN14" s="1236">
        <f ca="1">OFFSET($CQ14,0,AN$7)+OFFSET($CR14,0,AN$7)+OFFSET($CS14,0,AN$7)+OFFSET($CT14,0,AN$7)</f>
        <v>0</v>
      </c>
      <c r="AO14" s="1236">
        <f ca="1">OFFSET($CQ14,0,AO$7)</f>
        <v>0</v>
      </c>
      <c r="AP14" s="1236">
        <f ca="1">OFFSET($CQ14,0,AP$7)+OFFSET($CR14,0,AP$7)</f>
        <v>0</v>
      </c>
      <c r="AQ14" s="1236">
        <f ca="1">OFFSET($CQ14,0,AQ$7)+OFFSET($CR14,0,AQ$7)+OFFSET($CS14,0,AQ$7)</f>
        <v>0</v>
      </c>
      <c r="AR14" s="1236">
        <f ca="1">OFFSET($CQ14,0,AR$7)+OFFSET($CR14,0,AR$7)+OFFSET($CS14,0,AR$7)+OFFSET($CT14,0,AR$7)</f>
        <v>0</v>
      </c>
      <c r="AS14" s="1236">
        <f ca="1">OFFSET($CQ14,0,AS$7)</f>
        <v>0</v>
      </c>
      <c r="AT14" s="1236">
        <f ca="1">OFFSET($CQ14,0,AT$7)+OFFSET($CR14,0,AT$7)</f>
        <v>0</v>
      </c>
      <c r="AU14" s="1236">
        <f ca="1">OFFSET($CQ14,0,AU$7)+OFFSET($CR14,0,AU$7)+OFFSET($CS14,0,AU$7)</f>
        <v>0</v>
      </c>
      <c r="AV14" s="1236">
        <f ca="1">OFFSET($CQ14,0,AV$7)+OFFSET($CR14,0,AV$7)+OFFSET($CS14,0,AV$7)+OFFSET($CT14,0,AV$7)</f>
        <v>0</v>
      </c>
      <c r="AW14" s="1236">
        <f ca="1">OFFSET($CQ14,0,AW$7)</f>
        <v>0</v>
      </c>
      <c r="AX14" s="1236">
        <f ca="1">OFFSET($CQ14,0,AX$7)+OFFSET($CR14,0,AX$7)</f>
        <v>0</v>
      </c>
      <c r="AY14" s="1236">
        <f ca="1">OFFSET($CQ14,0,AY$7)+OFFSET($CR14,0,AY$7)+OFFSET($CS14,0,AY$7)</f>
        <v>0</v>
      </c>
      <c r="AZ14" s="1236">
        <f ca="1">OFFSET($CQ14,0,AZ$7)+OFFSET($CR14,0,AZ$7)+OFFSET($CS14,0,AZ$7)+OFFSET($CT14,0,AZ$7)</f>
        <v>0</v>
      </c>
      <c r="BA14" s="1236">
        <f ca="1">OFFSET($CQ14,0,BA$7)</f>
        <v>0</v>
      </c>
      <c r="BB14" s="1236">
        <f ca="1">OFFSET($CQ14,0,BB$7)+OFFSET($CR14,0,BB$7)</f>
        <v>0</v>
      </c>
      <c r="BC14" s="1236">
        <f ca="1">OFFSET($CQ14,0,BC$7)+OFFSET($CR14,0,BC$7)+OFFSET($CS14,0,BC$7)</f>
        <v>0</v>
      </c>
      <c r="BD14" s="1236">
        <f ca="1">OFFSET($CQ14,0,BD$7)+OFFSET($CR14,0,BD$7)+OFFSET($CS14,0,BD$7)+OFFSET($CT14,0,BD$7)</f>
        <v>0</v>
      </c>
      <c r="BE14" s="1236">
        <f ca="1">OFFSET($CQ14,0,BE$7)</f>
        <v>0</v>
      </c>
      <c r="BF14" s="1236">
        <f ca="1">OFFSET($CQ14,0,BF$7)+OFFSET($CR14,0,BF$7)</f>
        <v>0</v>
      </c>
      <c r="BG14" s="1236">
        <f ca="1">OFFSET($CQ14,0,BG$7)+OFFSET($CR14,0,BG$7)+OFFSET($CS14,0,BG$7)</f>
        <v>0</v>
      </c>
      <c r="BH14" s="1236">
        <f ca="1">OFFSET($CQ14,0,BH$7)+OFFSET($CR14,0,BH$7)+OFFSET($CS14,0,BH$7)+OFFSET($CT14,0,BH$7)</f>
        <v>0</v>
      </c>
      <c r="BI14" s="1236">
        <f ca="1">OFFSET($CQ14,0,BI$7)</f>
        <v>0</v>
      </c>
      <c r="BJ14" s="1236">
        <f ca="1">OFFSET($CQ14,0,BJ$7)+OFFSET($CR14,0,BJ$7)</f>
        <v>0</v>
      </c>
      <c r="BK14" s="1236">
        <f ca="1">OFFSET($CQ14,0,BK$7)+OFFSET($CR14,0,BK$7)+OFFSET($CS14,0,BK$7)</f>
        <v>0</v>
      </c>
      <c r="BL14" s="1236">
        <f ca="1">OFFSET($CQ14,0,BL$7)+OFFSET($CR14,0,BL$7)+OFFSET($CS14,0,BL$7)+OFFSET($CT14,0,BL$7)</f>
        <v>0</v>
      </c>
      <c r="BM14" s="1236">
        <f ca="1">OFFSET($CQ14,0,BM$7)</f>
        <v>0</v>
      </c>
      <c r="BN14" s="1236">
        <f ca="1">OFFSET($CQ14,0,BN$7)+OFFSET($CR14,0,BN$7)</f>
        <v>0</v>
      </c>
      <c r="BO14" s="1236">
        <f ca="1">OFFSET($CQ14,0,BO$7)+OFFSET($CR14,0,BO$7)+OFFSET($CS14,0,BO$7)</f>
        <v>0</v>
      </c>
      <c r="BP14" s="1236">
        <f ca="1">OFFSET($CQ14,0,BP$7)+OFFSET($CR14,0,BP$7)+OFFSET($CS14,0,BP$7)+OFFSET($CT14,0,BP$7)</f>
        <v>0</v>
      </c>
      <c r="BQ14" s="1236">
        <f ca="1">OFFSET($CQ14,0,BQ$7)</f>
        <v>0</v>
      </c>
      <c r="BR14" s="1236">
        <f ca="1">OFFSET($CQ14,0,BR$7)+OFFSET($CR14,0,BR$7)</f>
        <v>0</v>
      </c>
      <c r="BS14" s="1236">
        <f ca="1">OFFSET($CQ14,0,BS$7)+OFFSET($CR14,0,BS$7)+OFFSET($CS14,0,BS$7)</f>
        <v>0</v>
      </c>
      <c r="BT14" s="1236">
        <f ca="1">OFFSET($CQ14,0,BT$7)+OFFSET($CR14,0,BT$7)+OFFSET($CS14,0,BT$7)+OFFSET($CT14,0,BT$7)</f>
        <v>0</v>
      </c>
      <c r="BU14" s="1236">
        <f ca="1">OFFSET($CQ14,0,BU$7)</f>
        <v>0</v>
      </c>
      <c r="BV14" s="1236">
        <f ca="1">OFFSET($CQ14,0,BV$7)+OFFSET($CR14,0,BV$7)</f>
        <v>0</v>
      </c>
      <c r="BW14" s="1236">
        <f ca="1">OFFSET($CQ14,0,BW$7)+OFFSET($CR14,0,BW$7)+OFFSET($CS14,0,BW$7)</f>
        <v>0</v>
      </c>
      <c r="BX14" s="1236">
        <f ca="1">OFFSET($CQ14,0,BX$7)+OFFSET($CR14,0,BX$7)+OFFSET($CS14,0,BX$7)+OFFSET($CT14,0,BX$7)</f>
        <v>0</v>
      </c>
      <c r="BY14" s="1236">
        <f ca="1">OFFSET($CQ14,0,BY$7)</f>
        <v>0</v>
      </c>
      <c r="BZ14" s="1236">
        <f ca="1">OFFSET($CQ14,0,BZ$7)+OFFSET($CR14,0,BZ$7)</f>
        <v>0</v>
      </c>
      <c r="CA14" s="1236">
        <f ca="1">OFFSET($CQ14,0,CA$7)+OFFSET($CR14,0,CA$7)+OFFSET($CS14,0,CA$7)</f>
        <v>0</v>
      </c>
      <c r="CB14" s="1236">
        <f ca="1">OFFSET($CQ14,0,CB$7)+OFFSET($CR14,0,CB$7)+OFFSET($CS14,0,CB$7)+OFFSET($CT14,0,CB$7)</f>
        <v>0</v>
      </c>
      <c r="CC14" s="1236">
        <f ca="1">OFFSET($CQ14,0,CC$7)</f>
        <v>0</v>
      </c>
      <c r="CD14" s="1236">
        <f ca="1">OFFSET($CQ14,0,CD$7)+OFFSET($CR14,0,CD$7)</f>
        <v>0</v>
      </c>
      <c r="CE14" s="1236">
        <f ca="1">OFFSET($CQ14,0,CE$7)+OFFSET($CR14,0,CE$7)+OFFSET($CS14,0,CE$7)</f>
        <v>0</v>
      </c>
      <c r="CF14" s="1236">
        <f ca="1">OFFSET($CQ14,0,CF$7)+OFFSET($CR14,0,CF$7)+OFFSET($CS14,0,CF$7)+OFFSET($CT14,0,CF$7)</f>
        <v>0</v>
      </c>
      <c r="CG14" s="1236">
        <f ca="1">OFFSET($CQ14,0,CG$7)</f>
        <v>0</v>
      </c>
      <c r="CH14" s="1236">
        <f ca="1">OFFSET($CQ14,0,CH$7)+OFFSET($CR14,0,CH$7)</f>
        <v>0</v>
      </c>
      <c r="CI14" s="1236">
        <f ca="1">OFFSET($CQ14,0,CI$7)+OFFSET($CR14,0,CI$7)+OFFSET($CS14,0,CI$7)</f>
        <v>0</v>
      </c>
      <c r="CJ14" s="1236">
        <f ca="1">OFFSET($CQ14,0,CJ$7)+OFFSET($CR14,0,CJ$7)+OFFSET($CS14,0,CJ$7)+OFFSET($CT14,0,CJ$7)</f>
        <v>0</v>
      </c>
      <c r="CO14" s="1165"/>
      <c r="CP14" s="1165"/>
      <c r="CQ14" s="1231"/>
      <c r="CR14" s="1231"/>
      <c r="CS14" s="1231"/>
      <c r="CT14" s="1231"/>
      <c r="CU14" s="1231"/>
      <c r="CV14" s="1231"/>
      <c r="CW14" s="1231"/>
      <c r="CX14" s="1231"/>
      <c r="CY14" s="1231"/>
      <c r="CZ14" s="1231"/>
      <c r="DA14" s="1231"/>
      <c r="DB14" s="1231"/>
      <c r="DC14" s="1231"/>
      <c r="DD14" s="1231"/>
      <c r="DE14" s="1231"/>
      <c r="DF14" s="1231"/>
      <c r="DG14" s="1231"/>
      <c r="DH14" s="1231"/>
      <c r="DI14" s="1231"/>
      <c r="DJ14" s="1231"/>
      <c r="DK14" s="1231"/>
      <c r="DL14" s="1231"/>
      <c r="DM14" s="1231"/>
      <c r="DN14" s="1231"/>
      <c r="DO14" s="1231"/>
      <c r="DP14" s="1231"/>
      <c r="DQ14" s="1231"/>
      <c r="DR14" s="1231"/>
      <c r="DS14" s="1231"/>
      <c r="DT14" s="1231"/>
      <c r="DU14" s="1231"/>
      <c r="DV14" s="1231"/>
      <c r="DW14" s="1231"/>
      <c r="DX14" s="1231"/>
      <c r="DY14" s="1231"/>
      <c r="DZ14" s="1231"/>
      <c r="EA14" s="1231"/>
      <c r="EB14" s="1231"/>
      <c r="EC14" s="1231"/>
      <c r="ED14" s="1231"/>
      <c r="EE14" s="1231"/>
      <c r="EF14" s="1231"/>
      <c r="EG14" s="1231"/>
      <c r="EH14" s="1231"/>
      <c r="EI14" s="1231"/>
      <c r="EJ14" s="1231"/>
      <c r="EK14" s="1231"/>
      <c r="EL14" s="1231"/>
      <c r="EM14" s="1231"/>
      <c r="EN14" s="1231"/>
      <c r="EO14" s="1231"/>
      <c r="EP14" s="1231"/>
      <c r="EQ14" s="1231"/>
      <c r="ER14" s="1231"/>
      <c r="ES14" s="1231"/>
      <c r="ET14" s="1231"/>
      <c r="EU14" s="1231"/>
      <c r="EV14" s="1231"/>
      <c r="EW14" s="1231"/>
      <c r="EX14" s="1231"/>
      <c r="EY14" s="1231"/>
      <c r="EZ14" s="1231"/>
      <c r="FA14" s="1231"/>
      <c r="FB14" s="1231"/>
      <c r="FC14" s="1231"/>
      <c r="FD14" s="1231"/>
      <c r="FE14" s="1231"/>
      <c r="FF14" s="1231"/>
    </row>
    <row r="15" spans="1:162" s="1231" customFormat="1">
      <c r="A15" s="1229"/>
      <c r="B15" s="1230" t="s">
        <v>383</v>
      </c>
      <c r="M15" s="1231">
        <f ca="1">SUM(M13:M14)</f>
        <v>0</v>
      </c>
      <c r="N15" s="1231">
        <f ca="1">SUM(N13:N14)</f>
        <v>0</v>
      </c>
      <c r="O15" s="1231">
        <f ca="1">SUM(O13:O14)</f>
        <v>0</v>
      </c>
      <c r="P15" s="1231">
        <f ca="1">SUM(P13:P14)</f>
        <v>0</v>
      </c>
      <c r="Q15" s="1231">
        <f ca="1">SUM(Q13:Q14)</f>
        <v>0</v>
      </c>
      <c r="R15" s="1231">
        <f t="shared" ref="R15:Y15" ca="1" si="15">SUM(R13:R14)</f>
        <v>0</v>
      </c>
      <c r="S15" s="1231">
        <f t="shared" ca="1" si="15"/>
        <v>0</v>
      </c>
      <c r="T15" s="1231">
        <f t="shared" ca="1" si="15"/>
        <v>0</v>
      </c>
      <c r="U15" s="1231">
        <f t="shared" ca="1" si="15"/>
        <v>-1630.528</v>
      </c>
      <c r="V15" s="1231">
        <f t="shared" ca="1" si="15"/>
        <v>-1486.5140000000001</v>
      </c>
      <c r="W15" s="1231">
        <f t="shared" ca="1" si="15"/>
        <v>-1553.7949999999998</v>
      </c>
      <c r="X15" s="1231">
        <f t="shared" ca="1" si="15"/>
        <v>-2064.4989999999998</v>
      </c>
      <c r="Y15" s="1231">
        <f t="shared" ca="1" si="15"/>
        <v>-2360.431</v>
      </c>
      <c r="Z15" s="1231">
        <f ca="1">SUM(Z13:Z14)</f>
        <v>-2613.3070000000002</v>
      </c>
      <c r="AA15" s="1231">
        <f ca="1">SUM(AA13:AA14)</f>
        <v>0</v>
      </c>
      <c r="AB15" s="1231">
        <f ca="1">SUM(AB13:AB14)</f>
        <v>0</v>
      </c>
      <c r="AC15" s="1231">
        <f ca="1">SUM(AC13:AC14)</f>
        <v>0</v>
      </c>
      <c r="AG15" s="1231">
        <f ca="1">OFFSET($CQ15,0,AG$7)</f>
        <v>0</v>
      </c>
      <c r="AH15" s="1231">
        <f ca="1">OFFSET($CQ15,0,AH$7)+OFFSET($CR15,0,AH$7)</f>
        <v>0</v>
      </c>
      <c r="AI15" s="1231">
        <f ca="1">OFFSET($CQ15,0,AI$7)+OFFSET($CR15,0,AI$7)+OFFSET($CS15,0,AI$7)</f>
        <v>0</v>
      </c>
      <c r="AJ15" s="1231">
        <f ca="1">OFFSET($CQ15,0,AJ$7)+OFFSET($CR15,0,AJ$7)+OFFSET($CS15,0,AJ$7)+OFFSET($CT15,0,AJ$7)</f>
        <v>0</v>
      </c>
      <c r="AK15" s="1231">
        <f ca="1">OFFSET($CQ15,0,AK$7)</f>
        <v>0</v>
      </c>
      <c r="AL15" s="1231">
        <f ca="1">OFFSET($CQ15,0,AL$7)+OFFSET($CR15,0,AL$7)</f>
        <v>0</v>
      </c>
      <c r="AM15" s="1231">
        <f ca="1">OFFSET($CQ15,0,AM$7)+OFFSET($CR15,0,AM$7)+OFFSET($CS15,0,AM$7)</f>
        <v>0</v>
      </c>
      <c r="AN15" s="1231">
        <f ca="1">OFFSET($CQ15,0,AN$7)+OFFSET($CR15,0,AN$7)+OFFSET($CS15,0,AN$7)+OFFSET($CT15,0,AN$7)</f>
        <v>0</v>
      </c>
      <c r="AO15" s="1231">
        <f ca="1">OFFSET($CQ15,0,AO$7)</f>
        <v>0</v>
      </c>
      <c r="AP15" s="1231">
        <f ca="1">OFFSET($CQ15,0,AP$7)+OFFSET($CR15,0,AP$7)</f>
        <v>0</v>
      </c>
      <c r="AQ15" s="1231">
        <f ca="1">OFFSET($CQ15,0,AQ$7)+OFFSET($CR15,0,AQ$7)+OFFSET($CS15,0,AQ$7)</f>
        <v>0</v>
      </c>
      <c r="AR15" s="1231">
        <f ca="1">OFFSET($CQ15,0,AR$7)+OFFSET($CR15,0,AR$7)+OFFSET($CS15,0,AR$7)+OFFSET($CT15,0,AR$7)</f>
        <v>0</v>
      </c>
      <c r="AS15" s="1231">
        <f ca="1">OFFSET($CQ15,0,AS$7)</f>
        <v>0</v>
      </c>
      <c r="AT15" s="1231">
        <f ca="1">OFFSET($CQ15,0,AT$7)+OFFSET($CR15,0,AT$7)</f>
        <v>0</v>
      </c>
      <c r="AU15" s="1231">
        <f ca="1">OFFSET($CQ15,0,AU$7)+OFFSET($CR15,0,AU$7)+OFFSET($CS15,0,AU$7)</f>
        <v>0</v>
      </c>
      <c r="AV15" s="1231">
        <f ca="1">OFFSET($CQ15,0,AV$7)+OFFSET($CR15,0,AV$7)+OFFSET($CS15,0,AV$7)+OFFSET($CT15,0,AV$7)</f>
        <v>0</v>
      </c>
      <c r="AW15" s="1231">
        <f ca="1">OFFSET($CQ15,0,AW$7)</f>
        <v>0</v>
      </c>
      <c r="AX15" s="1231">
        <f ca="1">OFFSET($CQ15,0,AX$7)+OFFSET($CR15,0,AX$7)</f>
        <v>0</v>
      </c>
      <c r="AY15" s="1231">
        <f ca="1">OFFSET($CQ15,0,AY$7)+OFFSET($CR15,0,AY$7)+OFFSET($CS15,0,AY$7)</f>
        <v>0</v>
      </c>
      <c r="AZ15" s="1231">
        <f ca="1">OFFSET($CQ15,0,AZ$7)+OFFSET($CR15,0,AZ$7)+OFFSET($CS15,0,AZ$7)+OFFSET($CT15,0,AZ$7)</f>
        <v>0</v>
      </c>
      <c r="BA15" s="1231">
        <f ca="1">OFFSET($CQ15,0,BA$7)</f>
        <v>0</v>
      </c>
      <c r="BB15" s="1231">
        <f ca="1">OFFSET($CQ15,0,BB$7)+OFFSET($CR15,0,BB$7)</f>
        <v>0</v>
      </c>
      <c r="BC15" s="1231">
        <f ca="1">OFFSET($CQ15,0,BC$7)+OFFSET($CR15,0,BC$7)+OFFSET($CS15,0,BC$7)</f>
        <v>0</v>
      </c>
      <c r="BD15" s="1231">
        <f ca="1">OFFSET($CQ15,0,BD$7)+OFFSET($CR15,0,BD$7)+OFFSET($CS15,0,BD$7)+OFFSET($CT15,0,BD$7)</f>
        <v>0</v>
      </c>
      <c r="BE15" s="1231">
        <f ca="1">OFFSET($CQ15,0,BE$7)</f>
        <v>0</v>
      </c>
      <c r="BF15" s="1231">
        <f ca="1">OFFSET($CQ15,0,BF$7)+OFFSET($CR15,0,BF$7)</f>
        <v>0</v>
      </c>
      <c r="BG15" s="1231">
        <f ca="1">OFFSET($CQ15,0,BG$7)+OFFSET($CR15,0,BG$7)+OFFSET($CS15,0,BG$7)</f>
        <v>0</v>
      </c>
      <c r="BH15" s="1231">
        <f ca="1">OFFSET($CQ15,0,BH$7)+OFFSET($CR15,0,BH$7)+OFFSET($CS15,0,BH$7)+OFFSET($CT15,0,BH$7)</f>
        <v>0</v>
      </c>
      <c r="BI15" s="1231">
        <f ca="1">OFFSET($CQ15,0,BI$7)</f>
        <v>0</v>
      </c>
      <c r="BJ15" s="1231">
        <f ca="1">OFFSET($CQ15,0,BJ$7)+OFFSET($CR15,0,BJ$7)</f>
        <v>0</v>
      </c>
      <c r="BK15" s="1231">
        <f ca="1">OFFSET($CQ15,0,BK$7)+OFFSET($CR15,0,BK$7)+OFFSET($CS15,0,BK$7)</f>
        <v>0</v>
      </c>
      <c r="BL15" s="1231">
        <f ca="1">OFFSET($CQ15,0,BL$7)+OFFSET($CR15,0,BL$7)+OFFSET($CS15,0,BL$7)+OFFSET($CT15,0,BL$7)</f>
        <v>0</v>
      </c>
      <c r="BM15" s="1231">
        <f ca="1">OFFSET($CQ15,0,BM$7)</f>
        <v>-399.471</v>
      </c>
      <c r="BN15" s="1231">
        <f ca="1">OFFSET($CQ15,0,BN$7)+OFFSET($CR15,0,BN$7)</f>
        <v>-809.39599999999996</v>
      </c>
      <c r="BO15" s="1231">
        <f ca="1">OFFSET($CQ15,0,BO$7)+OFFSET($CR15,0,BO$7)+OFFSET($CS15,0,BO$7)</f>
        <v>-1231.67</v>
      </c>
      <c r="BP15" s="1231">
        <f ca="1">OFFSET($CQ15,0,BP$7)+OFFSET($CR15,0,BP$7)+OFFSET($CS15,0,BP$7)+OFFSET($CT15,0,BP$7)</f>
        <v>-1630.528</v>
      </c>
      <c r="BQ15" s="1231">
        <f ca="1">OFFSET($CQ15,0,BQ$7)</f>
        <v>-354.96499999999997</v>
      </c>
      <c r="BR15" s="1231">
        <f ca="1">OFFSET($CQ15,0,BR$7)+OFFSET($CR15,0,BR$7)</f>
        <v>-723.25599999999997</v>
      </c>
      <c r="BS15" s="1231">
        <f ca="1">OFFSET($CQ15,0,BS$7)+OFFSET($CR15,0,BS$7)+OFFSET($CS15,0,BS$7)</f>
        <v>-1109.96</v>
      </c>
      <c r="BT15" s="1231">
        <f ca="1">OFFSET($CQ15,0,BT$7)+OFFSET($CR15,0,BT$7)+OFFSET($CS15,0,BT$7)+OFFSET($CT15,0,BT$7)</f>
        <v>-1486.5140000000001</v>
      </c>
      <c r="BU15" s="1231">
        <f ca="1">OFFSET($CQ15,0,BU$7)</f>
        <v>-359.87099999999998</v>
      </c>
      <c r="BV15" s="1231">
        <f ca="1">OFFSET($CQ15,0,BV$7)+OFFSET($CR15,0,BV$7)</f>
        <v>-730.0809999999999</v>
      </c>
      <c r="BW15" s="1231">
        <f ca="1">OFFSET($CQ15,0,BW$7)+OFFSET($CR15,0,BW$7)+OFFSET($CS15,0,BW$7)</f>
        <v>-1117.5839999999998</v>
      </c>
      <c r="BX15" s="1231">
        <f ca="1">OFFSET($CQ15,0,BX$7)+OFFSET($CR15,0,BX$7)+OFFSET($CS15,0,BX$7)+OFFSET($CT15,0,BX$7)</f>
        <v>-1553.7949999999998</v>
      </c>
      <c r="BY15" s="1231">
        <f ca="1">OFFSET($CQ15,0,BY$7)</f>
        <v>-480.56</v>
      </c>
      <c r="BZ15" s="1231">
        <f ca="1">OFFSET($CQ15,0,BZ$7)+OFFSET($CR15,0,BZ$7)</f>
        <v>-952.96699999999998</v>
      </c>
      <c r="CA15" s="1231">
        <f ca="1">OFFSET($CQ15,0,CA$7)+OFFSET($CR15,0,CA$7)+OFFSET($CS15,0,CA$7)</f>
        <v>-1495.7089999999998</v>
      </c>
      <c r="CB15" s="1231">
        <f ca="1">OFFSET($CQ15,0,CB$7)+OFFSET($CR15,0,CB$7)+OFFSET($CS15,0,CB$7)+OFFSET($CT15,0,CB$7)</f>
        <v>-2064.4989999999998</v>
      </c>
      <c r="CC15" s="1231">
        <f ca="1">OFFSET($CQ15,0,CC$7)</f>
        <v>-572.26599999999996</v>
      </c>
      <c r="CD15" s="1231">
        <f ca="1">OFFSET($CQ15,0,CD$7)+OFFSET($CR15,0,CD$7)</f>
        <v>-1129.327</v>
      </c>
      <c r="CE15" s="1231">
        <f ca="1">OFFSET($CQ15,0,CE$7)+OFFSET($CR15,0,CE$7)+OFFSET($CS15,0,CE$7)</f>
        <v>-1721.7530000000002</v>
      </c>
      <c r="CF15" s="1231">
        <f ca="1">OFFSET($CQ15,0,CF$7)+OFFSET($CR15,0,CF$7)+OFFSET($CS15,0,CF$7)+OFFSET($CT15,0,CF$7)</f>
        <v>-2360.431</v>
      </c>
      <c r="CG15" s="1231">
        <f ca="1">OFFSET($CQ15,0,CG$7)</f>
        <v>-610.86800000000005</v>
      </c>
      <c r="CH15" s="1231">
        <f ca="1">OFFSET($CQ15,0,CH$7)+OFFSET($CR15,0,CH$7)</f>
        <v>-1283.748</v>
      </c>
      <c r="CI15" s="1231">
        <f ca="1">OFFSET($CQ15,0,CI$7)+OFFSET($CR15,0,CI$7)+OFFSET($CS15,0,CI$7)</f>
        <v>-1959.8670000000002</v>
      </c>
      <c r="CJ15" s="1231">
        <f ca="1">OFFSET($CQ15,0,CJ$7)+OFFSET($CR15,0,CJ$7)+OFFSET($CS15,0,CJ$7)+OFFSET($CT15,0,CJ$7)</f>
        <v>-2613.3070000000002</v>
      </c>
      <c r="CO15" s="1165"/>
      <c r="CP15" s="1165"/>
      <c r="DW15" s="1231">
        <f t="shared" ref="DW15:EM15" si="16">SUM(DW13:DW14)</f>
        <v>-399.471</v>
      </c>
      <c r="DX15" s="1231">
        <f t="shared" si="16"/>
        <v>-409.92500000000001</v>
      </c>
      <c r="DY15" s="1231">
        <f t="shared" si="16"/>
        <v>-422.274</v>
      </c>
      <c r="DZ15" s="1231">
        <f t="shared" si="16"/>
        <v>-398.858</v>
      </c>
      <c r="EA15" s="1231">
        <f t="shared" si="16"/>
        <v>-354.96499999999997</v>
      </c>
      <c r="EB15" s="1231">
        <f t="shared" si="16"/>
        <v>-368.291</v>
      </c>
      <c r="EC15" s="1231">
        <f t="shared" si="16"/>
        <v>-386.70400000000001</v>
      </c>
      <c r="ED15" s="1231">
        <f t="shared" si="16"/>
        <v>-376.55399999999997</v>
      </c>
      <c r="EE15" s="1231">
        <f t="shared" si="16"/>
        <v>-359.87099999999998</v>
      </c>
      <c r="EF15" s="1231">
        <f t="shared" si="16"/>
        <v>-370.21</v>
      </c>
      <c r="EG15" s="1231">
        <f t="shared" si="16"/>
        <v>-387.50299999999999</v>
      </c>
      <c r="EH15" s="1231">
        <f t="shared" si="16"/>
        <v>-436.21100000000001</v>
      </c>
      <c r="EI15" s="1231">
        <f t="shared" si="16"/>
        <v>-480.56</v>
      </c>
      <c r="EJ15" s="1231">
        <f t="shared" si="16"/>
        <v>-472.40699999999998</v>
      </c>
      <c r="EK15" s="1231">
        <f t="shared" si="16"/>
        <v>-542.74199999999996</v>
      </c>
      <c r="EL15" s="1231">
        <f t="shared" si="16"/>
        <v>-568.79</v>
      </c>
      <c r="EM15" s="1231">
        <f t="shared" si="16"/>
        <v>-572.26599999999996</v>
      </c>
      <c r="EN15" s="1231">
        <f t="shared" ref="EN15:ES15" si="17">SUM(EN13:EN14)</f>
        <v>-557.06100000000004</v>
      </c>
      <c r="EO15" s="1231">
        <f t="shared" si="17"/>
        <v>-592.42600000000004</v>
      </c>
      <c r="EP15" s="1231">
        <f t="shared" si="17"/>
        <v>-638.678</v>
      </c>
      <c r="EQ15" s="1231">
        <f t="shared" si="17"/>
        <v>-610.86800000000005</v>
      </c>
      <c r="ER15" s="1231">
        <f t="shared" si="17"/>
        <v>-672.88</v>
      </c>
      <c r="ES15" s="1231">
        <f t="shared" si="17"/>
        <v>-676.11900000000003</v>
      </c>
      <c r="ET15" s="1231">
        <f>SUM(ET13:ET14)</f>
        <v>-653.44000000000005</v>
      </c>
    </row>
    <row r="16" spans="1:162">
      <c r="A16" s="1239"/>
      <c r="CO16" s="1165"/>
      <c r="CP16" s="1165"/>
      <c r="CQ16" s="1231"/>
      <c r="CR16" s="1231"/>
      <c r="CS16" s="1231"/>
      <c r="CT16" s="1231"/>
      <c r="CU16" s="1231"/>
      <c r="CV16" s="1231"/>
      <c r="CW16" s="1231"/>
      <c r="CX16" s="1231"/>
      <c r="CY16" s="1231"/>
      <c r="CZ16" s="1231"/>
      <c r="DA16" s="1231"/>
      <c r="DB16" s="1231"/>
      <c r="DC16" s="1231"/>
      <c r="DD16" s="1231"/>
      <c r="DE16" s="1231"/>
      <c r="DF16" s="1231"/>
      <c r="DG16" s="1231"/>
      <c r="DH16" s="1231"/>
      <c r="DI16" s="1231"/>
      <c r="DJ16" s="1231"/>
      <c r="DK16" s="1238"/>
      <c r="DL16" s="1238"/>
      <c r="DM16" s="1238"/>
      <c r="DN16" s="1238"/>
      <c r="DO16" s="1238"/>
      <c r="DP16" s="1238"/>
      <c r="DQ16" s="1238"/>
      <c r="DR16" s="1238"/>
      <c r="DS16" s="1238"/>
      <c r="DT16" s="1238"/>
      <c r="DU16" s="1238"/>
      <c r="DV16" s="1238"/>
      <c r="DW16" s="1238"/>
      <c r="DX16" s="1238"/>
      <c r="DY16" s="1238"/>
      <c r="DZ16" s="1238"/>
      <c r="EA16" s="1238"/>
      <c r="EB16" s="1238"/>
      <c r="EC16" s="1238"/>
      <c r="ED16" s="1238"/>
      <c r="EE16" s="1238"/>
      <c r="EF16" s="1238"/>
      <c r="EG16" s="1238"/>
      <c r="EH16" s="1238"/>
      <c r="EI16" s="1238"/>
      <c r="EJ16" s="1238"/>
      <c r="EK16" s="1238"/>
      <c r="EL16" s="1238"/>
      <c r="EM16" s="1238"/>
      <c r="EN16" s="1238"/>
      <c r="EO16" s="1238"/>
      <c r="EP16" s="1238"/>
      <c r="EQ16" s="1238"/>
      <c r="ER16" s="1238"/>
      <c r="ES16" s="1238"/>
      <c r="ET16" s="1238"/>
      <c r="EU16" s="1231"/>
      <c r="EV16" s="1231"/>
      <c r="EW16" s="1231"/>
      <c r="EX16" s="1231"/>
      <c r="EY16" s="1231"/>
      <c r="EZ16" s="1231"/>
      <c r="FA16" s="1231"/>
      <c r="FB16" s="1231"/>
      <c r="FC16" s="1231"/>
      <c r="FD16" s="1231"/>
      <c r="FE16" s="1231"/>
      <c r="FF16" s="1231"/>
    </row>
    <row r="17" spans="1:162">
      <c r="A17" s="1224"/>
      <c r="B17" s="1230"/>
      <c r="CO17" s="1165"/>
      <c r="CP17" s="1165"/>
      <c r="CQ17" s="1231"/>
      <c r="CR17" s="1231"/>
      <c r="CS17" s="1231"/>
      <c r="CT17" s="1231"/>
      <c r="CU17" s="1231"/>
      <c r="CV17" s="1231"/>
      <c r="CW17" s="1231"/>
      <c r="CX17" s="1231"/>
      <c r="CY17" s="1231"/>
      <c r="CZ17" s="1231"/>
      <c r="DA17" s="1231"/>
      <c r="DB17" s="1231"/>
      <c r="DC17" s="1231"/>
      <c r="DD17" s="1231"/>
      <c r="DE17" s="1231"/>
      <c r="DF17" s="1231"/>
      <c r="DG17" s="1231"/>
      <c r="DH17" s="1231"/>
      <c r="DI17" s="1231"/>
      <c r="DJ17" s="1231"/>
      <c r="DK17" s="1231"/>
      <c r="DL17" s="1231"/>
      <c r="DM17" s="1231"/>
      <c r="DN17" s="1231"/>
      <c r="DO17" s="1231"/>
      <c r="DP17" s="1231"/>
      <c r="DQ17" s="1231"/>
      <c r="DR17" s="1231"/>
      <c r="DS17" s="1231"/>
      <c r="DT17" s="1231"/>
      <c r="DU17" s="1231"/>
      <c r="DV17" s="1231"/>
      <c r="DW17" s="1231"/>
      <c r="DX17" s="1231"/>
      <c r="DY17" s="1231"/>
      <c r="DZ17" s="1231"/>
      <c r="EA17" s="1231"/>
      <c r="EB17" s="1231"/>
      <c r="EC17" s="1231"/>
      <c r="ED17" s="1231"/>
      <c r="EE17" s="1231"/>
      <c r="EF17" s="1231"/>
      <c r="EG17" s="1231"/>
      <c r="EH17" s="1231"/>
      <c r="EI17" s="1231"/>
      <c r="EJ17" s="1231"/>
      <c r="EK17" s="1231"/>
      <c r="EL17" s="1231"/>
      <c r="EM17" s="1231"/>
      <c r="EN17" s="1231"/>
      <c r="EO17" s="1231"/>
      <c r="EP17" s="1231"/>
      <c r="EQ17" s="1231"/>
      <c r="ER17" s="1231"/>
      <c r="ES17" s="1231"/>
      <c r="ET17" s="1231"/>
      <c r="EU17" s="1231"/>
      <c r="EV17" s="1231"/>
      <c r="EW17" s="1231"/>
      <c r="EX17" s="1231"/>
      <c r="EY17" s="1231"/>
      <c r="EZ17" s="1231"/>
      <c r="FA17" s="1231"/>
      <c r="FB17" s="1231"/>
      <c r="FC17" s="1231"/>
      <c r="FD17" s="1231"/>
      <c r="FE17" s="1231"/>
      <c r="FF17" s="1231"/>
    </row>
    <row r="18" spans="1:162" s="1231" customFormat="1">
      <c r="A18" s="1224"/>
      <c r="B18" s="1230" t="s">
        <v>69</v>
      </c>
      <c r="M18" s="1231">
        <f ca="1">M10+M15+M16</f>
        <v>0</v>
      </c>
      <c r="N18" s="1231">
        <f ca="1">N10+N15+N16</f>
        <v>0</v>
      </c>
      <c r="O18" s="1231">
        <f ca="1">O10+O15+O16</f>
        <v>0</v>
      </c>
      <c r="P18" s="1231">
        <f ca="1">P10+P15+P16</f>
        <v>0</v>
      </c>
      <c r="Q18" s="1231">
        <f ca="1">Q10+Q15+Q16</f>
        <v>0</v>
      </c>
      <c r="R18" s="1231">
        <f t="shared" ref="R18:Y18" ca="1" si="18">R10+R15+R16</f>
        <v>0</v>
      </c>
      <c r="S18" s="1231">
        <f t="shared" ca="1" si="18"/>
        <v>0</v>
      </c>
      <c r="T18" s="1231">
        <f t="shared" ca="1" si="18"/>
        <v>0</v>
      </c>
      <c r="U18" s="1231">
        <f t="shared" ca="1" si="18"/>
        <v>438.43599999999992</v>
      </c>
      <c r="V18" s="1231">
        <f t="shared" ca="1" si="18"/>
        <v>483.45199999999977</v>
      </c>
      <c r="W18" s="1231">
        <f t="shared" ca="1" si="18"/>
        <v>682.62000000000012</v>
      </c>
      <c r="X18" s="1231">
        <f t="shared" ca="1" si="18"/>
        <v>849.68100000000004</v>
      </c>
      <c r="Y18" s="1231">
        <f t="shared" ca="1" si="18"/>
        <v>740.74400000000014</v>
      </c>
      <c r="Z18" s="1231">
        <f ca="1">Z10+Z15+Z16</f>
        <v>746.67699999999968</v>
      </c>
      <c r="AA18" s="1231">
        <f ca="1">AA10+AA15+AA16</f>
        <v>0</v>
      </c>
      <c r="AB18" s="1231">
        <f ca="1">AB10+AB15+AB16</f>
        <v>0</v>
      </c>
      <c r="AC18" s="1231">
        <f ca="1">AC10+AC15+AC16</f>
        <v>0</v>
      </c>
      <c r="AG18" s="1231">
        <f ca="1">OFFSET($CQ18,0,AG$7)</f>
        <v>0</v>
      </c>
      <c r="AH18" s="1231">
        <f ca="1">OFFSET($CQ18,0,AH$7)+OFFSET($CR18,0,AH$7)</f>
        <v>0</v>
      </c>
      <c r="AI18" s="1231">
        <f ca="1">OFFSET($CQ18,0,AI$7)+OFFSET($CR18,0,AI$7)+OFFSET($CS18,0,AI$7)</f>
        <v>0</v>
      </c>
      <c r="AJ18" s="1231">
        <f ca="1">OFFSET($CQ18,0,AJ$7)+OFFSET($CR18,0,AJ$7)+OFFSET($CS18,0,AJ$7)+OFFSET($CT18,0,AJ$7)</f>
        <v>0</v>
      </c>
      <c r="AK18" s="1231">
        <f ca="1">OFFSET($CQ18,0,AK$7)</f>
        <v>0</v>
      </c>
      <c r="AL18" s="1231">
        <f ca="1">OFFSET($CQ18,0,AL$7)+OFFSET($CR18,0,AL$7)</f>
        <v>0</v>
      </c>
      <c r="AM18" s="1231">
        <f ca="1">OFFSET($CQ18,0,AM$7)+OFFSET($CR18,0,AM$7)+OFFSET($CS18,0,AM$7)</f>
        <v>0</v>
      </c>
      <c r="AN18" s="1231">
        <f ca="1">OFFSET($CQ18,0,AN$7)+OFFSET($CR18,0,AN$7)+OFFSET($CS18,0,AN$7)+OFFSET($CT18,0,AN$7)</f>
        <v>0</v>
      </c>
      <c r="AO18" s="1231">
        <f ca="1">OFFSET($CQ18,0,AO$7)</f>
        <v>0</v>
      </c>
      <c r="AP18" s="1231">
        <f ca="1">OFFSET($CQ18,0,AP$7)+OFFSET($CR18,0,AP$7)</f>
        <v>0</v>
      </c>
      <c r="AQ18" s="1231">
        <f ca="1">OFFSET($CQ18,0,AQ$7)+OFFSET($CR18,0,AQ$7)+OFFSET($CS18,0,AQ$7)</f>
        <v>0</v>
      </c>
      <c r="AR18" s="1231">
        <f ca="1">OFFSET($CQ18,0,AR$7)+OFFSET($CR18,0,AR$7)+OFFSET($CS18,0,AR$7)+OFFSET($CT18,0,AR$7)</f>
        <v>0</v>
      </c>
      <c r="AS18" s="1231">
        <f ca="1">OFFSET($CQ18,0,AS$7)</f>
        <v>0</v>
      </c>
      <c r="AT18" s="1231">
        <f ca="1">OFFSET($CQ18,0,AT$7)+OFFSET($CR18,0,AT$7)</f>
        <v>0</v>
      </c>
      <c r="AU18" s="1231">
        <f ca="1">OFFSET($CQ18,0,AU$7)+OFFSET($CR18,0,AU$7)+OFFSET($CS18,0,AU$7)</f>
        <v>0</v>
      </c>
      <c r="AV18" s="1231">
        <f ca="1">OFFSET($CQ18,0,AV$7)+OFFSET($CR18,0,AV$7)+OFFSET($CS18,0,AV$7)+OFFSET($CT18,0,AV$7)</f>
        <v>0</v>
      </c>
      <c r="AW18" s="1231">
        <f ca="1">OFFSET($CQ18,0,AW$7)</f>
        <v>0</v>
      </c>
      <c r="AX18" s="1231">
        <f ca="1">OFFSET($CQ18,0,AX$7)+OFFSET($CR18,0,AX$7)</f>
        <v>0</v>
      </c>
      <c r="AY18" s="1231">
        <f ca="1">OFFSET($CQ18,0,AY$7)+OFFSET($CR18,0,AY$7)+OFFSET($CS18,0,AY$7)</f>
        <v>0</v>
      </c>
      <c r="AZ18" s="1231">
        <f ca="1">OFFSET($CQ18,0,AZ$7)+OFFSET($CR18,0,AZ$7)+OFFSET($CS18,0,AZ$7)+OFFSET($CT18,0,AZ$7)</f>
        <v>0</v>
      </c>
      <c r="BA18" s="1231">
        <f ca="1">OFFSET($CQ18,0,BA$7)</f>
        <v>0</v>
      </c>
      <c r="BB18" s="1231">
        <f ca="1">OFFSET($CQ18,0,BB$7)+OFFSET($CR18,0,BB$7)</f>
        <v>0</v>
      </c>
      <c r="BC18" s="1231">
        <f ca="1">OFFSET($CQ18,0,BC$7)+OFFSET($CR18,0,BC$7)+OFFSET($CS18,0,BC$7)</f>
        <v>0</v>
      </c>
      <c r="BD18" s="1231">
        <f ca="1">OFFSET($CQ18,0,BD$7)+OFFSET($CR18,0,BD$7)+OFFSET($CS18,0,BD$7)+OFFSET($CT18,0,BD$7)</f>
        <v>0</v>
      </c>
      <c r="BE18" s="1231">
        <f ca="1">OFFSET($CQ18,0,BE$7)</f>
        <v>0</v>
      </c>
      <c r="BF18" s="1231">
        <f ca="1">OFFSET($CQ18,0,BF$7)+OFFSET($CR18,0,BF$7)</f>
        <v>0</v>
      </c>
      <c r="BG18" s="1231">
        <f ca="1">OFFSET($CQ18,0,BG$7)+OFFSET($CR18,0,BG$7)+OFFSET($CS18,0,BG$7)</f>
        <v>0</v>
      </c>
      <c r="BH18" s="1231">
        <f ca="1">OFFSET($CQ18,0,BH$7)+OFFSET($CR18,0,BH$7)+OFFSET($CS18,0,BH$7)+OFFSET($CT18,0,BH$7)</f>
        <v>0</v>
      </c>
      <c r="BI18" s="1231">
        <f ca="1">OFFSET($CQ18,0,BI$7)</f>
        <v>0</v>
      </c>
      <c r="BJ18" s="1231">
        <f ca="1">OFFSET($CQ18,0,BJ$7)+OFFSET($CR18,0,BJ$7)</f>
        <v>0</v>
      </c>
      <c r="BK18" s="1231">
        <f ca="1">OFFSET($CQ18,0,BK$7)+OFFSET($CR18,0,BK$7)+OFFSET($CS18,0,BK$7)</f>
        <v>0</v>
      </c>
      <c r="BL18" s="1231">
        <f ca="1">OFFSET($CQ18,0,BL$7)+OFFSET($CR18,0,BL$7)+OFFSET($CS18,0,BL$7)+OFFSET($CT18,0,BL$7)</f>
        <v>0</v>
      </c>
      <c r="BM18" s="1231">
        <f ca="1">OFFSET($CQ18,0,BM$7)</f>
        <v>102.13799999999998</v>
      </c>
      <c r="BN18" s="1231">
        <f ca="1">OFFSET($CQ18,0,BN$7)+OFFSET($CR18,0,BN$7)</f>
        <v>233.51499999999999</v>
      </c>
      <c r="BO18" s="1231">
        <f ca="1">OFFSET($CQ18,0,BO$7)+OFFSET($CR18,0,BO$7)+OFFSET($CS18,0,BO$7)</f>
        <v>345.49699999999996</v>
      </c>
      <c r="BP18" s="1231">
        <f ca="1">OFFSET($CQ18,0,BP$7)+OFFSET($CR18,0,BP$7)+OFFSET($CS18,0,BP$7)+OFFSET($CT18,0,BP$7)</f>
        <v>438.43599999999998</v>
      </c>
      <c r="BQ18" s="1231">
        <f ca="1">OFFSET($CQ18,0,BQ$7)</f>
        <v>96.118000000000052</v>
      </c>
      <c r="BR18" s="1231">
        <f ca="1">OFFSET($CQ18,0,BR$7)+OFFSET($CR18,0,BR$7)</f>
        <v>239.17100000000005</v>
      </c>
      <c r="BS18" s="1231">
        <f ca="1">OFFSET($CQ18,0,BS$7)+OFFSET($CR18,0,BS$7)+OFFSET($CS18,0,BS$7)</f>
        <v>374.113</v>
      </c>
      <c r="BT18" s="1231">
        <f ca="1">OFFSET($CQ18,0,BT$7)+OFFSET($CR18,0,BT$7)+OFFSET($CS18,0,BT$7)+OFFSET($CT18,0,BT$7)</f>
        <v>483.452</v>
      </c>
      <c r="BU18" s="1231">
        <f ca="1">OFFSET($CQ18,0,BU$7)</f>
        <v>149.92700000000002</v>
      </c>
      <c r="BV18" s="1231">
        <f ca="1">OFFSET($CQ18,0,BV$7)+OFFSET($CR18,0,BV$7)</f>
        <v>326.33200000000005</v>
      </c>
      <c r="BW18" s="1231">
        <f ca="1">OFFSET($CQ18,0,BW$7)+OFFSET($CR18,0,BW$7)+OFFSET($CS18,0,BW$7)</f>
        <v>508.68300000000011</v>
      </c>
      <c r="BX18" s="1231">
        <f ca="1">OFFSET($CQ18,0,BX$7)+OFFSET($CR18,0,BX$7)+OFFSET($CS18,0,BX$7)+OFFSET($CT18,0,BX$7)</f>
        <v>682.62000000000012</v>
      </c>
      <c r="BY18" s="1231">
        <f ca="1">OFFSET($CQ18,0,BY$7)</f>
        <v>153.75200000000001</v>
      </c>
      <c r="BZ18" s="1231">
        <f ca="1">OFFSET($CQ18,0,BZ$7)+OFFSET($CR18,0,BZ$7)</f>
        <v>371.56600000000003</v>
      </c>
      <c r="CA18" s="1231">
        <f ca="1">OFFSET($CQ18,0,CA$7)+OFFSET($CR18,0,CA$7)+OFFSET($CS18,0,CA$7)</f>
        <v>603.6690000000001</v>
      </c>
      <c r="CB18" s="1231">
        <f ca="1">OFFSET($CQ18,0,CB$7)+OFFSET($CR18,0,CB$7)+OFFSET($CS18,0,CB$7)+OFFSET($CT18,0,CB$7)</f>
        <v>849.68100000000015</v>
      </c>
      <c r="CC18" s="1231">
        <f ca="1">OFFSET($CQ18,0,CC$7)</f>
        <v>220.81900000000007</v>
      </c>
      <c r="CD18" s="1231">
        <f ca="1">OFFSET($CQ18,0,CD$7)+OFFSET($CR18,0,CD$7)</f>
        <v>414.95100000000002</v>
      </c>
      <c r="CE18" s="1231">
        <f ca="1">OFFSET($CQ18,0,CE$7)+OFFSET($CR18,0,CE$7)+OFFSET($CS18,0,CE$7)</f>
        <v>592.24799999999993</v>
      </c>
      <c r="CF18" s="1231">
        <f ca="1">OFFSET($CQ18,0,CF$7)+OFFSET($CR18,0,CF$7)+OFFSET($CS18,0,CF$7)+OFFSET($CT18,0,CF$7)</f>
        <v>740.74399999999991</v>
      </c>
      <c r="CG18" s="1231">
        <f ca="1">OFFSET($CQ18,0,CG$7)</f>
        <v>220.17599999999993</v>
      </c>
      <c r="CH18" s="1231">
        <f ca="1">OFFSET($CQ18,0,CH$7)+OFFSET($CR18,0,CH$7)</f>
        <v>438.0089999999999</v>
      </c>
      <c r="CI18" s="1231">
        <f ca="1">OFFSET($CQ18,0,CI$7)+OFFSET($CR18,0,CI$7)+OFFSET($CS18,0,CI$7)</f>
        <v>612.55199999999991</v>
      </c>
      <c r="CJ18" s="1231">
        <f ca="1">OFFSET($CQ18,0,CJ$7)+OFFSET($CR18,0,CJ$7)+OFFSET($CS18,0,CJ$7)+OFFSET($CT18,0,CJ$7)</f>
        <v>746.67699999999991</v>
      </c>
      <c r="CO18" s="1165"/>
      <c r="CP18" s="1165"/>
      <c r="DW18" s="1231">
        <f t="shared" ref="DW18:EM18" si="19">DW10+DW15+DW16</f>
        <v>102.13799999999998</v>
      </c>
      <c r="DX18" s="1231">
        <f t="shared" si="19"/>
        <v>131.37700000000001</v>
      </c>
      <c r="DY18" s="1231">
        <f t="shared" si="19"/>
        <v>111.98199999999997</v>
      </c>
      <c r="DZ18" s="1231">
        <f t="shared" si="19"/>
        <v>92.939000000000021</v>
      </c>
      <c r="EA18" s="1231">
        <f t="shared" si="19"/>
        <v>96.118000000000052</v>
      </c>
      <c r="EB18" s="1231">
        <f t="shared" si="19"/>
        <v>143.053</v>
      </c>
      <c r="EC18" s="1231">
        <f t="shared" si="19"/>
        <v>134.94199999999995</v>
      </c>
      <c r="ED18" s="1231">
        <f t="shared" si="19"/>
        <v>109.339</v>
      </c>
      <c r="EE18" s="1231">
        <f t="shared" si="19"/>
        <v>149.92700000000002</v>
      </c>
      <c r="EF18" s="1231">
        <f t="shared" si="19"/>
        <v>176.40500000000003</v>
      </c>
      <c r="EG18" s="1231">
        <f t="shared" si="19"/>
        <v>182.35100000000006</v>
      </c>
      <c r="EH18" s="1231">
        <f t="shared" si="19"/>
        <v>173.93700000000001</v>
      </c>
      <c r="EI18" s="1231">
        <f t="shared" si="19"/>
        <v>153.75200000000001</v>
      </c>
      <c r="EJ18" s="1231">
        <f t="shared" si="19"/>
        <v>217.81400000000002</v>
      </c>
      <c r="EK18" s="1231">
        <f t="shared" si="19"/>
        <v>232.10300000000007</v>
      </c>
      <c r="EL18" s="1231">
        <f t="shared" si="19"/>
        <v>246.01200000000006</v>
      </c>
      <c r="EM18" s="1231">
        <f t="shared" si="19"/>
        <v>220.81900000000007</v>
      </c>
      <c r="EN18" s="1231">
        <f t="shared" ref="EN18:ES18" si="20">EN10+EN15+EN16</f>
        <v>194.13199999999995</v>
      </c>
      <c r="EO18" s="1231">
        <f t="shared" si="20"/>
        <v>177.29699999999991</v>
      </c>
      <c r="EP18" s="1231">
        <f t="shared" si="20"/>
        <v>148.49599999999998</v>
      </c>
      <c r="EQ18" s="1231">
        <f t="shared" si="20"/>
        <v>220.17599999999993</v>
      </c>
      <c r="ER18" s="1231">
        <f t="shared" si="20"/>
        <v>217.83299999999997</v>
      </c>
      <c r="ES18" s="1231">
        <f t="shared" si="20"/>
        <v>174.54300000000001</v>
      </c>
      <c r="ET18" s="1231">
        <f>ET10+ET15+ET16</f>
        <v>134.125</v>
      </c>
    </row>
    <row r="19" spans="1:162" s="1231" customFormat="1">
      <c r="A19" s="1229"/>
      <c r="B19" s="1165" t="s">
        <v>196</v>
      </c>
      <c r="M19" s="1240"/>
      <c r="N19" s="1240"/>
      <c r="O19" s="1240"/>
      <c r="P19" s="1240"/>
      <c r="Q19" s="1240"/>
      <c r="R19" s="1240"/>
      <c r="S19" s="1240"/>
      <c r="T19" s="1240" t="e">
        <f t="shared" ref="T19:Y19" ca="1" si="21">T18/T10</f>
        <v>#DIV/0!</v>
      </c>
      <c r="U19" s="1240">
        <f t="shared" ca="1" si="21"/>
        <v>0.21191088873465172</v>
      </c>
      <c r="V19" s="1240">
        <f t="shared" ca="1" si="21"/>
        <v>0.24541134212468632</v>
      </c>
      <c r="W19" s="1240">
        <f t="shared" ca="1" si="21"/>
        <v>0.30522957501179349</v>
      </c>
      <c r="X19" s="1240">
        <f t="shared" ca="1" si="21"/>
        <v>0.29156778236073272</v>
      </c>
      <c r="Y19" s="1240">
        <f t="shared" ca="1" si="21"/>
        <v>0.2388591420993656</v>
      </c>
      <c r="Z19" s="1240">
        <f ca="1">Z18/Z10</f>
        <v>0.22222635583978961</v>
      </c>
      <c r="AA19" s="1240" t="e">
        <f ca="1">AA18/AA10</f>
        <v>#DIV/0!</v>
      </c>
      <c r="AB19" s="1240" t="e">
        <f ca="1">AB18/AB10</f>
        <v>#DIV/0!</v>
      </c>
      <c r="AC19" s="1240" t="e">
        <f ca="1">AC18/AC10</f>
        <v>#DIV/0!</v>
      </c>
      <c r="AD19" s="1240"/>
      <c r="AE19" s="1240"/>
      <c r="AF19" s="1240"/>
      <c r="AG19" s="1240"/>
      <c r="AH19" s="1240"/>
      <c r="AI19" s="1240"/>
      <c r="AJ19" s="1240"/>
      <c r="AK19" s="1240"/>
      <c r="AL19" s="1240"/>
      <c r="AM19" s="1240"/>
      <c r="AN19" s="1240"/>
      <c r="AO19" s="1240"/>
      <c r="AP19" s="1240"/>
      <c r="AQ19" s="1240"/>
      <c r="AR19" s="1240"/>
      <c r="AS19" s="1240"/>
      <c r="AT19" s="1240"/>
      <c r="AU19" s="1240"/>
      <c r="AV19" s="1240"/>
      <c r="AW19" s="1240"/>
      <c r="AX19" s="1240"/>
      <c r="AY19" s="1240"/>
      <c r="AZ19" s="1240"/>
      <c r="BA19" s="1240"/>
      <c r="BB19" s="1240"/>
      <c r="BC19" s="1240"/>
      <c r="BD19" s="1240"/>
      <c r="BE19" s="1240"/>
      <c r="BF19" s="1240"/>
      <c r="BG19" s="1240"/>
      <c r="BH19" s="1240"/>
      <c r="BI19" s="1240"/>
      <c r="BJ19" s="1240"/>
      <c r="BK19" s="1240"/>
      <c r="BL19" s="1240"/>
      <c r="BM19" s="1240"/>
      <c r="BN19" s="1240"/>
      <c r="BO19" s="1240"/>
      <c r="BP19" s="1240"/>
      <c r="BQ19" s="1240"/>
      <c r="BR19" s="1240"/>
      <c r="BS19" s="1240"/>
      <c r="BT19" s="1240"/>
      <c r="BU19" s="1240"/>
      <c r="BV19" s="1240"/>
      <c r="BW19" s="1240"/>
      <c r="BX19" s="1240"/>
      <c r="BY19" s="1240"/>
      <c r="BZ19" s="1240"/>
      <c r="CA19" s="1240"/>
      <c r="CB19" s="1240"/>
      <c r="CC19" s="1240"/>
      <c r="CD19" s="1240"/>
      <c r="CE19" s="1240"/>
      <c r="CF19" s="1240"/>
      <c r="CG19" s="1240"/>
      <c r="CH19" s="1240"/>
      <c r="CI19" s="1240"/>
      <c r="CJ19" s="1240"/>
      <c r="CK19" s="1240"/>
      <c r="CL19" s="1240"/>
      <c r="CM19" s="1240"/>
      <c r="CN19" s="1240"/>
      <c r="CO19" s="1165"/>
      <c r="CP19" s="1165"/>
      <c r="CQ19" s="1240"/>
      <c r="CR19" s="1240"/>
      <c r="CS19" s="1240"/>
      <c r="CT19" s="1240"/>
      <c r="CU19" s="1240"/>
      <c r="CV19" s="1240"/>
      <c r="CW19" s="1240"/>
      <c r="CX19" s="1240"/>
      <c r="CY19" s="1240"/>
      <c r="CZ19" s="1240"/>
      <c r="DA19" s="1240"/>
      <c r="DB19" s="1240"/>
      <c r="DC19" s="1240"/>
      <c r="DD19" s="1240"/>
      <c r="DE19" s="1240"/>
      <c r="DF19" s="1240"/>
      <c r="DG19" s="1240"/>
      <c r="DH19" s="1240"/>
      <c r="DI19" s="1240"/>
      <c r="DJ19" s="1240"/>
      <c r="DK19" s="1240"/>
      <c r="DL19" s="1240"/>
      <c r="DM19" s="1240"/>
      <c r="DN19" s="1240"/>
      <c r="DO19" s="1240"/>
      <c r="DP19" s="1240"/>
      <c r="DQ19" s="1240"/>
      <c r="DR19" s="1240"/>
      <c r="DS19" s="1240"/>
      <c r="DT19" s="1240"/>
      <c r="DU19" s="1240"/>
      <c r="DV19" s="1240"/>
      <c r="DW19" s="1240">
        <f t="shared" ref="DW19:EM19" si="22">IFERROR(DW18/DW10,"")</f>
        <v>0.20362074843154723</v>
      </c>
      <c r="DX19" s="1240">
        <f t="shared" si="22"/>
        <v>0.24270555069074196</v>
      </c>
      <c r="DY19" s="1240">
        <f t="shared" si="22"/>
        <v>0.20960363571022128</v>
      </c>
      <c r="DZ19" s="1240">
        <f t="shared" si="22"/>
        <v>0.18897837929064232</v>
      </c>
      <c r="EA19" s="1240">
        <f t="shared" si="22"/>
        <v>0.21308273643653175</v>
      </c>
      <c r="EB19" s="1240">
        <f t="shared" si="22"/>
        <v>0.2797588316280234</v>
      </c>
      <c r="EC19" s="1240">
        <f t="shared" si="22"/>
        <v>0.25868500860736965</v>
      </c>
      <c r="ED19" s="1240">
        <f t="shared" si="22"/>
        <v>0.22502690921663823</v>
      </c>
      <c r="EE19" s="1240">
        <f t="shared" si="22"/>
        <v>0.29409099290307145</v>
      </c>
      <c r="EF19" s="1240">
        <f t="shared" si="22"/>
        <v>0.32272257438965274</v>
      </c>
      <c r="EG19" s="1240">
        <f t="shared" si="22"/>
        <v>0.31999599897517617</v>
      </c>
      <c r="EH19" s="1240">
        <f t="shared" si="22"/>
        <v>0.28507345758733948</v>
      </c>
      <c r="EI19" s="1240">
        <f t="shared" si="22"/>
        <v>0.24239175673800906</v>
      </c>
      <c r="EJ19" s="1240">
        <f t="shared" si="22"/>
        <v>0.31557138945352287</v>
      </c>
      <c r="EK19" s="1240">
        <f t="shared" si="22"/>
        <v>0.29954765146577711</v>
      </c>
      <c r="EL19" s="1240">
        <f t="shared" si="22"/>
        <v>0.30192856669473078</v>
      </c>
      <c r="EM19" s="1240">
        <f t="shared" si="22"/>
        <v>0.27843043305572551</v>
      </c>
      <c r="EN19" s="1240">
        <f t="shared" ref="EN19:ES19" si="23">IFERROR(EN18/EN10,"")</f>
        <v>0.25843158815377665</v>
      </c>
      <c r="EO19" s="1240">
        <f t="shared" si="23"/>
        <v>0.23033870626186292</v>
      </c>
      <c r="EP19" s="1240">
        <f t="shared" si="23"/>
        <v>0.18864444201663164</v>
      </c>
      <c r="EQ19" s="1240">
        <f t="shared" si="23"/>
        <v>0.26493904053214984</v>
      </c>
      <c r="ER19" s="1240">
        <f t="shared" si="23"/>
        <v>0.24456025678304907</v>
      </c>
      <c r="ES19" s="1240">
        <f t="shared" si="23"/>
        <v>0.20518490305197598</v>
      </c>
      <c r="ET19" s="1240">
        <f>IFERROR(ET18/ET10,"")</f>
        <v>0.17030340352859763</v>
      </c>
      <c r="EU19" s="1240"/>
      <c r="EV19" s="1240"/>
      <c r="EW19" s="1240"/>
      <c r="EX19" s="1240"/>
      <c r="EY19" s="1240"/>
      <c r="EZ19" s="1240"/>
      <c r="FA19" s="1240"/>
      <c r="FB19" s="1240"/>
      <c r="FC19" s="1240"/>
      <c r="FD19" s="1240"/>
      <c r="FE19" s="1240"/>
      <c r="FF19" s="1240"/>
    </row>
    <row r="20" spans="1:162">
      <c r="A20" s="1224"/>
      <c r="B20" s="1234" t="s">
        <v>290</v>
      </c>
      <c r="R20" s="1212"/>
      <c r="S20" s="1212"/>
      <c r="T20" s="1212">
        <f ca="1">T18-Model!C16</f>
        <v>0</v>
      </c>
      <c r="U20" s="1212">
        <f ca="1">U18-Model!D16</f>
        <v>0</v>
      </c>
      <c r="V20" s="1212">
        <f ca="1">V18-Model!E16</f>
        <v>0</v>
      </c>
      <c r="W20" s="1212">
        <f ca="1">W18-Model!F16</f>
        <v>0</v>
      </c>
      <c r="X20" s="1212">
        <f ca="1">X18-Model!G16</f>
        <v>0</v>
      </c>
      <c r="Y20" s="1212">
        <f ca="1">Y18-Model!H16</f>
        <v>0</v>
      </c>
      <c r="Z20" s="1212">
        <f ca="1">Z18-Model!I16</f>
        <v>0</v>
      </c>
      <c r="AG20" s="1212"/>
      <c r="AH20" s="1212"/>
      <c r="AI20" s="1212"/>
      <c r="AJ20" s="1212"/>
      <c r="AK20" s="1212"/>
      <c r="AL20" s="1212"/>
      <c r="AM20" s="1212"/>
      <c r="AN20" s="1212"/>
      <c r="AO20" s="1212"/>
      <c r="AP20" s="1212"/>
      <c r="AQ20" s="1212"/>
      <c r="AR20" s="1212"/>
      <c r="AS20" s="1212"/>
      <c r="AT20" s="1212"/>
      <c r="AU20" s="1212"/>
      <c r="AV20" s="1212"/>
      <c r="AW20" s="1212"/>
      <c r="AX20" s="1212"/>
      <c r="AY20" s="1212"/>
      <c r="AZ20" s="1212"/>
      <c r="BA20" s="1212"/>
      <c r="BB20" s="1212"/>
      <c r="BC20" s="1212"/>
      <c r="BD20" s="1212"/>
      <c r="BE20" s="1212"/>
      <c r="BF20" s="1212"/>
      <c r="BG20" s="1212"/>
      <c r="BH20" s="1212"/>
      <c r="BI20" s="1212"/>
      <c r="BJ20" s="1212"/>
      <c r="BK20" s="1212"/>
      <c r="BL20" s="1212"/>
      <c r="BM20" s="1212"/>
      <c r="BN20" s="1212"/>
      <c r="BO20" s="1212"/>
      <c r="BP20" s="1212"/>
      <c r="BQ20" s="1212"/>
      <c r="BR20" s="1212"/>
      <c r="BS20" s="1212"/>
      <c r="BT20" s="1212"/>
      <c r="BU20" s="1212"/>
      <c r="BV20" s="1212"/>
      <c r="BW20" s="1212"/>
      <c r="BX20" s="1212"/>
      <c r="BY20" s="1212"/>
      <c r="BZ20" s="1212"/>
      <c r="CA20" s="1212"/>
      <c r="CB20" s="1212"/>
      <c r="CC20" s="1212"/>
      <c r="CD20" s="1212"/>
      <c r="CE20" s="1212"/>
      <c r="CF20" s="1212"/>
      <c r="CG20" s="1212"/>
      <c r="CH20" s="1212"/>
      <c r="CI20" s="1212"/>
      <c r="CJ20" s="1212"/>
      <c r="CO20" s="1165"/>
      <c r="CP20" s="1165"/>
      <c r="CQ20" s="1231"/>
      <c r="CR20" s="1231"/>
      <c r="CS20" s="1231"/>
      <c r="CT20" s="1231"/>
      <c r="CU20" s="1231"/>
      <c r="CV20" s="1231"/>
      <c r="CW20" s="1231"/>
      <c r="CX20" s="1231"/>
      <c r="CY20" s="1231"/>
      <c r="CZ20" s="1231"/>
      <c r="DA20" s="1231"/>
      <c r="DB20" s="1231"/>
      <c r="DC20" s="1231"/>
      <c r="DD20" s="1231"/>
      <c r="DE20" s="1231"/>
      <c r="DF20" s="1231"/>
      <c r="DG20" s="1231"/>
      <c r="DH20" s="1231"/>
      <c r="DI20" s="1231"/>
      <c r="DJ20" s="1231"/>
      <c r="DK20" s="1235"/>
      <c r="DL20" s="1235"/>
      <c r="DM20" s="1235"/>
      <c r="DN20" s="1235"/>
      <c r="DO20" s="1235"/>
      <c r="DP20" s="1235"/>
      <c r="DQ20" s="1235"/>
      <c r="DR20" s="1235"/>
      <c r="DS20" s="1235"/>
      <c r="DT20" s="1235"/>
      <c r="DU20" s="1235"/>
      <c r="DV20" s="1235"/>
      <c r="DW20" s="1235">
        <f>DW18-'Basic Data TR'!Z15</f>
        <v>0</v>
      </c>
      <c r="DX20" s="1235">
        <f>DX18-'Basic Data TR'!AA15</f>
        <v>0</v>
      </c>
      <c r="DY20" s="1235">
        <f>DY18-'Basic Data TR'!AB15</f>
        <v>0</v>
      </c>
      <c r="DZ20" s="1235">
        <f>DZ18-'Basic Data TR'!AC15</f>
        <v>0</v>
      </c>
      <c r="EA20" s="1235">
        <f>EA18-'Basic Data TR'!AD15</f>
        <v>0</v>
      </c>
      <c r="EB20" s="1235">
        <f>EB18-'Basic Data TR'!AE15</f>
        <v>0</v>
      </c>
      <c r="EC20" s="1235">
        <f>EC18-'Basic Data TR'!AF15</f>
        <v>0</v>
      </c>
      <c r="ED20" s="1235">
        <f>ED18-'Basic Data TR'!AG15</f>
        <v>0</v>
      </c>
      <c r="EE20" s="1235">
        <f>EE18-'Basic Data TR'!AH15</f>
        <v>0</v>
      </c>
      <c r="EF20" s="1235">
        <f>EF18-'Basic Data TR'!AI15</f>
        <v>0</v>
      </c>
      <c r="EG20" s="1235">
        <f>EG18-'Basic Data TR'!AJ15</f>
        <v>0</v>
      </c>
      <c r="EH20" s="1235">
        <f>EH18-'Basic Data TR'!AK15</f>
        <v>0</v>
      </c>
      <c r="EI20" s="1235">
        <f>EI18-'Basic Data TR'!AL15</f>
        <v>0</v>
      </c>
      <c r="EJ20" s="1235">
        <f>EJ18-'Basic Data TR'!AM15</f>
        <v>0</v>
      </c>
      <c r="EK20" s="1235">
        <f>EK18-'Basic Data TR'!AN15</f>
        <v>0</v>
      </c>
      <c r="EL20" s="1235">
        <f>EL18-'Basic Data TR'!AO15</f>
        <v>0</v>
      </c>
      <c r="EM20" s="1235">
        <f>EM18-'Basic Data TR'!AP15</f>
        <v>0</v>
      </c>
      <c r="EN20" s="1235">
        <f>EN18-'Basic Data TR'!AQ15</f>
        <v>0</v>
      </c>
      <c r="EO20" s="1235">
        <f>EO18-'Basic Data TR'!AR15</f>
        <v>0</v>
      </c>
      <c r="EP20" s="1235">
        <f>EP18-'Basic Data TR'!AS15</f>
        <v>0</v>
      </c>
      <c r="EQ20" s="1235">
        <f>EQ18-'Basic Data TR'!AT15</f>
        <v>0</v>
      </c>
      <c r="ER20" s="1235">
        <f>ER18-'Basic Data TR'!AU15</f>
        <v>0</v>
      </c>
      <c r="ES20" s="1235">
        <f>ES18-'Basic Data TR'!AV15</f>
        <v>0</v>
      </c>
      <c r="ET20" s="1235">
        <f>ET18-'Basic Data TR'!AW15</f>
        <v>0</v>
      </c>
      <c r="EU20" s="1231"/>
      <c r="EV20" s="1231"/>
      <c r="EW20" s="1231"/>
      <c r="EX20" s="1231"/>
      <c r="EY20" s="1231"/>
      <c r="EZ20" s="1231"/>
      <c r="FA20" s="1231"/>
      <c r="FB20" s="1231"/>
      <c r="FC20" s="1231"/>
      <c r="FD20" s="1231"/>
      <c r="FE20" s="1231"/>
      <c r="FF20" s="1231"/>
    </row>
    <row r="21" spans="1:162">
      <c r="A21" s="1224"/>
      <c r="B21" s="1234" t="s">
        <v>290</v>
      </c>
      <c r="M21" s="1241">
        <f t="shared" ref="M21:AC21" ca="1" si="24">OFFSET($CQ18,0,M$7)+OFFSET($CR18,0,M$7)+OFFSET($CS18,0,M$7)+OFFSET($CT18,0,M$7)-M18</f>
        <v>0</v>
      </c>
      <c r="N21" s="1241">
        <f t="shared" ca="1" si="24"/>
        <v>0</v>
      </c>
      <c r="O21" s="1241">
        <f t="shared" ca="1" si="24"/>
        <v>0</v>
      </c>
      <c r="P21" s="1241">
        <f t="shared" ca="1" si="24"/>
        <v>0</v>
      </c>
      <c r="Q21" s="1241">
        <f t="shared" ca="1" si="24"/>
        <v>0</v>
      </c>
      <c r="R21" s="1241">
        <f t="shared" ca="1" si="24"/>
        <v>0</v>
      </c>
      <c r="S21" s="1241">
        <f t="shared" ca="1" si="24"/>
        <v>0</v>
      </c>
      <c r="T21" s="1241">
        <f t="shared" ca="1" si="24"/>
        <v>0</v>
      </c>
      <c r="U21" s="1241">
        <f t="shared" ca="1" si="24"/>
        <v>0</v>
      </c>
      <c r="V21" s="1241">
        <f t="shared" ca="1" si="24"/>
        <v>0</v>
      </c>
      <c r="W21" s="1241">
        <f t="shared" ca="1" si="24"/>
        <v>0</v>
      </c>
      <c r="X21" s="1241">
        <f t="shared" ca="1" si="24"/>
        <v>0</v>
      </c>
      <c r="Y21" s="1241">
        <f t="shared" ca="1" si="24"/>
        <v>0</v>
      </c>
      <c r="Z21" s="1241">
        <f t="shared" ca="1" si="24"/>
        <v>0</v>
      </c>
      <c r="AA21" s="1241">
        <f t="shared" ca="1" si="24"/>
        <v>0</v>
      </c>
      <c r="AB21" s="1241">
        <f t="shared" ca="1" si="24"/>
        <v>0</v>
      </c>
      <c r="AC21" s="1241">
        <f t="shared" ca="1" si="24"/>
        <v>0</v>
      </c>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1241"/>
      <c r="AY21" s="1241"/>
      <c r="AZ21" s="1241"/>
      <c r="BA21" s="1241"/>
      <c r="BB21" s="1241"/>
      <c r="BC21" s="1241"/>
      <c r="BD21" s="1241"/>
      <c r="BE21" s="1241"/>
      <c r="BF21" s="1241"/>
      <c r="BG21" s="1241"/>
      <c r="BH21" s="1241"/>
      <c r="BI21" s="1241"/>
      <c r="BJ21" s="1241"/>
      <c r="BK21" s="1241"/>
      <c r="BL21" s="1241"/>
      <c r="BM21" s="1241"/>
      <c r="BN21" s="1241"/>
      <c r="BO21" s="1241"/>
      <c r="BP21" s="1241"/>
      <c r="BQ21" s="1241"/>
      <c r="BR21" s="1241"/>
      <c r="BS21" s="1241"/>
      <c r="BT21" s="1241"/>
      <c r="BU21" s="1241"/>
      <c r="BV21" s="1241"/>
      <c r="BW21" s="1241"/>
      <c r="BX21" s="1241"/>
      <c r="BY21" s="1241"/>
      <c r="BZ21" s="1241"/>
      <c r="CA21" s="1241"/>
      <c r="CB21" s="1241"/>
      <c r="CC21" s="1241"/>
      <c r="CD21" s="1241"/>
      <c r="CE21" s="1241"/>
      <c r="CF21" s="1241"/>
      <c r="CG21" s="1241"/>
      <c r="CH21" s="1241"/>
      <c r="CI21" s="1241"/>
      <c r="CJ21" s="1241"/>
      <c r="CO21" s="1165"/>
      <c r="CP21" s="1165"/>
      <c r="CQ21" s="1231"/>
      <c r="CR21" s="1231"/>
      <c r="CS21" s="1231"/>
      <c r="CT21" s="1231"/>
      <c r="CU21" s="1231"/>
      <c r="CV21" s="1231"/>
      <c r="CW21" s="1231"/>
      <c r="CX21" s="1231"/>
      <c r="CY21" s="1231"/>
      <c r="CZ21" s="1231"/>
      <c r="DA21" s="1231"/>
      <c r="DB21" s="1231"/>
      <c r="DC21" s="1231"/>
      <c r="DD21" s="1231"/>
      <c r="DE21" s="1231"/>
      <c r="DF21" s="1231"/>
      <c r="DG21" s="1231"/>
      <c r="DH21" s="1231"/>
      <c r="DI21" s="1231"/>
      <c r="DJ21" s="1231"/>
      <c r="DK21" s="1235"/>
      <c r="DL21" s="1235"/>
      <c r="DM21" s="1235"/>
      <c r="DN21" s="1235"/>
      <c r="DO21" s="1235"/>
      <c r="DP21" s="1235"/>
      <c r="DQ21" s="1235"/>
      <c r="DR21" s="1235"/>
      <c r="DS21" s="1235"/>
      <c r="DT21" s="1235"/>
      <c r="DU21" s="1235"/>
      <c r="DV21" s="1235"/>
      <c r="DW21" s="1235"/>
      <c r="DX21" s="1235"/>
      <c r="DY21" s="1235"/>
      <c r="DZ21" s="1235"/>
      <c r="EA21" s="1235"/>
      <c r="EB21" s="1235"/>
      <c r="EC21" s="1235"/>
      <c r="ED21" s="1235"/>
      <c r="EE21" s="1235"/>
      <c r="EF21" s="1235"/>
      <c r="EG21" s="1235"/>
      <c r="EH21" s="1235"/>
      <c r="EI21" s="1235"/>
      <c r="EJ21" s="1235"/>
      <c r="EK21" s="1235"/>
      <c r="EL21" s="1235"/>
      <c r="EM21" s="1235"/>
      <c r="EN21" s="1235"/>
      <c r="EO21" s="1235"/>
      <c r="EP21" s="1235"/>
      <c r="EQ21" s="1235"/>
      <c r="ER21" s="1235"/>
      <c r="ES21" s="1235"/>
      <c r="ET21" s="1235"/>
      <c r="EU21" s="1231"/>
      <c r="EV21" s="1231"/>
      <c r="EW21" s="1231"/>
      <c r="EX21" s="1231"/>
      <c r="EY21" s="1231"/>
      <c r="EZ21" s="1231"/>
      <c r="FA21" s="1231"/>
      <c r="FB21" s="1231"/>
      <c r="FC21" s="1231"/>
      <c r="FD21" s="1231"/>
      <c r="FE21" s="1231"/>
      <c r="FF21" s="1231"/>
    </row>
    <row r="22" spans="1:162">
      <c r="A22" s="1205" t="s">
        <v>448</v>
      </c>
      <c r="B22" s="1237" t="s">
        <v>695</v>
      </c>
      <c r="M22" s="1236">
        <f t="shared" ref="M22:V25" ca="1" si="25">OFFSET($CQ22,0,M$7)+OFFSET($CR22,0,M$7)+OFFSET($CS22,0,M$7)+OFFSET($CT22,0,M$7)</f>
        <v>0</v>
      </c>
      <c r="N22" s="1236">
        <f t="shared" ca="1" si="25"/>
        <v>0</v>
      </c>
      <c r="O22" s="1236">
        <f t="shared" ca="1" si="25"/>
        <v>0</v>
      </c>
      <c r="P22" s="1236">
        <f t="shared" ca="1" si="25"/>
        <v>0</v>
      </c>
      <c r="Q22" s="1236">
        <f t="shared" ca="1" si="25"/>
        <v>0</v>
      </c>
      <c r="R22" s="1236">
        <f t="shared" ca="1" si="25"/>
        <v>0</v>
      </c>
      <c r="S22" s="1236">
        <f t="shared" ca="1" si="25"/>
        <v>0</v>
      </c>
      <c r="T22" s="1236">
        <f t="shared" ca="1" si="25"/>
        <v>0</v>
      </c>
      <c r="U22" s="1236">
        <f t="shared" ca="1" si="25"/>
        <v>-35.357999999999997</v>
      </c>
      <c r="V22" s="1236">
        <f t="shared" ca="1" si="25"/>
        <v>-38.251999999999995</v>
      </c>
      <c r="W22" s="1236">
        <f t="shared" ref="W22:AC25" ca="1" si="26">OFFSET($CQ22,0,W$7)+OFFSET($CR22,0,W$7)+OFFSET($CS22,0,W$7)+OFFSET($CT22,0,W$7)</f>
        <v>-41.876000000000005</v>
      </c>
      <c r="X22" s="1236">
        <f t="shared" ca="1" si="26"/>
        <v>-35.034000000000006</v>
      </c>
      <c r="Y22" s="1236">
        <f t="shared" ca="1" si="26"/>
        <v>-35.795999999999999</v>
      </c>
      <c r="Z22" s="1236">
        <f t="shared" ca="1" si="26"/>
        <v>-30.455000000000002</v>
      </c>
      <c r="AA22" s="1236">
        <f t="shared" ca="1" si="26"/>
        <v>0</v>
      </c>
      <c r="AB22" s="1236">
        <f t="shared" ca="1" si="26"/>
        <v>0</v>
      </c>
      <c r="AC22" s="1236">
        <f t="shared" ca="1" si="26"/>
        <v>0</v>
      </c>
      <c r="AG22" s="1236">
        <f ca="1">OFFSET($CQ22,0,AG$7)</f>
        <v>0</v>
      </c>
      <c r="AH22" s="1236">
        <f ca="1">OFFSET($CQ22,0,AH$7)+OFFSET($CR22,0,AH$7)</f>
        <v>0</v>
      </c>
      <c r="AI22" s="1236">
        <f ca="1">OFFSET($CQ22,0,AI$7)+OFFSET($CR22,0,AI$7)+OFFSET($CS22,0,AI$7)</f>
        <v>0</v>
      </c>
      <c r="AJ22" s="1236">
        <f ca="1">OFFSET($CQ22,0,AJ$7)+OFFSET($CR22,0,AJ$7)+OFFSET($CS22,0,AJ$7)+OFFSET($CT22,0,AJ$7)</f>
        <v>0</v>
      </c>
      <c r="AK22" s="1236">
        <f ca="1">OFFSET($CQ22,0,AK$7)</f>
        <v>0</v>
      </c>
      <c r="AL22" s="1236">
        <f ca="1">OFFSET($CQ22,0,AL$7)+OFFSET($CR22,0,AL$7)</f>
        <v>0</v>
      </c>
      <c r="AM22" s="1236">
        <f ca="1">OFFSET($CQ22,0,AM$7)+OFFSET($CR22,0,AM$7)+OFFSET($CS22,0,AM$7)</f>
        <v>0</v>
      </c>
      <c r="AN22" s="1236">
        <f ca="1">OFFSET($CQ22,0,AN$7)+OFFSET($CR22,0,AN$7)+OFFSET($CS22,0,AN$7)+OFFSET($CT22,0,AN$7)</f>
        <v>0</v>
      </c>
      <c r="AO22" s="1236">
        <f ca="1">OFFSET($CQ22,0,AO$7)</f>
        <v>0</v>
      </c>
      <c r="AP22" s="1236">
        <f ca="1">OFFSET($CQ22,0,AP$7)+OFFSET($CR22,0,AP$7)</f>
        <v>0</v>
      </c>
      <c r="AQ22" s="1236">
        <f ca="1">OFFSET($CQ22,0,AQ$7)+OFFSET($CR22,0,AQ$7)+OFFSET($CS22,0,AQ$7)</f>
        <v>0</v>
      </c>
      <c r="AR22" s="1236">
        <f ca="1">OFFSET($CQ22,0,AR$7)+OFFSET($CR22,0,AR$7)+OFFSET($CS22,0,AR$7)+OFFSET($CT22,0,AR$7)</f>
        <v>0</v>
      </c>
      <c r="AS22" s="1236">
        <f ca="1">OFFSET($CQ22,0,AS$7)</f>
        <v>0</v>
      </c>
      <c r="AT22" s="1236">
        <f ca="1">OFFSET($CQ22,0,AT$7)+OFFSET($CR22,0,AT$7)</f>
        <v>0</v>
      </c>
      <c r="AU22" s="1236">
        <f ca="1">OFFSET($CQ22,0,AU$7)+OFFSET($CR22,0,AU$7)+OFFSET($CS22,0,AU$7)</f>
        <v>0</v>
      </c>
      <c r="AV22" s="1236">
        <f ca="1">OFFSET($CQ22,0,AV$7)+OFFSET($CR22,0,AV$7)+OFFSET($CS22,0,AV$7)+OFFSET($CT22,0,AV$7)</f>
        <v>0</v>
      </c>
      <c r="AW22" s="1236">
        <f ca="1">OFFSET($CQ22,0,AW$7)</f>
        <v>0</v>
      </c>
      <c r="AX22" s="1236">
        <f ca="1">OFFSET($CQ22,0,AX$7)+OFFSET($CR22,0,AX$7)</f>
        <v>0</v>
      </c>
      <c r="AY22" s="1236">
        <f ca="1">OFFSET($CQ22,0,AY$7)+OFFSET($CR22,0,AY$7)+OFFSET($CS22,0,AY$7)</f>
        <v>0</v>
      </c>
      <c r="AZ22" s="1236">
        <f ca="1">OFFSET($CQ22,0,AZ$7)+OFFSET($CR22,0,AZ$7)+OFFSET($CS22,0,AZ$7)+OFFSET($CT22,0,AZ$7)</f>
        <v>0</v>
      </c>
      <c r="BA22" s="1236">
        <f ca="1">OFFSET($CQ22,0,BA$7)</f>
        <v>0</v>
      </c>
      <c r="BB22" s="1236">
        <f ca="1">OFFSET($CQ22,0,BB$7)+OFFSET($CR22,0,BB$7)</f>
        <v>0</v>
      </c>
      <c r="BC22" s="1236">
        <f ca="1">OFFSET($CQ22,0,BC$7)+OFFSET($CR22,0,BC$7)+OFFSET($CS22,0,BC$7)</f>
        <v>0</v>
      </c>
      <c r="BD22" s="1236">
        <f ca="1">OFFSET($CQ22,0,BD$7)+OFFSET($CR22,0,BD$7)+OFFSET($CS22,0,BD$7)+OFFSET($CT22,0,BD$7)</f>
        <v>0</v>
      </c>
      <c r="BE22" s="1236">
        <f ca="1">OFFSET($CQ22,0,BE$7)</f>
        <v>0</v>
      </c>
      <c r="BF22" s="1236">
        <f ca="1">OFFSET($CQ22,0,BF$7)+OFFSET($CR22,0,BF$7)</f>
        <v>0</v>
      </c>
      <c r="BG22" s="1236">
        <f ca="1">OFFSET($CQ22,0,BG$7)+OFFSET($CR22,0,BG$7)+OFFSET($CS22,0,BG$7)</f>
        <v>0</v>
      </c>
      <c r="BH22" s="1236">
        <f ca="1">OFFSET($CQ22,0,BH$7)+OFFSET($CR22,0,BH$7)+OFFSET($CS22,0,BH$7)+OFFSET($CT22,0,BH$7)</f>
        <v>0</v>
      </c>
      <c r="BI22" s="1236">
        <f ca="1">OFFSET($CQ22,0,BI$7)</f>
        <v>0</v>
      </c>
      <c r="BJ22" s="1236">
        <f ca="1">OFFSET($CQ22,0,BJ$7)+OFFSET($CR22,0,BJ$7)</f>
        <v>0</v>
      </c>
      <c r="BK22" s="1236">
        <f ca="1">OFFSET($CQ22,0,BK$7)+OFFSET($CR22,0,BK$7)+OFFSET($CS22,0,BK$7)</f>
        <v>0</v>
      </c>
      <c r="BL22" s="1236">
        <f ca="1">OFFSET($CQ22,0,BL$7)+OFFSET($CR22,0,BL$7)+OFFSET($CS22,0,BL$7)+OFFSET($CT22,0,BL$7)</f>
        <v>0</v>
      </c>
      <c r="BM22" s="1236">
        <f ca="1">OFFSET($CQ22,0,BM$7)</f>
        <v>-7.8739999999999997</v>
      </c>
      <c r="BN22" s="1236">
        <f ca="1">OFFSET($CQ22,0,BN$7)+OFFSET($CR22,0,BN$7)</f>
        <v>-17.649000000000001</v>
      </c>
      <c r="BO22" s="1236">
        <f ca="1">OFFSET($CQ22,0,BO$7)+OFFSET($CR22,0,BO$7)+OFFSET($CS22,0,BO$7)</f>
        <v>-26.972999999999999</v>
      </c>
      <c r="BP22" s="1236">
        <f ca="1">OFFSET($CQ22,0,BP$7)+OFFSET($CR22,0,BP$7)+OFFSET($CS22,0,BP$7)+OFFSET($CT22,0,BP$7)</f>
        <v>-35.357999999999997</v>
      </c>
      <c r="BQ22" s="1236">
        <f ca="1">OFFSET($CQ22,0,BQ$7)</f>
        <v>-9.7080000000000002</v>
      </c>
      <c r="BR22" s="1236">
        <f ca="1">OFFSET($CQ22,0,BR$7)+OFFSET($CR22,0,BR$7)</f>
        <v>-18.725999999999999</v>
      </c>
      <c r="BS22" s="1236">
        <f ca="1">OFFSET($CQ22,0,BS$7)+OFFSET($CR22,0,BS$7)+OFFSET($CS22,0,BS$7)</f>
        <v>-28.815999999999999</v>
      </c>
      <c r="BT22" s="1236">
        <f ca="1">OFFSET($CQ22,0,BT$7)+OFFSET($CR22,0,BT$7)+OFFSET($CS22,0,BT$7)+OFFSET($CT22,0,BT$7)</f>
        <v>-38.251999999999995</v>
      </c>
      <c r="BU22" s="1236">
        <f ca="1">OFFSET($CQ22,0,BU$7)</f>
        <v>-9.2050000000000001</v>
      </c>
      <c r="BV22" s="1236">
        <f ca="1">OFFSET($CQ22,0,BV$7)+OFFSET($CR22,0,BV$7)</f>
        <v>-18.364000000000001</v>
      </c>
      <c r="BW22" s="1236">
        <f ca="1">OFFSET($CQ22,0,BW$7)+OFFSET($CR22,0,BW$7)+OFFSET($CS22,0,BW$7)</f>
        <v>-29.518000000000001</v>
      </c>
      <c r="BX22" s="1236">
        <f ca="1">OFFSET($CQ22,0,BX$7)+OFFSET($CR22,0,BX$7)+OFFSET($CS22,0,BX$7)+OFFSET($CT22,0,BX$7)</f>
        <v>-41.876000000000005</v>
      </c>
      <c r="BY22" s="1236">
        <f ca="1">OFFSET($CQ22,0,BY$7)</f>
        <v>-9.7100000000000009</v>
      </c>
      <c r="BZ22" s="1236">
        <f ca="1">OFFSET($CQ22,0,BZ$7)+OFFSET($CR22,0,BZ$7)</f>
        <v>-17.938000000000002</v>
      </c>
      <c r="CA22" s="1236">
        <f ca="1">OFFSET($CQ22,0,CA$7)+OFFSET($CR22,0,CA$7)+OFFSET($CS22,0,CA$7)</f>
        <v>-25.947000000000003</v>
      </c>
      <c r="CB22" s="1236">
        <f ca="1">OFFSET($CQ22,0,CB$7)+OFFSET($CR22,0,CB$7)+OFFSET($CS22,0,CB$7)+OFFSET($CT22,0,CB$7)</f>
        <v>-35.034000000000006</v>
      </c>
      <c r="CC22" s="1236">
        <f ca="1">OFFSET($CQ22,0,CC$7)</f>
        <v>-10.375</v>
      </c>
      <c r="CD22" s="1236">
        <f ca="1">OFFSET($CQ22,0,CD$7)+OFFSET($CR22,0,CD$7)</f>
        <v>-19.816000000000003</v>
      </c>
      <c r="CE22" s="1236">
        <f ca="1">OFFSET($CQ22,0,CE$7)+OFFSET($CR22,0,CE$7)+OFFSET($CS22,0,CE$7)</f>
        <v>-29.403000000000002</v>
      </c>
      <c r="CF22" s="1236">
        <f ca="1">OFFSET($CQ22,0,CF$7)+OFFSET($CR22,0,CF$7)+OFFSET($CS22,0,CF$7)+OFFSET($CT22,0,CF$7)</f>
        <v>-35.795999999999999</v>
      </c>
      <c r="CG22" s="1236">
        <f ca="1">OFFSET($CQ22,0,CG$7)</f>
        <v>-8.5129999999999999</v>
      </c>
      <c r="CH22" s="1236">
        <f ca="1">OFFSET($CQ22,0,CH$7)+OFFSET($CR22,0,CH$7)</f>
        <v>-16.652000000000001</v>
      </c>
      <c r="CI22" s="1236">
        <f ca="1">OFFSET($CQ22,0,CI$7)+OFFSET($CR22,0,CI$7)+OFFSET($CS22,0,CI$7)</f>
        <v>-22.754000000000001</v>
      </c>
      <c r="CJ22" s="1236">
        <f ca="1">OFFSET($CQ22,0,CJ$7)+OFFSET($CR22,0,CJ$7)+OFFSET($CS22,0,CJ$7)+OFFSET($CT22,0,CJ$7)</f>
        <v>-30.455000000000002</v>
      </c>
      <c r="CO22" s="1165"/>
      <c r="CP22" s="1165"/>
      <c r="DK22" s="1238"/>
      <c r="DL22" s="1238"/>
      <c r="DM22" s="1238"/>
      <c r="DN22" s="1238"/>
      <c r="DO22" s="1238"/>
      <c r="DP22" s="1238"/>
      <c r="DQ22" s="1238"/>
      <c r="DR22" s="1238"/>
      <c r="DS22" s="1238"/>
      <c r="DT22" s="1238"/>
      <c r="DU22" s="1238"/>
      <c r="DV22" s="1238"/>
      <c r="DW22" s="1238">
        <v>-7.8739999999999997</v>
      </c>
      <c r="DX22" s="1238">
        <v>-9.7750000000000004</v>
      </c>
      <c r="DY22" s="1238">
        <v>-9.3239999999999998</v>
      </c>
      <c r="DZ22" s="1238">
        <v>-8.3849999999999998</v>
      </c>
      <c r="EA22" s="1238">
        <v>-9.7080000000000002</v>
      </c>
      <c r="EB22" s="1238">
        <v>-9.0180000000000007</v>
      </c>
      <c r="EC22" s="1238">
        <v>-10.09</v>
      </c>
      <c r="ED22" s="1238">
        <v>-9.4359999999999999</v>
      </c>
      <c r="EE22" s="1238">
        <v>-9.2050000000000001</v>
      </c>
      <c r="EF22" s="1238">
        <v>-9.1590000000000007</v>
      </c>
      <c r="EG22" s="1238">
        <v>-11.154</v>
      </c>
      <c r="EH22" s="1238">
        <v>-12.358000000000001</v>
      </c>
      <c r="EI22" s="1238">
        <v>-9.7100000000000009</v>
      </c>
      <c r="EJ22" s="1238">
        <v>-8.2279999999999998</v>
      </c>
      <c r="EK22" s="1238">
        <v>-8.0090000000000003</v>
      </c>
      <c r="EL22" s="1238">
        <v>-9.0869999999999997</v>
      </c>
      <c r="EM22" s="1238">
        <v>-10.375</v>
      </c>
      <c r="EN22" s="1238">
        <v>-9.4410000000000007</v>
      </c>
      <c r="EO22" s="1238">
        <v>-9.5869999999999997</v>
      </c>
      <c r="EP22" s="1238">
        <v>-6.3929999999999998</v>
      </c>
      <c r="EQ22" s="1238">
        <v>-8.5129999999999999</v>
      </c>
      <c r="ER22" s="1238">
        <v>-8.1389999999999993</v>
      </c>
      <c r="ES22" s="1238">
        <v>-6.1020000000000003</v>
      </c>
      <c r="ET22" s="1238">
        <v>-7.7009999999999996</v>
      </c>
    </row>
    <row r="23" spans="1:162">
      <c r="A23" s="1224"/>
      <c r="B23" s="1237" t="s">
        <v>349</v>
      </c>
      <c r="M23" s="1236">
        <f t="shared" ca="1" si="25"/>
        <v>0</v>
      </c>
      <c r="N23" s="1236">
        <f t="shared" ca="1" si="25"/>
        <v>0</v>
      </c>
      <c r="O23" s="1236">
        <f t="shared" ca="1" si="25"/>
        <v>0</v>
      </c>
      <c r="P23" s="1236">
        <f t="shared" ca="1" si="25"/>
        <v>0</v>
      </c>
      <c r="Q23" s="1236">
        <f t="shared" ca="1" si="25"/>
        <v>0</v>
      </c>
      <c r="R23" s="1236">
        <f t="shared" ca="1" si="25"/>
        <v>0</v>
      </c>
      <c r="S23" s="1236">
        <f t="shared" ca="1" si="25"/>
        <v>0</v>
      </c>
      <c r="T23" s="1236">
        <f t="shared" ca="1" si="25"/>
        <v>0</v>
      </c>
      <c r="U23" s="1236">
        <f t="shared" ca="1" si="25"/>
        <v>-143.74700000000001</v>
      </c>
      <c r="V23" s="1236">
        <f t="shared" ca="1" si="25"/>
        <v>-139.428</v>
      </c>
      <c r="W23" s="1236">
        <f t="shared" ca="1" si="26"/>
        <v>-213.17700000000002</v>
      </c>
      <c r="X23" s="1236">
        <f t="shared" ca="1" si="26"/>
        <v>-157.37099999999998</v>
      </c>
      <c r="Y23" s="1236">
        <f t="shared" ca="1" si="26"/>
        <v>-197.898</v>
      </c>
      <c r="Z23" s="1236">
        <f t="shared" ca="1" si="26"/>
        <v>-200.755</v>
      </c>
      <c r="AA23" s="1236">
        <f t="shared" ca="1" si="26"/>
        <v>0</v>
      </c>
      <c r="AB23" s="1236">
        <f t="shared" ca="1" si="26"/>
        <v>0</v>
      </c>
      <c r="AC23" s="1236">
        <f t="shared" ca="1" si="26"/>
        <v>0</v>
      </c>
      <c r="AG23" s="1236">
        <f ca="1">OFFSET($CQ23,0,AG$7)</f>
        <v>0</v>
      </c>
      <c r="AH23" s="1236">
        <f ca="1">OFFSET($CQ23,0,AH$7)+OFFSET($CR23,0,AH$7)</f>
        <v>0</v>
      </c>
      <c r="AI23" s="1236">
        <f ca="1">OFFSET($CQ23,0,AI$7)+OFFSET($CR23,0,AI$7)+OFFSET($CS23,0,AI$7)</f>
        <v>0</v>
      </c>
      <c r="AJ23" s="1236">
        <f ca="1">OFFSET($CQ23,0,AJ$7)+OFFSET($CR23,0,AJ$7)+OFFSET($CS23,0,AJ$7)+OFFSET($CT23,0,AJ$7)</f>
        <v>0</v>
      </c>
      <c r="AK23" s="1236">
        <f ca="1">OFFSET($CQ23,0,AK$7)</f>
        <v>0</v>
      </c>
      <c r="AL23" s="1236">
        <f ca="1">OFFSET($CQ23,0,AL$7)+OFFSET($CR23,0,AL$7)</f>
        <v>0</v>
      </c>
      <c r="AM23" s="1236">
        <f ca="1">OFFSET($CQ23,0,AM$7)+OFFSET($CR23,0,AM$7)+OFFSET($CS23,0,AM$7)</f>
        <v>0</v>
      </c>
      <c r="AN23" s="1236">
        <f ca="1">OFFSET($CQ23,0,AN$7)+OFFSET($CR23,0,AN$7)+OFFSET($CS23,0,AN$7)+OFFSET($CT23,0,AN$7)</f>
        <v>0</v>
      </c>
      <c r="AO23" s="1236">
        <f ca="1">OFFSET($CQ23,0,AO$7)</f>
        <v>0</v>
      </c>
      <c r="AP23" s="1236">
        <f ca="1">OFFSET($CQ23,0,AP$7)+OFFSET($CR23,0,AP$7)</f>
        <v>0</v>
      </c>
      <c r="AQ23" s="1236">
        <f ca="1">OFFSET($CQ23,0,AQ$7)+OFFSET($CR23,0,AQ$7)+OFFSET($CS23,0,AQ$7)</f>
        <v>0</v>
      </c>
      <c r="AR23" s="1236">
        <f ca="1">OFFSET($CQ23,0,AR$7)+OFFSET($CR23,0,AR$7)+OFFSET($CS23,0,AR$7)+OFFSET($CT23,0,AR$7)</f>
        <v>0</v>
      </c>
      <c r="AS23" s="1236">
        <f ca="1">OFFSET($CQ23,0,AS$7)</f>
        <v>0</v>
      </c>
      <c r="AT23" s="1236">
        <f ca="1">OFFSET($CQ23,0,AT$7)+OFFSET($CR23,0,AT$7)</f>
        <v>0</v>
      </c>
      <c r="AU23" s="1236">
        <f ca="1">OFFSET($CQ23,0,AU$7)+OFFSET($CR23,0,AU$7)+OFFSET($CS23,0,AU$7)</f>
        <v>0</v>
      </c>
      <c r="AV23" s="1236">
        <f ca="1">OFFSET($CQ23,0,AV$7)+OFFSET($CR23,0,AV$7)+OFFSET($CS23,0,AV$7)+OFFSET($CT23,0,AV$7)</f>
        <v>0</v>
      </c>
      <c r="AW23" s="1236">
        <f ca="1">OFFSET($CQ23,0,AW$7)</f>
        <v>0</v>
      </c>
      <c r="AX23" s="1236">
        <f ca="1">OFFSET($CQ23,0,AX$7)+OFFSET($CR23,0,AX$7)</f>
        <v>0</v>
      </c>
      <c r="AY23" s="1236">
        <f ca="1">OFFSET($CQ23,0,AY$7)+OFFSET($CR23,0,AY$7)+OFFSET($CS23,0,AY$7)</f>
        <v>0</v>
      </c>
      <c r="AZ23" s="1236">
        <f ca="1">OFFSET($CQ23,0,AZ$7)+OFFSET($CR23,0,AZ$7)+OFFSET($CS23,0,AZ$7)+OFFSET($CT23,0,AZ$7)</f>
        <v>0</v>
      </c>
      <c r="BA23" s="1236">
        <f ca="1">OFFSET($CQ23,0,BA$7)</f>
        <v>0</v>
      </c>
      <c r="BB23" s="1236">
        <f ca="1">OFFSET($CQ23,0,BB$7)+OFFSET($CR23,0,BB$7)</f>
        <v>0</v>
      </c>
      <c r="BC23" s="1236">
        <f ca="1">OFFSET($CQ23,0,BC$7)+OFFSET($CR23,0,BC$7)+OFFSET($CS23,0,BC$7)</f>
        <v>0</v>
      </c>
      <c r="BD23" s="1236">
        <f ca="1">OFFSET($CQ23,0,BD$7)+OFFSET($CR23,0,BD$7)+OFFSET($CS23,0,BD$7)+OFFSET($CT23,0,BD$7)</f>
        <v>0</v>
      </c>
      <c r="BE23" s="1236">
        <f ca="1">OFFSET($CQ23,0,BE$7)</f>
        <v>0</v>
      </c>
      <c r="BF23" s="1236">
        <f ca="1">OFFSET($CQ23,0,BF$7)+OFFSET($CR23,0,BF$7)</f>
        <v>0</v>
      </c>
      <c r="BG23" s="1236">
        <f ca="1">OFFSET($CQ23,0,BG$7)+OFFSET($CR23,0,BG$7)+OFFSET($CS23,0,BG$7)</f>
        <v>0</v>
      </c>
      <c r="BH23" s="1236">
        <f ca="1">OFFSET($CQ23,0,BH$7)+OFFSET($CR23,0,BH$7)+OFFSET($CS23,0,BH$7)+OFFSET($CT23,0,BH$7)</f>
        <v>0</v>
      </c>
      <c r="BI23" s="1236">
        <f ca="1">OFFSET($CQ23,0,BI$7)</f>
        <v>0</v>
      </c>
      <c r="BJ23" s="1236">
        <f ca="1">OFFSET($CQ23,0,BJ$7)+OFFSET($CR23,0,BJ$7)</f>
        <v>0</v>
      </c>
      <c r="BK23" s="1236">
        <f ca="1">OFFSET($CQ23,0,BK$7)+OFFSET($CR23,0,BK$7)+OFFSET($CS23,0,BK$7)</f>
        <v>0</v>
      </c>
      <c r="BL23" s="1236">
        <f ca="1">OFFSET($CQ23,0,BL$7)+OFFSET($CR23,0,BL$7)+OFFSET($CS23,0,BL$7)+OFFSET($CT23,0,BL$7)</f>
        <v>0</v>
      </c>
      <c r="BM23" s="1236">
        <f ca="1">OFFSET($CQ23,0,BM$7)</f>
        <v>-39.783000000000001</v>
      </c>
      <c r="BN23" s="1236">
        <f ca="1">OFFSET($CQ23,0,BN$7)+OFFSET($CR23,0,BN$7)</f>
        <v>-82.419000000000011</v>
      </c>
      <c r="BO23" s="1236">
        <f ca="1">OFFSET($CQ23,0,BO$7)+OFFSET($CR23,0,BO$7)+OFFSET($CS23,0,BO$7)</f>
        <v>-107.13700000000001</v>
      </c>
      <c r="BP23" s="1236">
        <f ca="1">OFFSET($CQ23,0,BP$7)+OFFSET($CR23,0,BP$7)+OFFSET($CS23,0,BP$7)+OFFSET($CT23,0,BP$7)</f>
        <v>-143.74700000000001</v>
      </c>
      <c r="BQ23" s="1236">
        <f ca="1">OFFSET($CQ23,0,BQ$7)</f>
        <v>-23.193000000000001</v>
      </c>
      <c r="BR23" s="1236">
        <f ca="1">OFFSET($CQ23,0,BR$7)+OFFSET($CR23,0,BR$7)</f>
        <v>-58.721000000000004</v>
      </c>
      <c r="BS23" s="1236">
        <f ca="1">OFFSET($CQ23,0,BS$7)+OFFSET($CR23,0,BS$7)+OFFSET($CS23,0,BS$7)</f>
        <v>-93.38900000000001</v>
      </c>
      <c r="BT23" s="1236">
        <f ca="1">OFFSET($CQ23,0,BT$7)+OFFSET($CR23,0,BT$7)+OFFSET($CS23,0,BT$7)+OFFSET($CT23,0,BT$7)</f>
        <v>-139.428</v>
      </c>
      <c r="BU23" s="1236">
        <f ca="1">OFFSET($CQ23,0,BU$7)</f>
        <v>-42.485999999999997</v>
      </c>
      <c r="BV23" s="1236">
        <f ca="1">OFFSET($CQ23,0,BV$7)+OFFSET($CR23,0,BV$7)</f>
        <v>-94.537000000000006</v>
      </c>
      <c r="BW23" s="1236">
        <f ca="1">OFFSET($CQ23,0,BW$7)+OFFSET($CR23,0,BW$7)+OFFSET($CS23,0,BW$7)</f>
        <v>-145.92400000000001</v>
      </c>
      <c r="BX23" s="1236">
        <f ca="1">OFFSET($CQ23,0,BX$7)+OFFSET($CR23,0,BX$7)+OFFSET($CS23,0,BX$7)+OFFSET($CT23,0,BX$7)</f>
        <v>-213.17700000000002</v>
      </c>
      <c r="BY23" s="1236">
        <f ca="1">OFFSET($CQ23,0,BY$7)</f>
        <v>-27.492000000000001</v>
      </c>
      <c r="BZ23" s="1236">
        <f ca="1">OFFSET($CQ23,0,BZ$7)+OFFSET($CR23,0,BZ$7)</f>
        <v>-60.988</v>
      </c>
      <c r="CA23" s="1236">
        <f ca="1">OFFSET($CQ23,0,CA$7)+OFFSET($CR23,0,CA$7)+OFFSET($CS23,0,CA$7)</f>
        <v>-96.436999999999998</v>
      </c>
      <c r="CB23" s="1236">
        <f ca="1">OFFSET($CQ23,0,CB$7)+OFFSET($CR23,0,CB$7)+OFFSET($CS23,0,CB$7)+OFFSET($CT23,0,CB$7)</f>
        <v>-157.37099999999998</v>
      </c>
      <c r="CC23" s="1236">
        <f ca="1">OFFSET($CQ23,0,CC$7)</f>
        <v>-39.393999999999998</v>
      </c>
      <c r="CD23" s="1236">
        <f ca="1">OFFSET($CQ23,0,CD$7)+OFFSET($CR23,0,CD$7)</f>
        <v>-93.592999999999989</v>
      </c>
      <c r="CE23" s="1236">
        <f ca="1">OFFSET($CQ23,0,CE$7)+OFFSET($CR23,0,CE$7)+OFFSET($CS23,0,CE$7)</f>
        <v>-139.697</v>
      </c>
      <c r="CF23" s="1236">
        <f ca="1">OFFSET($CQ23,0,CF$7)+OFFSET($CR23,0,CF$7)+OFFSET($CS23,0,CF$7)+OFFSET($CT23,0,CF$7)</f>
        <v>-197.898</v>
      </c>
      <c r="CG23" s="1236">
        <f ca="1">OFFSET($CQ23,0,CG$7)</f>
        <v>-51.506</v>
      </c>
      <c r="CH23" s="1236">
        <f ca="1">OFFSET($CQ23,0,CH$7)+OFFSET($CR23,0,CH$7)</f>
        <v>-100.307</v>
      </c>
      <c r="CI23" s="1236">
        <f ca="1">OFFSET($CQ23,0,CI$7)+OFFSET($CR23,0,CI$7)+OFFSET($CS23,0,CI$7)</f>
        <v>-150.84199999999998</v>
      </c>
      <c r="CJ23" s="1236">
        <f ca="1">OFFSET($CQ23,0,CJ$7)+OFFSET($CR23,0,CJ$7)+OFFSET($CS23,0,CJ$7)+OFFSET($CT23,0,CJ$7)</f>
        <v>-200.755</v>
      </c>
      <c r="CO23" s="1165"/>
      <c r="CP23" s="1165"/>
      <c r="DK23" s="1242"/>
      <c r="DL23" s="1242"/>
      <c r="DM23" s="1242"/>
      <c r="DN23" s="1242"/>
      <c r="DO23" s="1242"/>
      <c r="DP23" s="1242"/>
      <c r="DQ23" s="1242"/>
      <c r="DR23" s="1242"/>
      <c r="DS23" s="1242"/>
      <c r="DT23" s="1242"/>
      <c r="DU23" s="1242"/>
      <c r="DV23" s="1242"/>
      <c r="DW23" s="1242">
        <v>-39.783000000000001</v>
      </c>
      <c r="DX23" s="1242">
        <v>-42.636000000000003</v>
      </c>
      <c r="DY23" s="1242">
        <v>-24.718</v>
      </c>
      <c r="DZ23" s="1242">
        <v>-36.61</v>
      </c>
      <c r="EA23" s="1242">
        <v>-23.193000000000001</v>
      </c>
      <c r="EB23" s="1242">
        <v>-35.527999999999999</v>
      </c>
      <c r="EC23" s="1242">
        <v>-34.667999999999999</v>
      </c>
      <c r="ED23" s="1242">
        <v>-46.039000000000001</v>
      </c>
      <c r="EE23" s="1242">
        <v>-42.485999999999997</v>
      </c>
      <c r="EF23" s="1242">
        <v>-52.051000000000002</v>
      </c>
      <c r="EG23" s="1242">
        <v>-51.387</v>
      </c>
      <c r="EH23" s="1242">
        <v>-67.253</v>
      </c>
      <c r="EI23" s="1242">
        <v>-27.492000000000001</v>
      </c>
      <c r="EJ23" s="1242">
        <v>-33.496000000000002</v>
      </c>
      <c r="EK23" s="1242">
        <v>-35.448999999999998</v>
      </c>
      <c r="EL23" s="1242">
        <v>-60.933999999999997</v>
      </c>
      <c r="EM23" s="1242">
        <v>-39.393999999999998</v>
      </c>
      <c r="EN23" s="1242">
        <v>-54.198999999999998</v>
      </c>
      <c r="EO23" s="1242">
        <v>-46.103999999999999</v>
      </c>
      <c r="EP23" s="1242">
        <v>-58.201000000000001</v>
      </c>
      <c r="EQ23" s="1242">
        <v>-51.506</v>
      </c>
      <c r="ER23" s="1242">
        <v>-48.801000000000002</v>
      </c>
      <c r="ES23" s="1242">
        <v>-50.534999999999997</v>
      </c>
      <c r="ET23" s="1242">
        <v>-49.912999999999997</v>
      </c>
    </row>
    <row r="24" spans="1:162">
      <c r="A24" s="1205" t="s">
        <v>449</v>
      </c>
      <c r="B24" s="1237" t="s">
        <v>384</v>
      </c>
      <c r="M24" s="1236">
        <f t="shared" ca="1" si="25"/>
        <v>0</v>
      </c>
      <c r="N24" s="1236">
        <f t="shared" ca="1" si="25"/>
        <v>0</v>
      </c>
      <c r="O24" s="1236">
        <f t="shared" ca="1" si="25"/>
        <v>0</v>
      </c>
      <c r="P24" s="1236">
        <f t="shared" ca="1" si="25"/>
        <v>0</v>
      </c>
      <c r="Q24" s="1236">
        <f t="shared" ca="1" si="25"/>
        <v>0</v>
      </c>
      <c r="R24" s="1236">
        <f t="shared" ca="1" si="25"/>
        <v>0</v>
      </c>
      <c r="S24" s="1236">
        <f t="shared" ca="1" si="25"/>
        <v>0</v>
      </c>
      <c r="T24" s="1236">
        <f t="shared" ca="1" si="25"/>
        <v>0</v>
      </c>
      <c r="U24" s="1236">
        <f t="shared" ca="1" si="25"/>
        <v>-145.31399999999999</v>
      </c>
      <c r="V24" s="1236">
        <f t="shared" ca="1" si="25"/>
        <v>-189.733</v>
      </c>
      <c r="W24" s="1236">
        <f t="shared" ca="1" si="26"/>
        <v>-237.15699999999998</v>
      </c>
      <c r="X24" s="1236">
        <f t="shared" ca="1" si="26"/>
        <v>-318.24700000000001</v>
      </c>
      <c r="Y24" s="1236">
        <f t="shared" ca="1" si="26"/>
        <v>-427.11100000000005</v>
      </c>
      <c r="Z24" s="1236">
        <f t="shared" ca="1" si="26"/>
        <v>-558.11</v>
      </c>
      <c r="AA24" s="1236">
        <f t="shared" ca="1" si="26"/>
        <v>0</v>
      </c>
      <c r="AB24" s="1236">
        <f t="shared" ca="1" si="26"/>
        <v>0</v>
      </c>
      <c r="AC24" s="1236">
        <f t="shared" ca="1" si="26"/>
        <v>0</v>
      </c>
      <c r="AG24" s="1236">
        <f ca="1">OFFSET($CQ24,0,AG$7)</f>
        <v>0</v>
      </c>
      <c r="AH24" s="1236">
        <f ca="1">OFFSET($CQ24,0,AH$7)+OFFSET($CR24,0,AH$7)</f>
        <v>0</v>
      </c>
      <c r="AI24" s="1236">
        <f ca="1">OFFSET($CQ24,0,AI$7)+OFFSET($CR24,0,AI$7)+OFFSET($CS24,0,AI$7)</f>
        <v>0</v>
      </c>
      <c r="AJ24" s="1236">
        <f ca="1">OFFSET($CQ24,0,AJ$7)+OFFSET($CR24,0,AJ$7)+OFFSET($CS24,0,AJ$7)+OFFSET($CT24,0,AJ$7)</f>
        <v>0</v>
      </c>
      <c r="AK24" s="1236">
        <f ca="1">OFFSET($CQ24,0,AK$7)</f>
        <v>0</v>
      </c>
      <c r="AL24" s="1236">
        <f ca="1">OFFSET($CQ24,0,AL$7)+OFFSET($CR24,0,AL$7)</f>
        <v>0</v>
      </c>
      <c r="AM24" s="1236">
        <f ca="1">OFFSET($CQ24,0,AM$7)+OFFSET($CR24,0,AM$7)+OFFSET($CS24,0,AM$7)</f>
        <v>0</v>
      </c>
      <c r="AN24" s="1236">
        <f ca="1">OFFSET($CQ24,0,AN$7)+OFFSET($CR24,0,AN$7)+OFFSET($CS24,0,AN$7)+OFFSET($CT24,0,AN$7)</f>
        <v>0</v>
      </c>
      <c r="AO24" s="1236">
        <f ca="1">OFFSET($CQ24,0,AO$7)</f>
        <v>0</v>
      </c>
      <c r="AP24" s="1236">
        <f ca="1">OFFSET($CQ24,0,AP$7)+OFFSET($CR24,0,AP$7)</f>
        <v>0</v>
      </c>
      <c r="AQ24" s="1236">
        <f ca="1">OFFSET($CQ24,0,AQ$7)+OFFSET($CR24,0,AQ$7)+OFFSET($CS24,0,AQ$7)</f>
        <v>0</v>
      </c>
      <c r="AR24" s="1236">
        <f ca="1">OFFSET($CQ24,0,AR$7)+OFFSET($CR24,0,AR$7)+OFFSET($CS24,0,AR$7)+OFFSET($CT24,0,AR$7)</f>
        <v>0</v>
      </c>
      <c r="AS24" s="1236">
        <f ca="1">OFFSET($CQ24,0,AS$7)</f>
        <v>0</v>
      </c>
      <c r="AT24" s="1236">
        <f ca="1">OFFSET($CQ24,0,AT$7)+OFFSET($CR24,0,AT$7)</f>
        <v>0</v>
      </c>
      <c r="AU24" s="1236">
        <f ca="1">OFFSET($CQ24,0,AU$7)+OFFSET($CR24,0,AU$7)+OFFSET($CS24,0,AU$7)</f>
        <v>0</v>
      </c>
      <c r="AV24" s="1236">
        <f ca="1">OFFSET($CQ24,0,AV$7)+OFFSET($CR24,0,AV$7)+OFFSET($CS24,0,AV$7)+OFFSET($CT24,0,AV$7)</f>
        <v>0</v>
      </c>
      <c r="AW24" s="1236">
        <f ca="1">OFFSET($CQ24,0,AW$7)</f>
        <v>0</v>
      </c>
      <c r="AX24" s="1236">
        <f ca="1">OFFSET($CQ24,0,AX$7)+OFFSET($CR24,0,AX$7)</f>
        <v>0</v>
      </c>
      <c r="AY24" s="1236">
        <f ca="1">OFFSET($CQ24,0,AY$7)+OFFSET($CR24,0,AY$7)+OFFSET($CS24,0,AY$7)</f>
        <v>0</v>
      </c>
      <c r="AZ24" s="1236">
        <f ca="1">OFFSET($CQ24,0,AZ$7)+OFFSET($CR24,0,AZ$7)+OFFSET($CS24,0,AZ$7)+OFFSET($CT24,0,AZ$7)</f>
        <v>0</v>
      </c>
      <c r="BA24" s="1236">
        <f ca="1">OFFSET($CQ24,0,BA$7)</f>
        <v>0</v>
      </c>
      <c r="BB24" s="1236">
        <f ca="1">OFFSET($CQ24,0,BB$7)+OFFSET($CR24,0,BB$7)</f>
        <v>0</v>
      </c>
      <c r="BC24" s="1236">
        <f ca="1">OFFSET($CQ24,0,BC$7)+OFFSET($CR24,0,BC$7)+OFFSET($CS24,0,BC$7)</f>
        <v>0</v>
      </c>
      <c r="BD24" s="1236">
        <f ca="1">OFFSET($CQ24,0,BD$7)+OFFSET($CR24,0,BD$7)+OFFSET($CS24,0,BD$7)+OFFSET($CT24,0,BD$7)</f>
        <v>0</v>
      </c>
      <c r="BE24" s="1236">
        <f ca="1">OFFSET($CQ24,0,BE$7)</f>
        <v>0</v>
      </c>
      <c r="BF24" s="1236">
        <f ca="1">OFFSET($CQ24,0,BF$7)+OFFSET($CR24,0,BF$7)</f>
        <v>0</v>
      </c>
      <c r="BG24" s="1236">
        <f ca="1">OFFSET($CQ24,0,BG$7)+OFFSET($CR24,0,BG$7)+OFFSET($CS24,0,BG$7)</f>
        <v>0</v>
      </c>
      <c r="BH24" s="1236">
        <f ca="1">OFFSET($CQ24,0,BH$7)+OFFSET($CR24,0,BH$7)+OFFSET($CS24,0,BH$7)+OFFSET($CT24,0,BH$7)</f>
        <v>0</v>
      </c>
      <c r="BI24" s="1236">
        <f ca="1">OFFSET($CQ24,0,BI$7)</f>
        <v>0</v>
      </c>
      <c r="BJ24" s="1236">
        <f ca="1">OFFSET($CQ24,0,BJ$7)+OFFSET($CR24,0,BJ$7)</f>
        <v>0</v>
      </c>
      <c r="BK24" s="1236">
        <f ca="1">OFFSET($CQ24,0,BK$7)+OFFSET($CR24,0,BK$7)+OFFSET($CS24,0,BK$7)</f>
        <v>0</v>
      </c>
      <c r="BL24" s="1236">
        <f ca="1">OFFSET($CQ24,0,BL$7)+OFFSET($CR24,0,BL$7)+OFFSET($CS24,0,BL$7)+OFFSET($CT24,0,BL$7)</f>
        <v>0</v>
      </c>
      <c r="BM24" s="1236">
        <f ca="1">OFFSET($CQ24,0,BM$7)</f>
        <v>-23.408000000000001</v>
      </c>
      <c r="BN24" s="1236">
        <f ca="1">OFFSET($CQ24,0,BN$7)+OFFSET($CR24,0,BN$7)</f>
        <v>-61.494</v>
      </c>
      <c r="BO24" s="1236">
        <f ca="1">OFFSET($CQ24,0,BO$7)+OFFSET($CR24,0,BO$7)+OFFSET($CS24,0,BO$7)</f>
        <v>-99.057999999999993</v>
      </c>
      <c r="BP24" s="1236">
        <f ca="1">OFFSET($CQ24,0,BP$7)+OFFSET($CR24,0,BP$7)+OFFSET($CS24,0,BP$7)+OFFSET($CT24,0,BP$7)</f>
        <v>-145.31399999999999</v>
      </c>
      <c r="BQ24" s="1236">
        <f ca="1">OFFSET($CQ24,0,BQ$7)</f>
        <v>-36.652999999999999</v>
      </c>
      <c r="BR24" s="1236">
        <f ca="1">OFFSET($CQ24,0,BR$7)+OFFSET($CR24,0,BR$7)</f>
        <v>-81.733000000000004</v>
      </c>
      <c r="BS24" s="1236">
        <f ca="1">OFFSET($CQ24,0,BS$7)+OFFSET($CR24,0,BS$7)+OFFSET($CS24,0,BS$7)</f>
        <v>-136.62</v>
      </c>
      <c r="BT24" s="1236">
        <f ca="1">OFFSET($CQ24,0,BT$7)+OFFSET($CR24,0,BT$7)+OFFSET($CS24,0,BT$7)+OFFSET($CT24,0,BT$7)</f>
        <v>-189.733</v>
      </c>
      <c r="BU24" s="1236">
        <f ca="1">OFFSET($CQ24,0,BU$7)</f>
        <v>-53.453000000000003</v>
      </c>
      <c r="BV24" s="1236">
        <f ca="1">OFFSET($CQ24,0,BV$7)+OFFSET($CR24,0,BV$7)</f>
        <v>-108.655</v>
      </c>
      <c r="BW24" s="1236">
        <f ca="1">OFFSET($CQ24,0,BW$7)+OFFSET($CR24,0,BW$7)+OFFSET($CS24,0,BW$7)</f>
        <v>-171.036</v>
      </c>
      <c r="BX24" s="1236">
        <f ca="1">OFFSET($CQ24,0,BX$7)+OFFSET($CR24,0,BX$7)+OFFSET($CS24,0,BX$7)+OFFSET($CT24,0,BX$7)</f>
        <v>-237.15699999999998</v>
      </c>
      <c r="BY24" s="1236">
        <f ca="1">OFFSET($CQ24,0,BY$7)</f>
        <v>-53.497999999999998</v>
      </c>
      <c r="BZ24" s="1236">
        <f ca="1">OFFSET($CQ24,0,BZ$7)+OFFSET($CR24,0,BZ$7)</f>
        <v>-118.024</v>
      </c>
      <c r="CA24" s="1236">
        <f ca="1">OFFSET($CQ24,0,CA$7)+OFFSET($CR24,0,CA$7)+OFFSET($CS24,0,CA$7)</f>
        <v>-199.922</v>
      </c>
      <c r="CB24" s="1236">
        <f ca="1">OFFSET($CQ24,0,CB$7)+OFFSET($CR24,0,CB$7)+OFFSET($CS24,0,CB$7)+OFFSET($CT24,0,CB$7)</f>
        <v>-318.24700000000001</v>
      </c>
      <c r="CC24" s="1236">
        <f ca="1">OFFSET($CQ24,0,CC$7)</f>
        <v>-107.80500000000001</v>
      </c>
      <c r="CD24" s="1236">
        <f ca="1">OFFSET($CQ24,0,CD$7)+OFFSET($CR24,0,CD$7)</f>
        <v>-218.96300000000002</v>
      </c>
      <c r="CE24" s="1236">
        <f ca="1">OFFSET($CQ24,0,CE$7)+OFFSET($CR24,0,CE$7)+OFFSET($CS24,0,CE$7)</f>
        <v>-325.81100000000004</v>
      </c>
      <c r="CF24" s="1236">
        <f ca="1">OFFSET($CQ24,0,CF$7)+OFFSET($CR24,0,CF$7)+OFFSET($CS24,0,CF$7)+OFFSET($CT24,0,CF$7)</f>
        <v>-427.11100000000005</v>
      </c>
      <c r="CG24" s="1236">
        <f ca="1">OFFSET($CQ24,0,CG$7)</f>
        <v>-122.995</v>
      </c>
      <c r="CH24" s="1236">
        <f ca="1">OFFSET($CQ24,0,CH$7)+OFFSET($CR24,0,CH$7)</f>
        <v>-270.17200000000003</v>
      </c>
      <c r="CI24" s="1236">
        <f ca="1">OFFSET($CQ24,0,CI$7)+OFFSET($CR24,0,CI$7)+OFFSET($CS24,0,CI$7)</f>
        <v>-423.14</v>
      </c>
      <c r="CJ24" s="1236">
        <f ca="1">OFFSET($CQ24,0,CJ$7)+OFFSET($CR24,0,CJ$7)+OFFSET($CS24,0,CJ$7)+OFFSET($CT24,0,CJ$7)</f>
        <v>-558.11</v>
      </c>
      <c r="CO24" s="1165"/>
      <c r="CP24" s="1165"/>
      <c r="DK24" s="1238"/>
      <c r="DL24" s="1238"/>
      <c r="DM24" s="1238"/>
      <c r="DN24" s="1238"/>
      <c r="DO24" s="1238"/>
      <c r="DP24" s="1238"/>
      <c r="DQ24" s="1238"/>
      <c r="DR24" s="1238"/>
      <c r="DS24" s="1238"/>
      <c r="DT24" s="1238"/>
      <c r="DU24" s="1238"/>
      <c r="DV24" s="1238"/>
      <c r="DW24" s="1238">
        <f>-INDEX('Basic Data TR'!$A$1:$AMJ$9670,MATCH($A24,'Basic Data TR'!$A$1:$A$9670,0),MATCH(DW$6,'Basic Data TR'!$A$1:$AMJ$1,0))</f>
        <v>-23.408000000000001</v>
      </c>
      <c r="DX24" s="1238">
        <f>-INDEX('Basic Data TR'!$A$1:$AMJ$9670,MATCH($A24,'Basic Data TR'!$A$1:$A$9670,0),MATCH(DX$6,'Basic Data TR'!$A$1:$AMJ$1,0))</f>
        <v>-38.085999999999999</v>
      </c>
      <c r="DY24" s="1238">
        <f>-INDEX('Basic Data TR'!$A$1:$AMJ$9670,MATCH($A24,'Basic Data TR'!$A$1:$A$9670,0),MATCH(DY$6,'Basic Data TR'!$A$1:$AMJ$1,0))</f>
        <v>-37.564</v>
      </c>
      <c r="DZ24" s="1238">
        <f>-INDEX('Basic Data TR'!$A$1:$AMJ$9670,MATCH($A24,'Basic Data TR'!$A$1:$A$9670,0),MATCH(DZ$6,'Basic Data TR'!$A$1:$AMJ$1,0))</f>
        <v>-46.256</v>
      </c>
      <c r="EA24" s="1238">
        <f>-INDEX('Basic Data TR'!$A$1:$AMJ$9670,MATCH($A24,'Basic Data TR'!$A$1:$A$9670,0),MATCH(EA$6,'Basic Data TR'!$A$1:$AMJ$1,0))</f>
        <v>-36.652999999999999</v>
      </c>
      <c r="EB24" s="1238">
        <f>-INDEX('Basic Data TR'!$A$1:$AMJ$9670,MATCH($A24,'Basic Data TR'!$A$1:$A$9670,0),MATCH(EB$6,'Basic Data TR'!$A$1:$AMJ$1,0))</f>
        <v>-45.08</v>
      </c>
      <c r="EC24" s="1238">
        <f>-INDEX('Basic Data TR'!$A$1:$AMJ$9670,MATCH($A24,'Basic Data TR'!$A$1:$A$9670,0),MATCH(EC$6,'Basic Data TR'!$A$1:$AMJ$1,0))</f>
        <v>-54.887</v>
      </c>
      <c r="ED24" s="1238">
        <f>-INDEX('Basic Data TR'!$A$1:$AMJ$9670,MATCH($A24,'Basic Data TR'!$A$1:$A$9670,0),MATCH(ED$6,'Basic Data TR'!$A$1:$AMJ$1,0))</f>
        <v>-53.113</v>
      </c>
      <c r="EE24" s="1238">
        <f>-INDEX('Basic Data TR'!$A$1:$AMJ$9670,MATCH($A24,'Basic Data TR'!$A$1:$A$9670,0),MATCH(EE$6,'Basic Data TR'!$A$1:$AMJ$1,0))</f>
        <v>-53.453000000000003</v>
      </c>
      <c r="EF24" s="1238">
        <f>-INDEX('Basic Data TR'!$A$1:$AMJ$9670,MATCH($A24,'Basic Data TR'!$A$1:$A$9670,0),MATCH(EF$6,'Basic Data TR'!$A$1:$AMJ$1,0))</f>
        <v>-55.201999999999998</v>
      </c>
      <c r="EG24" s="1238">
        <f>-INDEX('Basic Data TR'!$A$1:$AMJ$9670,MATCH($A24,'Basic Data TR'!$A$1:$A$9670,0),MATCH(EG$6,'Basic Data TR'!$A$1:$AMJ$1,0))</f>
        <v>-62.381</v>
      </c>
      <c r="EH24" s="1238">
        <f>-INDEX('Basic Data TR'!$A$1:$AMJ$9670,MATCH($A24,'Basic Data TR'!$A$1:$A$9670,0),MATCH(EH$6,'Basic Data TR'!$A$1:$AMJ$1,0))</f>
        <v>-66.120999999999995</v>
      </c>
      <c r="EI24" s="1238">
        <f>-INDEX('Basic Data TR'!$A$1:$AMJ$9670,MATCH($A24,'Basic Data TR'!$A$1:$A$9670,0),MATCH(EI$6,'Basic Data TR'!$A$1:$AMJ$1,0))</f>
        <v>-53.497999999999998</v>
      </c>
      <c r="EJ24" s="1238">
        <f>-INDEX('Basic Data TR'!$A$1:$AMJ$9670,MATCH($A24,'Basic Data TR'!$A$1:$A$9670,0),MATCH(EJ$6,'Basic Data TR'!$A$1:$AMJ$1,0))</f>
        <v>-64.525999999999996</v>
      </c>
      <c r="EK24" s="1238">
        <f>-INDEX('Basic Data TR'!$A$1:$AMJ$9670,MATCH($A24,'Basic Data TR'!$A$1:$A$9670,0),MATCH(EK$6,'Basic Data TR'!$A$1:$AMJ$1,0))</f>
        <v>-81.897999999999996</v>
      </c>
      <c r="EL24" s="1238">
        <f>-INDEX('Basic Data TR'!$A$1:$AMJ$9670,MATCH($A24,'Basic Data TR'!$A$1:$A$9670,0),MATCH(EL$6,'Basic Data TR'!$A$1:$AMJ$1,0))</f>
        <v>-118.325</v>
      </c>
      <c r="EM24" s="1238">
        <f>-INDEX('Basic Data TR'!$A$1:$AMJ$9670,MATCH($A24,'Basic Data TR'!$A$1:$A$9670,0),MATCH(EM$6,'Basic Data TR'!$A$1:$AMJ$1,0))</f>
        <v>-107.80500000000001</v>
      </c>
      <c r="EN24" s="1238">
        <f>-INDEX('Basic Data TR'!$A$1:$AMJ$9670,MATCH($A24,'Basic Data TR'!$A$1:$A$9670,0),MATCH(EN$6,'Basic Data TR'!$A$1:$AMJ$1,0))</f>
        <v>-111.158</v>
      </c>
      <c r="EO24" s="1238">
        <f>-INDEX('Basic Data TR'!$A$1:$AMJ$9670,MATCH($A24,'Basic Data TR'!$A$1:$A$9670,0),MATCH(EO$6,'Basic Data TR'!$A$1:$AMJ$1,0))</f>
        <v>-106.848</v>
      </c>
      <c r="EP24" s="1238">
        <f>-INDEX('Basic Data TR'!$A$1:$AMJ$9670,MATCH($A24,'Basic Data TR'!$A$1:$A$9670,0),MATCH(EP$6,'Basic Data TR'!$A$1:$AMJ$1,0))</f>
        <v>-101.3</v>
      </c>
      <c r="EQ24" s="1238">
        <f>-INDEX('Basic Data TR'!$A$1:$AMJ$9670,MATCH($A24,'Basic Data TR'!$A$1:$A$9670,0),MATCH(EQ$6,'Basic Data TR'!$A$1:$AMJ$1,0))</f>
        <v>-122.995</v>
      </c>
      <c r="ER24" s="1238">
        <f>-INDEX('Basic Data TR'!$A$1:$AMJ$9670,MATCH($A24,'Basic Data TR'!$A$1:$A$9670,0),MATCH(ER$6,'Basic Data TR'!$A$1:$AMJ$1,0))</f>
        <v>-147.17699999999999</v>
      </c>
      <c r="ES24" s="1238">
        <f>-INDEX('Basic Data TR'!$A$1:$AMJ$9670,MATCH($A24,'Basic Data TR'!$A$1:$A$9670,0),MATCH(ES$6,'Basic Data TR'!$A$1:$AMJ$1,0))</f>
        <v>-152.96799999999999</v>
      </c>
      <c r="ET24" s="1238">
        <f>-INDEX('Basic Data TR'!$A$1:$AMJ$9670,MATCH($A24,'Basic Data TR'!$A$1:$A$9670,0),MATCH(ET$6,'Basic Data TR'!$A$1:$AMJ$1,0))</f>
        <v>-134.97</v>
      </c>
    </row>
    <row r="25" spans="1:162">
      <c r="A25" s="1224"/>
      <c r="B25" s="1237" t="s">
        <v>119</v>
      </c>
      <c r="M25" s="1236">
        <f t="shared" ca="1" si="25"/>
        <v>0</v>
      </c>
      <c r="N25" s="1236">
        <f t="shared" ca="1" si="25"/>
        <v>0</v>
      </c>
      <c r="O25" s="1236">
        <f t="shared" ca="1" si="25"/>
        <v>0</v>
      </c>
      <c r="P25" s="1236">
        <f t="shared" ca="1" si="25"/>
        <v>0</v>
      </c>
      <c r="Q25" s="1236">
        <f t="shared" ca="1" si="25"/>
        <v>0</v>
      </c>
      <c r="R25" s="1236">
        <f t="shared" ca="1" si="25"/>
        <v>0</v>
      </c>
      <c r="S25" s="1236">
        <f t="shared" ca="1" si="25"/>
        <v>0</v>
      </c>
      <c r="T25" s="1236">
        <f t="shared" ca="1" si="25"/>
        <v>0</v>
      </c>
      <c r="U25" s="1236">
        <f t="shared" ca="1" si="25"/>
        <v>73.070000000000022</v>
      </c>
      <c r="V25" s="1236">
        <f t="shared" ca="1" si="25"/>
        <v>14.206000000000003</v>
      </c>
      <c r="W25" s="1236">
        <f t="shared" ca="1" si="26"/>
        <v>31.59399999999988</v>
      </c>
      <c r="X25" s="1236">
        <f t="shared" ca="1" si="26"/>
        <v>0.17699999999983618</v>
      </c>
      <c r="Y25" s="1236">
        <f t="shared" ca="1" si="26"/>
        <v>44.956000000000074</v>
      </c>
      <c r="Z25" s="1236">
        <f t="shared" ca="1" si="26"/>
        <v>57.283000000000072</v>
      </c>
      <c r="AA25" s="1236">
        <f t="shared" ca="1" si="26"/>
        <v>0</v>
      </c>
      <c r="AB25" s="1236">
        <f t="shared" ca="1" si="26"/>
        <v>0</v>
      </c>
      <c r="AC25" s="1236">
        <f t="shared" ca="1" si="26"/>
        <v>0</v>
      </c>
      <c r="AG25" s="1236">
        <f ca="1">OFFSET($CQ25,0,AG$7)</f>
        <v>0</v>
      </c>
      <c r="AH25" s="1236">
        <f ca="1">OFFSET($CQ25,0,AH$7)+OFFSET($CR25,0,AH$7)</f>
        <v>0</v>
      </c>
      <c r="AI25" s="1236">
        <f ca="1">OFFSET($CQ25,0,AI$7)+OFFSET($CR25,0,AI$7)+OFFSET($CS25,0,AI$7)</f>
        <v>0</v>
      </c>
      <c r="AJ25" s="1236">
        <f ca="1">OFFSET($CQ25,0,AJ$7)+OFFSET($CR25,0,AJ$7)+OFFSET($CS25,0,AJ$7)+OFFSET($CT25,0,AJ$7)</f>
        <v>0</v>
      </c>
      <c r="AK25" s="1236">
        <f ca="1">OFFSET($CQ25,0,AK$7)</f>
        <v>0</v>
      </c>
      <c r="AL25" s="1236">
        <f ca="1">OFFSET($CQ25,0,AL$7)+OFFSET($CR25,0,AL$7)</f>
        <v>0</v>
      </c>
      <c r="AM25" s="1236">
        <f ca="1">OFFSET($CQ25,0,AM$7)+OFFSET($CR25,0,AM$7)+OFFSET($CS25,0,AM$7)</f>
        <v>0</v>
      </c>
      <c r="AN25" s="1236">
        <f ca="1">OFFSET($CQ25,0,AN$7)+OFFSET($CR25,0,AN$7)+OFFSET($CS25,0,AN$7)+OFFSET($CT25,0,AN$7)</f>
        <v>0</v>
      </c>
      <c r="AO25" s="1236">
        <f ca="1">OFFSET($CQ25,0,AO$7)</f>
        <v>0</v>
      </c>
      <c r="AP25" s="1236">
        <f ca="1">OFFSET($CQ25,0,AP$7)+OFFSET($CR25,0,AP$7)</f>
        <v>0</v>
      </c>
      <c r="AQ25" s="1236">
        <f ca="1">OFFSET($CQ25,0,AQ$7)+OFFSET($CR25,0,AQ$7)+OFFSET($CS25,0,AQ$7)</f>
        <v>0</v>
      </c>
      <c r="AR25" s="1236">
        <f ca="1">OFFSET($CQ25,0,AR$7)+OFFSET($CR25,0,AR$7)+OFFSET($CS25,0,AR$7)+OFFSET($CT25,0,AR$7)</f>
        <v>0</v>
      </c>
      <c r="AS25" s="1236">
        <f ca="1">OFFSET($CQ25,0,AS$7)</f>
        <v>0</v>
      </c>
      <c r="AT25" s="1236">
        <f ca="1">OFFSET($CQ25,0,AT$7)+OFFSET($CR25,0,AT$7)</f>
        <v>0</v>
      </c>
      <c r="AU25" s="1236">
        <f ca="1">OFFSET($CQ25,0,AU$7)+OFFSET($CR25,0,AU$7)+OFFSET($CS25,0,AU$7)</f>
        <v>0</v>
      </c>
      <c r="AV25" s="1236">
        <f ca="1">OFFSET($CQ25,0,AV$7)+OFFSET($CR25,0,AV$7)+OFFSET($CS25,0,AV$7)+OFFSET($CT25,0,AV$7)</f>
        <v>0</v>
      </c>
      <c r="AW25" s="1236">
        <f ca="1">OFFSET($CQ25,0,AW$7)</f>
        <v>0</v>
      </c>
      <c r="AX25" s="1236">
        <f ca="1">OFFSET($CQ25,0,AX$7)+OFFSET($CR25,0,AX$7)</f>
        <v>0</v>
      </c>
      <c r="AY25" s="1236">
        <f ca="1">OFFSET($CQ25,0,AY$7)+OFFSET($CR25,0,AY$7)+OFFSET($CS25,0,AY$7)</f>
        <v>0</v>
      </c>
      <c r="AZ25" s="1236">
        <f ca="1">OFFSET($CQ25,0,AZ$7)+OFFSET($CR25,0,AZ$7)+OFFSET($CS25,0,AZ$7)+OFFSET($CT25,0,AZ$7)</f>
        <v>0</v>
      </c>
      <c r="BA25" s="1236">
        <f ca="1">OFFSET($CQ25,0,BA$7)</f>
        <v>0</v>
      </c>
      <c r="BB25" s="1236">
        <f ca="1">OFFSET($CQ25,0,BB$7)+OFFSET($CR25,0,BB$7)</f>
        <v>0</v>
      </c>
      <c r="BC25" s="1236">
        <f ca="1">OFFSET($CQ25,0,BC$7)+OFFSET($CR25,0,BC$7)+OFFSET($CS25,0,BC$7)</f>
        <v>0</v>
      </c>
      <c r="BD25" s="1236">
        <f ca="1">OFFSET($CQ25,0,BD$7)+OFFSET($CR25,0,BD$7)+OFFSET($CS25,0,BD$7)+OFFSET($CT25,0,BD$7)</f>
        <v>0</v>
      </c>
      <c r="BE25" s="1236">
        <f ca="1">OFFSET($CQ25,0,BE$7)</f>
        <v>0</v>
      </c>
      <c r="BF25" s="1236">
        <f ca="1">OFFSET($CQ25,0,BF$7)+OFFSET($CR25,0,BF$7)</f>
        <v>0</v>
      </c>
      <c r="BG25" s="1236">
        <f ca="1">OFFSET($CQ25,0,BG$7)+OFFSET($CR25,0,BG$7)+OFFSET($CS25,0,BG$7)</f>
        <v>0</v>
      </c>
      <c r="BH25" s="1236">
        <f ca="1">OFFSET($CQ25,0,BH$7)+OFFSET($CR25,0,BH$7)+OFFSET($CS25,0,BH$7)+OFFSET($CT25,0,BH$7)</f>
        <v>0</v>
      </c>
      <c r="BI25" s="1236">
        <f ca="1">OFFSET($CQ25,0,BI$7)</f>
        <v>0</v>
      </c>
      <c r="BJ25" s="1236">
        <f ca="1">OFFSET($CQ25,0,BJ$7)+OFFSET($CR25,0,BJ$7)</f>
        <v>0</v>
      </c>
      <c r="BK25" s="1236">
        <f ca="1">OFFSET($CQ25,0,BK$7)+OFFSET($CR25,0,BK$7)+OFFSET($CS25,0,BK$7)</f>
        <v>0</v>
      </c>
      <c r="BL25" s="1236">
        <f ca="1">OFFSET($CQ25,0,BL$7)+OFFSET($CR25,0,BL$7)+OFFSET($CS25,0,BL$7)+OFFSET($CT25,0,BL$7)</f>
        <v>0</v>
      </c>
      <c r="BM25" s="1236">
        <f ca="1">OFFSET($CQ25,0,BM$7)</f>
        <v>11.975000000000023</v>
      </c>
      <c r="BN25" s="1236">
        <f ca="1">OFFSET($CQ25,0,BN$7)+OFFSET($CR25,0,BN$7)</f>
        <v>58.500000000000014</v>
      </c>
      <c r="BO25" s="1236">
        <f ca="1">OFFSET($CQ25,0,BO$7)+OFFSET($CR25,0,BO$7)+OFFSET($CS25,0,BO$7)</f>
        <v>66.659000000000034</v>
      </c>
      <c r="BP25" s="1236">
        <f ca="1">OFFSET($CQ25,0,BP$7)+OFFSET($CR25,0,BP$7)+OFFSET($CS25,0,BP$7)+OFFSET($CT25,0,BP$7)</f>
        <v>73.070000000000022</v>
      </c>
      <c r="BQ25" s="1236">
        <f ca="1">OFFSET($CQ25,0,BQ$7)</f>
        <v>3.0209999999999582</v>
      </c>
      <c r="BR25" s="1236">
        <f ca="1">OFFSET($CQ25,0,BR$7)+OFFSET($CR25,0,BR$7)</f>
        <v>7.7859999999999729</v>
      </c>
      <c r="BS25" s="1236">
        <f ca="1">OFFSET($CQ25,0,BS$7)+OFFSET($CR25,0,BS$7)+OFFSET($CS25,0,BS$7)</f>
        <v>13.309000000000012</v>
      </c>
      <c r="BT25" s="1236">
        <f ca="1">OFFSET($CQ25,0,BT$7)+OFFSET($CR25,0,BT$7)+OFFSET($CS25,0,BT$7)+OFFSET($CT25,0,BT$7)</f>
        <v>14.206000000000003</v>
      </c>
      <c r="BU25" s="1236">
        <f ca="1">OFFSET($CQ25,0,BU$7)</f>
        <v>0.72099999999997522</v>
      </c>
      <c r="BV25" s="1236">
        <f ca="1">OFFSET($CQ25,0,BV$7)+OFFSET($CR25,0,BV$7)</f>
        <v>1.4049999999999443</v>
      </c>
      <c r="BW25" s="1236">
        <f ca="1">OFFSET($CQ25,0,BW$7)+OFFSET($CR25,0,BW$7)+OFFSET($CS25,0,BW$7)</f>
        <v>18.201999999999884</v>
      </c>
      <c r="BX25" s="1236">
        <f ca="1">OFFSET($CQ25,0,BX$7)+OFFSET($CR25,0,BX$7)+OFFSET($CS25,0,BX$7)+OFFSET($CT25,0,BX$7)</f>
        <v>31.59399999999988</v>
      </c>
      <c r="BY25" s="1236">
        <f ca="1">OFFSET($CQ25,0,BY$7)</f>
        <v>3.0839999999999748</v>
      </c>
      <c r="BZ25" s="1236">
        <f ca="1">OFFSET($CQ25,0,BZ$7)+OFFSET($CR25,0,BZ$7)</f>
        <v>6.9399999999999551</v>
      </c>
      <c r="CA25" s="1236">
        <f ca="1">OFFSET($CQ25,0,CA$7)+OFFSET($CR25,0,CA$7)+OFFSET($CS25,0,CA$7)</f>
        <v>8.8249999999998892</v>
      </c>
      <c r="CB25" s="1236">
        <f ca="1">OFFSET($CQ25,0,CB$7)+OFFSET($CR25,0,CB$7)+OFFSET($CS25,0,CB$7)+OFFSET($CT25,0,CB$7)</f>
        <v>0.17699999999983618</v>
      </c>
      <c r="CC25" s="1236">
        <f ca="1">OFFSET($CQ25,0,CC$7)</f>
        <v>14.140999999999934</v>
      </c>
      <c r="CD25" s="1236">
        <f ca="1">OFFSET($CQ25,0,CD$7)+OFFSET($CR25,0,CD$7)</f>
        <v>16.438999999999993</v>
      </c>
      <c r="CE25" s="1236">
        <f ca="1">OFFSET($CQ25,0,CE$7)+OFFSET($CR25,0,CE$7)+OFFSET($CS25,0,CE$7)</f>
        <v>24.386000000000053</v>
      </c>
      <c r="CF25" s="1236">
        <f ca="1">OFFSET($CQ25,0,CF$7)+OFFSET($CR25,0,CF$7)+OFFSET($CS25,0,CF$7)+OFFSET($CT25,0,CF$7)</f>
        <v>44.956000000000074</v>
      </c>
      <c r="CG25" s="1236">
        <f ca="1">OFFSET($CQ25,0,CG$7)</f>
        <v>5.1000000000000796</v>
      </c>
      <c r="CH25" s="1236">
        <f ca="1">OFFSET($CQ25,0,CH$7)+OFFSET($CR25,0,CH$7)</f>
        <v>10.520000000000095</v>
      </c>
      <c r="CI25" s="1236">
        <f ca="1">OFFSET($CQ25,0,CI$7)+OFFSET($CR25,0,CI$7)+OFFSET($CS25,0,CI$7)</f>
        <v>39.754000000000076</v>
      </c>
      <c r="CJ25" s="1236">
        <f ca="1">OFFSET($CQ25,0,CJ$7)+OFFSET($CR25,0,CJ$7)+OFFSET($CS25,0,CJ$7)+OFFSET($CT25,0,CJ$7)</f>
        <v>57.283000000000072</v>
      </c>
      <c r="DW25" s="1236">
        <f t="shared" ref="DW25:ET25" si="27">DW26-SUM(DW22:DW24)</f>
        <v>11.975000000000023</v>
      </c>
      <c r="DX25" s="1236">
        <f t="shared" si="27"/>
        <v>46.524999999999991</v>
      </c>
      <c r="DY25" s="1236">
        <f t="shared" si="27"/>
        <v>8.1590000000000202</v>
      </c>
      <c r="DZ25" s="1236">
        <f t="shared" si="27"/>
        <v>6.4109999999999872</v>
      </c>
      <c r="EA25" s="1236">
        <f t="shared" si="27"/>
        <v>3.0209999999999582</v>
      </c>
      <c r="EB25" s="1236">
        <f t="shared" si="27"/>
        <v>4.7650000000000148</v>
      </c>
      <c r="EC25" s="1236">
        <f t="shared" si="27"/>
        <v>5.5230000000000388</v>
      </c>
      <c r="ED25" s="1236">
        <f t="shared" si="27"/>
        <v>0.89699999999999136</v>
      </c>
      <c r="EE25" s="1236">
        <f t="shared" si="27"/>
        <v>0.72099999999997522</v>
      </c>
      <c r="EF25" s="1236">
        <f t="shared" si="27"/>
        <v>0.68399999999996908</v>
      </c>
      <c r="EG25" s="1236">
        <f t="shared" si="27"/>
        <v>16.79699999999994</v>
      </c>
      <c r="EH25" s="1236">
        <f t="shared" si="27"/>
        <v>13.391999999999996</v>
      </c>
      <c r="EI25" s="1236">
        <f t="shared" si="27"/>
        <v>3.0839999999999748</v>
      </c>
      <c r="EJ25" s="1236">
        <f t="shared" si="27"/>
        <v>3.8559999999999803</v>
      </c>
      <c r="EK25" s="1236">
        <f t="shared" si="27"/>
        <v>1.8849999999999341</v>
      </c>
      <c r="EL25" s="1236">
        <f t="shared" si="27"/>
        <v>-8.648000000000053</v>
      </c>
      <c r="EM25" s="1236">
        <f t="shared" si="27"/>
        <v>14.140999999999934</v>
      </c>
      <c r="EN25" s="1236">
        <f t="shared" si="27"/>
        <v>2.2980000000000587</v>
      </c>
      <c r="EO25" s="1236">
        <f t="shared" si="27"/>
        <v>7.9470000000000596</v>
      </c>
      <c r="EP25" s="1236">
        <f t="shared" si="27"/>
        <v>20.570000000000022</v>
      </c>
      <c r="EQ25" s="1236">
        <f t="shared" si="27"/>
        <v>5.1000000000000796</v>
      </c>
      <c r="ER25" s="1236">
        <f t="shared" si="27"/>
        <v>5.4200000000000159</v>
      </c>
      <c r="ES25" s="1236">
        <f t="shared" si="27"/>
        <v>29.23399999999998</v>
      </c>
      <c r="ET25" s="1236">
        <f t="shared" si="27"/>
        <v>17.528999999999996</v>
      </c>
    </row>
    <row r="26" spans="1:162" s="1231" customFormat="1">
      <c r="A26" s="1207" t="s">
        <v>381</v>
      </c>
      <c r="B26" s="1230" t="s">
        <v>348</v>
      </c>
      <c r="M26" s="1231">
        <f ca="1">SUM(M22:M25)</f>
        <v>0</v>
      </c>
      <c r="N26" s="1231">
        <f ca="1">SUM(N22:N25)</f>
        <v>0</v>
      </c>
      <c r="O26" s="1231">
        <f ca="1">SUM(O22:O25)</f>
        <v>0</v>
      </c>
      <c r="P26" s="1231">
        <f ca="1">SUM(P22:P25)</f>
        <v>0</v>
      </c>
      <c r="Q26" s="1231">
        <f ca="1">SUM(Q22:Q25)</f>
        <v>0</v>
      </c>
      <c r="R26" s="1231">
        <f t="shared" ref="R26:Y26" ca="1" si="28">SUM(R22:R25)</f>
        <v>0</v>
      </c>
      <c r="S26" s="1231">
        <f t="shared" ca="1" si="28"/>
        <v>0</v>
      </c>
      <c r="T26" s="1231">
        <f t="shared" ca="1" si="28"/>
        <v>0</v>
      </c>
      <c r="U26" s="1231">
        <f t="shared" ca="1" si="28"/>
        <v>-251.34899999999996</v>
      </c>
      <c r="V26" s="1231">
        <f t="shared" ca="1" si="28"/>
        <v>-353.20699999999999</v>
      </c>
      <c r="W26" s="1231">
        <f t="shared" ca="1" si="28"/>
        <v>-460.61600000000016</v>
      </c>
      <c r="X26" s="1231">
        <f t="shared" ca="1" si="28"/>
        <v>-510.47500000000014</v>
      </c>
      <c r="Y26" s="1231">
        <f t="shared" ca="1" si="28"/>
        <v>-615.84899999999993</v>
      </c>
      <c r="Z26" s="1231">
        <f ca="1">SUM(Z22:Z25)</f>
        <v>-732.03700000000003</v>
      </c>
      <c r="AA26" s="1231">
        <f ca="1">SUM(AA22:AA25)</f>
        <v>0</v>
      </c>
      <c r="AB26" s="1231">
        <f ca="1">SUM(AB22:AB25)</f>
        <v>0</v>
      </c>
      <c r="AC26" s="1231">
        <f ca="1">SUM(AC22:AC25)</f>
        <v>0</v>
      </c>
      <c r="AG26" s="1231">
        <f ca="1">OFFSET($CQ26,0,AG$7)</f>
        <v>0</v>
      </c>
      <c r="AH26" s="1231">
        <f ca="1">OFFSET($CQ26,0,AH$7)+OFFSET($CR26,0,AH$7)</f>
        <v>0</v>
      </c>
      <c r="AI26" s="1231">
        <f ca="1">OFFSET($CQ26,0,AI$7)+OFFSET($CR26,0,AI$7)+OFFSET($CS26,0,AI$7)</f>
        <v>0</v>
      </c>
      <c r="AJ26" s="1231">
        <f ca="1">OFFSET($CQ26,0,AJ$7)+OFFSET($CR26,0,AJ$7)+OFFSET($CS26,0,AJ$7)+OFFSET($CT26,0,AJ$7)</f>
        <v>0</v>
      </c>
      <c r="AK26" s="1231">
        <f ca="1">OFFSET($CQ26,0,AK$7)</f>
        <v>0</v>
      </c>
      <c r="AL26" s="1231">
        <f ca="1">OFFSET($CQ26,0,AL$7)+OFFSET($CR26,0,AL$7)</f>
        <v>0</v>
      </c>
      <c r="AM26" s="1231">
        <f ca="1">OFFSET($CQ26,0,AM$7)+OFFSET($CR26,0,AM$7)+OFFSET($CS26,0,AM$7)</f>
        <v>0</v>
      </c>
      <c r="AN26" s="1231">
        <f ca="1">OFFSET($CQ26,0,AN$7)+OFFSET($CR26,0,AN$7)+OFFSET($CS26,0,AN$7)+OFFSET($CT26,0,AN$7)</f>
        <v>0</v>
      </c>
      <c r="AO26" s="1231">
        <f ca="1">OFFSET($CQ26,0,AO$7)</f>
        <v>0</v>
      </c>
      <c r="AP26" s="1231">
        <f ca="1">OFFSET($CQ26,0,AP$7)+OFFSET($CR26,0,AP$7)</f>
        <v>0</v>
      </c>
      <c r="AQ26" s="1231">
        <f ca="1">OFFSET($CQ26,0,AQ$7)+OFFSET($CR26,0,AQ$7)+OFFSET($CS26,0,AQ$7)</f>
        <v>0</v>
      </c>
      <c r="AR26" s="1231">
        <f ca="1">OFFSET($CQ26,0,AR$7)+OFFSET($CR26,0,AR$7)+OFFSET($CS26,0,AR$7)+OFFSET($CT26,0,AR$7)</f>
        <v>0</v>
      </c>
      <c r="AS26" s="1231">
        <f ca="1">OFFSET($CQ26,0,AS$7)</f>
        <v>0</v>
      </c>
      <c r="AT26" s="1231">
        <f ca="1">OFFSET($CQ26,0,AT$7)+OFFSET($CR26,0,AT$7)</f>
        <v>0</v>
      </c>
      <c r="AU26" s="1231">
        <f ca="1">OFFSET($CQ26,0,AU$7)+OFFSET($CR26,0,AU$7)+OFFSET($CS26,0,AU$7)</f>
        <v>0</v>
      </c>
      <c r="AV26" s="1231">
        <f ca="1">OFFSET($CQ26,0,AV$7)+OFFSET($CR26,0,AV$7)+OFFSET($CS26,0,AV$7)+OFFSET($CT26,0,AV$7)</f>
        <v>0</v>
      </c>
      <c r="AW26" s="1231">
        <f ca="1">OFFSET($CQ26,0,AW$7)</f>
        <v>0</v>
      </c>
      <c r="AX26" s="1231">
        <f ca="1">OFFSET($CQ26,0,AX$7)+OFFSET($CR26,0,AX$7)</f>
        <v>0</v>
      </c>
      <c r="AY26" s="1231">
        <f ca="1">OFFSET($CQ26,0,AY$7)+OFFSET($CR26,0,AY$7)+OFFSET($CS26,0,AY$7)</f>
        <v>0</v>
      </c>
      <c r="AZ26" s="1231">
        <f ca="1">OFFSET($CQ26,0,AZ$7)+OFFSET($CR26,0,AZ$7)+OFFSET($CS26,0,AZ$7)+OFFSET($CT26,0,AZ$7)</f>
        <v>0</v>
      </c>
      <c r="BA26" s="1231">
        <f ca="1">OFFSET($CQ26,0,BA$7)</f>
        <v>0</v>
      </c>
      <c r="BB26" s="1231">
        <f ca="1">OFFSET($CQ26,0,BB$7)+OFFSET($CR26,0,BB$7)</f>
        <v>0</v>
      </c>
      <c r="BC26" s="1231">
        <f ca="1">OFFSET($CQ26,0,BC$7)+OFFSET($CR26,0,BC$7)+OFFSET($CS26,0,BC$7)</f>
        <v>0</v>
      </c>
      <c r="BD26" s="1231">
        <f ca="1">OFFSET($CQ26,0,BD$7)+OFFSET($CR26,0,BD$7)+OFFSET($CS26,0,BD$7)+OFFSET($CT26,0,BD$7)</f>
        <v>0</v>
      </c>
      <c r="BE26" s="1231">
        <f ca="1">OFFSET($CQ26,0,BE$7)</f>
        <v>0</v>
      </c>
      <c r="BF26" s="1231">
        <f ca="1">OFFSET($CQ26,0,BF$7)+OFFSET($CR26,0,BF$7)</f>
        <v>0</v>
      </c>
      <c r="BG26" s="1231">
        <f ca="1">OFFSET($CQ26,0,BG$7)+OFFSET($CR26,0,BG$7)+OFFSET($CS26,0,BG$7)</f>
        <v>0</v>
      </c>
      <c r="BH26" s="1231">
        <f ca="1">OFFSET($CQ26,0,BH$7)+OFFSET($CR26,0,BH$7)+OFFSET($CS26,0,BH$7)+OFFSET($CT26,0,BH$7)</f>
        <v>0</v>
      </c>
      <c r="BI26" s="1231">
        <f ca="1">OFFSET($CQ26,0,BI$7)</f>
        <v>0</v>
      </c>
      <c r="BJ26" s="1231">
        <f ca="1">OFFSET($CQ26,0,BJ$7)+OFFSET($CR26,0,BJ$7)</f>
        <v>0</v>
      </c>
      <c r="BK26" s="1231">
        <f ca="1">OFFSET($CQ26,0,BK$7)+OFFSET($CR26,0,BK$7)+OFFSET($CS26,0,BK$7)</f>
        <v>0</v>
      </c>
      <c r="BL26" s="1231">
        <f ca="1">OFFSET($CQ26,0,BL$7)+OFFSET($CR26,0,BL$7)+OFFSET($CS26,0,BL$7)+OFFSET($CT26,0,BL$7)</f>
        <v>0</v>
      </c>
      <c r="BM26" s="1231">
        <f ca="1">OFFSET($CQ26,0,BM$7)</f>
        <v>-59.089999999999975</v>
      </c>
      <c r="BN26" s="1231">
        <f ca="1">OFFSET($CQ26,0,BN$7)+OFFSET($CR26,0,BN$7)</f>
        <v>-103.06199999999998</v>
      </c>
      <c r="BO26" s="1231">
        <f ca="1">OFFSET($CQ26,0,BO$7)+OFFSET($CR26,0,BO$7)+OFFSET($CS26,0,BO$7)</f>
        <v>-166.50899999999996</v>
      </c>
      <c r="BP26" s="1231">
        <f ca="1">OFFSET($CQ26,0,BP$7)+OFFSET($CR26,0,BP$7)+OFFSET($CS26,0,BP$7)+OFFSET($CT26,0,BP$7)</f>
        <v>-251.34899999999999</v>
      </c>
      <c r="BQ26" s="1231">
        <f ca="1">OFFSET($CQ26,0,BQ$7)</f>
        <v>-66.533000000000044</v>
      </c>
      <c r="BR26" s="1231">
        <f ca="1">OFFSET($CQ26,0,BR$7)+OFFSET($CR26,0,BR$7)</f>
        <v>-151.39400000000003</v>
      </c>
      <c r="BS26" s="1231">
        <f ca="1">OFFSET($CQ26,0,BS$7)+OFFSET($CR26,0,BS$7)+OFFSET($CS26,0,BS$7)</f>
        <v>-245.51599999999999</v>
      </c>
      <c r="BT26" s="1231">
        <f ca="1">OFFSET($CQ26,0,BT$7)+OFFSET($CR26,0,BT$7)+OFFSET($CS26,0,BT$7)+OFFSET($CT26,0,BT$7)</f>
        <v>-353.20699999999999</v>
      </c>
      <c r="BU26" s="1231">
        <f ca="1">OFFSET($CQ26,0,BU$7)</f>
        <v>-104.42300000000003</v>
      </c>
      <c r="BV26" s="1231">
        <f ca="1">OFFSET($CQ26,0,BV$7)+OFFSET($CR26,0,BV$7)</f>
        <v>-220.15100000000007</v>
      </c>
      <c r="BW26" s="1231">
        <f ca="1">OFFSET($CQ26,0,BW$7)+OFFSET($CR26,0,BW$7)+OFFSET($CS26,0,BW$7)</f>
        <v>-328.27600000000012</v>
      </c>
      <c r="BX26" s="1231">
        <f ca="1">OFFSET($CQ26,0,BX$7)+OFFSET($CR26,0,BX$7)+OFFSET($CS26,0,BX$7)+OFFSET($CT26,0,BX$7)</f>
        <v>-460.6160000000001</v>
      </c>
      <c r="BY26" s="1231">
        <f ca="1">OFFSET($CQ26,0,BY$7)</f>
        <v>-87.616000000000014</v>
      </c>
      <c r="BZ26" s="1231">
        <f ca="1">OFFSET($CQ26,0,BZ$7)+OFFSET($CR26,0,BZ$7)</f>
        <v>-190.01000000000005</v>
      </c>
      <c r="CA26" s="1231">
        <f ca="1">OFFSET($CQ26,0,CA$7)+OFFSET($CR26,0,CA$7)+OFFSET($CS26,0,CA$7)</f>
        <v>-313.48100000000011</v>
      </c>
      <c r="CB26" s="1231">
        <f ca="1">OFFSET($CQ26,0,CB$7)+OFFSET($CR26,0,CB$7)+OFFSET($CS26,0,CB$7)+OFFSET($CT26,0,CB$7)</f>
        <v>-510.47500000000014</v>
      </c>
      <c r="CC26" s="1231">
        <f ca="1">OFFSET($CQ26,0,CC$7)</f>
        <v>-143.43300000000008</v>
      </c>
      <c r="CD26" s="1231">
        <f ca="1">OFFSET($CQ26,0,CD$7)+OFFSET($CR26,0,CD$7)</f>
        <v>-315.93299999999999</v>
      </c>
      <c r="CE26" s="1231">
        <f ca="1">OFFSET($CQ26,0,CE$7)+OFFSET($CR26,0,CE$7)+OFFSET($CS26,0,CE$7)</f>
        <v>-470.52499999999992</v>
      </c>
      <c r="CF26" s="1231">
        <f ca="1">OFFSET($CQ26,0,CF$7)+OFFSET($CR26,0,CF$7)+OFFSET($CS26,0,CF$7)+OFFSET($CT26,0,CF$7)</f>
        <v>-615.84899999999993</v>
      </c>
      <c r="CG26" s="1231">
        <f ca="1">OFFSET($CQ26,0,CG$7)</f>
        <v>-177.91399999999993</v>
      </c>
      <c r="CH26" s="1231">
        <f ca="1">OFFSET($CQ26,0,CH$7)+OFFSET($CR26,0,CH$7)</f>
        <v>-376.61099999999988</v>
      </c>
      <c r="CI26" s="1231">
        <f ca="1">OFFSET($CQ26,0,CI$7)+OFFSET($CR26,0,CI$7)+OFFSET($CS26,0,CI$7)</f>
        <v>-556.98199999999986</v>
      </c>
      <c r="CJ26" s="1231">
        <f ca="1">OFFSET($CQ26,0,CJ$7)+OFFSET($CR26,0,CJ$7)+OFFSET($CS26,0,CJ$7)+OFFSET($CT26,0,CJ$7)</f>
        <v>-732.03699999999981</v>
      </c>
      <c r="DK26" s="1232"/>
      <c r="DL26" s="1232"/>
      <c r="DM26" s="1232"/>
      <c r="DN26" s="1232"/>
      <c r="DO26" s="1232"/>
      <c r="DP26" s="1232"/>
      <c r="DQ26" s="1232"/>
      <c r="DR26" s="1232"/>
      <c r="DS26" s="1232"/>
      <c r="DT26" s="1232"/>
      <c r="DU26" s="1232"/>
      <c r="DV26" s="1232"/>
      <c r="DW26" s="1232">
        <f>DW28-DW18</f>
        <v>-59.089999999999975</v>
      </c>
      <c r="DX26" s="1232">
        <f t="shared" ref="DX26:ET26" si="29">DX28-DX18</f>
        <v>-43.972000000000008</v>
      </c>
      <c r="DY26" s="1232">
        <f t="shared" si="29"/>
        <v>-63.446999999999974</v>
      </c>
      <c r="DZ26" s="1232">
        <f t="shared" si="29"/>
        <v>-84.840000000000018</v>
      </c>
      <c r="EA26" s="1232">
        <f t="shared" si="29"/>
        <v>-66.533000000000044</v>
      </c>
      <c r="EB26" s="1232">
        <f t="shared" si="29"/>
        <v>-84.86099999999999</v>
      </c>
      <c r="EC26" s="1232">
        <f t="shared" si="29"/>
        <v>-94.121999999999957</v>
      </c>
      <c r="ED26" s="1232">
        <f t="shared" si="29"/>
        <v>-107.691</v>
      </c>
      <c r="EE26" s="1232">
        <f t="shared" si="29"/>
        <v>-104.42300000000003</v>
      </c>
      <c r="EF26" s="1232">
        <f t="shared" si="29"/>
        <v>-115.72800000000004</v>
      </c>
      <c r="EG26" s="1232">
        <f t="shared" si="29"/>
        <v>-108.12500000000006</v>
      </c>
      <c r="EH26" s="1232">
        <f t="shared" si="29"/>
        <v>-132.34</v>
      </c>
      <c r="EI26" s="1232">
        <f t="shared" si="29"/>
        <v>-87.616000000000014</v>
      </c>
      <c r="EJ26" s="1232">
        <f t="shared" si="29"/>
        <v>-102.39400000000002</v>
      </c>
      <c r="EK26" s="1232">
        <f t="shared" si="29"/>
        <v>-123.47100000000006</v>
      </c>
      <c r="EL26" s="1232">
        <f t="shared" si="29"/>
        <v>-196.99400000000006</v>
      </c>
      <c r="EM26" s="1232">
        <f t="shared" si="29"/>
        <v>-143.43300000000008</v>
      </c>
      <c r="EN26" s="1232">
        <f t="shared" si="29"/>
        <v>-172.49999999999994</v>
      </c>
      <c r="EO26" s="1232">
        <f t="shared" si="29"/>
        <v>-154.59199999999993</v>
      </c>
      <c r="EP26" s="1232">
        <f t="shared" si="29"/>
        <v>-145.32399999999998</v>
      </c>
      <c r="EQ26" s="1232">
        <f t="shared" si="29"/>
        <v>-177.91399999999993</v>
      </c>
      <c r="ER26" s="1232">
        <f t="shared" si="29"/>
        <v>-198.69699999999997</v>
      </c>
      <c r="ES26" s="1232">
        <f t="shared" si="29"/>
        <v>-180.37100000000001</v>
      </c>
      <c r="ET26" s="1232">
        <f t="shared" si="29"/>
        <v>-175.05500000000001</v>
      </c>
    </row>
    <row r="27" spans="1:162">
      <c r="A27" s="1224"/>
      <c r="B27" s="1237"/>
    </row>
    <row r="28" spans="1:162" s="1231" customFormat="1">
      <c r="A28" s="1207" t="s">
        <v>475</v>
      </c>
      <c r="B28" s="1230" t="s">
        <v>386</v>
      </c>
      <c r="M28" s="1231">
        <f ca="1">M18+M26</f>
        <v>0</v>
      </c>
      <c r="N28" s="1231">
        <f ca="1">N18+N26</f>
        <v>0</v>
      </c>
      <c r="O28" s="1231">
        <f ca="1">O18+O26</f>
        <v>0</v>
      </c>
      <c r="P28" s="1231">
        <f ca="1">P18+P26</f>
        <v>0</v>
      </c>
      <c r="Q28" s="1231">
        <f ca="1">Q18+Q26</f>
        <v>0</v>
      </c>
      <c r="R28" s="1231">
        <f t="shared" ref="R28:Y28" ca="1" si="30">R18+R26</f>
        <v>0</v>
      </c>
      <c r="S28" s="1231">
        <f t="shared" ca="1" si="30"/>
        <v>0</v>
      </c>
      <c r="T28" s="1231">
        <f t="shared" ca="1" si="30"/>
        <v>0</v>
      </c>
      <c r="U28" s="1231">
        <f t="shared" ca="1" si="30"/>
        <v>187.08699999999996</v>
      </c>
      <c r="V28" s="1231">
        <f t="shared" ca="1" si="30"/>
        <v>130.24499999999978</v>
      </c>
      <c r="W28" s="1231">
        <f t="shared" ca="1" si="30"/>
        <v>222.00399999999996</v>
      </c>
      <c r="X28" s="1231">
        <f t="shared" ca="1" si="30"/>
        <v>339.2059999999999</v>
      </c>
      <c r="Y28" s="1231">
        <f t="shared" ca="1" si="30"/>
        <v>124.89500000000021</v>
      </c>
      <c r="Z28" s="1231">
        <f ca="1">Z18+Z26</f>
        <v>14.639999999999645</v>
      </c>
      <c r="AA28" s="1231">
        <f ca="1">AA18+AA26</f>
        <v>0</v>
      </c>
      <c r="AB28" s="1231">
        <f ca="1">AB18+AB26</f>
        <v>0</v>
      </c>
      <c r="AC28" s="1231">
        <f ca="1">AC18+AC26</f>
        <v>0</v>
      </c>
      <c r="AG28" s="1231">
        <f ca="1">OFFSET($CQ28,0,AG$7)</f>
        <v>0</v>
      </c>
      <c r="AH28" s="1231">
        <f ca="1">OFFSET($CQ28,0,AH$7)+OFFSET($CR28,0,AH$7)</f>
        <v>0</v>
      </c>
      <c r="AI28" s="1231">
        <f ca="1">OFFSET($CQ28,0,AI$7)+OFFSET($CR28,0,AI$7)+OFFSET($CS28,0,AI$7)</f>
        <v>0</v>
      </c>
      <c r="AJ28" s="1231">
        <f ca="1">OFFSET($CQ28,0,AJ$7)+OFFSET($CR28,0,AJ$7)+OFFSET($CS28,0,AJ$7)+OFFSET($CT28,0,AJ$7)</f>
        <v>0</v>
      </c>
      <c r="AK28" s="1231">
        <f ca="1">OFFSET($CQ28,0,AK$7)</f>
        <v>0</v>
      </c>
      <c r="AL28" s="1231">
        <f ca="1">OFFSET($CQ28,0,AL$7)+OFFSET($CR28,0,AL$7)</f>
        <v>0</v>
      </c>
      <c r="AM28" s="1231">
        <f ca="1">OFFSET($CQ28,0,AM$7)+OFFSET($CR28,0,AM$7)+OFFSET($CS28,0,AM$7)</f>
        <v>0</v>
      </c>
      <c r="AN28" s="1231">
        <f ca="1">OFFSET($CQ28,0,AN$7)+OFFSET($CR28,0,AN$7)+OFFSET($CS28,0,AN$7)+OFFSET($CT28,0,AN$7)</f>
        <v>0</v>
      </c>
      <c r="AO28" s="1231">
        <f ca="1">OFFSET($CQ28,0,AO$7)</f>
        <v>0</v>
      </c>
      <c r="AP28" s="1231">
        <f ca="1">OFFSET($CQ28,0,AP$7)+OFFSET($CR28,0,AP$7)</f>
        <v>0</v>
      </c>
      <c r="AQ28" s="1231">
        <f ca="1">OFFSET($CQ28,0,AQ$7)+OFFSET($CR28,0,AQ$7)+OFFSET($CS28,0,AQ$7)</f>
        <v>0</v>
      </c>
      <c r="AR28" s="1231">
        <f ca="1">OFFSET($CQ28,0,AR$7)+OFFSET($CR28,0,AR$7)+OFFSET($CS28,0,AR$7)+OFFSET($CT28,0,AR$7)</f>
        <v>0</v>
      </c>
      <c r="AS28" s="1231">
        <f ca="1">OFFSET($CQ28,0,AS$7)</f>
        <v>0</v>
      </c>
      <c r="AT28" s="1231">
        <f ca="1">OFFSET($CQ28,0,AT$7)+OFFSET($CR28,0,AT$7)</f>
        <v>0</v>
      </c>
      <c r="AU28" s="1231">
        <f ca="1">OFFSET($CQ28,0,AU$7)+OFFSET($CR28,0,AU$7)+OFFSET($CS28,0,AU$7)</f>
        <v>0</v>
      </c>
      <c r="AV28" s="1231">
        <f ca="1">OFFSET($CQ28,0,AV$7)+OFFSET($CR28,0,AV$7)+OFFSET($CS28,0,AV$7)+OFFSET($CT28,0,AV$7)</f>
        <v>0</v>
      </c>
      <c r="AW28" s="1231">
        <f ca="1">OFFSET($CQ28,0,AW$7)</f>
        <v>0</v>
      </c>
      <c r="AX28" s="1231">
        <f ca="1">OFFSET($CQ28,0,AX$7)+OFFSET($CR28,0,AX$7)</f>
        <v>0</v>
      </c>
      <c r="AY28" s="1231">
        <f ca="1">OFFSET($CQ28,0,AY$7)+OFFSET($CR28,0,AY$7)+OFFSET($CS28,0,AY$7)</f>
        <v>0</v>
      </c>
      <c r="AZ28" s="1231">
        <f ca="1">OFFSET($CQ28,0,AZ$7)+OFFSET($CR28,0,AZ$7)+OFFSET($CS28,0,AZ$7)+OFFSET($CT28,0,AZ$7)</f>
        <v>0</v>
      </c>
      <c r="BA28" s="1231">
        <f ca="1">OFFSET($CQ28,0,BA$7)</f>
        <v>0</v>
      </c>
      <c r="BB28" s="1231">
        <f ca="1">OFFSET($CQ28,0,BB$7)+OFFSET($CR28,0,BB$7)</f>
        <v>0</v>
      </c>
      <c r="BC28" s="1231">
        <f ca="1">OFFSET($CQ28,0,BC$7)+OFFSET($CR28,0,BC$7)+OFFSET($CS28,0,BC$7)</f>
        <v>0</v>
      </c>
      <c r="BD28" s="1231">
        <f ca="1">OFFSET($CQ28,0,BD$7)+OFFSET($CR28,0,BD$7)+OFFSET($CS28,0,BD$7)+OFFSET($CT28,0,BD$7)</f>
        <v>0</v>
      </c>
      <c r="BE28" s="1231">
        <f ca="1">OFFSET($CQ28,0,BE$7)</f>
        <v>0</v>
      </c>
      <c r="BF28" s="1231">
        <f ca="1">OFFSET($CQ28,0,BF$7)+OFFSET($CR28,0,BF$7)</f>
        <v>0</v>
      </c>
      <c r="BG28" s="1231">
        <f ca="1">OFFSET($CQ28,0,BG$7)+OFFSET($CR28,0,BG$7)+OFFSET($CS28,0,BG$7)</f>
        <v>0</v>
      </c>
      <c r="BH28" s="1231">
        <f ca="1">OFFSET($CQ28,0,BH$7)+OFFSET($CR28,0,BH$7)+OFFSET($CS28,0,BH$7)+OFFSET($CT28,0,BH$7)</f>
        <v>0</v>
      </c>
      <c r="BI28" s="1231">
        <f ca="1">OFFSET($CQ28,0,BI$7)</f>
        <v>0</v>
      </c>
      <c r="BJ28" s="1231">
        <f ca="1">OFFSET($CQ28,0,BJ$7)+OFFSET($CR28,0,BJ$7)</f>
        <v>0</v>
      </c>
      <c r="BK28" s="1231">
        <f ca="1">OFFSET($CQ28,0,BK$7)+OFFSET($CR28,0,BK$7)+OFFSET($CS28,0,BK$7)</f>
        <v>0</v>
      </c>
      <c r="BL28" s="1231">
        <f ca="1">OFFSET($CQ28,0,BL$7)+OFFSET($CR28,0,BL$7)+OFFSET($CS28,0,BL$7)+OFFSET($CT28,0,BL$7)</f>
        <v>0</v>
      </c>
      <c r="BM28" s="1231">
        <f ca="1">OFFSET($CQ28,0,BM$7)</f>
        <v>43.048000000000002</v>
      </c>
      <c r="BN28" s="1231">
        <f ca="1">OFFSET($CQ28,0,BN$7)+OFFSET($CR28,0,BN$7)</f>
        <v>130.453</v>
      </c>
      <c r="BO28" s="1231">
        <f ca="1">OFFSET($CQ28,0,BO$7)+OFFSET($CR28,0,BO$7)+OFFSET($CS28,0,BO$7)</f>
        <v>178.988</v>
      </c>
      <c r="BP28" s="1231">
        <f ca="1">OFFSET($CQ28,0,BP$7)+OFFSET($CR28,0,BP$7)+OFFSET($CS28,0,BP$7)+OFFSET($CT28,0,BP$7)</f>
        <v>187.08699999999999</v>
      </c>
      <c r="BQ28" s="1231">
        <f ca="1">OFFSET($CQ28,0,BQ$7)</f>
        <v>29.585000000000001</v>
      </c>
      <c r="BR28" s="1231">
        <f ca="1">OFFSET($CQ28,0,BR$7)+OFFSET($CR28,0,BR$7)</f>
        <v>87.777000000000001</v>
      </c>
      <c r="BS28" s="1231">
        <f ca="1">OFFSET($CQ28,0,BS$7)+OFFSET($CR28,0,BS$7)+OFFSET($CS28,0,BS$7)</f>
        <v>128.59700000000001</v>
      </c>
      <c r="BT28" s="1231">
        <f ca="1">OFFSET($CQ28,0,BT$7)+OFFSET($CR28,0,BT$7)+OFFSET($CS28,0,BT$7)+OFFSET($CT28,0,BT$7)</f>
        <v>130.245</v>
      </c>
      <c r="BU28" s="1231">
        <f ca="1">OFFSET($CQ28,0,BU$7)</f>
        <v>45.503999999999998</v>
      </c>
      <c r="BV28" s="1231">
        <f ca="1">OFFSET($CQ28,0,BV$7)+OFFSET($CR28,0,BV$7)</f>
        <v>106.181</v>
      </c>
      <c r="BW28" s="1231">
        <f ca="1">OFFSET($CQ28,0,BW$7)+OFFSET($CR28,0,BW$7)+OFFSET($CS28,0,BW$7)</f>
        <v>180.40699999999998</v>
      </c>
      <c r="BX28" s="1231">
        <f ca="1">OFFSET($CQ28,0,BX$7)+OFFSET($CR28,0,BX$7)+OFFSET($CS28,0,BX$7)+OFFSET($CT28,0,BX$7)</f>
        <v>222.00399999999999</v>
      </c>
      <c r="BY28" s="1231">
        <f ca="1">OFFSET($CQ28,0,BY$7)</f>
        <v>66.135999999999996</v>
      </c>
      <c r="BZ28" s="1231">
        <f ca="1">OFFSET($CQ28,0,BZ$7)+OFFSET($CR28,0,BZ$7)</f>
        <v>181.55599999999998</v>
      </c>
      <c r="CA28" s="1231">
        <f ca="1">OFFSET($CQ28,0,CA$7)+OFFSET($CR28,0,CA$7)+OFFSET($CS28,0,CA$7)</f>
        <v>290.18799999999999</v>
      </c>
      <c r="CB28" s="1231">
        <f ca="1">OFFSET($CQ28,0,CB$7)+OFFSET($CR28,0,CB$7)+OFFSET($CS28,0,CB$7)+OFFSET($CT28,0,CB$7)</f>
        <v>339.20600000000002</v>
      </c>
      <c r="CC28" s="1231">
        <f ca="1">OFFSET($CQ28,0,CC$7)</f>
        <v>77.385999999999996</v>
      </c>
      <c r="CD28" s="1231">
        <f ca="1">OFFSET($CQ28,0,CD$7)+OFFSET($CR28,0,CD$7)</f>
        <v>99.018000000000001</v>
      </c>
      <c r="CE28" s="1231">
        <f ca="1">OFFSET($CQ28,0,CE$7)+OFFSET($CR28,0,CE$7)+OFFSET($CS28,0,CE$7)</f>
        <v>121.723</v>
      </c>
      <c r="CF28" s="1231">
        <f ca="1">OFFSET($CQ28,0,CF$7)+OFFSET($CR28,0,CF$7)+OFFSET($CS28,0,CF$7)+OFFSET($CT28,0,CF$7)</f>
        <v>124.895</v>
      </c>
      <c r="CG28" s="1231">
        <f ca="1">OFFSET($CQ28,0,CG$7)</f>
        <v>42.262</v>
      </c>
      <c r="CH28" s="1231">
        <f ca="1">OFFSET($CQ28,0,CH$7)+OFFSET($CR28,0,CH$7)</f>
        <v>61.397999999999996</v>
      </c>
      <c r="CI28" s="1231">
        <f ca="1">OFFSET($CQ28,0,CI$7)+OFFSET($CR28,0,CI$7)+OFFSET($CS28,0,CI$7)</f>
        <v>55.569999999999993</v>
      </c>
      <c r="CJ28" s="1231">
        <f ca="1">OFFSET($CQ28,0,CJ$7)+OFFSET($CR28,0,CJ$7)+OFFSET($CS28,0,CJ$7)+OFFSET($CT28,0,CJ$7)</f>
        <v>14.639999999999993</v>
      </c>
      <c r="DK28" s="1232"/>
      <c r="DL28" s="1232"/>
      <c r="DM28" s="1232"/>
      <c r="DN28" s="1232"/>
      <c r="DO28" s="1232"/>
      <c r="DP28" s="1232"/>
      <c r="DQ28" s="1232"/>
      <c r="DR28" s="1232"/>
      <c r="DS28" s="1232"/>
      <c r="DT28" s="1232"/>
      <c r="DU28" s="1232"/>
      <c r="DV28" s="1232"/>
      <c r="DW28" s="1232">
        <f>INDEX('Basic Data TR'!$A$1:$AMJ$9673,MATCH($A28,'Basic Data TR'!$A$1:$A$9673,0),MATCH(DW$6,'Basic Data TR'!$A$1:$AMJ$1,0))</f>
        <v>43.048000000000002</v>
      </c>
      <c r="DX28" s="1232">
        <f>INDEX('Basic Data TR'!$A$1:$AMJ$9673,MATCH($A28,'Basic Data TR'!$A$1:$A$9673,0),MATCH(DX$6,'Basic Data TR'!$A$1:$AMJ$1,0))</f>
        <v>87.405000000000001</v>
      </c>
      <c r="DY28" s="1232">
        <f>INDEX('Basic Data TR'!$A$1:$AMJ$9673,MATCH($A28,'Basic Data TR'!$A$1:$A$9673,0),MATCH(DY$6,'Basic Data TR'!$A$1:$AMJ$1,0))</f>
        <v>48.534999999999997</v>
      </c>
      <c r="DZ28" s="1232">
        <f>INDEX('Basic Data TR'!$A$1:$AMJ$9673,MATCH($A28,'Basic Data TR'!$A$1:$A$9673,0),MATCH(DZ$6,'Basic Data TR'!$A$1:$AMJ$1,0))</f>
        <v>8.0990000000000002</v>
      </c>
      <c r="EA28" s="1232">
        <f>INDEX('Basic Data TR'!$A$1:$AMJ$9673,MATCH($A28,'Basic Data TR'!$A$1:$A$9673,0),MATCH(EA$6,'Basic Data TR'!$A$1:$AMJ$1,0))</f>
        <v>29.585000000000001</v>
      </c>
      <c r="EB28" s="1232">
        <f>INDEX('Basic Data TR'!$A$1:$AMJ$9673,MATCH($A28,'Basic Data TR'!$A$1:$A$9673,0),MATCH(EB$6,'Basic Data TR'!$A$1:$AMJ$1,0))</f>
        <v>58.192</v>
      </c>
      <c r="EC28" s="1232">
        <f>INDEX('Basic Data TR'!$A$1:$AMJ$9673,MATCH($A28,'Basic Data TR'!$A$1:$A$9673,0),MATCH(EC$6,'Basic Data TR'!$A$1:$AMJ$1,0))</f>
        <v>40.82</v>
      </c>
      <c r="ED28" s="1232">
        <f>INDEX('Basic Data TR'!$A$1:$AMJ$9673,MATCH($A28,'Basic Data TR'!$A$1:$A$9673,0),MATCH(ED$6,'Basic Data TR'!$A$1:$AMJ$1,0))</f>
        <v>1.6479999999999999</v>
      </c>
      <c r="EE28" s="1232">
        <f>INDEX('Basic Data TR'!$A$1:$AMJ$9673,MATCH($A28,'Basic Data TR'!$A$1:$A$9673,0),MATCH(EE$6,'Basic Data TR'!$A$1:$AMJ$1,0))</f>
        <v>45.503999999999998</v>
      </c>
      <c r="EF28" s="1232">
        <f>INDEX('Basic Data TR'!$A$1:$AMJ$9673,MATCH($A28,'Basic Data TR'!$A$1:$A$9673,0),MATCH(EF$6,'Basic Data TR'!$A$1:$AMJ$1,0))</f>
        <v>60.677</v>
      </c>
      <c r="EG28" s="1232">
        <f>INDEX('Basic Data TR'!$A$1:$AMJ$9673,MATCH($A28,'Basic Data TR'!$A$1:$A$9673,0),MATCH(EG$6,'Basic Data TR'!$A$1:$AMJ$1,0))</f>
        <v>74.225999999999999</v>
      </c>
      <c r="EH28" s="1232">
        <f>INDEX('Basic Data TR'!$A$1:$AMJ$9673,MATCH($A28,'Basic Data TR'!$A$1:$A$9673,0),MATCH(EH$6,'Basic Data TR'!$A$1:$AMJ$1,0))</f>
        <v>41.597000000000001</v>
      </c>
      <c r="EI28" s="1232">
        <f>INDEX('Basic Data TR'!$A$1:$AMJ$9673,MATCH($A28,'Basic Data TR'!$A$1:$A$9673,0),MATCH(EI$6,'Basic Data TR'!$A$1:$AMJ$1,0))</f>
        <v>66.135999999999996</v>
      </c>
      <c r="EJ28" s="1232">
        <f>INDEX('Basic Data TR'!$A$1:$AMJ$9673,MATCH($A28,'Basic Data TR'!$A$1:$A$9673,0),MATCH(EJ$6,'Basic Data TR'!$A$1:$AMJ$1,0))</f>
        <v>115.42</v>
      </c>
      <c r="EK28" s="1232">
        <f>INDEX('Basic Data TR'!$A$1:$AMJ$9673,MATCH($A28,'Basic Data TR'!$A$1:$A$9673,0),MATCH(EK$6,'Basic Data TR'!$A$1:$AMJ$1,0))</f>
        <v>108.63200000000001</v>
      </c>
      <c r="EL28" s="1232">
        <f>INDEX('Basic Data TR'!$A$1:$AMJ$9673,MATCH($A28,'Basic Data TR'!$A$1:$A$9673,0),MATCH(EL$6,'Basic Data TR'!$A$1:$AMJ$1,0))</f>
        <v>49.018000000000001</v>
      </c>
      <c r="EM28" s="1232">
        <f>INDEX('Basic Data TR'!$A$1:$AMJ$9673,MATCH($A28,'Basic Data TR'!$A$1:$A$9673,0),MATCH(EM$6,'Basic Data TR'!$A$1:$AMJ$1,0))</f>
        <v>77.385999999999996</v>
      </c>
      <c r="EN28" s="1232">
        <f>INDEX('Basic Data TR'!$A$1:$AMJ$9673,MATCH($A28,'Basic Data TR'!$A$1:$A$9673,0),MATCH(EN$6,'Basic Data TR'!$A$1:$AMJ$1,0))</f>
        <v>21.632000000000001</v>
      </c>
      <c r="EO28" s="1232">
        <f>INDEX('Basic Data TR'!$A$1:$AMJ$9673,MATCH($A28,'Basic Data TR'!$A$1:$A$9673,0),MATCH(EO$6,'Basic Data TR'!$A$1:$AMJ$1,0))</f>
        <v>22.704999999999998</v>
      </c>
      <c r="EP28" s="1232">
        <f>INDEX('Basic Data TR'!$A$1:$AMJ$9673,MATCH($A28,'Basic Data TR'!$A$1:$A$9673,0),MATCH(EP$6,'Basic Data TR'!$A$1:$AMJ$1,0))</f>
        <v>3.1720000000000002</v>
      </c>
      <c r="EQ28" s="1232">
        <f>INDEX('Basic Data TR'!$A$1:$AMJ$9673,MATCH($A28,'Basic Data TR'!$A$1:$A$9673,0),MATCH(EQ$6,'Basic Data TR'!$A$1:$AMJ$1,0))</f>
        <v>42.262</v>
      </c>
      <c r="ER28" s="1232">
        <f>INDEX('Basic Data TR'!$A$1:$AMJ$9673,MATCH($A28,'Basic Data TR'!$A$1:$A$9673,0),MATCH(ER$6,'Basic Data TR'!$A$1:$AMJ$1,0))</f>
        <v>19.135999999999999</v>
      </c>
      <c r="ES28" s="1232">
        <f>INDEX('Basic Data TR'!$A$1:$AMJ$9673,MATCH($A28,'Basic Data TR'!$A$1:$A$9673,0),MATCH(ES$6,'Basic Data TR'!$A$1:$AMJ$1,0))</f>
        <v>-5.8280000000000003</v>
      </c>
      <c r="ET28" s="1232">
        <f>INDEX('Basic Data TR'!$A$1:$AMJ$9673,MATCH($A28,'Basic Data TR'!$A$1:$A$9673,0),MATCH(ET$6,'Basic Data TR'!$A$1:$AMJ$1,0))</f>
        <v>-40.93</v>
      </c>
    </row>
    <row r="29" spans="1:162" s="1235" customFormat="1">
      <c r="A29" s="1233"/>
      <c r="B29" s="1234" t="s">
        <v>290</v>
      </c>
      <c r="M29" s="1235" t="e">
        <f ca="1">Model!#REF!-M28</f>
        <v>#REF!</v>
      </c>
      <c r="N29" s="1235" t="e">
        <f ca="1">Model!#REF!-N28</f>
        <v>#REF!</v>
      </c>
      <c r="O29" s="1235" t="e">
        <f ca="1">Model!#REF!-O28</f>
        <v>#REF!</v>
      </c>
      <c r="P29" s="1235" t="e">
        <f ca="1">Model!#REF!-P28</f>
        <v>#REF!</v>
      </c>
      <c r="Q29" s="1235" t="e">
        <f ca="1">Model!#REF!-Q28</f>
        <v>#REF!</v>
      </c>
      <c r="R29" s="1213"/>
      <c r="S29" s="1213"/>
      <c r="T29" s="1213">
        <f ca="1">Model!C33-T28</f>
        <v>0</v>
      </c>
      <c r="U29" s="1213">
        <f ca="1">Model!D33-U28</f>
        <v>0</v>
      </c>
      <c r="V29" s="1213">
        <f ca="1">Model!E33-V28</f>
        <v>0</v>
      </c>
      <c r="W29" s="1213">
        <f ca="1">Model!F33-W28</f>
        <v>0</v>
      </c>
      <c r="X29" s="1213">
        <f ca="1">Model!G33-X28</f>
        <v>0</v>
      </c>
      <c r="Y29" s="1213">
        <f ca="1">Model!H33-Y28</f>
        <v>-1.5631940186722204E-13</v>
      </c>
      <c r="Z29" s="1213">
        <f ca="1">Model!I33-Z28</f>
        <v>2.8421709430404007E-14</v>
      </c>
      <c r="AA29" s="1213">
        <f ca="1">Model!J33-AA28</f>
        <v>48.910000000000423</v>
      </c>
      <c r="AB29" s="1213">
        <f ca="1">Model!K33-AB28</f>
        <v>311.94600000000014</v>
      </c>
      <c r="AC29" s="1213">
        <f ca="1">Model!L33-AC28</f>
        <v>1392.5620000000004</v>
      </c>
      <c r="AD29" s="1213"/>
      <c r="AE29" s="1213"/>
      <c r="AG29" s="1213"/>
      <c r="AH29" s="1213"/>
      <c r="AI29" s="1213"/>
      <c r="AJ29" s="1213"/>
      <c r="AK29" s="1213"/>
      <c r="AL29" s="1213"/>
      <c r="AM29" s="1213"/>
      <c r="AN29" s="1213"/>
      <c r="AO29" s="1213"/>
      <c r="AP29" s="1213"/>
      <c r="AQ29" s="1213"/>
      <c r="AR29" s="1213"/>
      <c r="AS29" s="1213"/>
      <c r="AT29" s="1213"/>
      <c r="AU29" s="1213"/>
      <c r="AV29" s="1213"/>
      <c r="AW29" s="1213"/>
      <c r="AX29" s="1213"/>
      <c r="AY29" s="1213"/>
      <c r="AZ29" s="1213"/>
      <c r="BA29" s="1213"/>
      <c r="BB29" s="1213"/>
      <c r="BC29" s="1213"/>
      <c r="BD29" s="1213"/>
      <c r="BE29" s="1213"/>
      <c r="BF29" s="1213"/>
      <c r="BG29" s="1213"/>
      <c r="BH29" s="1213"/>
      <c r="BI29" s="1213"/>
      <c r="BJ29" s="1213"/>
      <c r="BK29" s="1213"/>
      <c r="BL29" s="1213"/>
      <c r="BM29" s="1213"/>
      <c r="BN29" s="1213"/>
      <c r="BO29" s="1213"/>
      <c r="BP29" s="1213"/>
      <c r="BQ29" s="1213"/>
      <c r="BR29" s="1213"/>
      <c r="BS29" s="1213"/>
      <c r="BT29" s="1213"/>
      <c r="BU29" s="1213"/>
      <c r="BV29" s="1213"/>
      <c r="BW29" s="1213"/>
      <c r="BX29" s="1213"/>
      <c r="BY29" s="1213"/>
      <c r="BZ29" s="1213"/>
      <c r="CA29" s="1213"/>
      <c r="CB29" s="1213"/>
      <c r="CC29" s="1213"/>
      <c r="CD29" s="1213"/>
      <c r="CE29" s="1213"/>
      <c r="CF29" s="1213"/>
      <c r="CG29" s="1213"/>
      <c r="CH29" s="1213"/>
      <c r="CI29" s="1213"/>
      <c r="CJ29" s="1213"/>
      <c r="CO29" s="1165"/>
      <c r="CP29" s="1165"/>
      <c r="CQ29" s="1231"/>
      <c r="CR29" s="1231"/>
      <c r="CS29" s="1231"/>
      <c r="CT29" s="1231"/>
      <c r="CU29" s="1231"/>
      <c r="CV29" s="1231"/>
      <c r="CW29" s="1231"/>
      <c r="CX29" s="1231"/>
      <c r="CY29" s="1231"/>
      <c r="CZ29" s="1231"/>
      <c r="DA29" s="1231"/>
      <c r="DB29" s="1231"/>
      <c r="DC29" s="1231"/>
      <c r="DD29" s="1231"/>
      <c r="DE29" s="1231"/>
      <c r="DF29" s="1231"/>
      <c r="DG29" s="1231"/>
      <c r="DH29" s="1231"/>
      <c r="DI29" s="1231"/>
      <c r="DJ29" s="1231"/>
      <c r="DK29" s="1243"/>
      <c r="DL29" s="1243"/>
      <c r="DM29" s="1243"/>
      <c r="DN29" s="1243"/>
      <c r="DO29" s="1243"/>
      <c r="DP29" s="1243"/>
      <c r="DQ29" s="1243"/>
      <c r="DR29" s="1243"/>
      <c r="DS29" s="1243"/>
      <c r="DT29" s="1243"/>
      <c r="DU29" s="1243"/>
      <c r="DV29" s="1243"/>
      <c r="DW29" s="1243">
        <f>DW28-'Basic Data TR'!Z48</f>
        <v>0</v>
      </c>
      <c r="DX29" s="1243">
        <f>DX28-'Basic Data TR'!AA48</f>
        <v>0</v>
      </c>
      <c r="DY29" s="1243">
        <f>DY28-'Basic Data TR'!AB48</f>
        <v>0</v>
      </c>
      <c r="DZ29" s="1243">
        <f>DZ28-'Basic Data TR'!AC48</f>
        <v>0</v>
      </c>
      <c r="EA29" s="1243">
        <f>EA28-'Basic Data TR'!AD48</f>
        <v>0</v>
      </c>
      <c r="EB29" s="1243">
        <f>EB28-'Basic Data TR'!AE48</f>
        <v>0</v>
      </c>
      <c r="EC29" s="1243">
        <f>EC28-'Basic Data TR'!AF48</f>
        <v>0</v>
      </c>
      <c r="ED29" s="1243">
        <f>ED28-'Basic Data TR'!AG48</f>
        <v>0</v>
      </c>
      <c r="EE29" s="1243">
        <f>EE28-'Basic Data TR'!AH48</f>
        <v>0</v>
      </c>
      <c r="EF29" s="1243">
        <f>EF28-'Basic Data TR'!AI48</f>
        <v>0</v>
      </c>
      <c r="EG29" s="1243">
        <f>EG28-'Basic Data TR'!AJ48</f>
        <v>0</v>
      </c>
      <c r="EH29" s="1243">
        <f>EH28-'Basic Data TR'!AK48</f>
        <v>0</v>
      </c>
      <c r="EI29" s="1243">
        <f>EI28-'Basic Data TR'!AL48</f>
        <v>0</v>
      </c>
      <c r="EJ29" s="1243">
        <f>EJ28-'Basic Data TR'!AM48</f>
        <v>0</v>
      </c>
      <c r="EK29" s="1243">
        <f>EK28-'Basic Data TR'!AN48</f>
        <v>0</v>
      </c>
      <c r="EL29" s="1243">
        <f>EL28-'Basic Data TR'!AO48</f>
        <v>0</v>
      </c>
      <c r="EM29" s="1243">
        <f>EM28-'Basic Data TR'!AP48</f>
        <v>0</v>
      </c>
      <c r="EN29" s="1243">
        <f>EN28-'Basic Data TR'!AQ48</f>
        <v>0</v>
      </c>
      <c r="EO29" s="1243">
        <f>EO28-'Basic Data TR'!AR48</f>
        <v>0</v>
      </c>
      <c r="EP29" s="1243">
        <f>EP28-'Basic Data TR'!AS48</f>
        <v>0</v>
      </c>
      <c r="EQ29" s="1243">
        <f>EQ28-'Basic Data TR'!AT48</f>
        <v>0</v>
      </c>
      <c r="ER29" s="1243">
        <f>ER28-'Basic Data TR'!AU48</f>
        <v>0</v>
      </c>
      <c r="ES29" s="1243">
        <f>ES28-'Basic Data TR'!AV48</f>
        <v>0</v>
      </c>
      <c r="ET29" s="1243">
        <f>ET28-'Basic Data TR'!AW48</f>
        <v>0</v>
      </c>
      <c r="EU29" s="1231"/>
      <c r="EV29" s="1231"/>
      <c r="EW29" s="1231"/>
      <c r="EX29" s="1231"/>
      <c r="EY29" s="1231"/>
      <c r="EZ29" s="1231"/>
      <c r="FA29" s="1231"/>
      <c r="FB29" s="1231"/>
      <c r="FC29" s="1231"/>
      <c r="FD29" s="1231"/>
      <c r="FE29" s="1231"/>
      <c r="FF29" s="1231"/>
    </row>
    <row r="30" spans="1:162" s="1235" customFormat="1">
      <c r="A30" s="1233"/>
      <c r="B30" s="1234"/>
      <c r="M30" s="1241"/>
      <c r="N30" s="1241"/>
      <c r="O30" s="1241"/>
      <c r="P30" s="1241"/>
      <c r="Q30" s="1241"/>
      <c r="R30" s="1214"/>
      <c r="S30" s="1214"/>
      <c r="T30" s="1214"/>
      <c r="U30" s="1214"/>
      <c r="V30" s="1214"/>
      <c r="W30" s="1214"/>
      <c r="X30" s="1214"/>
      <c r="Y30" s="1214"/>
      <c r="Z30" s="1214"/>
      <c r="AA30" s="1214"/>
      <c r="AB30" s="1214"/>
      <c r="AC30" s="1214"/>
      <c r="AD30" s="1214"/>
      <c r="AE30" s="1214"/>
      <c r="AF30" s="1241"/>
      <c r="AG30" s="1214"/>
      <c r="AH30" s="1214"/>
      <c r="AI30" s="1214"/>
      <c r="AJ30" s="1214"/>
      <c r="AK30" s="1214"/>
      <c r="AL30" s="1214"/>
      <c r="AM30" s="1214"/>
      <c r="AN30" s="1214"/>
      <c r="AO30" s="1214"/>
      <c r="AP30" s="1214"/>
      <c r="AQ30" s="1214"/>
      <c r="AR30" s="1214"/>
      <c r="AS30" s="1214"/>
      <c r="AT30" s="1214"/>
      <c r="AU30" s="1214"/>
      <c r="AV30" s="1214"/>
      <c r="AW30" s="1214"/>
      <c r="AX30" s="1214"/>
      <c r="AY30" s="1214"/>
      <c r="AZ30" s="1214"/>
      <c r="BA30" s="1214"/>
      <c r="BB30" s="1214"/>
      <c r="BC30" s="1214"/>
      <c r="BD30" s="1214"/>
      <c r="BE30" s="1214"/>
      <c r="BF30" s="1214"/>
      <c r="BG30" s="1214"/>
      <c r="BH30" s="1214"/>
      <c r="BI30" s="1214"/>
      <c r="BJ30" s="1214"/>
      <c r="BK30" s="1214"/>
      <c r="BL30" s="1214"/>
      <c r="BM30" s="1214"/>
      <c r="BN30" s="1214"/>
      <c r="BO30" s="1214"/>
      <c r="BP30" s="1214"/>
      <c r="BQ30" s="1214"/>
      <c r="BR30" s="1214"/>
      <c r="BS30" s="1214"/>
      <c r="BT30" s="1214"/>
      <c r="BU30" s="1214"/>
      <c r="BV30" s="1214"/>
      <c r="BW30" s="1214"/>
      <c r="BX30" s="1214"/>
      <c r="BY30" s="1214"/>
      <c r="BZ30" s="1214"/>
      <c r="CA30" s="1214"/>
      <c r="CB30" s="1214"/>
      <c r="CC30" s="1214"/>
      <c r="CD30" s="1214"/>
      <c r="CE30" s="1214"/>
      <c r="CF30" s="1214"/>
      <c r="CG30" s="1214"/>
      <c r="CH30" s="1214"/>
      <c r="CI30" s="1214"/>
      <c r="CJ30" s="1214"/>
      <c r="CO30" s="1165"/>
      <c r="CP30" s="1165"/>
      <c r="CQ30" s="1231"/>
      <c r="CR30" s="1231"/>
      <c r="CS30" s="1231"/>
      <c r="CT30" s="1231"/>
      <c r="CU30" s="1231"/>
      <c r="CV30" s="1231"/>
      <c r="CW30" s="1231"/>
      <c r="CX30" s="1231"/>
      <c r="CY30" s="1231"/>
      <c r="CZ30" s="1231"/>
      <c r="DA30" s="1231"/>
      <c r="DB30" s="1231"/>
      <c r="DC30" s="1231"/>
      <c r="DD30" s="1231"/>
      <c r="DE30" s="1231"/>
      <c r="DF30" s="1231"/>
      <c r="DG30" s="1231"/>
      <c r="DH30" s="1231"/>
      <c r="DI30" s="1231"/>
      <c r="DJ30" s="1231"/>
      <c r="EM30" s="1215"/>
      <c r="EU30" s="1231"/>
      <c r="EV30" s="1231"/>
      <c r="EW30" s="1231"/>
      <c r="EX30" s="1231"/>
      <c r="EY30" s="1231"/>
      <c r="EZ30" s="1231"/>
      <c r="FA30" s="1231"/>
      <c r="FB30" s="1231"/>
      <c r="FC30" s="1231"/>
      <c r="FD30" s="1231"/>
      <c r="FE30" s="1231"/>
      <c r="FF30" s="1231"/>
    </row>
    <row r="31" spans="1:162" s="1235" customFormat="1">
      <c r="A31" s="1233"/>
      <c r="B31" s="1234"/>
      <c r="CO31" s="1165"/>
      <c r="CP31" s="1165"/>
      <c r="CQ31" s="1231"/>
      <c r="CR31" s="1231"/>
      <c r="CS31" s="1231"/>
      <c r="CT31" s="1231"/>
      <c r="CU31" s="1231"/>
      <c r="CV31" s="1231"/>
      <c r="CW31" s="1231"/>
      <c r="CX31" s="1231"/>
      <c r="CY31" s="1231"/>
      <c r="CZ31" s="1231"/>
      <c r="DA31" s="1231"/>
      <c r="DB31" s="1231"/>
      <c r="DC31" s="1231"/>
      <c r="DD31" s="1231"/>
      <c r="DE31" s="1231"/>
      <c r="DF31" s="1231"/>
      <c r="DG31" s="1231"/>
      <c r="DH31" s="1231"/>
      <c r="DI31" s="1231"/>
      <c r="DJ31" s="1231"/>
      <c r="EU31" s="1231"/>
      <c r="EV31" s="1231"/>
      <c r="EW31" s="1231"/>
      <c r="EX31" s="1231"/>
      <c r="EY31" s="1231"/>
      <c r="EZ31" s="1231"/>
      <c r="FA31" s="1231"/>
      <c r="FB31" s="1231"/>
      <c r="FC31" s="1231"/>
      <c r="FD31" s="1231"/>
      <c r="FE31" s="1231"/>
      <c r="FF31" s="1231"/>
    </row>
    <row r="32" spans="1:162" s="1235" customFormat="1">
      <c r="A32" s="1203" t="s">
        <v>450</v>
      </c>
      <c r="B32" s="1244" t="s">
        <v>355</v>
      </c>
      <c r="M32" s="1231">
        <f t="shared" ref="M32:V33" ca="1" si="31">OFFSET($CQ32,0,M$7)+OFFSET($CR32,0,M$7)+OFFSET($CS32,0,M$7)+OFFSET($CT32,0,M$7)</f>
        <v>0</v>
      </c>
      <c r="N32" s="1231">
        <f t="shared" ca="1" si="31"/>
        <v>0</v>
      </c>
      <c r="O32" s="1231">
        <f t="shared" ca="1" si="31"/>
        <v>0</v>
      </c>
      <c r="P32" s="1231">
        <f t="shared" ca="1" si="31"/>
        <v>0</v>
      </c>
      <c r="Q32" s="1231">
        <f t="shared" ca="1" si="31"/>
        <v>0</v>
      </c>
      <c r="R32" s="1231">
        <f t="shared" ca="1" si="31"/>
        <v>0</v>
      </c>
      <c r="S32" s="1231">
        <f t="shared" ca="1" si="31"/>
        <v>0</v>
      </c>
      <c r="T32" s="1231">
        <f t="shared" ca="1" si="31"/>
        <v>0</v>
      </c>
      <c r="U32" s="1231">
        <f t="shared" ca="1" si="31"/>
        <v>0</v>
      </c>
      <c r="V32" s="1231">
        <f t="shared" ca="1" si="31"/>
        <v>0</v>
      </c>
      <c r="W32" s="1231">
        <f t="shared" ref="W32:AC33" ca="1" si="32">OFFSET($CQ32,0,W$7)+OFFSET($CR32,0,W$7)+OFFSET($CS32,0,W$7)+OFFSET($CT32,0,W$7)</f>
        <v>0</v>
      </c>
      <c r="X32" s="1231">
        <f t="shared" ca="1" si="32"/>
        <v>0</v>
      </c>
      <c r="Y32" s="1231">
        <f t="shared" ca="1" si="32"/>
        <v>0</v>
      </c>
      <c r="Z32" s="1231">
        <f t="shared" ca="1" si="32"/>
        <v>0</v>
      </c>
      <c r="AA32" s="1231">
        <f t="shared" ca="1" si="32"/>
        <v>0</v>
      </c>
      <c r="AB32" s="1231">
        <f t="shared" ca="1" si="32"/>
        <v>0</v>
      </c>
      <c r="AC32" s="1231">
        <f t="shared" ca="1" si="32"/>
        <v>0</v>
      </c>
      <c r="AD32" s="1231"/>
      <c r="AE32" s="1231"/>
      <c r="AF32" s="1231"/>
      <c r="AG32" s="1231">
        <f ca="1">OFFSET($CQ32,0,AG$7)</f>
        <v>0</v>
      </c>
      <c r="AH32" s="1231">
        <f ca="1">OFFSET($CQ32,0,AH$7)+OFFSET($CR32,0,AH$7)</f>
        <v>0</v>
      </c>
      <c r="AI32" s="1231">
        <f ca="1">OFFSET($CQ32,0,AI$7)+OFFSET($CR32,0,AI$7)+OFFSET($CS32,0,AI$7)</f>
        <v>0</v>
      </c>
      <c r="AJ32" s="1231">
        <f ca="1">OFFSET($CQ32,0,AJ$7)+OFFSET($CR32,0,AJ$7)+OFFSET($CS32,0,AJ$7)+OFFSET($CT32,0,AJ$7)</f>
        <v>0</v>
      </c>
      <c r="AK32" s="1231">
        <f ca="1">OFFSET($CQ32,0,AK$7)</f>
        <v>0</v>
      </c>
      <c r="AL32" s="1231">
        <f ca="1">OFFSET($CQ32,0,AL$7)+OFFSET($CR32,0,AL$7)</f>
        <v>0</v>
      </c>
      <c r="AM32" s="1231">
        <f ca="1">OFFSET($CQ32,0,AM$7)+OFFSET($CR32,0,AM$7)+OFFSET($CS32,0,AM$7)</f>
        <v>0</v>
      </c>
      <c r="AN32" s="1231">
        <f ca="1">OFFSET($CQ32,0,AN$7)+OFFSET($CR32,0,AN$7)+OFFSET($CS32,0,AN$7)+OFFSET($CT32,0,AN$7)</f>
        <v>0</v>
      </c>
      <c r="AO32" s="1231">
        <f ca="1">OFFSET($CQ32,0,AO$7)</f>
        <v>0</v>
      </c>
      <c r="AP32" s="1231">
        <f ca="1">OFFSET($CQ32,0,AP$7)+OFFSET($CR32,0,AP$7)</f>
        <v>0</v>
      </c>
      <c r="AQ32" s="1231">
        <f ca="1">OFFSET($CQ32,0,AQ$7)+OFFSET($CR32,0,AQ$7)+OFFSET($CS32,0,AQ$7)</f>
        <v>0</v>
      </c>
      <c r="AR32" s="1231">
        <f ca="1">OFFSET($CQ32,0,AR$7)+OFFSET($CR32,0,AR$7)+OFFSET($CS32,0,AR$7)+OFFSET($CT32,0,AR$7)</f>
        <v>0</v>
      </c>
      <c r="AS32" s="1231">
        <f ca="1">OFFSET($CQ32,0,AS$7)</f>
        <v>0</v>
      </c>
      <c r="AT32" s="1231">
        <f ca="1">OFFSET($CQ32,0,AT$7)+OFFSET($CR32,0,AT$7)</f>
        <v>0</v>
      </c>
      <c r="AU32" s="1231">
        <f ca="1">OFFSET($CQ32,0,AU$7)+OFFSET($CR32,0,AU$7)+OFFSET($CS32,0,AU$7)</f>
        <v>0</v>
      </c>
      <c r="AV32" s="1231">
        <f ca="1">OFFSET($CQ32,0,AV$7)+OFFSET($CR32,0,AV$7)+OFFSET($CS32,0,AV$7)+OFFSET($CT32,0,AV$7)</f>
        <v>0</v>
      </c>
      <c r="AW32" s="1231">
        <f ca="1">OFFSET($CQ32,0,AW$7)</f>
        <v>0</v>
      </c>
      <c r="AX32" s="1231">
        <f ca="1">OFFSET($CQ32,0,AX$7)+OFFSET($CR32,0,AX$7)</f>
        <v>0</v>
      </c>
      <c r="AY32" s="1231">
        <f ca="1">OFFSET($CQ32,0,AY$7)+OFFSET($CR32,0,AY$7)+OFFSET($CS32,0,AY$7)</f>
        <v>0</v>
      </c>
      <c r="AZ32" s="1231">
        <f ca="1">OFFSET($CQ32,0,AZ$7)+OFFSET($CR32,0,AZ$7)+OFFSET($CS32,0,AZ$7)+OFFSET($CT32,0,AZ$7)</f>
        <v>0</v>
      </c>
      <c r="BA32" s="1231">
        <f ca="1">OFFSET($CQ32,0,BA$7)</f>
        <v>0</v>
      </c>
      <c r="BB32" s="1231">
        <f ca="1">OFFSET($CQ32,0,BB$7)+OFFSET($CR32,0,BB$7)</f>
        <v>0</v>
      </c>
      <c r="BC32" s="1231">
        <f ca="1">OFFSET($CQ32,0,BC$7)+OFFSET($CR32,0,BC$7)+OFFSET($CS32,0,BC$7)</f>
        <v>0</v>
      </c>
      <c r="BD32" s="1231">
        <f ca="1">OFFSET($CQ32,0,BD$7)+OFFSET($CR32,0,BD$7)+OFFSET($CS32,0,BD$7)+OFFSET($CT32,0,BD$7)</f>
        <v>0</v>
      </c>
      <c r="BE32" s="1231">
        <f ca="1">OFFSET($CQ32,0,BE$7)</f>
        <v>0</v>
      </c>
      <c r="BF32" s="1231">
        <f ca="1">OFFSET($CQ32,0,BF$7)+OFFSET($CR32,0,BF$7)</f>
        <v>0</v>
      </c>
      <c r="BG32" s="1231">
        <f ca="1">OFFSET($CQ32,0,BG$7)+OFFSET($CR32,0,BG$7)+OFFSET($CS32,0,BG$7)</f>
        <v>0</v>
      </c>
      <c r="BH32" s="1231">
        <f ca="1">OFFSET($CQ32,0,BH$7)+OFFSET($CR32,0,BH$7)+OFFSET($CS32,0,BH$7)+OFFSET($CT32,0,BH$7)</f>
        <v>0</v>
      </c>
      <c r="BI32" s="1231">
        <f ca="1">OFFSET($CQ32,0,BI$7)</f>
        <v>0</v>
      </c>
      <c r="BJ32" s="1231">
        <f ca="1">OFFSET($CQ32,0,BJ$7)+OFFSET($CR32,0,BJ$7)</f>
        <v>0</v>
      </c>
      <c r="BK32" s="1231">
        <f ca="1">OFFSET($CQ32,0,BK$7)+OFFSET($CR32,0,BK$7)+OFFSET($CS32,0,BK$7)</f>
        <v>0</v>
      </c>
      <c r="BL32" s="1231">
        <f ca="1">OFFSET($CQ32,0,BL$7)+OFFSET($CR32,0,BL$7)+OFFSET($CS32,0,BL$7)+OFFSET($CT32,0,BL$7)</f>
        <v>0</v>
      </c>
      <c r="BM32" s="1231">
        <f ca="1">OFFSET($CQ32,0,BM$7)</f>
        <v>0</v>
      </c>
      <c r="BN32" s="1231">
        <f ca="1">OFFSET($CQ32,0,BN$7)+OFFSET($CR32,0,BN$7)</f>
        <v>0</v>
      </c>
      <c r="BO32" s="1231">
        <f ca="1">OFFSET($CQ32,0,BO$7)+OFFSET($CR32,0,BO$7)+OFFSET($CS32,0,BO$7)</f>
        <v>0</v>
      </c>
      <c r="BP32" s="1231">
        <f ca="1">OFFSET($CQ32,0,BP$7)+OFFSET($CR32,0,BP$7)+OFFSET($CS32,0,BP$7)+OFFSET($CT32,0,BP$7)</f>
        <v>0</v>
      </c>
      <c r="BQ32" s="1231">
        <f ca="1">OFFSET($CQ32,0,BQ$7)</f>
        <v>0</v>
      </c>
      <c r="BR32" s="1231">
        <f ca="1">OFFSET($CQ32,0,BR$7)+OFFSET($CR32,0,BR$7)</f>
        <v>0</v>
      </c>
      <c r="BS32" s="1231">
        <f ca="1">OFFSET($CQ32,0,BS$7)+OFFSET($CR32,0,BS$7)+OFFSET($CS32,0,BS$7)</f>
        <v>0</v>
      </c>
      <c r="BT32" s="1231">
        <f ca="1">OFFSET($CQ32,0,BT$7)+OFFSET($CR32,0,BT$7)+OFFSET($CS32,0,BT$7)+OFFSET($CT32,0,BT$7)</f>
        <v>0</v>
      </c>
      <c r="BU32" s="1231">
        <f ca="1">OFFSET($CQ32,0,BU$7)</f>
        <v>0</v>
      </c>
      <c r="BV32" s="1231">
        <f ca="1">OFFSET($CQ32,0,BV$7)+OFFSET($CR32,0,BV$7)</f>
        <v>0</v>
      </c>
      <c r="BW32" s="1231">
        <f ca="1">OFFSET($CQ32,0,BW$7)+OFFSET($CR32,0,BW$7)+OFFSET($CS32,0,BW$7)</f>
        <v>0</v>
      </c>
      <c r="BX32" s="1231">
        <f ca="1">OFFSET($CQ32,0,BX$7)+OFFSET($CR32,0,BX$7)+OFFSET($CS32,0,BX$7)+OFFSET($CT32,0,BX$7)</f>
        <v>0</v>
      </c>
      <c r="BY32" s="1231">
        <f ca="1">OFFSET($CQ32,0,BY$7)</f>
        <v>0</v>
      </c>
      <c r="BZ32" s="1231">
        <f ca="1">OFFSET($CQ32,0,BZ$7)+OFFSET($CR32,0,BZ$7)</f>
        <v>0</v>
      </c>
      <c r="CA32" s="1231">
        <f ca="1">OFFSET($CQ32,0,CA$7)+OFFSET($CR32,0,CA$7)+OFFSET($CS32,0,CA$7)</f>
        <v>0</v>
      </c>
      <c r="CB32" s="1231">
        <f ca="1">OFFSET($CQ32,0,CB$7)+OFFSET($CR32,0,CB$7)+OFFSET($CS32,0,CB$7)+OFFSET($CT32,0,CB$7)</f>
        <v>0</v>
      </c>
      <c r="CC32" s="1231">
        <f ca="1">OFFSET($CQ32,0,CC$7)</f>
        <v>0</v>
      </c>
      <c r="CD32" s="1231">
        <f ca="1">OFFSET($CQ32,0,CD$7)+OFFSET($CR32,0,CD$7)</f>
        <v>0</v>
      </c>
      <c r="CE32" s="1231">
        <f ca="1">OFFSET($CQ32,0,CE$7)+OFFSET($CR32,0,CE$7)+OFFSET($CS32,0,CE$7)</f>
        <v>0</v>
      </c>
      <c r="CF32" s="1231">
        <f ca="1">OFFSET($CQ32,0,CF$7)+OFFSET($CR32,0,CF$7)+OFFSET($CS32,0,CF$7)+OFFSET($CT32,0,CF$7)</f>
        <v>0</v>
      </c>
      <c r="CG32" s="1231">
        <f ca="1">OFFSET($CQ32,0,CG$7)</f>
        <v>0</v>
      </c>
      <c r="CH32" s="1231">
        <f ca="1">OFFSET($CQ32,0,CH$7)+OFFSET($CR32,0,CH$7)</f>
        <v>0</v>
      </c>
      <c r="CI32" s="1231">
        <f ca="1">OFFSET($CQ32,0,CI$7)+OFFSET($CR32,0,CI$7)+OFFSET($CS32,0,CI$7)</f>
        <v>0</v>
      </c>
      <c r="CJ32" s="1231">
        <f ca="1">OFFSET($CQ32,0,CJ$7)+OFFSET($CR32,0,CJ$7)+OFFSET($CS32,0,CJ$7)+OFFSET($CT32,0,CJ$7)</f>
        <v>0</v>
      </c>
      <c r="CO32" s="1165"/>
      <c r="CP32" s="1165"/>
      <c r="CQ32" s="1231"/>
      <c r="CR32" s="1231"/>
      <c r="CS32" s="1231"/>
      <c r="CT32" s="1231"/>
      <c r="CU32" s="1231"/>
      <c r="CV32" s="1231"/>
      <c r="CW32" s="1231"/>
      <c r="CX32" s="1231"/>
      <c r="CY32" s="1231"/>
      <c r="CZ32" s="1231"/>
      <c r="DA32" s="1231"/>
      <c r="DB32" s="1231"/>
      <c r="DC32" s="1231"/>
      <c r="DD32" s="1231"/>
      <c r="DE32" s="1231"/>
      <c r="DF32" s="1231"/>
      <c r="DG32" s="1231"/>
      <c r="DH32" s="1231"/>
      <c r="DI32" s="1231"/>
      <c r="DJ32" s="1231"/>
      <c r="DK32" s="1232"/>
      <c r="DL32" s="1232"/>
      <c r="DM32" s="1232"/>
      <c r="DN32" s="1232"/>
      <c r="DO32" s="1232"/>
      <c r="DP32" s="1232"/>
      <c r="DQ32" s="1232"/>
      <c r="DR32" s="1232"/>
      <c r="DS32" s="1232"/>
      <c r="DT32" s="1232"/>
      <c r="DU32" s="1232"/>
      <c r="DV32" s="1232"/>
      <c r="DW32" s="1232">
        <f>-INDEX('Basic Data TR'!$A$1:$AMJ$9673,MATCH($A32,'Basic Data TR'!$A$1:$A$9673,0),MATCH(DW$6,'Basic Data TR'!$A$1:$AMJ$1,0))/1000</f>
        <v>0</v>
      </c>
      <c r="DX32" s="1232">
        <f>-INDEX('Basic Data TR'!$A$1:$AMJ$9673,MATCH($A32,'Basic Data TR'!$A$1:$A$9673,0),MATCH(DX$6,'Basic Data TR'!$A$1:$AMJ$1,0))/1000</f>
        <v>0</v>
      </c>
      <c r="DY32" s="1232">
        <f>-INDEX('Basic Data TR'!$A$1:$AMJ$9673,MATCH($A32,'Basic Data TR'!$A$1:$A$9673,0),MATCH(DY$6,'Basic Data TR'!$A$1:$AMJ$1,0))/1000</f>
        <v>0</v>
      </c>
      <c r="DZ32" s="1232">
        <f>-INDEX('Basic Data TR'!$A$1:$AMJ$9673,MATCH($A32,'Basic Data TR'!$A$1:$A$9673,0),MATCH(DZ$6,'Basic Data TR'!$A$1:$AMJ$1,0))/1000</f>
        <v>0</v>
      </c>
      <c r="EA32" s="1232">
        <f>-INDEX('Basic Data TR'!$A$1:$AMJ$9673,MATCH($A32,'Basic Data TR'!$A$1:$A$9673,0),MATCH(EA$6,'Basic Data TR'!$A$1:$AMJ$1,0))/1000</f>
        <v>0</v>
      </c>
      <c r="EB32" s="1232">
        <f>-INDEX('Basic Data TR'!$A$1:$AMJ$9673,MATCH($A32,'Basic Data TR'!$A$1:$A$9673,0),MATCH(EB$6,'Basic Data TR'!$A$1:$AMJ$1,0))/1000</f>
        <v>0</v>
      </c>
      <c r="EC32" s="1232">
        <f>-INDEX('Basic Data TR'!$A$1:$AMJ$9673,MATCH($A32,'Basic Data TR'!$A$1:$A$9673,0),MATCH(EC$6,'Basic Data TR'!$A$1:$AMJ$1,0))/1000</f>
        <v>0</v>
      </c>
      <c r="ED32" s="1232">
        <f>-INDEX('Basic Data TR'!$A$1:$AMJ$9673,MATCH($A32,'Basic Data TR'!$A$1:$A$9673,0),MATCH(ED$6,'Basic Data TR'!$A$1:$AMJ$1,0))/1000</f>
        <v>0</v>
      </c>
      <c r="EE32" s="1232">
        <f>-INDEX('Basic Data TR'!$A$1:$AMJ$9673,MATCH($A32,'Basic Data TR'!$A$1:$A$9673,0),MATCH(EE$6,'Basic Data TR'!$A$1:$AMJ$1,0))/1000</f>
        <v>0</v>
      </c>
      <c r="EF32" s="1232">
        <f>-INDEX('Basic Data TR'!$A$1:$AMJ$9673,MATCH($A32,'Basic Data TR'!$A$1:$A$9673,0),MATCH(EF$6,'Basic Data TR'!$A$1:$AMJ$1,0))/1000</f>
        <v>0</v>
      </c>
      <c r="EG32" s="1232">
        <f>-INDEX('Basic Data TR'!$A$1:$AMJ$9673,MATCH($A32,'Basic Data TR'!$A$1:$A$9673,0),MATCH(EG$6,'Basic Data TR'!$A$1:$AMJ$1,0))/1000</f>
        <v>0</v>
      </c>
      <c r="EH32" s="1232">
        <f>-INDEX('Basic Data TR'!$A$1:$AMJ$9673,MATCH($A32,'Basic Data TR'!$A$1:$A$9673,0),MATCH(EH$6,'Basic Data TR'!$A$1:$AMJ$1,0))/1000</f>
        <v>0</v>
      </c>
      <c r="EI32" s="1232">
        <f>-INDEX('Basic Data TR'!$A$1:$AMJ$9673,MATCH($A32,'Basic Data TR'!$A$1:$A$9673,0),MATCH(EI$6,'Basic Data TR'!$A$1:$AMJ$1,0))/1000</f>
        <v>0</v>
      </c>
      <c r="EJ32" s="1232">
        <f>-INDEX('Basic Data TR'!$A$1:$AMJ$9673,MATCH($A32,'Basic Data TR'!$A$1:$A$9673,0),MATCH(EJ$6,'Basic Data TR'!$A$1:$AMJ$1,0))/1000</f>
        <v>0</v>
      </c>
      <c r="EK32" s="1232">
        <f>-INDEX('Basic Data TR'!$A$1:$AMJ$9673,MATCH($A32,'Basic Data TR'!$A$1:$A$9673,0),MATCH(EK$6,'Basic Data TR'!$A$1:$AMJ$1,0))/1000</f>
        <v>0</v>
      </c>
      <c r="EL32" s="1232">
        <f>-INDEX('Basic Data TR'!$A$1:$AMJ$9673,MATCH($A32,'Basic Data TR'!$A$1:$A$9673,0),MATCH(EL$6,'Basic Data TR'!$A$1:$AMJ$1,0))/1000</f>
        <v>0</v>
      </c>
      <c r="EM32" s="1232">
        <f>-INDEX('Basic Data TR'!$A$1:$AMJ$9673,MATCH($A32,'Basic Data TR'!$A$1:$A$9673,0),MATCH(EM$6,'Basic Data TR'!$A$1:$AMJ$1,0))/1000</f>
        <v>0</v>
      </c>
      <c r="EN32" s="1232">
        <f>-INDEX('Basic Data TR'!$A$1:$AMJ$9673,MATCH($A32,'Basic Data TR'!$A$1:$A$9673,0),MATCH(EN$6,'Basic Data TR'!$A$1:$AMJ$1,0))/1000</f>
        <v>0</v>
      </c>
      <c r="EO32" s="1232">
        <f>-INDEX('Basic Data TR'!$A$1:$AMJ$9673,MATCH($A32,'Basic Data TR'!$A$1:$A$9673,0),MATCH(EO$6,'Basic Data TR'!$A$1:$AMJ$1,0))/1000</f>
        <v>0</v>
      </c>
      <c r="EP32" s="1232">
        <f>-INDEX('Basic Data TR'!$A$1:$AMJ$9673,MATCH($A32,'Basic Data TR'!$A$1:$A$9673,0),MATCH(EP$6,'Basic Data TR'!$A$1:$AMJ$1,0))/1000</f>
        <v>0</v>
      </c>
      <c r="EQ32" s="1232">
        <f>-INDEX('Basic Data TR'!$A$1:$AMJ$9673,MATCH($A32,'Basic Data TR'!$A$1:$A$9673,0),MATCH(EQ$6,'Basic Data TR'!$A$1:$AMJ$1,0))/1000</f>
        <v>0</v>
      </c>
      <c r="ER32" s="1232">
        <f>-INDEX('Basic Data TR'!$A$1:$AMJ$9673,MATCH($A32,'Basic Data TR'!$A$1:$A$9673,0),MATCH(ER$6,'Basic Data TR'!$A$1:$AMJ$1,0))/1000</f>
        <v>0</v>
      </c>
      <c r="ES32" s="1232">
        <f>-INDEX('Basic Data TR'!$A$1:$AMJ$9673,MATCH($A32,'Basic Data TR'!$A$1:$A$9673,0),MATCH(ES$6,'Basic Data TR'!$A$1:$AMJ$1,0))/1000</f>
        <v>0</v>
      </c>
      <c r="ET32" s="1232">
        <f>-INDEX('Basic Data TR'!$A$1:$AMJ$9673,MATCH($A32,'Basic Data TR'!$A$1:$A$9673,0),MATCH(ET$6,'Basic Data TR'!$A$1:$AMJ$1,0))/1000</f>
        <v>0</v>
      </c>
      <c r="EU32" s="1231"/>
      <c r="EV32" s="1231"/>
      <c r="EW32" s="1231"/>
      <c r="EX32" s="1231"/>
      <c r="EY32" s="1231"/>
      <c r="EZ32" s="1231"/>
      <c r="FA32" s="1231"/>
      <c r="FB32" s="1231"/>
      <c r="FC32" s="1231"/>
      <c r="FD32" s="1231"/>
      <c r="FE32" s="1231"/>
      <c r="FF32" s="1231"/>
    </row>
    <row r="33" spans="1:162" s="1235" customFormat="1">
      <c r="A33" s="1203" t="s">
        <v>451</v>
      </c>
      <c r="B33" s="1244" t="s">
        <v>356</v>
      </c>
      <c r="M33" s="1231">
        <f t="shared" ca="1" si="31"/>
        <v>0</v>
      </c>
      <c r="N33" s="1231">
        <f t="shared" ca="1" si="31"/>
        <v>0</v>
      </c>
      <c r="O33" s="1231">
        <f t="shared" ca="1" si="31"/>
        <v>0</v>
      </c>
      <c r="P33" s="1231">
        <f t="shared" ca="1" si="31"/>
        <v>0</v>
      </c>
      <c r="Q33" s="1231">
        <f t="shared" ca="1" si="31"/>
        <v>0</v>
      </c>
      <c r="R33" s="1231">
        <f t="shared" ca="1" si="31"/>
        <v>0</v>
      </c>
      <c r="S33" s="1231">
        <f t="shared" ca="1" si="31"/>
        <v>0</v>
      </c>
      <c r="T33" s="1231">
        <f t="shared" ca="1" si="31"/>
        <v>0</v>
      </c>
      <c r="U33" s="1231">
        <f t="shared" ca="1" si="31"/>
        <v>0</v>
      </c>
      <c r="V33" s="1231">
        <f t="shared" ca="1" si="31"/>
        <v>0</v>
      </c>
      <c r="W33" s="1231">
        <f t="shared" ca="1" si="32"/>
        <v>0</v>
      </c>
      <c r="X33" s="1231">
        <f t="shared" ca="1" si="32"/>
        <v>0</v>
      </c>
      <c r="Y33" s="1231">
        <f t="shared" ca="1" si="32"/>
        <v>0</v>
      </c>
      <c r="Z33" s="1231">
        <f t="shared" ca="1" si="32"/>
        <v>0</v>
      </c>
      <c r="AA33" s="1231">
        <f t="shared" ca="1" si="32"/>
        <v>0</v>
      </c>
      <c r="AB33" s="1231">
        <f t="shared" ca="1" si="32"/>
        <v>0</v>
      </c>
      <c r="AC33" s="1231">
        <f t="shared" ca="1" si="32"/>
        <v>0</v>
      </c>
      <c r="AD33" s="1231"/>
      <c r="AE33" s="1231"/>
      <c r="AF33" s="1231"/>
      <c r="AG33" s="1231">
        <f ca="1">OFFSET($CQ33,0,AG$7)</f>
        <v>0</v>
      </c>
      <c r="AH33" s="1231">
        <f ca="1">OFFSET($CQ33,0,AH$7)+OFFSET($CR33,0,AH$7)</f>
        <v>0</v>
      </c>
      <c r="AI33" s="1231">
        <f ca="1">OFFSET($CQ33,0,AI$7)+OFFSET($CR33,0,AI$7)+OFFSET($CS33,0,AI$7)</f>
        <v>0</v>
      </c>
      <c r="AJ33" s="1231">
        <f ca="1">OFFSET($CQ33,0,AJ$7)+OFFSET($CR33,0,AJ$7)+OFFSET($CS33,0,AJ$7)+OFFSET($CT33,0,AJ$7)</f>
        <v>0</v>
      </c>
      <c r="AK33" s="1231">
        <f ca="1">OFFSET($CQ33,0,AK$7)</f>
        <v>0</v>
      </c>
      <c r="AL33" s="1231">
        <f ca="1">OFFSET($CQ33,0,AL$7)+OFFSET($CR33,0,AL$7)</f>
        <v>0</v>
      </c>
      <c r="AM33" s="1231">
        <f ca="1">OFFSET($CQ33,0,AM$7)+OFFSET($CR33,0,AM$7)+OFFSET($CS33,0,AM$7)</f>
        <v>0</v>
      </c>
      <c r="AN33" s="1231">
        <f ca="1">OFFSET($CQ33,0,AN$7)+OFFSET($CR33,0,AN$7)+OFFSET($CS33,0,AN$7)+OFFSET($CT33,0,AN$7)</f>
        <v>0</v>
      </c>
      <c r="AO33" s="1231">
        <f ca="1">OFFSET($CQ33,0,AO$7)</f>
        <v>0</v>
      </c>
      <c r="AP33" s="1231">
        <f ca="1">OFFSET($CQ33,0,AP$7)+OFFSET($CR33,0,AP$7)</f>
        <v>0</v>
      </c>
      <c r="AQ33" s="1231">
        <f ca="1">OFFSET($CQ33,0,AQ$7)+OFFSET($CR33,0,AQ$7)+OFFSET($CS33,0,AQ$7)</f>
        <v>0</v>
      </c>
      <c r="AR33" s="1231">
        <f ca="1">OFFSET($CQ33,0,AR$7)+OFFSET($CR33,0,AR$7)+OFFSET($CS33,0,AR$7)+OFFSET($CT33,0,AR$7)</f>
        <v>0</v>
      </c>
      <c r="AS33" s="1231">
        <f ca="1">OFFSET($CQ33,0,AS$7)</f>
        <v>0</v>
      </c>
      <c r="AT33" s="1231">
        <f ca="1">OFFSET($CQ33,0,AT$7)+OFFSET($CR33,0,AT$7)</f>
        <v>0</v>
      </c>
      <c r="AU33" s="1231">
        <f ca="1">OFFSET($CQ33,0,AU$7)+OFFSET($CR33,0,AU$7)+OFFSET($CS33,0,AU$7)</f>
        <v>0</v>
      </c>
      <c r="AV33" s="1231">
        <f ca="1">OFFSET($CQ33,0,AV$7)+OFFSET($CR33,0,AV$7)+OFFSET($CS33,0,AV$7)+OFFSET($CT33,0,AV$7)</f>
        <v>0</v>
      </c>
      <c r="AW33" s="1231">
        <f ca="1">OFFSET($CQ33,0,AW$7)</f>
        <v>0</v>
      </c>
      <c r="AX33" s="1231">
        <f ca="1">OFFSET($CQ33,0,AX$7)+OFFSET($CR33,0,AX$7)</f>
        <v>0</v>
      </c>
      <c r="AY33" s="1231">
        <f ca="1">OFFSET($CQ33,0,AY$7)+OFFSET($CR33,0,AY$7)+OFFSET($CS33,0,AY$7)</f>
        <v>0</v>
      </c>
      <c r="AZ33" s="1231">
        <f ca="1">OFFSET($CQ33,0,AZ$7)+OFFSET($CR33,0,AZ$7)+OFFSET($CS33,0,AZ$7)+OFFSET($CT33,0,AZ$7)</f>
        <v>0</v>
      </c>
      <c r="BA33" s="1231">
        <f ca="1">OFFSET($CQ33,0,BA$7)</f>
        <v>0</v>
      </c>
      <c r="BB33" s="1231">
        <f ca="1">OFFSET($CQ33,0,BB$7)+OFFSET($CR33,0,BB$7)</f>
        <v>0</v>
      </c>
      <c r="BC33" s="1231">
        <f ca="1">OFFSET($CQ33,0,BC$7)+OFFSET($CR33,0,BC$7)+OFFSET($CS33,0,BC$7)</f>
        <v>0</v>
      </c>
      <c r="BD33" s="1231">
        <f ca="1">OFFSET($CQ33,0,BD$7)+OFFSET($CR33,0,BD$7)+OFFSET($CS33,0,BD$7)+OFFSET($CT33,0,BD$7)</f>
        <v>0</v>
      </c>
      <c r="BE33" s="1231">
        <f ca="1">OFFSET($CQ33,0,BE$7)</f>
        <v>0</v>
      </c>
      <c r="BF33" s="1231">
        <f ca="1">OFFSET($CQ33,0,BF$7)+OFFSET($CR33,0,BF$7)</f>
        <v>0</v>
      </c>
      <c r="BG33" s="1231">
        <f ca="1">OFFSET($CQ33,0,BG$7)+OFFSET($CR33,0,BG$7)+OFFSET($CS33,0,BG$7)</f>
        <v>0</v>
      </c>
      <c r="BH33" s="1231">
        <f ca="1">OFFSET($CQ33,0,BH$7)+OFFSET($CR33,0,BH$7)+OFFSET($CS33,0,BH$7)+OFFSET($CT33,0,BH$7)</f>
        <v>0</v>
      </c>
      <c r="BI33" s="1231">
        <f ca="1">OFFSET($CQ33,0,BI$7)</f>
        <v>0</v>
      </c>
      <c r="BJ33" s="1231">
        <f ca="1">OFFSET($CQ33,0,BJ$7)+OFFSET($CR33,0,BJ$7)</f>
        <v>0</v>
      </c>
      <c r="BK33" s="1231">
        <f ca="1">OFFSET($CQ33,0,BK$7)+OFFSET($CR33,0,BK$7)+OFFSET($CS33,0,BK$7)</f>
        <v>0</v>
      </c>
      <c r="BL33" s="1231">
        <f ca="1">OFFSET($CQ33,0,BL$7)+OFFSET($CR33,0,BL$7)+OFFSET($CS33,0,BL$7)+OFFSET($CT33,0,BL$7)</f>
        <v>0</v>
      </c>
      <c r="BM33" s="1231">
        <f ca="1">OFFSET($CQ33,0,BM$7)</f>
        <v>0</v>
      </c>
      <c r="BN33" s="1231">
        <f ca="1">OFFSET($CQ33,0,BN$7)+OFFSET($CR33,0,BN$7)</f>
        <v>0</v>
      </c>
      <c r="BO33" s="1231">
        <f ca="1">OFFSET($CQ33,0,BO$7)+OFFSET($CR33,0,BO$7)+OFFSET($CS33,0,BO$7)</f>
        <v>0</v>
      </c>
      <c r="BP33" s="1231">
        <f ca="1">OFFSET($CQ33,0,BP$7)+OFFSET($CR33,0,BP$7)+OFFSET($CS33,0,BP$7)+OFFSET($CT33,0,BP$7)</f>
        <v>0</v>
      </c>
      <c r="BQ33" s="1231">
        <f ca="1">OFFSET($CQ33,0,BQ$7)</f>
        <v>0</v>
      </c>
      <c r="BR33" s="1231">
        <f ca="1">OFFSET($CQ33,0,BR$7)+OFFSET($CR33,0,BR$7)</f>
        <v>0</v>
      </c>
      <c r="BS33" s="1231">
        <f ca="1">OFFSET($CQ33,0,BS$7)+OFFSET($CR33,0,BS$7)+OFFSET($CS33,0,BS$7)</f>
        <v>0</v>
      </c>
      <c r="BT33" s="1231">
        <f ca="1">OFFSET($CQ33,0,BT$7)+OFFSET($CR33,0,BT$7)+OFFSET($CS33,0,BT$7)+OFFSET($CT33,0,BT$7)</f>
        <v>0</v>
      </c>
      <c r="BU33" s="1231">
        <f ca="1">OFFSET($CQ33,0,BU$7)</f>
        <v>0</v>
      </c>
      <c r="BV33" s="1231">
        <f ca="1">OFFSET($CQ33,0,BV$7)+OFFSET($CR33,0,BV$7)</f>
        <v>0</v>
      </c>
      <c r="BW33" s="1231">
        <f ca="1">OFFSET($CQ33,0,BW$7)+OFFSET($CR33,0,BW$7)+OFFSET($CS33,0,BW$7)</f>
        <v>0</v>
      </c>
      <c r="BX33" s="1231">
        <f ca="1">OFFSET($CQ33,0,BX$7)+OFFSET($CR33,0,BX$7)+OFFSET($CS33,0,BX$7)+OFFSET($CT33,0,BX$7)</f>
        <v>0</v>
      </c>
      <c r="BY33" s="1231">
        <f ca="1">OFFSET($CQ33,0,BY$7)</f>
        <v>0</v>
      </c>
      <c r="BZ33" s="1231">
        <f ca="1">OFFSET($CQ33,0,BZ$7)+OFFSET($CR33,0,BZ$7)</f>
        <v>0</v>
      </c>
      <c r="CA33" s="1231">
        <f ca="1">OFFSET($CQ33,0,CA$7)+OFFSET($CR33,0,CA$7)+OFFSET($CS33,0,CA$7)</f>
        <v>0</v>
      </c>
      <c r="CB33" s="1231">
        <f ca="1">OFFSET($CQ33,0,CB$7)+OFFSET($CR33,0,CB$7)+OFFSET($CS33,0,CB$7)+OFFSET($CT33,0,CB$7)</f>
        <v>0</v>
      </c>
      <c r="CC33" s="1231">
        <f ca="1">OFFSET($CQ33,0,CC$7)</f>
        <v>0</v>
      </c>
      <c r="CD33" s="1231">
        <f ca="1">OFFSET($CQ33,0,CD$7)+OFFSET($CR33,0,CD$7)</f>
        <v>0</v>
      </c>
      <c r="CE33" s="1231">
        <f ca="1">OFFSET($CQ33,0,CE$7)+OFFSET($CR33,0,CE$7)+OFFSET($CS33,0,CE$7)</f>
        <v>0</v>
      </c>
      <c r="CF33" s="1231">
        <f ca="1">OFFSET($CQ33,0,CF$7)+OFFSET($CR33,0,CF$7)+OFFSET($CS33,0,CF$7)+OFFSET($CT33,0,CF$7)</f>
        <v>0</v>
      </c>
      <c r="CG33" s="1231">
        <f ca="1">OFFSET($CQ33,0,CG$7)</f>
        <v>0</v>
      </c>
      <c r="CH33" s="1231">
        <f ca="1">OFFSET($CQ33,0,CH$7)+OFFSET($CR33,0,CH$7)</f>
        <v>0</v>
      </c>
      <c r="CI33" s="1231">
        <f ca="1">OFFSET($CQ33,0,CI$7)+OFFSET($CR33,0,CI$7)+OFFSET($CS33,0,CI$7)</f>
        <v>0</v>
      </c>
      <c r="CJ33" s="1231">
        <f ca="1">OFFSET($CQ33,0,CJ$7)+OFFSET($CR33,0,CJ$7)+OFFSET($CS33,0,CJ$7)+OFFSET($CT33,0,CJ$7)</f>
        <v>0</v>
      </c>
      <c r="CO33" s="1165"/>
      <c r="CP33" s="1165"/>
      <c r="CQ33" s="1231"/>
      <c r="CR33" s="1231"/>
      <c r="CS33" s="1231"/>
      <c r="CT33" s="1231"/>
      <c r="CU33" s="1231"/>
      <c r="CV33" s="1231"/>
      <c r="CW33" s="1231"/>
      <c r="CX33" s="1231"/>
      <c r="CY33" s="1231"/>
      <c r="CZ33" s="1231"/>
      <c r="DA33" s="1231"/>
      <c r="DB33" s="1231"/>
      <c r="DC33" s="1231"/>
      <c r="DD33" s="1231"/>
      <c r="DE33" s="1231"/>
      <c r="DF33" s="1231"/>
      <c r="DG33" s="1231"/>
      <c r="DH33" s="1231"/>
      <c r="DI33" s="1231"/>
      <c r="DJ33" s="1231"/>
      <c r="DK33" s="1232"/>
      <c r="DL33" s="1232"/>
      <c r="DM33" s="1232"/>
      <c r="DN33" s="1232"/>
      <c r="DO33" s="1232"/>
      <c r="DP33" s="1232"/>
      <c r="DQ33" s="1232"/>
      <c r="DR33" s="1232"/>
      <c r="DS33" s="1232"/>
      <c r="DT33" s="1232"/>
      <c r="DU33" s="1232"/>
      <c r="DV33" s="1232"/>
      <c r="DW33" s="1232">
        <f>-INDEX('Basic Data TR'!$A$1:$AMJ$9673,MATCH($A33,'Basic Data TR'!$A$1:$A$9673,0),MATCH(DW$6,'Basic Data TR'!$A$1:$AMJ$1,0))/1000</f>
        <v>0</v>
      </c>
      <c r="DX33" s="1232">
        <f>-INDEX('Basic Data TR'!$A$1:$AMJ$9673,MATCH($A33,'Basic Data TR'!$A$1:$A$9673,0),MATCH(DX$6,'Basic Data TR'!$A$1:$AMJ$1,0))/1000</f>
        <v>0</v>
      </c>
      <c r="DY33" s="1232">
        <f>-INDEX('Basic Data TR'!$A$1:$AMJ$9673,MATCH($A33,'Basic Data TR'!$A$1:$A$9673,0),MATCH(DY$6,'Basic Data TR'!$A$1:$AMJ$1,0))/1000</f>
        <v>0</v>
      </c>
      <c r="DZ33" s="1232">
        <f>-INDEX('Basic Data TR'!$A$1:$AMJ$9673,MATCH($A33,'Basic Data TR'!$A$1:$A$9673,0),MATCH(DZ$6,'Basic Data TR'!$A$1:$AMJ$1,0))/1000</f>
        <v>0</v>
      </c>
      <c r="EA33" s="1232">
        <f>-INDEX('Basic Data TR'!$A$1:$AMJ$9673,MATCH($A33,'Basic Data TR'!$A$1:$A$9673,0),MATCH(EA$6,'Basic Data TR'!$A$1:$AMJ$1,0))/1000</f>
        <v>0</v>
      </c>
      <c r="EB33" s="1232">
        <f>-INDEX('Basic Data TR'!$A$1:$AMJ$9673,MATCH($A33,'Basic Data TR'!$A$1:$A$9673,0),MATCH(EB$6,'Basic Data TR'!$A$1:$AMJ$1,0))/1000</f>
        <v>0</v>
      </c>
      <c r="EC33" s="1232">
        <f>-INDEX('Basic Data TR'!$A$1:$AMJ$9673,MATCH($A33,'Basic Data TR'!$A$1:$A$9673,0),MATCH(EC$6,'Basic Data TR'!$A$1:$AMJ$1,0))/1000</f>
        <v>0</v>
      </c>
      <c r="ED33" s="1232">
        <f>-INDEX('Basic Data TR'!$A$1:$AMJ$9673,MATCH($A33,'Basic Data TR'!$A$1:$A$9673,0),MATCH(ED$6,'Basic Data TR'!$A$1:$AMJ$1,0))/1000</f>
        <v>0</v>
      </c>
      <c r="EE33" s="1232">
        <f>-INDEX('Basic Data TR'!$A$1:$AMJ$9673,MATCH($A33,'Basic Data TR'!$A$1:$A$9673,0),MATCH(EE$6,'Basic Data TR'!$A$1:$AMJ$1,0))/1000</f>
        <v>0</v>
      </c>
      <c r="EF33" s="1232">
        <f>-INDEX('Basic Data TR'!$A$1:$AMJ$9673,MATCH($A33,'Basic Data TR'!$A$1:$A$9673,0),MATCH(EF$6,'Basic Data TR'!$A$1:$AMJ$1,0))/1000</f>
        <v>0</v>
      </c>
      <c r="EG33" s="1232">
        <f>-INDEX('Basic Data TR'!$A$1:$AMJ$9673,MATCH($A33,'Basic Data TR'!$A$1:$A$9673,0),MATCH(EG$6,'Basic Data TR'!$A$1:$AMJ$1,0))/1000</f>
        <v>0</v>
      </c>
      <c r="EH33" s="1232">
        <f>-INDEX('Basic Data TR'!$A$1:$AMJ$9673,MATCH($A33,'Basic Data TR'!$A$1:$A$9673,0),MATCH(EH$6,'Basic Data TR'!$A$1:$AMJ$1,0))/1000</f>
        <v>0</v>
      </c>
      <c r="EI33" s="1232">
        <f>-INDEX('Basic Data TR'!$A$1:$AMJ$9673,MATCH($A33,'Basic Data TR'!$A$1:$A$9673,0),MATCH(EI$6,'Basic Data TR'!$A$1:$AMJ$1,0))/1000</f>
        <v>0</v>
      </c>
      <c r="EJ33" s="1232">
        <f>-INDEX('Basic Data TR'!$A$1:$AMJ$9673,MATCH($A33,'Basic Data TR'!$A$1:$A$9673,0),MATCH(EJ$6,'Basic Data TR'!$A$1:$AMJ$1,0))/1000</f>
        <v>0</v>
      </c>
      <c r="EK33" s="1232">
        <f>-INDEX('Basic Data TR'!$A$1:$AMJ$9673,MATCH($A33,'Basic Data TR'!$A$1:$A$9673,0),MATCH(EK$6,'Basic Data TR'!$A$1:$AMJ$1,0))/1000</f>
        <v>0</v>
      </c>
      <c r="EL33" s="1232">
        <f>-INDEX('Basic Data TR'!$A$1:$AMJ$9673,MATCH($A33,'Basic Data TR'!$A$1:$A$9673,0),MATCH(EL$6,'Basic Data TR'!$A$1:$AMJ$1,0))/1000</f>
        <v>0</v>
      </c>
      <c r="EM33" s="1232">
        <f>-INDEX('Basic Data TR'!$A$1:$AMJ$9673,MATCH($A33,'Basic Data TR'!$A$1:$A$9673,0),MATCH(EM$6,'Basic Data TR'!$A$1:$AMJ$1,0))/1000</f>
        <v>0</v>
      </c>
      <c r="EN33" s="1232">
        <f>-INDEX('Basic Data TR'!$A$1:$AMJ$9673,MATCH($A33,'Basic Data TR'!$A$1:$A$9673,0),MATCH(EN$6,'Basic Data TR'!$A$1:$AMJ$1,0))/1000</f>
        <v>0</v>
      </c>
      <c r="EO33" s="1232">
        <f>-INDEX('Basic Data TR'!$A$1:$AMJ$9673,MATCH($A33,'Basic Data TR'!$A$1:$A$9673,0),MATCH(EO$6,'Basic Data TR'!$A$1:$AMJ$1,0))/1000</f>
        <v>0</v>
      </c>
      <c r="EP33" s="1232">
        <f>-INDEX('Basic Data TR'!$A$1:$AMJ$9673,MATCH($A33,'Basic Data TR'!$A$1:$A$9673,0),MATCH(EP$6,'Basic Data TR'!$A$1:$AMJ$1,0))/1000</f>
        <v>0</v>
      </c>
      <c r="EQ33" s="1232">
        <f>-INDEX('Basic Data TR'!$A$1:$AMJ$9673,MATCH($A33,'Basic Data TR'!$A$1:$A$9673,0),MATCH(EQ$6,'Basic Data TR'!$A$1:$AMJ$1,0))/1000</f>
        <v>0</v>
      </c>
      <c r="ER33" s="1232">
        <f>-INDEX('Basic Data TR'!$A$1:$AMJ$9673,MATCH($A33,'Basic Data TR'!$A$1:$A$9673,0),MATCH(ER$6,'Basic Data TR'!$A$1:$AMJ$1,0))/1000</f>
        <v>0</v>
      </c>
      <c r="ES33" s="1232">
        <f>-INDEX('Basic Data TR'!$A$1:$AMJ$9673,MATCH($A33,'Basic Data TR'!$A$1:$A$9673,0),MATCH(ES$6,'Basic Data TR'!$A$1:$AMJ$1,0))/1000</f>
        <v>0</v>
      </c>
      <c r="ET33" s="1232">
        <f>-INDEX('Basic Data TR'!$A$1:$AMJ$9673,MATCH($A33,'Basic Data TR'!$A$1:$A$9673,0),MATCH(ET$6,'Basic Data TR'!$A$1:$AMJ$1,0))/1000</f>
        <v>0</v>
      </c>
      <c r="EU33" s="1231"/>
      <c r="EV33" s="1231"/>
      <c r="EW33" s="1231"/>
      <c r="EX33" s="1231"/>
      <c r="EY33" s="1231"/>
      <c r="EZ33" s="1231"/>
      <c r="FA33" s="1231"/>
      <c r="FB33" s="1231"/>
      <c r="FC33" s="1231"/>
      <c r="FD33" s="1231"/>
      <c r="FE33" s="1231"/>
      <c r="FF33" s="1231"/>
    </row>
    <row r="34" spans="1:162" s="1231" customFormat="1">
      <c r="A34" s="1229"/>
      <c r="B34" s="1230" t="s">
        <v>143</v>
      </c>
      <c r="M34" s="1231">
        <f ca="1">M28-M32-M33</f>
        <v>0</v>
      </c>
      <c r="N34" s="1231">
        <f ca="1">N28-N32-N33</f>
        <v>0</v>
      </c>
      <c r="O34" s="1231">
        <f ca="1">O28-O32-O33</f>
        <v>0</v>
      </c>
      <c r="P34" s="1231">
        <f ca="1">P28-P32-P33</f>
        <v>0</v>
      </c>
      <c r="Q34" s="1231">
        <f ca="1">Q28-Q32-Q33</f>
        <v>0</v>
      </c>
      <c r="R34" s="1231">
        <f t="shared" ref="R34:Y34" ca="1" si="33">R28-R32-R33</f>
        <v>0</v>
      </c>
      <c r="S34" s="1231">
        <f t="shared" ca="1" si="33"/>
        <v>0</v>
      </c>
      <c r="T34" s="1231">
        <f t="shared" ca="1" si="33"/>
        <v>0</v>
      </c>
      <c r="U34" s="1231">
        <f t="shared" ca="1" si="33"/>
        <v>187.08699999999996</v>
      </c>
      <c r="V34" s="1231">
        <f t="shared" ca="1" si="33"/>
        <v>130.24499999999978</v>
      </c>
      <c r="W34" s="1231">
        <f t="shared" ca="1" si="33"/>
        <v>222.00399999999996</v>
      </c>
      <c r="X34" s="1231">
        <f t="shared" ca="1" si="33"/>
        <v>339.2059999999999</v>
      </c>
      <c r="Y34" s="1231">
        <f t="shared" ca="1" si="33"/>
        <v>124.89500000000021</v>
      </c>
      <c r="Z34" s="1231">
        <f ca="1">Z28-Z32-Z33</f>
        <v>14.639999999999645</v>
      </c>
      <c r="AA34" s="1231">
        <f ca="1">AA28-AA32-AA33</f>
        <v>0</v>
      </c>
      <c r="AB34" s="1231">
        <f ca="1">AB28-AB32-AB33</f>
        <v>0</v>
      </c>
      <c r="AC34" s="1231">
        <f ca="1">AC28-AC32-AC33</f>
        <v>0</v>
      </c>
      <c r="AG34" s="1231">
        <f ca="1">OFFSET($CQ34,0,AG$7)</f>
        <v>0</v>
      </c>
      <c r="AH34" s="1231">
        <f ca="1">OFFSET($CQ34,0,AH$7)+OFFSET($CR34,0,AH$7)</f>
        <v>0</v>
      </c>
      <c r="AI34" s="1231">
        <f ca="1">OFFSET($CQ34,0,AI$7)+OFFSET($CR34,0,AI$7)+OFFSET($CS34,0,AI$7)</f>
        <v>0</v>
      </c>
      <c r="AJ34" s="1231">
        <f ca="1">OFFSET($CQ34,0,AJ$7)+OFFSET($CR34,0,AJ$7)+OFFSET($CS34,0,AJ$7)+OFFSET($CT34,0,AJ$7)</f>
        <v>0</v>
      </c>
      <c r="AK34" s="1231">
        <f ca="1">OFFSET($CQ34,0,AK$7)</f>
        <v>0</v>
      </c>
      <c r="AL34" s="1231">
        <f ca="1">OFFSET($CQ34,0,AL$7)+OFFSET($CR34,0,AL$7)</f>
        <v>0</v>
      </c>
      <c r="AM34" s="1231">
        <f ca="1">OFFSET($CQ34,0,AM$7)+OFFSET($CR34,0,AM$7)+OFFSET($CS34,0,AM$7)</f>
        <v>0</v>
      </c>
      <c r="AN34" s="1231">
        <f ca="1">OFFSET($CQ34,0,AN$7)+OFFSET($CR34,0,AN$7)+OFFSET($CS34,0,AN$7)+OFFSET($CT34,0,AN$7)</f>
        <v>0</v>
      </c>
      <c r="AO34" s="1231">
        <f ca="1">OFFSET($CQ34,0,AO$7)</f>
        <v>0</v>
      </c>
      <c r="AP34" s="1231">
        <f ca="1">OFFSET($CQ34,0,AP$7)+OFFSET($CR34,0,AP$7)</f>
        <v>0</v>
      </c>
      <c r="AQ34" s="1231">
        <f ca="1">OFFSET($CQ34,0,AQ$7)+OFFSET($CR34,0,AQ$7)+OFFSET($CS34,0,AQ$7)</f>
        <v>0</v>
      </c>
      <c r="AR34" s="1231">
        <f ca="1">OFFSET($CQ34,0,AR$7)+OFFSET($CR34,0,AR$7)+OFFSET($CS34,0,AR$7)+OFFSET($CT34,0,AR$7)</f>
        <v>0</v>
      </c>
      <c r="AS34" s="1231">
        <f ca="1">OFFSET($CQ34,0,AS$7)</f>
        <v>0</v>
      </c>
      <c r="AT34" s="1231">
        <f ca="1">OFFSET($CQ34,0,AT$7)+OFFSET($CR34,0,AT$7)</f>
        <v>0</v>
      </c>
      <c r="AU34" s="1231">
        <f ca="1">OFFSET($CQ34,0,AU$7)+OFFSET($CR34,0,AU$7)+OFFSET($CS34,0,AU$7)</f>
        <v>0</v>
      </c>
      <c r="AV34" s="1231">
        <f ca="1">OFFSET($CQ34,0,AV$7)+OFFSET($CR34,0,AV$7)+OFFSET($CS34,0,AV$7)+OFFSET($CT34,0,AV$7)</f>
        <v>0</v>
      </c>
      <c r="AW34" s="1231">
        <f ca="1">OFFSET($CQ34,0,AW$7)</f>
        <v>0</v>
      </c>
      <c r="AX34" s="1231">
        <f ca="1">OFFSET($CQ34,0,AX$7)+OFFSET($CR34,0,AX$7)</f>
        <v>0</v>
      </c>
      <c r="AY34" s="1231">
        <f ca="1">OFFSET($CQ34,0,AY$7)+OFFSET($CR34,0,AY$7)+OFFSET($CS34,0,AY$7)</f>
        <v>0</v>
      </c>
      <c r="AZ34" s="1231">
        <f ca="1">OFFSET($CQ34,0,AZ$7)+OFFSET($CR34,0,AZ$7)+OFFSET($CS34,0,AZ$7)+OFFSET($CT34,0,AZ$7)</f>
        <v>0</v>
      </c>
      <c r="BA34" s="1231">
        <f ca="1">OFFSET($CQ34,0,BA$7)</f>
        <v>0</v>
      </c>
      <c r="BB34" s="1231">
        <f ca="1">OFFSET($CQ34,0,BB$7)+OFFSET($CR34,0,BB$7)</f>
        <v>0</v>
      </c>
      <c r="BC34" s="1231">
        <f ca="1">OFFSET($CQ34,0,BC$7)+OFFSET($CR34,0,BC$7)+OFFSET($CS34,0,BC$7)</f>
        <v>0</v>
      </c>
      <c r="BD34" s="1231">
        <f ca="1">OFFSET($CQ34,0,BD$7)+OFFSET($CR34,0,BD$7)+OFFSET($CS34,0,BD$7)+OFFSET($CT34,0,BD$7)</f>
        <v>0</v>
      </c>
      <c r="BE34" s="1231">
        <f ca="1">OFFSET($CQ34,0,BE$7)</f>
        <v>0</v>
      </c>
      <c r="BF34" s="1231">
        <f ca="1">OFFSET($CQ34,0,BF$7)+OFFSET($CR34,0,BF$7)</f>
        <v>0</v>
      </c>
      <c r="BG34" s="1231">
        <f ca="1">OFFSET($CQ34,0,BG$7)+OFFSET($CR34,0,BG$7)+OFFSET($CS34,0,BG$7)</f>
        <v>0</v>
      </c>
      <c r="BH34" s="1231">
        <f ca="1">OFFSET($CQ34,0,BH$7)+OFFSET($CR34,0,BH$7)+OFFSET($CS34,0,BH$7)+OFFSET($CT34,0,BH$7)</f>
        <v>0</v>
      </c>
      <c r="BI34" s="1231">
        <f ca="1">OFFSET($CQ34,0,BI$7)</f>
        <v>0</v>
      </c>
      <c r="BJ34" s="1231">
        <f ca="1">OFFSET($CQ34,0,BJ$7)+OFFSET($CR34,0,BJ$7)</f>
        <v>0</v>
      </c>
      <c r="BK34" s="1231">
        <f ca="1">OFFSET($CQ34,0,BK$7)+OFFSET($CR34,0,BK$7)+OFFSET($CS34,0,BK$7)</f>
        <v>0</v>
      </c>
      <c r="BL34" s="1231">
        <f ca="1">OFFSET($CQ34,0,BL$7)+OFFSET($CR34,0,BL$7)+OFFSET($CS34,0,BL$7)+OFFSET($CT34,0,BL$7)</f>
        <v>0</v>
      </c>
      <c r="BM34" s="1231">
        <f ca="1">OFFSET($CQ34,0,BM$7)</f>
        <v>43.048000000000002</v>
      </c>
      <c r="BN34" s="1231">
        <f ca="1">OFFSET($CQ34,0,BN$7)+OFFSET($CR34,0,BN$7)</f>
        <v>130.453</v>
      </c>
      <c r="BO34" s="1231">
        <f ca="1">OFFSET($CQ34,0,BO$7)+OFFSET($CR34,0,BO$7)+OFFSET($CS34,0,BO$7)</f>
        <v>178.988</v>
      </c>
      <c r="BP34" s="1231">
        <f ca="1">OFFSET($CQ34,0,BP$7)+OFFSET($CR34,0,BP$7)+OFFSET($CS34,0,BP$7)+OFFSET($CT34,0,BP$7)</f>
        <v>187.08699999999999</v>
      </c>
      <c r="BQ34" s="1231">
        <f ca="1">OFFSET($CQ34,0,BQ$7)</f>
        <v>29.585000000000001</v>
      </c>
      <c r="BR34" s="1231">
        <f ca="1">OFFSET($CQ34,0,BR$7)+OFFSET($CR34,0,BR$7)</f>
        <v>87.777000000000001</v>
      </c>
      <c r="BS34" s="1231">
        <f ca="1">OFFSET($CQ34,0,BS$7)+OFFSET($CR34,0,BS$7)+OFFSET($CS34,0,BS$7)</f>
        <v>128.59700000000001</v>
      </c>
      <c r="BT34" s="1231">
        <f ca="1">OFFSET($CQ34,0,BT$7)+OFFSET($CR34,0,BT$7)+OFFSET($CS34,0,BT$7)+OFFSET($CT34,0,BT$7)</f>
        <v>130.245</v>
      </c>
      <c r="BU34" s="1231">
        <f ca="1">OFFSET($CQ34,0,BU$7)</f>
        <v>45.503999999999998</v>
      </c>
      <c r="BV34" s="1231">
        <f ca="1">OFFSET($CQ34,0,BV$7)+OFFSET($CR34,0,BV$7)</f>
        <v>106.181</v>
      </c>
      <c r="BW34" s="1231">
        <f ca="1">OFFSET($CQ34,0,BW$7)+OFFSET($CR34,0,BW$7)+OFFSET($CS34,0,BW$7)</f>
        <v>180.40699999999998</v>
      </c>
      <c r="BX34" s="1231">
        <f ca="1">OFFSET($CQ34,0,BX$7)+OFFSET($CR34,0,BX$7)+OFFSET($CS34,0,BX$7)+OFFSET($CT34,0,BX$7)</f>
        <v>222.00399999999999</v>
      </c>
      <c r="BY34" s="1231">
        <f ca="1">OFFSET($CQ34,0,BY$7)</f>
        <v>66.135999999999996</v>
      </c>
      <c r="BZ34" s="1231">
        <f ca="1">OFFSET($CQ34,0,BZ$7)+OFFSET($CR34,0,BZ$7)</f>
        <v>181.55599999999998</v>
      </c>
      <c r="CA34" s="1231">
        <f ca="1">OFFSET($CQ34,0,CA$7)+OFFSET($CR34,0,CA$7)+OFFSET($CS34,0,CA$7)</f>
        <v>290.18799999999999</v>
      </c>
      <c r="CB34" s="1231">
        <f ca="1">OFFSET($CQ34,0,CB$7)+OFFSET($CR34,0,CB$7)+OFFSET($CS34,0,CB$7)+OFFSET($CT34,0,CB$7)</f>
        <v>339.20600000000002</v>
      </c>
      <c r="CC34" s="1231">
        <f ca="1">OFFSET($CQ34,0,CC$7)</f>
        <v>77.385999999999996</v>
      </c>
      <c r="CD34" s="1231">
        <f ca="1">OFFSET($CQ34,0,CD$7)+OFFSET($CR34,0,CD$7)</f>
        <v>99.018000000000001</v>
      </c>
      <c r="CE34" s="1231">
        <f ca="1">OFFSET($CQ34,0,CE$7)+OFFSET($CR34,0,CE$7)+OFFSET($CS34,0,CE$7)</f>
        <v>121.723</v>
      </c>
      <c r="CF34" s="1231">
        <f ca="1">OFFSET($CQ34,0,CF$7)+OFFSET($CR34,0,CF$7)+OFFSET($CS34,0,CF$7)+OFFSET($CT34,0,CF$7)</f>
        <v>124.895</v>
      </c>
      <c r="CG34" s="1231">
        <f ca="1">OFFSET($CQ34,0,CG$7)</f>
        <v>42.262</v>
      </c>
      <c r="CH34" s="1231">
        <f ca="1">OFFSET($CQ34,0,CH$7)+OFFSET($CR34,0,CH$7)</f>
        <v>61.397999999999996</v>
      </c>
      <c r="CI34" s="1231">
        <f ca="1">OFFSET($CQ34,0,CI$7)+OFFSET($CR34,0,CI$7)+OFFSET($CS34,0,CI$7)</f>
        <v>55.569999999999993</v>
      </c>
      <c r="CJ34" s="1231">
        <f ca="1">OFFSET($CQ34,0,CJ$7)+OFFSET($CR34,0,CJ$7)+OFFSET($CS34,0,CJ$7)+OFFSET($CT34,0,CJ$7)</f>
        <v>14.639999999999993</v>
      </c>
      <c r="DW34" s="1231">
        <f t="shared" ref="DW34:ER34" si="34">DW28-DW32-DW33</f>
        <v>43.048000000000002</v>
      </c>
      <c r="DX34" s="1231">
        <f t="shared" si="34"/>
        <v>87.405000000000001</v>
      </c>
      <c r="DY34" s="1231">
        <f t="shared" si="34"/>
        <v>48.534999999999997</v>
      </c>
      <c r="DZ34" s="1231">
        <f t="shared" si="34"/>
        <v>8.0990000000000002</v>
      </c>
      <c r="EA34" s="1231">
        <f t="shared" si="34"/>
        <v>29.585000000000001</v>
      </c>
      <c r="EB34" s="1231">
        <f t="shared" si="34"/>
        <v>58.192</v>
      </c>
      <c r="EC34" s="1231">
        <f t="shared" si="34"/>
        <v>40.82</v>
      </c>
      <c r="ED34" s="1231">
        <f t="shared" si="34"/>
        <v>1.6479999999999999</v>
      </c>
      <c r="EE34" s="1231">
        <f t="shared" si="34"/>
        <v>45.503999999999998</v>
      </c>
      <c r="EF34" s="1231">
        <f t="shared" si="34"/>
        <v>60.677</v>
      </c>
      <c r="EG34" s="1231">
        <f t="shared" si="34"/>
        <v>74.225999999999999</v>
      </c>
      <c r="EH34" s="1231">
        <f t="shared" si="34"/>
        <v>41.597000000000001</v>
      </c>
      <c r="EI34" s="1231">
        <f t="shared" si="34"/>
        <v>66.135999999999996</v>
      </c>
      <c r="EJ34" s="1231">
        <f t="shared" si="34"/>
        <v>115.42</v>
      </c>
      <c r="EK34" s="1231">
        <f t="shared" si="34"/>
        <v>108.63200000000001</v>
      </c>
      <c r="EL34" s="1231">
        <f t="shared" si="34"/>
        <v>49.018000000000001</v>
      </c>
      <c r="EM34" s="1231">
        <f t="shared" si="34"/>
        <v>77.385999999999996</v>
      </c>
      <c r="EN34" s="1231">
        <f t="shared" si="34"/>
        <v>21.632000000000001</v>
      </c>
      <c r="EO34" s="1231">
        <f t="shared" si="34"/>
        <v>22.704999999999998</v>
      </c>
      <c r="EP34" s="1231">
        <f t="shared" si="34"/>
        <v>3.1720000000000002</v>
      </c>
      <c r="EQ34" s="1231">
        <f t="shared" si="34"/>
        <v>42.262</v>
      </c>
      <c r="ER34" s="1231">
        <f t="shared" si="34"/>
        <v>19.135999999999999</v>
      </c>
      <c r="ES34" s="1231">
        <f>ES28-ES32-ES33</f>
        <v>-5.8280000000000003</v>
      </c>
      <c r="ET34" s="1231">
        <f>ET28-ET32-ET33</f>
        <v>-40.93</v>
      </c>
    </row>
    <row r="35" spans="1:162">
      <c r="A35" s="1224"/>
      <c r="CO35" s="1165"/>
      <c r="CP35" s="1165"/>
      <c r="CQ35" s="1231"/>
      <c r="CR35" s="1231"/>
      <c r="CS35" s="1231"/>
      <c r="CT35" s="1231"/>
      <c r="CU35" s="1231"/>
      <c r="CV35" s="1231"/>
      <c r="CW35" s="1231"/>
      <c r="CX35" s="1231"/>
      <c r="CY35" s="1231"/>
      <c r="CZ35" s="1231"/>
      <c r="DA35" s="1231"/>
      <c r="DB35" s="1231"/>
      <c r="DC35" s="1231"/>
      <c r="DD35" s="1231"/>
      <c r="DE35" s="1231"/>
      <c r="DF35" s="1231"/>
      <c r="DG35" s="1231"/>
      <c r="DH35" s="1231"/>
      <c r="DI35" s="1231"/>
      <c r="DJ35" s="1231"/>
      <c r="DK35" s="1231"/>
      <c r="DL35" s="1231"/>
      <c r="DM35" s="1231"/>
      <c r="DN35" s="1231"/>
      <c r="DO35" s="1231"/>
      <c r="DP35" s="1231"/>
      <c r="DQ35" s="1231"/>
      <c r="DR35" s="1231"/>
      <c r="DS35" s="1231"/>
      <c r="DT35" s="1231"/>
      <c r="DU35" s="1231"/>
      <c r="DV35" s="1231"/>
      <c r="DW35" s="1231"/>
      <c r="DX35" s="1231"/>
      <c r="DY35" s="1231"/>
      <c r="DZ35" s="1231"/>
      <c r="EA35" s="1231"/>
      <c r="EB35" s="1231"/>
      <c r="EC35" s="1231"/>
      <c r="ED35" s="1231"/>
      <c r="EE35" s="1231"/>
      <c r="EF35" s="1231"/>
      <c r="EG35" s="1231"/>
      <c r="EH35" s="1231"/>
      <c r="EI35" s="1231"/>
      <c r="EJ35" s="1231"/>
      <c r="EK35" s="1231"/>
      <c r="EL35" s="1231"/>
      <c r="EM35" s="1231"/>
      <c r="EN35" s="1231"/>
      <c r="EO35" s="1231"/>
      <c r="EP35" s="1231"/>
      <c r="EQ35" s="1231"/>
      <c r="ER35" s="1231"/>
      <c r="ES35" s="1231"/>
      <c r="ET35" s="1231"/>
      <c r="EU35" s="1231"/>
      <c r="EV35" s="1231"/>
      <c r="EW35" s="1231"/>
      <c r="EX35" s="1231"/>
      <c r="EY35" s="1231"/>
      <c r="EZ35" s="1231"/>
      <c r="FA35" s="1231"/>
      <c r="FB35" s="1231"/>
      <c r="FC35" s="1231"/>
      <c r="FD35" s="1231"/>
      <c r="FE35" s="1231"/>
      <c r="FF35" s="1231"/>
    </row>
    <row r="36" spans="1:162" s="1247" customFormat="1">
      <c r="A36" s="1245" t="s">
        <v>481</v>
      </c>
      <c r="B36" s="1246" t="s">
        <v>140</v>
      </c>
      <c r="M36" s="1246">
        <f t="shared" ref="M36:V37" ca="1" si="35">OFFSET($CQ36,0,M$7)+OFFSET($CR36,0,M$7)+OFFSET($CS36,0,M$7)+OFFSET($CT36,0,M$7)</f>
        <v>0</v>
      </c>
      <c r="N36" s="1246">
        <f t="shared" ca="1" si="35"/>
        <v>0</v>
      </c>
      <c r="O36" s="1246">
        <f t="shared" ca="1" si="35"/>
        <v>0</v>
      </c>
      <c r="P36" s="1246">
        <f t="shared" ca="1" si="35"/>
        <v>0</v>
      </c>
      <c r="Q36" s="1246">
        <f t="shared" ca="1" si="35"/>
        <v>0</v>
      </c>
      <c r="R36" s="1246">
        <f t="shared" ca="1" si="35"/>
        <v>0</v>
      </c>
      <c r="S36" s="1246">
        <f t="shared" ca="1" si="35"/>
        <v>0</v>
      </c>
      <c r="T36" s="1246">
        <f t="shared" ca="1" si="35"/>
        <v>0</v>
      </c>
      <c r="U36" s="1246">
        <f t="shared" ca="1" si="35"/>
        <v>5.8879999999999999</v>
      </c>
      <c r="V36" s="1246">
        <f t="shared" ca="1" si="35"/>
        <v>14.23</v>
      </c>
      <c r="W36" s="1246">
        <f t="shared" ref="W36:AC37" ca="1" si="36">OFFSET($CQ36,0,W$7)+OFFSET($CR36,0,W$7)+OFFSET($CS36,0,W$7)+OFFSET($CT36,0,W$7)</f>
        <v>5.1989999999999998</v>
      </c>
      <c r="X36" s="1246">
        <f t="shared" ca="1" si="36"/>
        <v>11.243</v>
      </c>
      <c r="Y36" s="1246">
        <f t="shared" ca="1" si="36"/>
        <v>27.09</v>
      </c>
      <c r="Z36" s="1246">
        <f t="shared" ca="1" si="36"/>
        <v>64.338999999999999</v>
      </c>
      <c r="AA36" s="1246">
        <f t="shared" ca="1" si="36"/>
        <v>0</v>
      </c>
      <c r="AB36" s="1246">
        <f t="shared" ca="1" si="36"/>
        <v>0</v>
      </c>
      <c r="AC36" s="1246">
        <f t="shared" ca="1" si="36"/>
        <v>0</v>
      </c>
      <c r="AD36" s="1246"/>
      <c r="AE36" s="1246"/>
      <c r="AF36" s="1246"/>
      <c r="AG36" s="1246">
        <f t="shared" ref="AG36:AG49" ca="1" si="37">OFFSET($CQ36,0,AG$7)</f>
        <v>0</v>
      </c>
      <c r="AH36" s="1246">
        <f t="shared" ref="AH36:AH49" ca="1" si="38">OFFSET($CQ36,0,AH$7)+OFFSET($CR36,0,AH$7)</f>
        <v>0</v>
      </c>
      <c r="AI36" s="1246">
        <f t="shared" ref="AI36:AI49" ca="1" si="39">OFFSET($CQ36,0,AI$7)+OFFSET($CR36,0,AI$7)+OFFSET($CS36,0,AI$7)</f>
        <v>0</v>
      </c>
      <c r="AJ36" s="1246">
        <f t="shared" ref="AJ36:AJ49" ca="1" si="40">OFFSET($CQ36,0,AJ$7)+OFFSET($CR36,0,AJ$7)+OFFSET($CS36,0,AJ$7)+OFFSET($CT36,0,AJ$7)</f>
        <v>0</v>
      </c>
      <c r="AK36" s="1246">
        <f t="shared" ref="AK36:AK49" ca="1" si="41">OFFSET($CQ36,0,AK$7)</f>
        <v>0</v>
      </c>
      <c r="AL36" s="1246">
        <f t="shared" ref="AL36:AL49" ca="1" si="42">OFFSET($CQ36,0,AL$7)+OFFSET($CR36,0,AL$7)</f>
        <v>0</v>
      </c>
      <c r="AM36" s="1246">
        <f t="shared" ref="AM36:AM49" ca="1" si="43">OFFSET($CQ36,0,AM$7)+OFFSET($CR36,0,AM$7)+OFFSET($CS36,0,AM$7)</f>
        <v>0</v>
      </c>
      <c r="AN36" s="1246">
        <f t="shared" ref="AN36:AN49" ca="1" si="44">OFFSET($CQ36,0,AN$7)+OFFSET($CR36,0,AN$7)+OFFSET($CS36,0,AN$7)+OFFSET($CT36,0,AN$7)</f>
        <v>0</v>
      </c>
      <c r="AO36" s="1246">
        <f t="shared" ref="AO36:AO49" ca="1" si="45">OFFSET($CQ36,0,AO$7)</f>
        <v>0</v>
      </c>
      <c r="AP36" s="1246">
        <f t="shared" ref="AP36:AP49" ca="1" si="46">OFFSET($CQ36,0,AP$7)+OFFSET($CR36,0,AP$7)</f>
        <v>0</v>
      </c>
      <c r="AQ36" s="1246">
        <f t="shared" ref="AQ36:AQ49" ca="1" si="47">OFFSET($CQ36,0,AQ$7)+OFFSET($CR36,0,AQ$7)+OFFSET($CS36,0,AQ$7)</f>
        <v>0</v>
      </c>
      <c r="AR36" s="1246">
        <f t="shared" ref="AR36:AR49" ca="1" si="48">OFFSET($CQ36,0,AR$7)+OFFSET($CR36,0,AR$7)+OFFSET($CS36,0,AR$7)+OFFSET($CT36,0,AR$7)</f>
        <v>0</v>
      </c>
      <c r="AS36" s="1246">
        <f t="shared" ref="AS36:AS49" ca="1" si="49">OFFSET($CQ36,0,AS$7)</f>
        <v>0</v>
      </c>
      <c r="AT36" s="1246">
        <f t="shared" ref="AT36:AT49" ca="1" si="50">OFFSET($CQ36,0,AT$7)+OFFSET($CR36,0,AT$7)</f>
        <v>0</v>
      </c>
      <c r="AU36" s="1246">
        <f t="shared" ref="AU36:AU49" ca="1" si="51">OFFSET($CQ36,0,AU$7)+OFFSET($CR36,0,AU$7)+OFFSET($CS36,0,AU$7)</f>
        <v>0</v>
      </c>
      <c r="AV36" s="1246">
        <f t="shared" ref="AV36:AV49" ca="1" si="52">OFFSET($CQ36,0,AV$7)+OFFSET($CR36,0,AV$7)+OFFSET($CS36,0,AV$7)+OFFSET($CT36,0,AV$7)</f>
        <v>0</v>
      </c>
      <c r="AW36" s="1246">
        <f t="shared" ref="AW36:AW49" ca="1" si="53">OFFSET($CQ36,0,AW$7)</f>
        <v>0</v>
      </c>
      <c r="AX36" s="1246">
        <f t="shared" ref="AX36:AX49" ca="1" si="54">OFFSET($CQ36,0,AX$7)+OFFSET($CR36,0,AX$7)</f>
        <v>0</v>
      </c>
      <c r="AY36" s="1246">
        <f t="shared" ref="AY36:AY49" ca="1" si="55">OFFSET($CQ36,0,AY$7)+OFFSET($CR36,0,AY$7)+OFFSET($CS36,0,AY$7)</f>
        <v>0</v>
      </c>
      <c r="AZ36" s="1246">
        <f t="shared" ref="AZ36:AZ49" ca="1" si="56">OFFSET($CQ36,0,AZ$7)+OFFSET($CR36,0,AZ$7)+OFFSET($CS36,0,AZ$7)+OFFSET($CT36,0,AZ$7)</f>
        <v>0</v>
      </c>
      <c r="BA36" s="1246">
        <f t="shared" ref="BA36:BA49" ca="1" si="57">OFFSET($CQ36,0,BA$7)</f>
        <v>0</v>
      </c>
      <c r="BB36" s="1246">
        <f t="shared" ref="BB36:BB49" ca="1" si="58">OFFSET($CQ36,0,BB$7)+OFFSET($CR36,0,BB$7)</f>
        <v>0</v>
      </c>
      <c r="BC36" s="1246">
        <f t="shared" ref="BC36:BC49" ca="1" si="59">OFFSET($CQ36,0,BC$7)+OFFSET($CR36,0,BC$7)+OFFSET($CS36,0,BC$7)</f>
        <v>0</v>
      </c>
      <c r="BD36" s="1246">
        <f t="shared" ref="BD36:BD49" ca="1" si="60">OFFSET($CQ36,0,BD$7)+OFFSET($CR36,0,BD$7)+OFFSET($CS36,0,BD$7)+OFFSET($CT36,0,BD$7)</f>
        <v>0</v>
      </c>
      <c r="BE36" s="1246">
        <f t="shared" ref="BE36:BE49" ca="1" si="61">OFFSET($CQ36,0,BE$7)</f>
        <v>0</v>
      </c>
      <c r="BF36" s="1246">
        <f t="shared" ref="BF36:BF49" ca="1" si="62">OFFSET($CQ36,0,BF$7)+OFFSET($CR36,0,BF$7)</f>
        <v>0</v>
      </c>
      <c r="BG36" s="1246">
        <f t="shared" ref="BG36:BG49" ca="1" si="63">OFFSET($CQ36,0,BG$7)+OFFSET($CR36,0,BG$7)+OFFSET($CS36,0,BG$7)</f>
        <v>0</v>
      </c>
      <c r="BH36" s="1246">
        <f t="shared" ref="BH36:BH49" ca="1" si="64">OFFSET($CQ36,0,BH$7)+OFFSET($CR36,0,BH$7)+OFFSET($CS36,0,BH$7)+OFFSET($CT36,0,BH$7)</f>
        <v>0</v>
      </c>
      <c r="BI36" s="1246">
        <f t="shared" ref="BI36:BI49" ca="1" si="65">OFFSET($CQ36,0,BI$7)</f>
        <v>0</v>
      </c>
      <c r="BJ36" s="1246">
        <f t="shared" ref="BJ36:BJ49" ca="1" si="66">OFFSET($CQ36,0,BJ$7)+OFFSET($CR36,0,BJ$7)</f>
        <v>0</v>
      </c>
      <c r="BK36" s="1246">
        <f t="shared" ref="BK36:BK49" ca="1" si="67">OFFSET($CQ36,0,BK$7)+OFFSET($CR36,0,BK$7)+OFFSET($CS36,0,BK$7)</f>
        <v>0</v>
      </c>
      <c r="BL36" s="1246">
        <f t="shared" ref="BL36:BL49" ca="1" si="68">OFFSET($CQ36,0,BL$7)+OFFSET($CR36,0,BL$7)+OFFSET($CS36,0,BL$7)+OFFSET($CT36,0,BL$7)</f>
        <v>0</v>
      </c>
      <c r="BM36" s="1246">
        <f t="shared" ref="BM36:BM49" ca="1" si="69">OFFSET($CQ36,0,BM$7)</f>
        <v>1.3520000000000001</v>
      </c>
      <c r="BN36" s="1246">
        <f t="shared" ref="BN36:BN49" ca="1" si="70">OFFSET($CQ36,0,BN$7)+OFFSET($CR36,0,BN$7)</f>
        <v>2.2880000000000003</v>
      </c>
      <c r="BO36" s="1246">
        <f t="shared" ref="BO36:BO49" ca="1" si="71">OFFSET($CQ36,0,BO$7)+OFFSET($CR36,0,BO$7)+OFFSET($CS36,0,BO$7)</f>
        <v>3.6820000000000004</v>
      </c>
      <c r="BP36" s="1246">
        <f t="shared" ref="BP36:BP49" ca="1" si="72">OFFSET($CQ36,0,BP$7)+OFFSET($CR36,0,BP$7)+OFFSET($CS36,0,BP$7)+OFFSET($CT36,0,BP$7)</f>
        <v>5.8879999999999999</v>
      </c>
      <c r="BQ36" s="1246">
        <f t="shared" ref="BQ36:BQ49" ca="1" si="73">OFFSET($CQ36,0,BQ$7)</f>
        <v>1.8380000000000001</v>
      </c>
      <c r="BR36" s="1246">
        <f t="shared" ref="BR36:BR49" ca="1" si="74">OFFSET($CQ36,0,BR$7)+OFFSET($CR36,0,BR$7)</f>
        <v>4.859</v>
      </c>
      <c r="BS36" s="1246">
        <f t="shared" ref="BS36:BS49" ca="1" si="75">OFFSET($CQ36,0,BS$7)+OFFSET($CR36,0,BS$7)+OFFSET($CS36,0,BS$7)</f>
        <v>7.827</v>
      </c>
      <c r="BT36" s="1246">
        <f t="shared" ref="BT36:BT49" ca="1" si="76">OFFSET($CQ36,0,BT$7)+OFFSET($CR36,0,BT$7)+OFFSET($CS36,0,BT$7)+OFFSET($CT36,0,BT$7)</f>
        <v>14.23</v>
      </c>
      <c r="BU36" s="1246">
        <f t="shared" ref="BU36:BU49" ca="1" si="77">OFFSET($CQ36,0,BU$7)</f>
        <v>1.369</v>
      </c>
      <c r="BV36" s="1246">
        <f t="shared" ref="BV36:BV49" ca="1" si="78">OFFSET($CQ36,0,BV$7)+OFFSET($CR36,0,BV$7)</f>
        <v>2.3250000000000002</v>
      </c>
      <c r="BW36" s="1246">
        <f t="shared" ref="BW36:BW49" ca="1" si="79">OFFSET($CQ36,0,BW$7)+OFFSET($CR36,0,BW$7)+OFFSET($CS36,0,BW$7)</f>
        <v>3.7030000000000003</v>
      </c>
      <c r="BX36" s="1246">
        <f t="shared" ref="BX36:BX49" ca="1" si="80">OFFSET($CQ36,0,BX$7)+OFFSET($CR36,0,BX$7)+OFFSET($CS36,0,BX$7)+OFFSET($CT36,0,BX$7)</f>
        <v>5.1989999999999998</v>
      </c>
      <c r="BY36" s="1246">
        <f t="shared" ref="BY36:BY49" ca="1" si="81">OFFSET($CQ36,0,BY$7)</f>
        <v>1.736</v>
      </c>
      <c r="BZ36" s="1246">
        <f t="shared" ref="BZ36:BZ49" ca="1" si="82">OFFSET($CQ36,0,BZ$7)+OFFSET($CR36,0,BZ$7)</f>
        <v>3.524</v>
      </c>
      <c r="CA36" s="1246">
        <f t="shared" ref="CA36:CA49" ca="1" si="83">OFFSET($CQ36,0,CA$7)+OFFSET($CR36,0,CA$7)+OFFSET($CS36,0,CA$7)</f>
        <v>6.569</v>
      </c>
      <c r="CB36" s="1246">
        <f t="shared" ref="CB36:CB49" ca="1" si="84">OFFSET($CQ36,0,CB$7)+OFFSET($CR36,0,CB$7)+OFFSET($CS36,0,CB$7)+OFFSET($CT36,0,CB$7)</f>
        <v>11.243</v>
      </c>
      <c r="CC36" s="1246">
        <f t="shared" ref="CC36:CC49" ca="1" si="85">OFFSET($CQ36,0,CC$7)</f>
        <v>5.593</v>
      </c>
      <c r="CD36" s="1246">
        <f t="shared" ref="CD36:CD49" ca="1" si="86">OFFSET($CQ36,0,CD$7)+OFFSET($CR36,0,CD$7)</f>
        <v>12.248000000000001</v>
      </c>
      <c r="CE36" s="1246">
        <f t="shared" ref="CE36:CE49" ca="1" si="87">OFFSET($CQ36,0,CE$7)+OFFSET($CR36,0,CE$7)+OFFSET($CS36,0,CE$7)</f>
        <v>18.792999999999999</v>
      </c>
      <c r="CF36" s="1246">
        <f t="shared" ref="CF36:CF49" ca="1" si="88">OFFSET($CQ36,0,CF$7)+OFFSET($CR36,0,CF$7)+OFFSET($CS36,0,CF$7)+OFFSET($CT36,0,CF$7)</f>
        <v>27.09</v>
      </c>
      <c r="CG36" s="1246">
        <f t="shared" ref="CG36:CG49" ca="1" si="89">OFFSET($CQ36,0,CG$7)</f>
        <v>12.855</v>
      </c>
      <c r="CH36" s="1246">
        <f t="shared" ref="CH36:CH49" ca="1" si="90">OFFSET($CQ36,0,CH$7)+OFFSET($CR36,0,CH$7)</f>
        <v>25.495000000000001</v>
      </c>
      <c r="CI36" s="1246">
        <f t="shared" ref="CI36:CI49" ca="1" si="91">OFFSET($CQ36,0,CI$7)+OFFSET($CR36,0,CI$7)+OFFSET($CS36,0,CI$7)</f>
        <v>44.183999999999997</v>
      </c>
      <c r="CJ36" s="1246">
        <f t="shared" ref="CJ36:CJ49" ca="1" si="92">OFFSET($CQ36,0,CJ$7)+OFFSET($CR36,0,CJ$7)+OFFSET($CS36,0,CJ$7)+OFFSET($CT36,0,CJ$7)</f>
        <v>64.338999999999999</v>
      </c>
      <c r="CO36" s="1246"/>
      <c r="CP36" s="1246"/>
      <c r="DK36" s="1248"/>
      <c r="DL36" s="1248"/>
      <c r="DM36" s="1248"/>
      <c r="DN36" s="1248"/>
      <c r="DO36" s="1248"/>
      <c r="DP36" s="1248"/>
      <c r="DQ36" s="1248"/>
      <c r="DR36" s="1248"/>
      <c r="DS36" s="1248"/>
      <c r="DT36" s="1248"/>
      <c r="DU36" s="1248"/>
      <c r="DV36" s="1248"/>
      <c r="DW36" s="1248">
        <v>1.3520000000000001</v>
      </c>
      <c r="DX36" s="1248">
        <v>0.93600000000000005</v>
      </c>
      <c r="DY36" s="1248">
        <v>1.3939999999999999</v>
      </c>
      <c r="DZ36" s="1248">
        <v>2.206</v>
      </c>
      <c r="EA36" s="1248">
        <v>1.8380000000000001</v>
      </c>
      <c r="EB36" s="1248">
        <v>3.0209999999999999</v>
      </c>
      <c r="EC36" s="1248">
        <v>2.968</v>
      </c>
      <c r="ED36" s="1248">
        <v>6.4029999999999996</v>
      </c>
      <c r="EE36" s="1248">
        <v>1.369</v>
      </c>
      <c r="EF36" s="1248">
        <v>0.95599999999999996</v>
      </c>
      <c r="EG36" s="1248">
        <v>1.3779999999999999</v>
      </c>
      <c r="EH36" s="1248">
        <v>1.496</v>
      </c>
      <c r="EI36" s="1248">
        <v>1.736</v>
      </c>
      <c r="EJ36" s="1248">
        <v>1.788</v>
      </c>
      <c r="EK36" s="1248">
        <v>3.0449999999999999</v>
      </c>
      <c r="EL36" s="1248">
        <v>4.6740000000000004</v>
      </c>
      <c r="EM36" s="1248">
        <v>5.593</v>
      </c>
      <c r="EN36" s="1248">
        <v>6.6550000000000002</v>
      </c>
      <c r="EO36" s="1248">
        <v>6.5449999999999999</v>
      </c>
      <c r="EP36" s="1248">
        <v>8.2970000000000006</v>
      </c>
      <c r="EQ36" s="1248">
        <v>12.855</v>
      </c>
      <c r="ER36" s="1248">
        <v>12.64</v>
      </c>
      <c r="ES36" s="1248">
        <f>18.689</f>
        <v>18.689</v>
      </c>
      <c r="ET36" s="1248">
        <v>20.155000000000001</v>
      </c>
    </row>
    <row r="37" spans="1:162" s="1247" customFormat="1">
      <c r="A37" s="1245" t="s">
        <v>478</v>
      </c>
      <c r="B37" s="1246" t="s">
        <v>37</v>
      </c>
      <c r="M37" s="1246">
        <f t="shared" ca="1" si="35"/>
        <v>0</v>
      </c>
      <c r="N37" s="1246">
        <f t="shared" ca="1" si="35"/>
        <v>0</v>
      </c>
      <c r="O37" s="1246">
        <f t="shared" ca="1" si="35"/>
        <v>0</v>
      </c>
      <c r="P37" s="1246">
        <f t="shared" ca="1" si="35"/>
        <v>0</v>
      </c>
      <c r="Q37" s="1246">
        <f t="shared" ca="1" si="35"/>
        <v>0</v>
      </c>
      <c r="R37" s="1246">
        <f t="shared" ca="1" si="35"/>
        <v>0</v>
      </c>
      <c r="S37" s="1246">
        <f t="shared" ca="1" si="35"/>
        <v>0</v>
      </c>
      <c r="T37" s="1246">
        <f t="shared" ca="1" si="35"/>
        <v>0</v>
      </c>
      <c r="U37" s="1246">
        <f t="shared" ca="1" si="35"/>
        <v>-34.392000000000003</v>
      </c>
      <c r="V37" s="1246">
        <f t="shared" ca="1" si="35"/>
        <v>-20.715</v>
      </c>
      <c r="W37" s="1246">
        <f t="shared" ca="1" si="36"/>
        <v>-12.218</v>
      </c>
      <c r="X37" s="1246">
        <f t="shared" ca="1" si="36"/>
        <v>-23.036999999999999</v>
      </c>
      <c r="Y37" s="1246">
        <f t="shared" ca="1" si="36"/>
        <v>-43.832999999999998</v>
      </c>
      <c r="Z37" s="1246">
        <f t="shared" ca="1" si="36"/>
        <v>-32.49</v>
      </c>
      <c r="AA37" s="1246">
        <f t="shared" ca="1" si="36"/>
        <v>0</v>
      </c>
      <c r="AB37" s="1246">
        <f t="shared" ca="1" si="36"/>
        <v>0</v>
      </c>
      <c r="AC37" s="1246">
        <f t="shared" ca="1" si="36"/>
        <v>0</v>
      </c>
      <c r="AD37" s="1246"/>
      <c r="AE37" s="1246"/>
      <c r="AF37" s="1246"/>
      <c r="AG37" s="1246">
        <f t="shared" ca="1" si="37"/>
        <v>0</v>
      </c>
      <c r="AH37" s="1246">
        <f t="shared" ca="1" si="38"/>
        <v>0</v>
      </c>
      <c r="AI37" s="1246">
        <f t="shared" ca="1" si="39"/>
        <v>0</v>
      </c>
      <c r="AJ37" s="1246">
        <f t="shared" ca="1" si="40"/>
        <v>0</v>
      </c>
      <c r="AK37" s="1246">
        <f t="shared" ca="1" si="41"/>
        <v>0</v>
      </c>
      <c r="AL37" s="1246">
        <f t="shared" ca="1" si="42"/>
        <v>0</v>
      </c>
      <c r="AM37" s="1246">
        <f t="shared" ca="1" si="43"/>
        <v>0</v>
      </c>
      <c r="AN37" s="1246">
        <f t="shared" ca="1" si="44"/>
        <v>0</v>
      </c>
      <c r="AO37" s="1246">
        <f t="shared" ca="1" si="45"/>
        <v>0</v>
      </c>
      <c r="AP37" s="1246">
        <f t="shared" ca="1" si="46"/>
        <v>0</v>
      </c>
      <c r="AQ37" s="1246">
        <f t="shared" ca="1" si="47"/>
        <v>0</v>
      </c>
      <c r="AR37" s="1246">
        <f t="shared" ca="1" si="48"/>
        <v>0</v>
      </c>
      <c r="AS37" s="1246">
        <f t="shared" ca="1" si="49"/>
        <v>0</v>
      </c>
      <c r="AT37" s="1246">
        <f t="shared" ca="1" si="50"/>
        <v>0</v>
      </c>
      <c r="AU37" s="1246">
        <f t="shared" ca="1" si="51"/>
        <v>0</v>
      </c>
      <c r="AV37" s="1246">
        <f t="shared" ca="1" si="52"/>
        <v>0</v>
      </c>
      <c r="AW37" s="1246">
        <f t="shared" ca="1" si="53"/>
        <v>0</v>
      </c>
      <c r="AX37" s="1246">
        <f t="shared" ca="1" si="54"/>
        <v>0</v>
      </c>
      <c r="AY37" s="1246">
        <f t="shared" ca="1" si="55"/>
        <v>0</v>
      </c>
      <c r="AZ37" s="1246">
        <f t="shared" ca="1" si="56"/>
        <v>0</v>
      </c>
      <c r="BA37" s="1246">
        <f t="shared" ca="1" si="57"/>
        <v>0</v>
      </c>
      <c r="BB37" s="1246">
        <f t="shared" ca="1" si="58"/>
        <v>0</v>
      </c>
      <c r="BC37" s="1246">
        <f t="shared" ca="1" si="59"/>
        <v>0</v>
      </c>
      <c r="BD37" s="1246">
        <f t="shared" ca="1" si="60"/>
        <v>0</v>
      </c>
      <c r="BE37" s="1246">
        <f t="shared" ca="1" si="61"/>
        <v>0</v>
      </c>
      <c r="BF37" s="1246">
        <f t="shared" ca="1" si="62"/>
        <v>0</v>
      </c>
      <c r="BG37" s="1246">
        <f t="shared" ca="1" si="63"/>
        <v>0</v>
      </c>
      <c r="BH37" s="1246">
        <f t="shared" ca="1" si="64"/>
        <v>0</v>
      </c>
      <c r="BI37" s="1246">
        <f t="shared" ca="1" si="65"/>
        <v>0</v>
      </c>
      <c r="BJ37" s="1246">
        <f t="shared" ca="1" si="66"/>
        <v>0</v>
      </c>
      <c r="BK37" s="1246">
        <f t="shared" ca="1" si="67"/>
        <v>0</v>
      </c>
      <c r="BL37" s="1246">
        <f t="shared" ca="1" si="68"/>
        <v>0</v>
      </c>
      <c r="BM37" s="1246">
        <f t="shared" ca="1" si="69"/>
        <v>-10.85</v>
      </c>
      <c r="BN37" s="1246">
        <f t="shared" ca="1" si="70"/>
        <v>-19.93</v>
      </c>
      <c r="BO37" s="1246">
        <f t="shared" ca="1" si="71"/>
        <v>-28.603000000000002</v>
      </c>
      <c r="BP37" s="1246">
        <f t="shared" ca="1" si="72"/>
        <v>-34.392000000000003</v>
      </c>
      <c r="BQ37" s="1246">
        <f t="shared" ca="1" si="73"/>
        <v>-4.63</v>
      </c>
      <c r="BR37" s="1246">
        <f t="shared" ca="1" si="74"/>
        <v>-12.861000000000001</v>
      </c>
      <c r="BS37" s="1246">
        <f t="shared" ca="1" si="75"/>
        <v>-15.4</v>
      </c>
      <c r="BT37" s="1246">
        <f t="shared" ca="1" si="76"/>
        <v>-20.715</v>
      </c>
      <c r="BU37" s="1246">
        <f t="shared" ca="1" si="77"/>
        <v>-5.01</v>
      </c>
      <c r="BV37" s="1246">
        <f t="shared" ca="1" si="78"/>
        <v>-7.4260000000000002</v>
      </c>
      <c r="BW37" s="1246">
        <f t="shared" ca="1" si="79"/>
        <v>-9.4350000000000005</v>
      </c>
      <c r="BX37" s="1246">
        <f t="shared" ca="1" si="80"/>
        <v>-12.218</v>
      </c>
      <c r="BY37" s="1246">
        <f t="shared" ca="1" si="81"/>
        <v>-6.5570000000000004</v>
      </c>
      <c r="BZ37" s="1246">
        <f t="shared" ca="1" si="82"/>
        <v>-12.548</v>
      </c>
      <c r="CA37" s="1246">
        <f t="shared" ca="1" si="83"/>
        <v>-13.784000000000001</v>
      </c>
      <c r="CB37" s="1246">
        <f t="shared" ca="1" si="84"/>
        <v>-23.036999999999999</v>
      </c>
      <c r="CC37" s="1246">
        <f t="shared" ca="1" si="85"/>
        <v>-11.958</v>
      </c>
      <c r="CD37" s="1246">
        <f t="shared" ca="1" si="86"/>
        <v>-21.506999999999998</v>
      </c>
      <c r="CE37" s="1246">
        <f t="shared" ca="1" si="87"/>
        <v>-34.412999999999997</v>
      </c>
      <c r="CF37" s="1246">
        <f t="shared" ca="1" si="88"/>
        <v>-43.832999999999998</v>
      </c>
      <c r="CG37" s="1246">
        <f t="shared" ca="1" si="89"/>
        <v>-13.525</v>
      </c>
      <c r="CH37" s="1246">
        <f t="shared" ca="1" si="90"/>
        <v>-24.17</v>
      </c>
      <c r="CI37" s="1246">
        <f t="shared" ca="1" si="91"/>
        <v>-24.17</v>
      </c>
      <c r="CJ37" s="1246">
        <f t="shared" ca="1" si="92"/>
        <v>-32.49</v>
      </c>
      <c r="DK37" s="1248"/>
      <c r="DL37" s="1248"/>
      <c r="DM37" s="1248"/>
      <c r="DN37" s="1248"/>
      <c r="DO37" s="1248"/>
      <c r="DP37" s="1248"/>
      <c r="DQ37" s="1248"/>
      <c r="DR37" s="1248"/>
      <c r="DS37" s="1248"/>
      <c r="DT37" s="1248"/>
      <c r="DU37" s="1248"/>
      <c r="DV37" s="1248"/>
      <c r="DW37" s="1248">
        <v>-10.85</v>
      </c>
      <c r="DX37" s="1248">
        <v>-9.08</v>
      </c>
      <c r="DY37" s="1248">
        <v>-8.673</v>
      </c>
      <c r="DZ37" s="1248">
        <v>-5.7889999999999997</v>
      </c>
      <c r="EA37" s="1248">
        <v>-4.63</v>
      </c>
      <c r="EB37" s="1248">
        <v>-8.2309999999999999</v>
      </c>
      <c r="EC37" s="1248">
        <v>-2.5390000000000001</v>
      </c>
      <c r="ED37" s="1248">
        <v>-5.3150000000000004</v>
      </c>
      <c r="EE37" s="1248">
        <v>-5.01</v>
      </c>
      <c r="EF37" s="1248">
        <v>-2.4159999999999999</v>
      </c>
      <c r="EG37" s="1248">
        <v>-2.0089999999999999</v>
      </c>
      <c r="EH37" s="1248">
        <v>-2.7829999999999999</v>
      </c>
      <c r="EI37" s="1248">
        <v>-6.5570000000000004</v>
      </c>
      <c r="EJ37" s="1248">
        <v>-5.9909999999999997</v>
      </c>
      <c r="EK37" s="1248">
        <v>-1.236</v>
      </c>
      <c r="EL37" s="1248">
        <v>-9.2530000000000001</v>
      </c>
      <c r="EM37" s="1248">
        <v>-11.958</v>
      </c>
      <c r="EN37" s="1248">
        <v>-9.5489999999999995</v>
      </c>
      <c r="EO37" s="1248">
        <v>-12.906000000000001</v>
      </c>
      <c r="EP37" s="1248">
        <v>-9.42</v>
      </c>
      <c r="EQ37" s="1248">
        <v>-13.525</v>
      </c>
      <c r="ER37" s="1248">
        <v>-10.645</v>
      </c>
      <c r="ES37" s="1248">
        <v>0</v>
      </c>
      <c r="ET37" s="1248">
        <v>-8.32</v>
      </c>
    </row>
    <row r="38" spans="1:162" s="1231" customFormat="1">
      <c r="A38" s="1229"/>
      <c r="B38" s="1230" t="s">
        <v>392</v>
      </c>
      <c r="M38" s="1231">
        <f ca="1">SUM(M36:M37)</f>
        <v>0</v>
      </c>
      <c r="N38" s="1231">
        <f ca="1">SUM(N36:N37)</f>
        <v>0</v>
      </c>
      <c r="O38" s="1231">
        <f ca="1">SUM(O36:O37)</f>
        <v>0</v>
      </c>
      <c r="P38" s="1231">
        <f ca="1">SUM(P36:P37)</f>
        <v>0</v>
      </c>
      <c r="Q38" s="1231">
        <f ca="1">SUM(Q36:Q37)</f>
        <v>0</v>
      </c>
      <c r="R38" s="1231">
        <f t="shared" ref="R38:Y38" ca="1" si="93">SUM(R36:R37)</f>
        <v>0</v>
      </c>
      <c r="S38" s="1231">
        <f t="shared" ca="1" si="93"/>
        <v>0</v>
      </c>
      <c r="T38" s="1231">
        <f t="shared" ca="1" si="93"/>
        <v>0</v>
      </c>
      <c r="U38" s="1231">
        <f t="shared" ca="1" si="93"/>
        <v>-28.504000000000005</v>
      </c>
      <c r="V38" s="1231">
        <f t="shared" ca="1" si="93"/>
        <v>-6.4849999999999994</v>
      </c>
      <c r="W38" s="1231">
        <f t="shared" ca="1" si="93"/>
        <v>-7.0190000000000001</v>
      </c>
      <c r="X38" s="1231">
        <f t="shared" ca="1" si="93"/>
        <v>-11.793999999999999</v>
      </c>
      <c r="Y38" s="1231">
        <f t="shared" ca="1" si="93"/>
        <v>-16.742999999999999</v>
      </c>
      <c r="Z38" s="1231">
        <f ca="1">SUM(Z36:Z37)</f>
        <v>31.848999999999997</v>
      </c>
      <c r="AA38" s="1231">
        <f ca="1">SUM(AA36:AA37)</f>
        <v>0</v>
      </c>
      <c r="AB38" s="1231">
        <f ca="1">SUM(AB36:AB37)</f>
        <v>0</v>
      </c>
      <c r="AC38" s="1231">
        <f ca="1">SUM(AC36:AC37)</f>
        <v>0</v>
      </c>
      <c r="AG38" s="1231">
        <f t="shared" ca="1" si="37"/>
        <v>0</v>
      </c>
      <c r="AH38" s="1231">
        <f t="shared" ca="1" si="38"/>
        <v>0</v>
      </c>
      <c r="AI38" s="1231">
        <f t="shared" ca="1" si="39"/>
        <v>0</v>
      </c>
      <c r="AJ38" s="1231">
        <f t="shared" ca="1" si="40"/>
        <v>0</v>
      </c>
      <c r="AK38" s="1231">
        <f t="shared" ca="1" si="41"/>
        <v>0</v>
      </c>
      <c r="AL38" s="1231">
        <f t="shared" ca="1" si="42"/>
        <v>0</v>
      </c>
      <c r="AM38" s="1231">
        <f t="shared" ca="1" si="43"/>
        <v>0</v>
      </c>
      <c r="AN38" s="1231">
        <f t="shared" ca="1" si="44"/>
        <v>0</v>
      </c>
      <c r="AO38" s="1231">
        <f t="shared" ca="1" si="45"/>
        <v>0</v>
      </c>
      <c r="AP38" s="1231">
        <f t="shared" ca="1" si="46"/>
        <v>0</v>
      </c>
      <c r="AQ38" s="1231">
        <f t="shared" ca="1" si="47"/>
        <v>0</v>
      </c>
      <c r="AR38" s="1231">
        <f t="shared" ca="1" si="48"/>
        <v>0</v>
      </c>
      <c r="AS38" s="1231">
        <f t="shared" ca="1" si="49"/>
        <v>0</v>
      </c>
      <c r="AT38" s="1231">
        <f t="shared" ca="1" si="50"/>
        <v>0</v>
      </c>
      <c r="AU38" s="1231">
        <f t="shared" ca="1" si="51"/>
        <v>0</v>
      </c>
      <c r="AV38" s="1231">
        <f t="shared" ca="1" si="52"/>
        <v>0</v>
      </c>
      <c r="AW38" s="1231">
        <f t="shared" ca="1" si="53"/>
        <v>0</v>
      </c>
      <c r="AX38" s="1231">
        <f t="shared" ca="1" si="54"/>
        <v>0</v>
      </c>
      <c r="AY38" s="1231">
        <f t="shared" ca="1" si="55"/>
        <v>0</v>
      </c>
      <c r="AZ38" s="1231">
        <f t="shared" ca="1" si="56"/>
        <v>0</v>
      </c>
      <c r="BA38" s="1231">
        <f t="shared" ca="1" si="57"/>
        <v>0</v>
      </c>
      <c r="BB38" s="1231">
        <f t="shared" ca="1" si="58"/>
        <v>0</v>
      </c>
      <c r="BC38" s="1231">
        <f t="shared" ca="1" si="59"/>
        <v>0</v>
      </c>
      <c r="BD38" s="1231">
        <f t="shared" ca="1" si="60"/>
        <v>0</v>
      </c>
      <c r="BE38" s="1231">
        <f t="shared" ca="1" si="61"/>
        <v>0</v>
      </c>
      <c r="BF38" s="1231">
        <f t="shared" ca="1" si="62"/>
        <v>0</v>
      </c>
      <c r="BG38" s="1231">
        <f t="shared" ca="1" si="63"/>
        <v>0</v>
      </c>
      <c r="BH38" s="1231">
        <f t="shared" ca="1" si="64"/>
        <v>0</v>
      </c>
      <c r="BI38" s="1231">
        <f t="shared" ca="1" si="65"/>
        <v>0</v>
      </c>
      <c r="BJ38" s="1231">
        <f t="shared" ca="1" si="66"/>
        <v>0</v>
      </c>
      <c r="BK38" s="1231">
        <f t="shared" ca="1" si="67"/>
        <v>0</v>
      </c>
      <c r="BL38" s="1231">
        <f t="shared" ca="1" si="68"/>
        <v>0</v>
      </c>
      <c r="BM38" s="1231">
        <f t="shared" ca="1" si="69"/>
        <v>-9.4979999999999993</v>
      </c>
      <c r="BN38" s="1231">
        <f t="shared" ca="1" si="70"/>
        <v>-17.641999999999999</v>
      </c>
      <c r="BO38" s="1231">
        <f t="shared" ca="1" si="71"/>
        <v>-24.920999999999999</v>
      </c>
      <c r="BP38" s="1231">
        <f t="shared" ca="1" si="72"/>
        <v>-28.503999999999998</v>
      </c>
      <c r="BQ38" s="1231">
        <f t="shared" ca="1" si="73"/>
        <v>-2.7919999999999998</v>
      </c>
      <c r="BR38" s="1231">
        <f t="shared" ca="1" si="74"/>
        <v>-8.0019999999999989</v>
      </c>
      <c r="BS38" s="1231">
        <f t="shared" ca="1" si="75"/>
        <v>-7.5729999999999986</v>
      </c>
      <c r="BT38" s="1231">
        <f t="shared" ca="1" si="76"/>
        <v>-6.4849999999999994</v>
      </c>
      <c r="BU38" s="1231">
        <f t="shared" ca="1" si="77"/>
        <v>-3.641</v>
      </c>
      <c r="BV38" s="1231">
        <f t="shared" ca="1" si="78"/>
        <v>-5.101</v>
      </c>
      <c r="BW38" s="1231">
        <f t="shared" ca="1" si="79"/>
        <v>-5.7320000000000002</v>
      </c>
      <c r="BX38" s="1231">
        <f t="shared" ca="1" si="80"/>
        <v>-7.0190000000000001</v>
      </c>
      <c r="BY38" s="1231">
        <f t="shared" ca="1" si="81"/>
        <v>-4.8210000000000006</v>
      </c>
      <c r="BZ38" s="1231">
        <f t="shared" ca="1" si="82"/>
        <v>-9.0240000000000009</v>
      </c>
      <c r="CA38" s="1231">
        <f t="shared" ca="1" si="83"/>
        <v>-7.2150000000000007</v>
      </c>
      <c r="CB38" s="1231">
        <f t="shared" ca="1" si="84"/>
        <v>-11.794</v>
      </c>
      <c r="CC38" s="1231">
        <f t="shared" ca="1" si="85"/>
        <v>-6.3650000000000002</v>
      </c>
      <c r="CD38" s="1231">
        <f t="shared" ca="1" si="86"/>
        <v>-9.2590000000000003</v>
      </c>
      <c r="CE38" s="1231">
        <f t="shared" ca="1" si="87"/>
        <v>-15.620000000000001</v>
      </c>
      <c r="CF38" s="1231">
        <f t="shared" ca="1" si="88"/>
        <v>-16.743000000000002</v>
      </c>
      <c r="CG38" s="1231">
        <f t="shared" ca="1" si="89"/>
        <v>-0.66999999999999993</v>
      </c>
      <c r="CH38" s="1231">
        <f t="shared" ca="1" si="90"/>
        <v>1.3250000000000011</v>
      </c>
      <c r="CI38" s="1231">
        <f t="shared" ca="1" si="91"/>
        <v>20.014000000000003</v>
      </c>
      <c r="CJ38" s="1231">
        <f t="shared" ca="1" si="92"/>
        <v>31.849000000000004</v>
      </c>
      <c r="DW38" s="1231">
        <f t="shared" ref="DW38:ET38" si="94">SUM(DW36:DW37)</f>
        <v>-9.4979999999999993</v>
      </c>
      <c r="DX38" s="1231">
        <f t="shared" si="94"/>
        <v>-8.1440000000000001</v>
      </c>
      <c r="DY38" s="1231">
        <f t="shared" si="94"/>
        <v>-7.2789999999999999</v>
      </c>
      <c r="DZ38" s="1231">
        <f t="shared" si="94"/>
        <v>-3.5829999999999997</v>
      </c>
      <c r="EA38" s="1231">
        <f t="shared" si="94"/>
        <v>-2.7919999999999998</v>
      </c>
      <c r="EB38" s="1231">
        <f t="shared" si="94"/>
        <v>-5.21</v>
      </c>
      <c r="EC38" s="1231">
        <f t="shared" si="94"/>
        <v>0.42899999999999983</v>
      </c>
      <c r="ED38" s="1231">
        <f t="shared" si="94"/>
        <v>1.0879999999999992</v>
      </c>
      <c r="EE38" s="1231">
        <f t="shared" si="94"/>
        <v>-3.641</v>
      </c>
      <c r="EF38" s="1231">
        <f t="shared" si="94"/>
        <v>-1.46</v>
      </c>
      <c r="EG38" s="1231">
        <f t="shared" si="94"/>
        <v>-0.63100000000000001</v>
      </c>
      <c r="EH38" s="1231">
        <f t="shared" si="94"/>
        <v>-1.2869999999999999</v>
      </c>
      <c r="EI38" s="1231">
        <f t="shared" si="94"/>
        <v>-4.8210000000000006</v>
      </c>
      <c r="EJ38" s="1231">
        <f t="shared" si="94"/>
        <v>-4.2029999999999994</v>
      </c>
      <c r="EK38" s="1231">
        <f t="shared" si="94"/>
        <v>1.8089999999999999</v>
      </c>
      <c r="EL38" s="1231">
        <f t="shared" si="94"/>
        <v>-4.5789999999999997</v>
      </c>
      <c r="EM38" s="1231">
        <f t="shared" si="94"/>
        <v>-6.3650000000000002</v>
      </c>
      <c r="EN38" s="1231">
        <f t="shared" si="94"/>
        <v>-2.8939999999999992</v>
      </c>
      <c r="EO38" s="1231">
        <f t="shared" si="94"/>
        <v>-6.3610000000000007</v>
      </c>
      <c r="EP38" s="1231">
        <f t="shared" si="94"/>
        <v>-1.1229999999999993</v>
      </c>
      <c r="EQ38" s="1231">
        <f t="shared" si="94"/>
        <v>-0.66999999999999993</v>
      </c>
      <c r="ER38" s="1231">
        <f t="shared" si="94"/>
        <v>1.995000000000001</v>
      </c>
      <c r="ES38" s="1231">
        <f t="shared" si="94"/>
        <v>18.689</v>
      </c>
      <c r="ET38" s="1231">
        <f t="shared" si="94"/>
        <v>11.835000000000001</v>
      </c>
    </row>
    <row r="39" spans="1:162" s="1231" customFormat="1">
      <c r="A39" s="1224"/>
      <c r="B39" s="1237" t="s">
        <v>351</v>
      </c>
      <c r="M39" s="1236">
        <f t="shared" ref="M39:V40" ca="1" si="95">OFFSET($CQ39,0,M$7)+OFFSET($CR39,0,M$7)+OFFSET($CS39,0,M$7)+OFFSET($CT39,0,M$7)</f>
        <v>0</v>
      </c>
      <c r="N39" s="1236">
        <f t="shared" ca="1" si="95"/>
        <v>0</v>
      </c>
      <c r="O39" s="1236">
        <f t="shared" ca="1" si="95"/>
        <v>0</v>
      </c>
      <c r="P39" s="1236">
        <f t="shared" ca="1" si="95"/>
        <v>0</v>
      </c>
      <c r="Q39" s="1236">
        <f t="shared" ca="1" si="95"/>
        <v>0</v>
      </c>
      <c r="R39" s="1236">
        <f t="shared" ca="1" si="95"/>
        <v>0</v>
      </c>
      <c r="S39" s="1236">
        <f t="shared" ca="1" si="95"/>
        <v>0</v>
      </c>
      <c r="T39" s="1236">
        <f t="shared" ca="1" si="95"/>
        <v>0</v>
      </c>
      <c r="U39" s="1236">
        <f t="shared" ca="1" si="95"/>
        <v>0</v>
      </c>
      <c r="V39" s="1236">
        <f t="shared" ca="1" si="95"/>
        <v>0</v>
      </c>
      <c r="W39" s="1236">
        <f t="shared" ref="W39:AC40" ca="1" si="96">OFFSET($CQ39,0,W$7)+OFFSET($CR39,0,W$7)+OFFSET($CS39,0,W$7)+OFFSET($CT39,0,W$7)</f>
        <v>0</v>
      </c>
      <c r="X39" s="1236">
        <f t="shared" ca="1" si="96"/>
        <v>0</v>
      </c>
      <c r="Y39" s="1236">
        <f t="shared" ca="1" si="96"/>
        <v>0</v>
      </c>
      <c r="Z39" s="1236">
        <f t="shared" ca="1" si="96"/>
        <v>0</v>
      </c>
      <c r="AA39" s="1236">
        <f t="shared" ca="1" si="96"/>
        <v>0</v>
      </c>
      <c r="AB39" s="1236">
        <f t="shared" ca="1" si="96"/>
        <v>0</v>
      </c>
      <c r="AC39" s="1236">
        <f t="shared" ca="1" si="96"/>
        <v>0</v>
      </c>
      <c r="AD39" s="1236"/>
      <c r="AE39" s="1236"/>
      <c r="AF39" s="1236"/>
      <c r="AG39" s="1236">
        <f t="shared" ca="1" si="37"/>
        <v>0</v>
      </c>
      <c r="AH39" s="1236">
        <f t="shared" ca="1" si="38"/>
        <v>0</v>
      </c>
      <c r="AI39" s="1236">
        <f t="shared" ca="1" si="39"/>
        <v>0</v>
      </c>
      <c r="AJ39" s="1236">
        <f t="shared" ca="1" si="40"/>
        <v>0</v>
      </c>
      <c r="AK39" s="1236">
        <f t="shared" ca="1" si="41"/>
        <v>0</v>
      </c>
      <c r="AL39" s="1236">
        <f t="shared" ca="1" si="42"/>
        <v>0</v>
      </c>
      <c r="AM39" s="1236">
        <f t="shared" ca="1" si="43"/>
        <v>0</v>
      </c>
      <c r="AN39" s="1236">
        <f t="shared" ca="1" si="44"/>
        <v>0</v>
      </c>
      <c r="AO39" s="1236">
        <f t="shared" ca="1" si="45"/>
        <v>0</v>
      </c>
      <c r="AP39" s="1236">
        <f t="shared" ca="1" si="46"/>
        <v>0</v>
      </c>
      <c r="AQ39" s="1236">
        <f t="shared" ca="1" si="47"/>
        <v>0</v>
      </c>
      <c r="AR39" s="1236">
        <f t="shared" ca="1" si="48"/>
        <v>0</v>
      </c>
      <c r="AS39" s="1236">
        <f t="shared" ca="1" si="49"/>
        <v>0</v>
      </c>
      <c r="AT39" s="1236">
        <f t="shared" ca="1" si="50"/>
        <v>0</v>
      </c>
      <c r="AU39" s="1236">
        <f t="shared" ca="1" si="51"/>
        <v>0</v>
      </c>
      <c r="AV39" s="1236">
        <f t="shared" ca="1" si="52"/>
        <v>0</v>
      </c>
      <c r="AW39" s="1236">
        <f t="shared" ca="1" si="53"/>
        <v>0</v>
      </c>
      <c r="AX39" s="1236">
        <f t="shared" ca="1" si="54"/>
        <v>0</v>
      </c>
      <c r="AY39" s="1236">
        <f t="shared" ca="1" si="55"/>
        <v>0</v>
      </c>
      <c r="AZ39" s="1236">
        <f t="shared" ca="1" si="56"/>
        <v>0</v>
      </c>
      <c r="BA39" s="1236">
        <f t="shared" ca="1" si="57"/>
        <v>0</v>
      </c>
      <c r="BB39" s="1236">
        <f t="shared" ca="1" si="58"/>
        <v>0</v>
      </c>
      <c r="BC39" s="1236">
        <f t="shared" ca="1" si="59"/>
        <v>0</v>
      </c>
      <c r="BD39" s="1236">
        <f t="shared" ca="1" si="60"/>
        <v>0</v>
      </c>
      <c r="BE39" s="1236">
        <f t="shared" ca="1" si="61"/>
        <v>0</v>
      </c>
      <c r="BF39" s="1236">
        <f t="shared" ca="1" si="62"/>
        <v>0</v>
      </c>
      <c r="BG39" s="1236">
        <f t="shared" ca="1" si="63"/>
        <v>0</v>
      </c>
      <c r="BH39" s="1236">
        <f t="shared" ca="1" si="64"/>
        <v>0</v>
      </c>
      <c r="BI39" s="1236">
        <f t="shared" ca="1" si="65"/>
        <v>0</v>
      </c>
      <c r="BJ39" s="1236">
        <f t="shared" ca="1" si="66"/>
        <v>0</v>
      </c>
      <c r="BK39" s="1236">
        <f t="shared" ca="1" si="67"/>
        <v>0</v>
      </c>
      <c r="BL39" s="1236">
        <f t="shared" ca="1" si="68"/>
        <v>0</v>
      </c>
      <c r="BM39" s="1236">
        <f t="shared" ca="1" si="69"/>
        <v>0</v>
      </c>
      <c r="BN39" s="1236">
        <f t="shared" ca="1" si="70"/>
        <v>0</v>
      </c>
      <c r="BO39" s="1236">
        <f t="shared" ca="1" si="71"/>
        <v>0</v>
      </c>
      <c r="BP39" s="1236">
        <f t="shared" ca="1" si="72"/>
        <v>0</v>
      </c>
      <c r="BQ39" s="1236">
        <f t="shared" ca="1" si="73"/>
        <v>0</v>
      </c>
      <c r="BR39" s="1236">
        <f t="shared" ca="1" si="74"/>
        <v>0</v>
      </c>
      <c r="BS39" s="1236">
        <f t="shared" ca="1" si="75"/>
        <v>0</v>
      </c>
      <c r="BT39" s="1236">
        <f t="shared" ca="1" si="76"/>
        <v>0</v>
      </c>
      <c r="BU39" s="1236">
        <f t="shared" ca="1" si="77"/>
        <v>0</v>
      </c>
      <c r="BV39" s="1236">
        <f t="shared" ca="1" si="78"/>
        <v>0</v>
      </c>
      <c r="BW39" s="1236">
        <f t="shared" ca="1" si="79"/>
        <v>0</v>
      </c>
      <c r="BX39" s="1236">
        <f t="shared" ca="1" si="80"/>
        <v>0</v>
      </c>
      <c r="BY39" s="1236">
        <f t="shared" ca="1" si="81"/>
        <v>0</v>
      </c>
      <c r="BZ39" s="1236">
        <f t="shared" ca="1" si="82"/>
        <v>0</v>
      </c>
      <c r="CA39" s="1236">
        <f t="shared" ca="1" si="83"/>
        <v>0</v>
      </c>
      <c r="CB39" s="1236">
        <f t="shared" ca="1" si="84"/>
        <v>0</v>
      </c>
      <c r="CC39" s="1236">
        <f t="shared" ca="1" si="85"/>
        <v>0</v>
      </c>
      <c r="CD39" s="1236">
        <f t="shared" ca="1" si="86"/>
        <v>0</v>
      </c>
      <c r="CE39" s="1236">
        <f t="shared" ca="1" si="87"/>
        <v>0</v>
      </c>
      <c r="CF39" s="1236">
        <f t="shared" ca="1" si="88"/>
        <v>0</v>
      </c>
      <c r="CG39" s="1236">
        <f t="shared" ca="1" si="89"/>
        <v>0</v>
      </c>
      <c r="CH39" s="1236">
        <f t="shared" ca="1" si="90"/>
        <v>0</v>
      </c>
      <c r="CI39" s="1236">
        <f t="shared" ca="1" si="91"/>
        <v>0</v>
      </c>
      <c r="CJ39" s="1236">
        <f t="shared" ca="1" si="92"/>
        <v>0</v>
      </c>
      <c r="DK39" s="1238"/>
      <c r="DL39" s="1238"/>
      <c r="DM39" s="1238"/>
      <c r="DN39" s="1238"/>
      <c r="DO39" s="1238"/>
      <c r="DP39" s="1238"/>
      <c r="DQ39" s="1238"/>
      <c r="DR39" s="1238"/>
      <c r="DS39" s="1238"/>
      <c r="DT39" s="1238"/>
      <c r="DU39" s="1238"/>
      <c r="DV39" s="1238"/>
      <c r="DW39" s="1238"/>
      <c r="DX39" s="1238"/>
      <c r="DY39" s="1238"/>
      <c r="DZ39" s="1238"/>
      <c r="EA39" s="1238"/>
      <c r="EB39" s="1238"/>
      <c r="EC39" s="1238"/>
      <c r="ED39" s="1238"/>
      <c r="EE39" s="1238"/>
      <c r="EF39" s="1238"/>
      <c r="EG39" s="1238"/>
      <c r="EH39" s="1238"/>
      <c r="EI39" s="1238"/>
      <c r="EJ39" s="1238"/>
      <c r="EK39" s="1238"/>
      <c r="EL39" s="1238"/>
      <c r="EM39" s="1238"/>
      <c r="EN39" s="1238"/>
      <c r="EO39" s="1238"/>
      <c r="EP39" s="1238"/>
      <c r="EQ39" s="1238"/>
      <c r="ER39" s="1238"/>
      <c r="ES39" s="1238"/>
      <c r="ET39" s="1238"/>
    </row>
    <row r="40" spans="1:162" s="1231" customFormat="1">
      <c r="A40" s="1224"/>
      <c r="B40" s="1237" t="s">
        <v>353</v>
      </c>
      <c r="M40" s="1236">
        <f t="shared" ca="1" si="95"/>
        <v>0</v>
      </c>
      <c r="N40" s="1236">
        <f t="shared" ca="1" si="95"/>
        <v>0</v>
      </c>
      <c r="O40" s="1236">
        <f t="shared" ca="1" si="95"/>
        <v>0</v>
      </c>
      <c r="P40" s="1236">
        <f t="shared" ca="1" si="95"/>
        <v>0</v>
      </c>
      <c r="Q40" s="1236">
        <f t="shared" ca="1" si="95"/>
        <v>0</v>
      </c>
      <c r="R40" s="1236">
        <f t="shared" ca="1" si="95"/>
        <v>0</v>
      </c>
      <c r="S40" s="1236">
        <f t="shared" ca="1" si="95"/>
        <v>0</v>
      </c>
      <c r="T40" s="1236">
        <f t="shared" ca="1" si="95"/>
        <v>0</v>
      </c>
      <c r="U40" s="1236">
        <f t="shared" ca="1" si="95"/>
        <v>0</v>
      </c>
      <c r="V40" s="1236">
        <f t="shared" ca="1" si="95"/>
        <v>0</v>
      </c>
      <c r="W40" s="1236">
        <f t="shared" ca="1" si="96"/>
        <v>0</v>
      </c>
      <c r="X40" s="1236">
        <f t="shared" ca="1" si="96"/>
        <v>0</v>
      </c>
      <c r="Y40" s="1236">
        <f t="shared" ca="1" si="96"/>
        <v>0</v>
      </c>
      <c r="Z40" s="1236">
        <f t="shared" ca="1" si="96"/>
        <v>0</v>
      </c>
      <c r="AA40" s="1236">
        <f t="shared" ca="1" si="96"/>
        <v>0</v>
      </c>
      <c r="AB40" s="1236">
        <f t="shared" ca="1" si="96"/>
        <v>0</v>
      </c>
      <c r="AC40" s="1236">
        <f t="shared" ca="1" si="96"/>
        <v>0</v>
      </c>
      <c r="AD40" s="1236"/>
      <c r="AE40" s="1236"/>
      <c r="AF40" s="1236"/>
      <c r="AG40" s="1236">
        <f t="shared" ca="1" si="37"/>
        <v>0</v>
      </c>
      <c r="AH40" s="1236">
        <f t="shared" ca="1" si="38"/>
        <v>0</v>
      </c>
      <c r="AI40" s="1236">
        <f t="shared" ca="1" si="39"/>
        <v>0</v>
      </c>
      <c r="AJ40" s="1236">
        <f t="shared" ca="1" si="40"/>
        <v>0</v>
      </c>
      <c r="AK40" s="1236">
        <f t="shared" ca="1" si="41"/>
        <v>0</v>
      </c>
      <c r="AL40" s="1236">
        <f t="shared" ca="1" si="42"/>
        <v>0</v>
      </c>
      <c r="AM40" s="1236">
        <f t="shared" ca="1" si="43"/>
        <v>0</v>
      </c>
      <c r="AN40" s="1236">
        <f t="shared" ca="1" si="44"/>
        <v>0</v>
      </c>
      <c r="AO40" s="1236">
        <f t="shared" ca="1" si="45"/>
        <v>0</v>
      </c>
      <c r="AP40" s="1236">
        <f t="shared" ca="1" si="46"/>
        <v>0</v>
      </c>
      <c r="AQ40" s="1236">
        <f t="shared" ca="1" si="47"/>
        <v>0</v>
      </c>
      <c r="AR40" s="1236">
        <f t="shared" ca="1" si="48"/>
        <v>0</v>
      </c>
      <c r="AS40" s="1236">
        <f t="shared" ca="1" si="49"/>
        <v>0</v>
      </c>
      <c r="AT40" s="1236">
        <f t="shared" ca="1" si="50"/>
        <v>0</v>
      </c>
      <c r="AU40" s="1236">
        <f t="shared" ca="1" si="51"/>
        <v>0</v>
      </c>
      <c r="AV40" s="1236">
        <f t="shared" ca="1" si="52"/>
        <v>0</v>
      </c>
      <c r="AW40" s="1236">
        <f t="shared" ca="1" si="53"/>
        <v>0</v>
      </c>
      <c r="AX40" s="1236">
        <f t="shared" ca="1" si="54"/>
        <v>0</v>
      </c>
      <c r="AY40" s="1236">
        <f t="shared" ca="1" si="55"/>
        <v>0</v>
      </c>
      <c r="AZ40" s="1236">
        <f t="shared" ca="1" si="56"/>
        <v>0</v>
      </c>
      <c r="BA40" s="1236">
        <f t="shared" ca="1" si="57"/>
        <v>0</v>
      </c>
      <c r="BB40" s="1236">
        <f t="shared" ca="1" si="58"/>
        <v>0</v>
      </c>
      <c r="BC40" s="1236">
        <f t="shared" ca="1" si="59"/>
        <v>0</v>
      </c>
      <c r="BD40" s="1236">
        <f t="shared" ca="1" si="60"/>
        <v>0</v>
      </c>
      <c r="BE40" s="1236">
        <f t="shared" ca="1" si="61"/>
        <v>0</v>
      </c>
      <c r="BF40" s="1236">
        <f t="shared" ca="1" si="62"/>
        <v>0</v>
      </c>
      <c r="BG40" s="1236">
        <f t="shared" ca="1" si="63"/>
        <v>0</v>
      </c>
      <c r="BH40" s="1236">
        <f t="shared" ca="1" si="64"/>
        <v>0</v>
      </c>
      <c r="BI40" s="1236">
        <f t="shared" ca="1" si="65"/>
        <v>0</v>
      </c>
      <c r="BJ40" s="1236">
        <f t="shared" ca="1" si="66"/>
        <v>0</v>
      </c>
      <c r="BK40" s="1236">
        <f t="shared" ca="1" si="67"/>
        <v>0</v>
      </c>
      <c r="BL40" s="1236">
        <f t="shared" ca="1" si="68"/>
        <v>0</v>
      </c>
      <c r="BM40" s="1236">
        <f t="shared" ca="1" si="69"/>
        <v>0</v>
      </c>
      <c r="BN40" s="1236">
        <f t="shared" ca="1" si="70"/>
        <v>0</v>
      </c>
      <c r="BO40" s="1236">
        <f t="shared" ca="1" si="71"/>
        <v>0</v>
      </c>
      <c r="BP40" s="1236">
        <f t="shared" ca="1" si="72"/>
        <v>0</v>
      </c>
      <c r="BQ40" s="1236">
        <f t="shared" ca="1" si="73"/>
        <v>0</v>
      </c>
      <c r="BR40" s="1236">
        <f t="shared" ca="1" si="74"/>
        <v>0</v>
      </c>
      <c r="BS40" s="1236">
        <f t="shared" ca="1" si="75"/>
        <v>0</v>
      </c>
      <c r="BT40" s="1236">
        <f t="shared" ca="1" si="76"/>
        <v>0</v>
      </c>
      <c r="BU40" s="1236">
        <f t="shared" ca="1" si="77"/>
        <v>0</v>
      </c>
      <c r="BV40" s="1236">
        <f t="shared" ca="1" si="78"/>
        <v>0</v>
      </c>
      <c r="BW40" s="1236">
        <f t="shared" ca="1" si="79"/>
        <v>0</v>
      </c>
      <c r="BX40" s="1236">
        <f t="shared" ca="1" si="80"/>
        <v>0</v>
      </c>
      <c r="BY40" s="1236">
        <f t="shared" ca="1" si="81"/>
        <v>0</v>
      </c>
      <c r="BZ40" s="1236">
        <f t="shared" ca="1" si="82"/>
        <v>0</v>
      </c>
      <c r="CA40" s="1236">
        <f t="shared" ca="1" si="83"/>
        <v>0</v>
      </c>
      <c r="CB40" s="1236">
        <f t="shared" ca="1" si="84"/>
        <v>0</v>
      </c>
      <c r="CC40" s="1236">
        <f t="shared" ca="1" si="85"/>
        <v>0</v>
      </c>
      <c r="CD40" s="1236">
        <f t="shared" ca="1" si="86"/>
        <v>0</v>
      </c>
      <c r="CE40" s="1236">
        <f t="shared" ca="1" si="87"/>
        <v>0</v>
      </c>
      <c r="CF40" s="1236">
        <f t="shared" ca="1" si="88"/>
        <v>0</v>
      </c>
      <c r="CG40" s="1236">
        <f t="shared" ca="1" si="89"/>
        <v>0</v>
      </c>
      <c r="CH40" s="1236">
        <f t="shared" ca="1" si="90"/>
        <v>0</v>
      </c>
      <c r="CI40" s="1236">
        <f t="shared" ca="1" si="91"/>
        <v>0</v>
      </c>
      <c r="CJ40" s="1236">
        <f t="shared" ca="1" si="92"/>
        <v>0</v>
      </c>
      <c r="DK40" s="1238"/>
      <c r="DL40" s="1238"/>
      <c r="DM40" s="1238"/>
      <c r="DN40" s="1238"/>
      <c r="DO40" s="1238"/>
      <c r="DP40" s="1238"/>
      <c r="DQ40" s="1238"/>
      <c r="DR40" s="1238"/>
      <c r="DS40" s="1238"/>
      <c r="DT40" s="1238"/>
      <c r="DU40" s="1238"/>
      <c r="DV40" s="1238"/>
      <c r="DW40" s="1238"/>
      <c r="DX40" s="1238"/>
      <c r="DY40" s="1238"/>
      <c r="DZ40" s="1238"/>
      <c r="EA40" s="1238"/>
      <c r="EB40" s="1238"/>
      <c r="EC40" s="1238"/>
      <c r="ED40" s="1238"/>
      <c r="EE40" s="1238"/>
      <c r="EF40" s="1238"/>
      <c r="EG40" s="1238"/>
      <c r="EH40" s="1238"/>
      <c r="EI40" s="1238"/>
      <c r="EJ40" s="1238"/>
      <c r="EK40" s="1238"/>
      <c r="EL40" s="1238"/>
      <c r="EM40" s="1238"/>
      <c r="EN40" s="1238"/>
      <c r="EO40" s="1238"/>
      <c r="EP40" s="1238"/>
      <c r="EQ40" s="1238"/>
      <c r="ER40" s="1238"/>
      <c r="ES40" s="1238"/>
      <c r="ET40" s="1238"/>
    </row>
    <row r="41" spans="1:162">
      <c r="A41" s="1224"/>
      <c r="B41" s="1230" t="s">
        <v>391</v>
      </c>
      <c r="M41" s="1231">
        <f t="shared" ref="M41:R41" ca="1" si="97">SUM(M39:M40)</f>
        <v>0</v>
      </c>
      <c r="N41" s="1231">
        <f t="shared" ca="1" si="97"/>
        <v>0</v>
      </c>
      <c r="O41" s="1231">
        <f t="shared" ca="1" si="97"/>
        <v>0</v>
      </c>
      <c r="P41" s="1231">
        <f t="shared" ca="1" si="97"/>
        <v>0</v>
      </c>
      <c r="Q41" s="1231">
        <f t="shared" ca="1" si="97"/>
        <v>0</v>
      </c>
      <c r="R41" s="1231">
        <f t="shared" ca="1" si="97"/>
        <v>0</v>
      </c>
      <c r="S41" s="1231">
        <f t="shared" ref="S41:Y41" ca="1" si="98">SUM(S39:S40)</f>
        <v>0</v>
      </c>
      <c r="T41" s="1231">
        <f t="shared" ca="1" si="98"/>
        <v>0</v>
      </c>
      <c r="U41" s="1231">
        <f t="shared" ca="1" si="98"/>
        <v>0</v>
      </c>
      <c r="V41" s="1231">
        <f t="shared" ca="1" si="98"/>
        <v>0</v>
      </c>
      <c r="W41" s="1231">
        <f t="shared" ca="1" si="98"/>
        <v>0</v>
      </c>
      <c r="X41" s="1231">
        <f t="shared" ca="1" si="98"/>
        <v>0</v>
      </c>
      <c r="Y41" s="1231">
        <f t="shared" ca="1" si="98"/>
        <v>0</v>
      </c>
      <c r="Z41" s="1231">
        <f ca="1">SUM(Z39:Z40)</f>
        <v>0</v>
      </c>
      <c r="AA41" s="1231">
        <f ca="1">SUM(AA39:AA40)</f>
        <v>0</v>
      </c>
      <c r="AB41" s="1231">
        <f ca="1">SUM(AB39:AB40)</f>
        <v>0</v>
      </c>
      <c r="AC41" s="1231">
        <f ca="1">SUM(AC39:AC40)</f>
        <v>0</v>
      </c>
      <c r="AD41" s="1231"/>
      <c r="AE41" s="1231"/>
      <c r="AF41" s="1231"/>
      <c r="AG41" s="1231">
        <f t="shared" ca="1" si="37"/>
        <v>0</v>
      </c>
      <c r="AH41" s="1231">
        <f t="shared" ca="1" si="38"/>
        <v>0</v>
      </c>
      <c r="AI41" s="1231">
        <f t="shared" ca="1" si="39"/>
        <v>0</v>
      </c>
      <c r="AJ41" s="1231">
        <f t="shared" ca="1" si="40"/>
        <v>0</v>
      </c>
      <c r="AK41" s="1231">
        <f t="shared" ca="1" si="41"/>
        <v>0</v>
      </c>
      <c r="AL41" s="1231">
        <f t="shared" ca="1" si="42"/>
        <v>0</v>
      </c>
      <c r="AM41" s="1231">
        <f t="shared" ca="1" si="43"/>
        <v>0</v>
      </c>
      <c r="AN41" s="1231">
        <f t="shared" ca="1" si="44"/>
        <v>0</v>
      </c>
      <c r="AO41" s="1231">
        <f t="shared" ca="1" si="45"/>
        <v>0</v>
      </c>
      <c r="AP41" s="1231">
        <f t="shared" ca="1" si="46"/>
        <v>0</v>
      </c>
      <c r="AQ41" s="1231">
        <f t="shared" ca="1" si="47"/>
        <v>0</v>
      </c>
      <c r="AR41" s="1231">
        <f t="shared" ca="1" si="48"/>
        <v>0</v>
      </c>
      <c r="AS41" s="1231">
        <f t="shared" ca="1" si="49"/>
        <v>0</v>
      </c>
      <c r="AT41" s="1231">
        <f t="shared" ca="1" si="50"/>
        <v>0</v>
      </c>
      <c r="AU41" s="1231">
        <f t="shared" ca="1" si="51"/>
        <v>0</v>
      </c>
      <c r="AV41" s="1231">
        <f t="shared" ca="1" si="52"/>
        <v>0</v>
      </c>
      <c r="AW41" s="1231">
        <f t="shared" ca="1" si="53"/>
        <v>0</v>
      </c>
      <c r="AX41" s="1231">
        <f t="shared" ca="1" si="54"/>
        <v>0</v>
      </c>
      <c r="AY41" s="1231">
        <f t="shared" ca="1" si="55"/>
        <v>0</v>
      </c>
      <c r="AZ41" s="1231">
        <f t="shared" ca="1" si="56"/>
        <v>0</v>
      </c>
      <c r="BA41" s="1231">
        <f t="shared" ca="1" si="57"/>
        <v>0</v>
      </c>
      <c r="BB41" s="1231">
        <f t="shared" ca="1" si="58"/>
        <v>0</v>
      </c>
      <c r="BC41" s="1231">
        <f t="shared" ca="1" si="59"/>
        <v>0</v>
      </c>
      <c r="BD41" s="1231">
        <f t="shared" ca="1" si="60"/>
        <v>0</v>
      </c>
      <c r="BE41" s="1231">
        <f t="shared" ca="1" si="61"/>
        <v>0</v>
      </c>
      <c r="BF41" s="1231">
        <f t="shared" ca="1" si="62"/>
        <v>0</v>
      </c>
      <c r="BG41" s="1231">
        <f t="shared" ca="1" si="63"/>
        <v>0</v>
      </c>
      <c r="BH41" s="1231">
        <f t="shared" ca="1" si="64"/>
        <v>0</v>
      </c>
      <c r="BI41" s="1231">
        <f t="shared" ca="1" si="65"/>
        <v>0</v>
      </c>
      <c r="BJ41" s="1231">
        <f t="shared" ca="1" si="66"/>
        <v>0</v>
      </c>
      <c r="BK41" s="1231">
        <f t="shared" ca="1" si="67"/>
        <v>0</v>
      </c>
      <c r="BL41" s="1231">
        <f t="shared" ca="1" si="68"/>
        <v>0</v>
      </c>
      <c r="BM41" s="1231">
        <f t="shared" ca="1" si="69"/>
        <v>0</v>
      </c>
      <c r="BN41" s="1231">
        <f t="shared" ca="1" si="70"/>
        <v>0</v>
      </c>
      <c r="BO41" s="1231">
        <f t="shared" ca="1" si="71"/>
        <v>0</v>
      </c>
      <c r="BP41" s="1231">
        <f t="shared" ca="1" si="72"/>
        <v>0</v>
      </c>
      <c r="BQ41" s="1231">
        <f t="shared" ca="1" si="73"/>
        <v>0</v>
      </c>
      <c r="BR41" s="1231">
        <f t="shared" ca="1" si="74"/>
        <v>0</v>
      </c>
      <c r="BS41" s="1231">
        <f t="shared" ca="1" si="75"/>
        <v>0</v>
      </c>
      <c r="BT41" s="1231">
        <f t="shared" ca="1" si="76"/>
        <v>0</v>
      </c>
      <c r="BU41" s="1231">
        <f t="shared" ca="1" si="77"/>
        <v>0</v>
      </c>
      <c r="BV41" s="1231">
        <f t="shared" ca="1" si="78"/>
        <v>0</v>
      </c>
      <c r="BW41" s="1231">
        <f t="shared" ca="1" si="79"/>
        <v>0</v>
      </c>
      <c r="BX41" s="1231">
        <f t="shared" ca="1" si="80"/>
        <v>0</v>
      </c>
      <c r="BY41" s="1231">
        <f t="shared" ca="1" si="81"/>
        <v>0</v>
      </c>
      <c r="BZ41" s="1231">
        <f t="shared" ca="1" si="82"/>
        <v>0</v>
      </c>
      <c r="CA41" s="1231">
        <f t="shared" ca="1" si="83"/>
        <v>0</v>
      </c>
      <c r="CB41" s="1231">
        <f t="shared" ca="1" si="84"/>
        <v>0</v>
      </c>
      <c r="CC41" s="1231">
        <f t="shared" ca="1" si="85"/>
        <v>0</v>
      </c>
      <c r="CD41" s="1231">
        <f t="shared" ca="1" si="86"/>
        <v>0</v>
      </c>
      <c r="CE41" s="1231">
        <f t="shared" ca="1" si="87"/>
        <v>0</v>
      </c>
      <c r="CF41" s="1231">
        <f t="shared" ca="1" si="88"/>
        <v>0</v>
      </c>
      <c r="CG41" s="1231">
        <f t="shared" ca="1" si="89"/>
        <v>0</v>
      </c>
      <c r="CH41" s="1231">
        <f t="shared" ca="1" si="90"/>
        <v>0</v>
      </c>
      <c r="CI41" s="1231">
        <f t="shared" ca="1" si="91"/>
        <v>0</v>
      </c>
      <c r="CJ41" s="1231">
        <f t="shared" ca="1" si="92"/>
        <v>0</v>
      </c>
      <c r="CO41" s="1165"/>
      <c r="CP41" s="1165"/>
      <c r="DK41" s="1231"/>
      <c r="DL41" s="1231"/>
      <c r="DM41" s="1231"/>
      <c r="DN41" s="1231"/>
      <c r="DO41" s="1231"/>
      <c r="DP41" s="1231"/>
      <c r="DQ41" s="1231"/>
      <c r="DR41" s="1231"/>
      <c r="DS41" s="1231"/>
      <c r="DT41" s="1231"/>
      <c r="DU41" s="1231"/>
      <c r="DV41" s="1231"/>
      <c r="DW41" s="1231"/>
      <c r="DX41" s="1231"/>
      <c r="DY41" s="1231"/>
      <c r="DZ41" s="1231"/>
      <c r="EA41" s="1231"/>
      <c r="EB41" s="1231"/>
      <c r="EC41" s="1231"/>
      <c r="ED41" s="1231"/>
      <c r="EE41" s="1231"/>
      <c r="EF41" s="1231"/>
      <c r="EG41" s="1231"/>
      <c r="EH41" s="1231"/>
      <c r="EI41" s="1231"/>
      <c r="EJ41" s="1231"/>
      <c r="EK41" s="1231"/>
      <c r="EL41" s="1231"/>
      <c r="EM41" s="1231"/>
      <c r="EN41" s="1231"/>
      <c r="EO41" s="1231"/>
      <c r="EP41" s="1231"/>
      <c r="EQ41" s="1231"/>
      <c r="ER41" s="1231"/>
      <c r="ES41" s="1231"/>
      <c r="ET41" s="1231"/>
    </row>
    <row r="42" spans="1:162" s="1231" customFormat="1">
      <c r="A42" s="1224"/>
      <c r="B42" s="1230" t="s">
        <v>387</v>
      </c>
      <c r="M42" s="1231">
        <f t="shared" ref="M42:V46" ca="1" si="99">OFFSET($CQ42,0,M$7)+OFFSET($CR42,0,M$7)+OFFSET($CS42,0,M$7)+OFFSET($CT42,0,M$7)</f>
        <v>0</v>
      </c>
      <c r="N42" s="1231">
        <f t="shared" ca="1" si="99"/>
        <v>0</v>
      </c>
      <c r="O42" s="1231">
        <f t="shared" ca="1" si="99"/>
        <v>0</v>
      </c>
      <c r="P42" s="1231">
        <f t="shared" ca="1" si="99"/>
        <v>0</v>
      </c>
      <c r="Q42" s="1231">
        <f t="shared" ca="1" si="99"/>
        <v>0</v>
      </c>
      <c r="R42" s="1231">
        <f t="shared" ca="1" si="99"/>
        <v>0</v>
      </c>
      <c r="S42" s="1231">
        <f t="shared" ca="1" si="99"/>
        <v>0</v>
      </c>
      <c r="T42" s="1231">
        <f t="shared" ca="1" si="99"/>
        <v>0</v>
      </c>
      <c r="U42" s="1231">
        <f t="shared" ca="1" si="99"/>
        <v>0</v>
      </c>
      <c r="V42" s="1231">
        <f t="shared" ca="1" si="99"/>
        <v>0</v>
      </c>
      <c r="W42" s="1231">
        <f t="shared" ref="W42:AC46" ca="1" si="100">OFFSET($CQ42,0,W$7)+OFFSET($CR42,0,W$7)+OFFSET($CS42,0,W$7)+OFFSET($CT42,0,W$7)</f>
        <v>0</v>
      </c>
      <c r="X42" s="1231">
        <f t="shared" ca="1" si="100"/>
        <v>0</v>
      </c>
      <c r="Y42" s="1231">
        <f t="shared" ca="1" si="100"/>
        <v>0</v>
      </c>
      <c r="Z42" s="1231">
        <f t="shared" ca="1" si="100"/>
        <v>0</v>
      </c>
      <c r="AA42" s="1231">
        <f t="shared" ca="1" si="100"/>
        <v>0</v>
      </c>
      <c r="AB42" s="1231">
        <f t="shared" ca="1" si="100"/>
        <v>0</v>
      </c>
      <c r="AC42" s="1231">
        <f t="shared" ca="1" si="100"/>
        <v>0</v>
      </c>
      <c r="AG42" s="1231">
        <f t="shared" ca="1" si="37"/>
        <v>0</v>
      </c>
      <c r="AH42" s="1231">
        <f t="shared" ca="1" si="38"/>
        <v>0</v>
      </c>
      <c r="AI42" s="1231">
        <f t="shared" ca="1" si="39"/>
        <v>0</v>
      </c>
      <c r="AJ42" s="1231">
        <f t="shared" ca="1" si="40"/>
        <v>0</v>
      </c>
      <c r="AK42" s="1231">
        <f t="shared" ca="1" si="41"/>
        <v>0</v>
      </c>
      <c r="AL42" s="1231">
        <f t="shared" ca="1" si="42"/>
        <v>0</v>
      </c>
      <c r="AM42" s="1231">
        <f t="shared" ca="1" si="43"/>
        <v>0</v>
      </c>
      <c r="AN42" s="1231">
        <f t="shared" ca="1" si="44"/>
        <v>0</v>
      </c>
      <c r="AO42" s="1231">
        <f t="shared" ca="1" si="45"/>
        <v>0</v>
      </c>
      <c r="AP42" s="1231">
        <f t="shared" ca="1" si="46"/>
        <v>0</v>
      </c>
      <c r="AQ42" s="1231">
        <f t="shared" ca="1" si="47"/>
        <v>0</v>
      </c>
      <c r="AR42" s="1231">
        <f t="shared" ca="1" si="48"/>
        <v>0</v>
      </c>
      <c r="AS42" s="1231">
        <f t="shared" ca="1" si="49"/>
        <v>0</v>
      </c>
      <c r="AT42" s="1231">
        <f t="shared" ca="1" si="50"/>
        <v>0</v>
      </c>
      <c r="AU42" s="1231">
        <f t="shared" ca="1" si="51"/>
        <v>0</v>
      </c>
      <c r="AV42" s="1231">
        <f t="shared" ca="1" si="52"/>
        <v>0</v>
      </c>
      <c r="AW42" s="1231">
        <f t="shared" ca="1" si="53"/>
        <v>0</v>
      </c>
      <c r="AX42" s="1231">
        <f t="shared" ca="1" si="54"/>
        <v>0</v>
      </c>
      <c r="AY42" s="1231">
        <f t="shared" ca="1" si="55"/>
        <v>0</v>
      </c>
      <c r="AZ42" s="1231">
        <f t="shared" ca="1" si="56"/>
        <v>0</v>
      </c>
      <c r="BA42" s="1231">
        <f t="shared" ca="1" si="57"/>
        <v>0</v>
      </c>
      <c r="BB42" s="1231">
        <f t="shared" ca="1" si="58"/>
        <v>0</v>
      </c>
      <c r="BC42" s="1231">
        <f t="shared" ca="1" si="59"/>
        <v>0</v>
      </c>
      <c r="BD42" s="1231">
        <f t="shared" ca="1" si="60"/>
        <v>0</v>
      </c>
      <c r="BE42" s="1231">
        <f t="shared" ca="1" si="61"/>
        <v>0</v>
      </c>
      <c r="BF42" s="1231">
        <f t="shared" ca="1" si="62"/>
        <v>0</v>
      </c>
      <c r="BG42" s="1231">
        <f t="shared" ca="1" si="63"/>
        <v>0</v>
      </c>
      <c r="BH42" s="1231">
        <f t="shared" ca="1" si="64"/>
        <v>0</v>
      </c>
      <c r="BI42" s="1231">
        <f t="shared" ca="1" si="65"/>
        <v>0</v>
      </c>
      <c r="BJ42" s="1231">
        <f t="shared" ca="1" si="66"/>
        <v>0</v>
      </c>
      <c r="BK42" s="1231">
        <f t="shared" ca="1" si="67"/>
        <v>0</v>
      </c>
      <c r="BL42" s="1231">
        <f t="shared" ca="1" si="68"/>
        <v>0</v>
      </c>
      <c r="BM42" s="1231">
        <f t="shared" ca="1" si="69"/>
        <v>0</v>
      </c>
      <c r="BN42" s="1231">
        <f t="shared" ca="1" si="70"/>
        <v>0</v>
      </c>
      <c r="BO42" s="1231">
        <f t="shared" ca="1" si="71"/>
        <v>0</v>
      </c>
      <c r="BP42" s="1231">
        <f t="shared" ca="1" si="72"/>
        <v>0</v>
      </c>
      <c r="BQ42" s="1231">
        <f t="shared" ca="1" si="73"/>
        <v>0</v>
      </c>
      <c r="BR42" s="1231">
        <f t="shared" ca="1" si="74"/>
        <v>0</v>
      </c>
      <c r="BS42" s="1231">
        <f t="shared" ca="1" si="75"/>
        <v>0</v>
      </c>
      <c r="BT42" s="1231">
        <f t="shared" ca="1" si="76"/>
        <v>0</v>
      </c>
      <c r="BU42" s="1231">
        <f t="shared" ca="1" si="77"/>
        <v>0</v>
      </c>
      <c r="BV42" s="1231">
        <f t="shared" ca="1" si="78"/>
        <v>0</v>
      </c>
      <c r="BW42" s="1231">
        <f t="shared" ca="1" si="79"/>
        <v>0</v>
      </c>
      <c r="BX42" s="1231">
        <f t="shared" ca="1" si="80"/>
        <v>0</v>
      </c>
      <c r="BY42" s="1231">
        <f t="shared" ca="1" si="81"/>
        <v>0</v>
      </c>
      <c r="BZ42" s="1231">
        <f t="shared" ca="1" si="82"/>
        <v>0</v>
      </c>
      <c r="CA42" s="1231">
        <f t="shared" ca="1" si="83"/>
        <v>0</v>
      </c>
      <c r="CB42" s="1231">
        <f t="shared" ca="1" si="84"/>
        <v>0</v>
      </c>
      <c r="CC42" s="1231">
        <f t="shared" ca="1" si="85"/>
        <v>0</v>
      </c>
      <c r="CD42" s="1231">
        <f t="shared" ca="1" si="86"/>
        <v>0</v>
      </c>
      <c r="CE42" s="1231">
        <f t="shared" ca="1" si="87"/>
        <v>0</v>
      </c>
      <c r="CF42" s="1231">
        <f t="shared" ca="1" si="88"/>
        <v>0</v>
      </c>
      <c r="CG42" s="1231">
        <f t="shared" ca="1" si="89"/>
        <v>0</v>
      </c>
      <c r="CH42" s="1231">
        <f t="shared" ca="1" si="90"/>
        <v>0</v>
      </c>
      <c r="CI42" s="1231">
        <f t="shared" ca="1" si="91"/>
        <v>0</v>
      </c>
      <c r="CJ42" s="1231">
        <f t="shared" ca="1" si="92"/>
        <v>0</v>
      </c>
      <c r="CO42" s="1165"/>
      <c r="CP42" s="1165"/>
      <c r="DK42" s="1232"/>
      <c r="DL42" s="1232"/>
      <c r="DM42" s="1232"/>
      <c r="DN42" s="1232"/>
      <c r="DO42" s="1232"/>
      <c r="DP42" s="1232"/>
      <c r="DQ42" s="1232"/>
      <c r="DR42" s="1232"/>
      <c r="DS42" s="1232"/>
      <c r="DT42" s="1232"/>
      <c r="DU42" s="1232"/>
      <c r="DV42" s="1232"/>
      <c r="DW42" s="1232"/>
      <c r="DX42" s="1232"/>
      <c r="DY42" s="1232"/>
      <c r="DZ42" s="1232"/>
      <c r="EA42" s="1232"/>
      <c r="EB42" s="1232"/>
      <c r="EC42" s="1232"/>
      <c r="ED42" s="1232"/>
      <c r="EE42" s="1232"/>
      <c r="EF42" s="1232"/>
      <c r="EG42" s="1232"/>
      <c r="EH42" s="1232"/>
      <c r="EI42" s="1232"/>
      <c r="EJ42" s="1232"/>
      <c r="EK42" s="1232"/>
      <c r="EL42" s="1232"/>
      <c r="EM42" s="1232"/>
      <c r="EN42" s="1232"/>
      <c r="EO42" s="1232"/>
      <c r="EP42" s="1232"/>
      <c r="EQ42" s="1232"/>
      <c r="ER42" s="1232"/>
      <c r="ES42" s="1232"/>
      <c r="ET42" s="1232"/>
    </row>
    <row r="43" spans="1:162" s="1231" customFormat="1">
      <c r="A43" s="1224"/>
      <c r="B43" s="1249" t="s">
        <v>388</v>
      </c>
      <c r="M43" s="1236">
        <f t="shared" ca="1" si="99"/>
        <v>0</v>
      </c>
      <c r="N43" s="1236">
        <f t="shared" ca="1" si="99"/>
        <v>0</v>
      </c>
      <c r="O43" s="1236">
        <f t="shared" ca="1" si="99"/>
        <v>0</v>
      </c>
      <c r="P43" s="1236">
        <f t="shared" ca="1" si="99"/>
        <v>0</v>
      </c>
      <c r="Q43" s="1236">
        <f t="shared" ca="1" si="99"/>
        <v>0</v>
      </c>
      <c r="R43" s="1236">
        <f t="shared" ca="1" si="99"/>
        <v>0</v>
      </c>
      <c r="S43" s="1236">
        <f t="shared" ca="1" si="99"/>
        <v>0</v>
      </c>
      <c r="T43" s="1236">
        <f t="shared" ca="1" si="99"/>
        <v>0</v>
      </c>
      <c r="U43" s="1236">
        <f t="shared" ca="1" si="99"/>
        <v>0</v>
      </c>
      <c r="V43" s="1236">
        <f t="shared" ca="1" si="99"/>
        <v>0</v>
      </c>
      <c r="W43" s="1236">
        <f t="shared" ca="1" si="100"/>
        <v>0</v>
      </c>
      <c r="X43" s="1236">
        <f t="shared" ca="1" si="100"/>
        <v>0</v>
      </c>
      <c r="Y43" s="1236">
        <f t="shared" ca="1" si="100"/>
        <v>0</v>
      </c>
      <c r="Z43" s="1236">
        <f t="shared" ca="1" si="100"/>
        <v>0</v>
      </c>
      <c r="AA43" s="1236">
        <f t="shared" ca="1" si="100"/>
        <v>0</v>
      </c>
      <c r="AB43" s="1236">
        <f t="shared" ca="1" si="100"/>
        <v>0</v>
      </c>
      <c r="AC43" s="1236">
        <f t="shared" ca="1" si="100"/>
        <v>0</v>
      </c>
      <c r="AD43" s="1236"/>
      <c r="AE43" s="1236"/>
      <c r="AF43" s="1236"/>
      <c r="AG43" s="1236">
        <f t="shared" ca="1" si="37"/>
        <v>0</v>
      </c>
      <c r="AH43" s="1236">
        <f t="shared" ca="1" si="38"/>
        <v>0</v>
      </c>
      <c r="AI43" s="1236">
        <f t="shared" ca="1" si="39"/>
        <v>0</v>
      </c>
      <c r="AJ43" s="1236">
        <f t="shared" ca="1" si="40"/>
        <v>0</v>
      </c>
      <c r="AK43" s="1236">
        <f t="shared" ca="1" si="41"/>
        <v>0</v>
      </c>
      <c r="AL43" s="1236">
        <f t="shared" ca="1" si="42"/>
        <v>0</v>
      </c>
      <c r="AM43" s="1236">
        <f t="shared" ca="1" si="43"/>
        <v>0</v>
      </c>
      <c r="AN43" s="1236">
        <f t="shared" ca="1" si="44"/>
        <v>0</v>
      </c>
      <c r="AO43" s="1236">
        <f t="shared" ca="1" si="45"/>
        <v>0</v>
      </c>
      <c r="AP43" s="1236">
        <f t="shared" ca="1" si="46"/>
        <v>0</v>
      </c>
      <c r="AQ43" s="1236">
        <f t="shared" ca="1" si="47"/>
        <v>0</v>
      </c>
      <c r="AR43" s="1236">
        <f t="shared" ca="1" si="48"/>
        <v>0</v>
      </c>
      <c r="AS43" s="1236">
        <f t="shared" ca="1" si="49"/>
        <v>0</v>
      </c>
      <c r="AT43" s="1236">
        <f t="shared" ca="1" si="50"/>
        <v>0</v>
      </c>
      <c r="AU43" s="1236">
        <f t="shared" ca="1" si="51"/>
        <v>0</v>
      </c>
      <c r="AV43" s="1236">
        <f t="shared" ca="1" si="52"/>
        <v>0</v>
      </c>
      <c r="AW43" s="1236">
        <f t="shared" ca="1" si="53"/>
        <v>0</v>
      </c>
      <c r="AX43" s="1236">
        <f t="shared" ca="1" si="54"/>
        <v>0</v>
      </c>
      <c r="AY43" s="1236">
        <f t="shared" ca="1" si="55"/>
        <v>0</v>
      </c>
      <c r="AZ43" s="1236">
        <f t="shared" ca="1" si="56"/>
        <v>0</v>
      </c>
      <c r="BA43" s="1236">
        <f t="shared" ca="1" si="57"/>
        <v>0</v>
      </c>
      <c r="BB43" s="1236">
        <f t="shared" ca="1" si="58"/>
        <v>0</v>
      </c>
      <c r="BC43" s="1236">
        <f t="shared" ca="1" si="59"/>
        <v>0</v>
      </c>
      <c r="BD43" s="1236">
        <f t="shared" ca="1" si="60"/>
        <v>0</v>
      </c>
      <c r="BE43" s="1236">
        <f t="shared" ca="1" si="61"/>
        <v>0</v>
      </c>
      <c r="BF43" s="1236">
        <f t="shared" ca="1" si="62"/>
        <v>0</v>
      </c>
      <c r="BG43" s="1236">
        <f t="shared" ca="1" si="63"/>
        <v>0</v>
      </c>
      <c r="BH43" s="1236">
        <f t="shared" ca="1" si="64"/>
        <v>0</v>
      </c>
      <c r="BI43" s="1236">
        <f t="shared" ca="1" si="65"/>
        <v>0</v>
      </c>
      <c r="BJ43" s="1236">
        <f t="shared" ca="1" si="66"/>
        <v>0</v>
      </c>
      <c r="BK43" s="1236">
        <f t="shared" ca="1" si="67"/>
        <v>0</v>
      </c>
      <c r="BL43" s="1236">
        <f t="shared" ca="1" si="68"/>
        <v>0</v>
      </c>
      <c r="BM43" s="1236">
        <f t="shared" ca="1" si="69"/>
        <v>0</v>
      </c>
      <c r="BN43" s="1236">
        <f t="shared" ca="1" si="70"/>
        <v>0</v>
      </c>
      <c r="BO43" s="1236">
        <f t="shared" ca="1" si="71"/>
        <v>0</v>
      </c>
      <c r="BP43" s="1236">
        <f t="shared" ca="1" si="72"/>
        <v>0</v>
      </c>
      <c r="BQ43" s="1236">
        <f t="shared" ca="1" si="73"/>
        <v>0</v>
      </c>
      <c r="BR43" s="1236">
        <f t="shared" ca="1" si="74"/>
        <v>0</v>
      </c>
      <c r="BS43" s="1236">
        <f t="shared" ca="1" si="75"/>
        <v>0</v>
      </c>
      <c r="BT43" s="1236">
        <f t="shared" ca="1" si="76"/>
        <v>0</v>
      </c>
      <c r="BU43" s="1236">
        <f t="shared" ca="1" si="77"/>
        <v>0</v>
      </c>
      <c r="BV43" s="1236">
        <f t="shared" ca="1" si="78"/>
        <v>0</v>
      </c>
      <c r="BW43" s="1236">
        <f t="shared" ca="1" si="79"/>
        <v>0</v>
      </c>
      <c r="BX43" s="1236">
        <f t="shared" ca="1" si="80"/>
        <v>0</v>
      </c>
      <c r="BY43" s="1236">
        <f t="shared" ca="1" si="81"/>
        <v>0</v>
      </c>
      <c r="BZ43" s="1236">
        <f t="shared" ca="1" si="82"/>
        <v>0</v>
      </c>
      <c r="CA43" s="1236">
        <f t="shared" ca="1" si="83"/>
        <v>0</v>
      </c>
      <c r="CB43" s="1236">
        <f t="shared" ca="1" si="84"/>
        <v>0</v>
      </c>
      <c r="CC43" s="1236">
        <f t="shared" ca="1" si="85"/>
        <v>0</v>
      </c>
      <c r="CD43" s="1236">
        <f t="shared" ca="1" si="86"/>
        <v>0</v>
      </c>
      <c r="CE43" s="1236">
        <f t="shared" ca="1" si="87"/>
        <v>0</v>
      </c>
      <c r="CF43" s="1236">
        <f t="shared" ca="1" si="88"/>
        <v>0</v>
      </c>
      <c r="CG43" s="1236">
        <f t="shared" ca="1" si="89"/>
        <v>0</v>
      </c>
      <c r="CH43" s="1236">
        <f t="shared" ca="1" si="90"/>
        <v>0</v>
      </c>
      <c r="CI43" s="1236">
        <f t="shared" ca="1" si="91"/>
        <v>0</v>
      </c>
      <c r="CJ43" s="1236">
        <f t="shared" ca="1" si="92"/>
        <v>0</v>
      </c>
      <c r="CO43" s="1165"/>
      <c r="CP43" s="1165"/>
      <c r="DK43" s="1238"/>
      <c r="DL43" s="1238"/>
      <c r="DM43" s="1238"/>
      <c r="DN43" s="1238"/>
      <c r="DO43" s="1238"/>
      <c r="DP43" s="1238"/>
      <c r="DQ43" s="1238"/>
      <c r="DR43" s="1238"/>
      <c r="DS43" s="1238"/>
      <c r="DT43" s="1238"/>
      <c r="DU43" s="1238"/>
      <c r="DV43" s="1238"/>
      <c r="DW43" s="1238"/>
      <c r="DX43" s="1238"/>
      <c r="DY43" s="1238"/>
      <c r="DZ43" s="1238"/>
      <c r="EA43" s="1238"/>
      <c r="EB43" s="1238"/>
      <c r="EC43" s="1238"/>
      <c r="ED43" s="1238"/>
      <c r="EE43" s="1238"/>
      <c r="EF43" s="1238"/>
      <c r="EG43" s="1238"/>
      <c r="EH43" s="1238"/>
      <c r="EI43" s="1238"/>
      <c r="EJ43" s="1238"/>
      <c r="EK43" s="1238"/>
      <c r="EL43" s="1238"/>
      <c r="EM43" s="1238"/>
      <c r="EN43" s="1238"/>
      <c r="EO43" s="1238"/>
      <c r="EP43" s="1238"/>
      <c r="EQ43" s="1238"/>
      <c r="ER43" s="1238"/>
      <c r="ES43" s="1238"/>
      <c r="ET43" s="1238"/>
    </row>
    <row r="44" spans="1:162" s="1231" customFormat="1">
      <c r="A44" s="1224"/>
      <c r="B44" s="1249" t="s">
        <v>350</v>
      </c>
      <c r="M44" s="1236">
        <f t="shared" ca="1" si="99"/>
        <v>0</v>
      </c>
      <c r="N44" s="1236">
        <f t="shared" ca="1" si="99"/>
        <v>0</v>
      </c>
      <c r="O44" s="1236">
        <f t="shared" ca="1" si="99"/>
        <v>0</v>
      </c>
      <c r="P44" s="1236">
        <f t="shared" ca="1" si="99"/>
        <v>0</v>
      </c>
      <c r="Q44" s="1236">
        <f t="shared" ca="1" si="99"/>
        <v>0</v>
      </c>
      <c r="R44" s="1236">
        <f t="shared" ca="1" si="99"/>
        <v>0</v>
      </c>
      <c r="S44" s="1236">
        <f t="shared" ca="1" si="99"/>
        <v>0</v>
      </c>
      <c r="T44" s="1236">
        <f t="shared" ca="1" si="99"/>
        <v>0</v>
      </c>
      <c r="U44" s="1236">
        <f t="shared" ca="1" si="99"/>
        <v>0</v>
      </c>
      <c r="V44" s="1236">
        <f t="shared" ca="1" si="99"/>
        <v>0</v>
      </c>
      <c r="W44" s="1236">
        <f t="shared" ca="1" si="100"/>
        <v>0</v>
      </c>
      <c r="X44" s="1236">
        <f t="shared" ca="1" si="100"/>
        <v>0</v>
      </c>
      <c r="Y44" s="1236">
        <f t="shared" ca="1" si="100"/>
        <v>0</v>
      </c>
      <c r="Z44" s="1236">
        <f t="shared" ca="1" si="100"/>
        <v>0</v>
      </c>
      <c r="AA44" s="1236">
        <f t="shared" ca="1" si="100"/>
        <v>0</v>
      </c>
      <c r="AB44" s="1236">
        <f t="shared" ca="1" si="100"/>
        <v>0</v>
      </c>
      <c r="AC44" s="1236">
        <f t="shared" ca="1" si="100"/>
        <v>0</v>
      </c>
      <c r="AD44" s="1236"/>
      <c r="AE44" s="1236"/>
      <c r="AF44" s="1236"/>
      <c r="AG44" s="1236">
        <f t="shared" ca="1" si="37"/>
        <v>0</v>
      </c>
      <c r="AH44" s="1236">
        <f t="shared" ca="1" si="38"/>
        <v>0</v>
      </c>
      <c r="AI44" s="1236">
        <f t="shared" ca="1" si="39"/>
        <v>0</v>
      </c>
      <c r="AJ44" s="1236">
        <f t="shared" ca="1" si="40"/>
        <v>0</v>
      </c>
      <c r="AK44" s="1236">
        <f t="shared" ca="1" si="41"/>
        <v>0</v>
      </c>
      <c r="AL44" s="1236">
        <f t="shared" ca="1" si="42"/>
        <v>0</v>
      </c>
      <c r="AM44" s="1236">
        <f t="shared" ca="1" si="43"/>
        <v>0</v>
      </c>
      <c r="AN44" s="1236">
        <f t="shared" ca="1" si="44"/>
        <v>0</v>
      </c>
      <c r="AO44" s="1236">
        <f t="shared" ca="1" si="45"/>
        <v>0</v>
      </c>
      <c r="AP44" s="1236">
        <f t="shared" ca="1" si="46"/>
        <v>0</v>
      </c>
      <c r="AQ44" s="1236">
        <f t="shared" ca="1" si="47"/>
        <v>0</v>
      </c>
      <c r="AR44" s="1236">
        <f t="shared" ca="1" si="48"/>
        <v>0</v>
      </c>
      <c r="AS44" s="1236">
        <f t="shared" ca="1" si="49"/>
        <v>0</v>
      </c>
      <c r="AT44" s="1236">
        <f t="shared" ca="1" si="50"/>
        <v>0</v>
      </c>
      <c r="AU44" s="1236">
        <f t="shared" ca="1" si="51"/>
        <v>0</v>
      </c>
      <c r="AV44" s="1236">
        <f t="shared" ca="1" si="52"/>
        <v>0</v>
      </c>
      <c r="AW44" s="1236">
        <f t="shared" ca="1" si="53"/>
        <v>0</v>
      </c>
      <c r="AX44" s="1236">
        <f t="shared" ca="1" si="54"/>
        <v>0</v>
      </c>
      <c r="AY44" s="1236">
        <f t="shared" ca="1" si="55"/>
        <v>0</v>
      </c>
      <c r="AZ44" s="1236">
        <f t="shared" ca="1" si="56"/>
        <v>0</v>
      </c>
      <c r="BA44" s="1236">
        <f t="shared" ca="1" si="57"/>
        <v>0</v>
      </c>
      <c r="BB44" s="1236">
        <f t="shared" ca="1" si="58"/>
        <v>0</v>
      </c>
      <c r="BC44" s="1236">
        <f t="shared" ca="1" si="59"/>
        <v>0</v>
      </c>
      <c r="BD44" s="1236">
        <f t="shared" ca="1" si="60"/>
        <v>0</v>
      </c>
      <c r="BE44" s="1236">
        <f t="shared" ca="1" si="61"/>
        <v>0</v>
      </c>
      <c r="BF44" s="1236">
        <f t="shared" ca="1" si="62"/>
        <v>0</v>
      </c>
      <c r="BG44" s="1236">
        <f t="shared" ca="1" si="63"/>
        <v>0</v>
      </c>
      <c r="BH44" s="1236">
        <f t="shared" ca="1" si="64"/>
        <v>0</v>
      </c>
      <c r="BI44" s="1236">
        <f t="shared" ca="1" si="65"/>
        <v>0</v>
      </c>
      <c r="BJ44" s="1236">
        <f t="shared" ca="1" si="66"/>
        <v>0</v>
      </c>
      <c r="BK44" s="1236">
        <f t="shared" ca="1" si="67"/>
        <v>0</v>
      </c>
      <c r="BL44" s="1236">
        <f t="shared" ca="1" si="68"/>
        <v>0</v>
      </c>
      <c r="BM44" s="1236">
        <f t="shared" ca="1" si="69"/>
        <v>0</v>
      </c>
      <c r="BN44" s="1236">
        <f t="shared" ca="1" si="70"/>
        <v>0</v>
      </c>
      <c r="BO44" s="1236">
        <f t="shared" ca="1" si="71"/>
        <v>0</v>
      </c>
      <c r="BP44" s="1236">
        <f t="shared" ca="1" si="72"/>
        <v>0</v>
      </c>
      <c r="BQ44" s="1236">
        <f t="shared" ca="1" si="73"/>
        <v>0</v>
      </c>
      <c r="BR44" s="1236">
        <f t="shared" ca="1" si="74"/>
        <v>0</v>
      </c>
      <c r="BS44" s="1236">
        <f t="shared" ca="1" si="75"/>
        <v>0</v>
      </c>
      <c r="BT44" s="1236">
        <f t="shared" ca="1" si="76"/>
        <v>0</v>
      </c>
      <c r="BU44" s="1236">
        <f t="shared" ca="1" si="77"/>
        <v>0</v>
      </c>
      <c r="BV44" s="1236">
        <f t="shared" ca="1" si="78"/>
        <v>0</v>
      </c>
      <c r="BW44" s="1236">
        <f t="shared" ca="1" si="79"/>
        <v>0</v>
      </c>
      <c r="BX44" s="1236">
        <f t="shared" ca="1" si="80"/>
        <v>0</v>
      </c>
      <c r="BY44" s="1236">
        <f t="shared" ca="1" si="81"/>
        <v>0</v>
      </c>
      <c r="BZ44" s="1236">
        <f t="shared" ca="1" si="82"/>
        <v>0</v>
      </c>
      <c r="CA44" s="1236">
        <f t="shared" ca="1" si="83"/>
        <v>0</v>
      </c>
      <c r="CB44" s="1236">
        <f t="shared" ca="1" si="84"/>
        <v>0</v>
      </c>
      <c r="CC44" s="1236">
        <f t="shared" ca="1" si="85"/>
        <v>0</v>
      </c>
      <c r="CD44" s="1236">
        <f t="shared" ca="1" si="86"/>
        <v>0</v>
      </c>
      <c r="CE44" s="1236">
        <f t="shared" ca="1" si="87"/>
        <v>0</v>
      </c>
      <c r="CF44" s="1236">
        <f t="shared" ca="1" si="88"/>
        <v>0</v>
      </c>
      <c r="CG44" s="1236">
        <f t="shared" ca="1" si="89"/>
        <v>0</v>
      </c>
      <c r="CH44" s="1236">
        <f t="shared" ca="1" si="90"/>
        <v>0</v>
      </c>
      <c r="CI44" s="1236">
        <f t="shared" ca="1" si="91"/>
        <v>0</v>
      </c>
      <c r="CJ44" s="1236">
        <f t="shared" ca="1" si="92"/>
        <v>0</v>
      </c>
      <c r="CO44" s="1165"/>
      <c r="CP44" s="1165"/>
      <c r="DK44" s="1238"/>
      <c r="DL44" s="1238"/>
      <c r="DM44" s="1238"/>
      <c r="DN44" s="1238"/>
      <c r="DO44" s="1238"/>
      <c r="DP44" s="1238"/>
      <c r="DQ44" s="1238"/>
      <c r="DR44" s="1238"/>
      <c r="DS44" s="1238"/>
      <c r="DT44" s="1238"/>
      <c r="DU44" s="1238"/>
      <c r="DV44" s="1238"/>
      <c r="DW44" s="1238"/>
      <c r="DX44" s="1238"/>
      <c r="DY44" s="1238"/>
      <c r="DZ44" s="1238"/>
      <c r="EA44" s="1238"/>
      <c r="EB44" s="1238"/>
      <c r="EC44" s="1238"/>
      <c r="ED44" s="1238"/>
      <c r="EE44" s="1238"/>
      <c r="EF44" s="1238"/>
      <c r="EG44" s="1238"/>
      <c r="EH44" s="1238"/>
      <c r="EI44" s="1238"/>
      <c r="EJ44" s="1238"/>
      <c r="EK44" s="1238"/>
      <c r="EL44" s="1238"/>
      <c r="EM44" s="1238"/>
      <c r="EN44" s="1238"/>
      <c r="EO44" s="1238"/>
      <c r="EP44" s="1238"/>
      <c r="EQ44" s="1238"/>
      <c r="ER44" s="1238"/>
      <c r="ES44" s="1238"/>
      <c r="ET44" s="1238"/>
    </row>
    <row r="45" spans="1:162" s="1231" customFormat="1">
      <c r="A45" s="1224"/>
      <c r="B45" s="1249" t="s">
        <v>389</v>
      </c>
      <c r="M45" s="1236">
        <f t="shared" ca="1" si="99"/>
        <v>0</v>
      </c>
      <c r="N45" s="1236">
        <f t="shared" ca="1" si="99"/>
        <v>0</v>
      </c>
      <c r="O45" s="1236">
        <f t="shared" ca="1" si="99"/>
        <v>0</v>
      </c>
      <c r="P45" s="1236">
        <f t="shared" ca="1" si="99"/>
        <v>0</v>
      </c>
      <c r="Q45" s="1236">
        <f t="shared" ca="1" si="99"/>
        <v>0</v>
      </c>
      <c r="R45" s="1236">
        <f t="shared" ca="1" si="99"/>
        <v>0</v>
      </c>
      <c r="S45" s="1236">
        <f t="shared" ca="1" si="99"/>
        <v>0</v>
      </c>
      <c r="T45" s="1236">
        <f t="shared" ca="1" si="99"/>
        <v>0</v>
      </c>
      <c r="U45" s="1236">
        <f t="shared" ca="1" si="99"/>
        <v>0</v>
      </c>
      <c r="V45" s="1236">
        <f t="shared" ca="1" si="99"/>
        <v>0</v>
      </c>
      <c r="W45" s="1236">
        <f t="shared" ca="1" si="100"/>
        <v>0</v>
      </c>
      <c r="X45" s="1236">
        <f t="shared" ca="1" si="100"/>
        <v>0</v>
      </c>
      <c r="Y45" s="1236">
        <f t="shared" ca="1" si="100"/>
        <v>0</v>
      </c>
      <c r="Z45" s="1236">
        <f t="shared" ca="1" si="100"/>
        <v>0</v>
      </c>
      <c r="AA45" s="1236">
        <f t="shared" ca="1" si="100"/>
        <v>0</v>
      </c>
      <c r="AB45" s="1236">
        <f t="shared" ca="1" si="100"/>
        <v>0</v>
      </c>
      <c r="AC45" s="1236">
        <f t="shared" ca="1" si="100"/>
        <v>0</v>
      </c>
      <c r="AD45" s="1236"/>
      <c r="AE45" s="1236"/>
      <c r="AF45" s="1236"/>
      <c r="AG45" s="1236">
        <f t="shared" ca="1" si="37"/>
        <v>0</v>
      </c>
      <c r="AH45" s="1236">
        <f t="shared" ca="1" si="38"/>
        <v>0</v>
      </c>
      <c r="AI45" s="1236">
        <f t="shared" ca="1" si="39"/>
        <v>0</v>
      </c>
      <c r="AJ45" s="1236">
        <f t="shared" ca="1" si="40"/>
        <v>0</v>
      </c>
      <c r="AK45" s="1236">
        <f t="shared" ca="1" si="41"/>
        <v>0</v>
      </c>
      <c r="AL45" s="1236">
        <f t="shared" ca="1" si="42"/>
        <v>0</v>
      </c>
      <c r="AM45" s="1236">
        <f t="shared" ca="1" si="43"/>
        <v>0</v>
      </c>
      <c r="AN45" s="1236">
        <f t="shared" ca="1" si="44"/>
        <v>0</v>
      </c>
      <c r="AO45" s="1236">
        <f t="shared" ca="1" si="45"/>
        <v>0</v>
      </c>
      <c r="AP45" s="1236">
        <f t="shared" ca="1" si="46"/>
        <v>0</v>
      </c>
      <c r="AQ45" s="1236">
        <f t="shared" ca="1" si="47"/>
        <v>0</v>
      </c>
      <c r="AR45" s="1236">
        <f t="shared" ca="1" si="48"/>
        <v>0</v>
      </c>
      <c r="AS45" s="1236">
        <f t="shared" ca="1" si="49"/>
        <v>0</v>
      </c>
      <c r="AT45" s="1236">
        <f t="shared" ca="1" si="50"/>
        <v>0</v>
      </c>
      <c r="AU45" s="1236">
        <f t="shared" ca="1" si="51"/>
        <v>0</v>
      </c>
      <c r="AV45" s="1236">
        <f t="shared" ca="1" si="52"/>
        <v>0</v>
      </c>
      <c r="AW45" s="1236">
        <f t="shared" ca="1" si="53"/>
        <v>0</v>
      </c>
      <c r="AX45" s="1236">
        <f t="shared" ca="1" si="54"/>
        <v>0</v>
      </c>
      <c r="AY45" s="1236">
        <f t="shared" ca="1" si="55"/>
        <v>0</v>
      </c>
      <c r="AZ45" s="1236">
        <f t="shared" ca="1" si="56"/>
        <v>0</v>
      </c>
      <c r="BA45" s="1236">
        <f t="shared" ca="1" si="57"/>
        <v>0</v>
      </c>
      <c r="BB45" s="1236">
        <f t="shared" ca="1" si="58"/>
        <v>0</v>
      </c>
      <c r="BC45" s="1236">
        <f t="shared" ca="1" si="59"/>
        <v>0</v>
      </c>
      <c r="BD45" s="1236">
        <f t="shared" ca="1" si="60"/>
        <v>0</v>
      </c>
      <c r="BE45" s="1236">
        <f t="shared" ca="1" si="61"/>
        <v>0</v>
      </c>
      <c r="BF45" s="1236">
        <f t="shared" ca="1" si="62"/>
        <v>0</v>
      </c>
      <c r="BG45" s="1236">
        <f t="shared" ca="1" si="63"/>
        <v>0</v>
      </c>
      <c r="BH45" s="1236">
        <f t="shared" ca="1" si="64"/>
        <v>0</v>
      </c>
      <c r="BI45" s="1236">
        <f t="shared" ca="1" si="65"/>
        <v>0</v>
      </c>
      <c r="BJ45" s="1236">
        <f t="shared" ca="1" si="66"/>
        <v>0</v>
      </c>
      <c r="BK45" s="1236">
        <f t="shared" ca="1" si="67"/>
        <v>0</v>
      </c>
      <c r="BL45" s="1236">
        <f t="shared" ca="1" si="68"/>
        <v>0</v>
      </c>
      <c r="BM45" s="1236">
        <f t="shared" ca="1" si="69"/>
        <v>0</v>
      </c>
      <c r="BN45" s="1236">
        <f t="shared" ca="1" si="70"/>
        <v>0</v>
      </c>
      <c r="BO45" s="1236">
        <f t="shared" ca="1" si="71"/>
        <v>0</v>
      </c>
      <c r="BP45" s="1236">
        <f t="shared" ca="1" si="72"/>
        <v>0</v>
      </c>
      <c r="BQ45" s="1236">
        <f t="shared" ca="1" si="73"/>
        <v>0</v>
      </c>
      <c r="BR45" s="1236">
        <f t="shared" ca="1" si="74"/>
        <v>0</v>
      </c>
      <c r="BS45" s="1236">
        <f t="shared" ca="1" si="75"/>
        <v>0</v>
      </c>
      <c r="BT45" s="1236">
        <f t="shared" ca="1" si="76"/>
        <v>0</v>
      </c>
      <c r="BU45" s="1236">
        <f t="shared" ca="1" si="77"/>
        <v>0</v>
      </c>
      <c r="BV45" s="1236">
        <f t="shared" ca="1" si="78"/>
        <v>0</v>
      </c>
      <c r="BW45" s="1236">
        <f t="shared" ca="1" si="79"/>
        <v>0</v>
      </c>
      <c r="BX45" s="1236">
        <f t="shared" ca="1" si="80"/>
        <v>0</v>
      </c>
      <c r="BY45" s="1236">
        <f t="shared" ca="1" si="81"/>
        <v>0</v>
      </c>
      <c r="BZ45" s="1236">
        <f t="shared" ca="1" si="82"/>
        <v>0</v>
      </c>
      <c r="CA45" s="1236">
        <f t="shared" ca="1" si="83"/>
        <v>0</v>
      </c>
      <c r="CB45" s="1236">
        <f t="shared" ca="1" si="84"/>
        <v>0</v>
      </c>
      <c r="CC45" s="1236">
        <f t="shared" ca="1" si="85"/>
        <v>0</v>
      </c>
      <c r="CD45" s="1236">
        <f t="shared" ca="1" si="86"/>
        <v>0</v>
      </c>
      <c r="CE45" s="1236">
        <f t="shared" ca="1" si="87"/>
        <v>0</v>
      </c>
      <c r="CF45" s="1236">
        <f t="shared" ca="1" si="88"/>
        <v>0</v>
      </c>
      <c r="CG45" s="1236">
        <f t="shared" ca="1" si="89"/>
        <v>0</v>
      </c>
      <c r="CH45" s="1236">
        <f t="shared" ca="1" si="90"/>
        <v>0</v>
      </c>
      <c r="CI45" s="1236">
        <f t="shared" ca="1" si="91"/>
        <v>0</v>
      </c>
      <c r="CJ45" s="1236">
        <f t="shared" ca="1" si="92"/>
        <v>0</v>
      </c>
      <c r="CO45" s="1165"/>
      <c r="CP45" s="1165"/>
      <c r="DK45" s="1238"/>
      <c r="DL45" s="1238"/>
      <c r="DM45" s="1238"/>
      <c r="DN45" s="1238"/>
      <c r="DO45" s="1238"/>
      <c r="DP45" s="1238"/>
      <c r="DQ45" s="1238"/>
      <c r="DR45" s="1238"/>
      <c r="DS45" s="1238"/>
      <c r="DT45" s="1238"/>
      <c r="DU45" s="1238"/>
      <c r="DV45" s="1238"/>
      <c r="DW45" s="1238"/>
      <c r="DX45" s="1238"/>
      <c r="DY45" s="1238"/>
      <c r="DZ45" s="1238"/>
      <c r="EA45" s="1238"/>
      <c r="EB45" s="1238"/>
      <c r="EC45" s="1238"/>
      <c r="ED45" s="1238"/>
      <c r="EE45" s="1238"/>
      <c r="EF45" s="1238"/>
      <c r="EG45" s="1238"/>
      <c r="EH45" s="1238"/>
      <c r="EI45" s="1238"/>
      <c r="EJ45" s="1238"/>
      <c r="EK45" s="1238"/>
      <c r="EL45" s="1238"/>
      <c r="EM45" s="1238"/>
      <c r="EN45" s="1238"/>
      <c r="EO45" s="1238"/>
      <c r="EP45" s="1238"/>
      <c r="EQ45" s="1238"/>
      <c r="ER45" s="1238"/>
      <c r="ES45" s="1238"/>
      <c r="ET45" s="1238"/>
    </row>
    <row r="46" spans="1:162" s="1231" customFormat="1">
      <c r="A46" s="1224"/>
      <c r="B46" s="1249" t="s">
        <v>352</v>
      </c>
      <c r="M46" s="1236">
        <f t="shared" ca="1" si="99"/>
        <v>0</v>
      </c>
      <c r="N46" s="1236">
        <f t="shared" ca="1" si="99"/>
        <v>0</v>
      </c>
      <c r="O46" s="1236">
        <f t="shared" ca="1" si="99"/>
        <v>0</v>
      </c>
      <c r="P46" s="1236">
        <f t="shared" ca="1" si="99"/>
        <v>0</v>
      </c>
      <c r="Q46" s="1236">
        <f t="shared" ca="1" si="99"/>
        <v>0</v>
      </c>
      <c r="R46" s="1236">
        <f t="shared" ca="1" si="99"/>
        <v>0</v>
      </c>
      <c r="S46" s="1236">
        <f t="shared" ca="1" si="99"/>
        <v>0</v>
      </c>
      <c r="T46" s="1236">
        <f t="shared" ca="1" si="99"/>
        <v>0</v>
      </c>
      <c r="U46" s="1236">
        <f t="shared" ca="1" si="99"/>
        <v>0</v>
      </c>
      <c r="V46" s="1236">
        <f t="shared" ca="1" si="99"/>
        <v>0</v>
      </c>
      <c r="W46" s="1236">
        <f t="shared" ca="1" si="100"/>
        <v>0</v>
      </c>
      <c r="X46" s="1236">
        <f t="shared" ca="1" si="100"/>
        <v>0</v>
      </c>
      <c r="Y46" s="1236">
        <f t="shared" ca="1" si="100"/>
        <v>0</v>
      </c>
      <c r="Z46" s="1236">
        <f t="shared" ca="1" si="100"/>
        <v>0</v>
      </c>
      <c r="AA46" s="1236">
        <f t="shared" ca="1" si="100"/>
        <v>0</v>
      </c>
      <c r="AB46" s="1236">
        <f t="shared" ca="1" si="100"/>
        <v>0</v>
      </c>
      <c r="AC46" s="1236">
        <f t="shared" ca="1" si="100"/>
        <v>0</v>
      </c>
      <c r="AD46" s="1236"/>
      <c r="AE46" s="1236"/>
      <c r="AF46" s="1236"/>
      <c r="AG46" s="1236">
        <f t="shared" ca="1" si="37"/>
        <v>0</v>
      </c>
      <c r="AH46" s="1236">
        <f t="shared" ca="1" si="38"/>
        <v>0</v>
      </c>
      <c r="AI46" s="1236">
        <f t="shared" ca="1" si="39"/>
        <v>0</v>
      </c>
      <c r="AJ46" s="1236">
        <f t="shared" ca="1" si="40"/>
        <v>0</v>
      </c>
      <c r="AK46" s="1236">
        <f t="shared" ca="1" si="41"/>
        <v>0</v>
      </c>
      <c r="AL46" s="1236">
        <f t="shared" ca="1" si="42"/>
        <v>0</v>
      </c>
      <c r="AM46" s="1236">
        <f t="shared" ca="1" si="43"/>
        <v>0</v>
      </c>
      <c r="AN46" s="1236">
        <f t="shared" ca="1" si="44"/>
        <v>0</v>
      </c>
      <c r="AO46" s="1236">
        <f t="shared" ca="1" si="45"/>
        <v>0</v>
      </c>
      <c r="AP46" s="1236">
        <f t="shared" ca="1" si="46"/>
        <v>0</v>
      </c>
      <c r="AQ46" s="1236">
        <f t="shared" ca="1" si="47"/>
        <v>0</v>
      </c>
      <c r="AR46" s="1236">
        <f t="shared" ca="1" si="48"/>
        <v>0</v>
      </c>
      <c r="AS46" s="1236">
        <f t="shared" ca="1" si="49"/>
        <v>0</v>
      </c>
      <c r="AT46" s="1236">
        <f t="shared" ca="1" si="50"/>
        <v>0</v>
      </c>
      <c r="AU46" s="1236">
        <f t="shared" ca="1" si="51"/>
        <v>0</v>
      </c>
      <c r="AV46" s="1236">
        <f t="shared" ca="1" si="52"/>
        <v>0</v>
      </c>
      <c r="AW46" s="1236">
        <f t="shared" ca="1" si="53"/>
        <v>0</v>
      </c>
      <c r="AX46" s="1236">
        <f t="shared" ca="1" si="54"/>
        <v>0</v>
      </c>
      <c r="AY46" s="1236">
        <f t="shared" ca="1" si="55"/>
        <v>0</v>
      </c>
      <c r="AZ46" s="1236">
        <f t="shared" ca="1" si="56"/>
        <v>0</v>
      </c>
      <c r="BA46" s="1236">
        <f t="shared" ca="1" si="57"/>
        <v>0</v>
      </c>
      <c r="BB46" s="1236">
        <f t="shared" ca="1" si="58"/>
        <v>0</v>
      </c>
      <c r="BC46" s="1236">
        <f t="shared" ca="1" si="59"/>
        <v>0</v>
      </c>
      <c r="BD46" s="1236">
        <f t="shared" ca="1" si="60"/>
        <v>0</v>
      </c>
      <c r="BE46" s="1236">
        <f t="shared" ca="1" si="61"/>
        <v>0</v>
      </c>
      <c r="BF46" s="1236">
        <f t="shared" ca="1" si="62"/>
        <v>0</v>
      </c>
      <c r="BG46" s="1236">
        <f t="shared" ca="1" si="63"/>
        <v>0</v>
      </c>
      <c r="BH46" s="1236">
        <f t="shared" ca="1" si="64"/>
        <v>0</v>
      </c>
      <c r="BI46" s="1236">
        <f t="shared" ca="1" si="65"/>
        <v>0</v>
      </c>
      <c r="BJ46" s="1236">
        <f t="shared" ca="1" si="66"/>
        <v>0</v>
      </c>
      <c r="BK46" s="1236">
        <f t="shared" ca="1" si="67"/>
        <v>0</v>
      </c>
      <c r="BL46" s="1236">
        <f t="shared" ca="1" si="68"/>
        <v>0</v>
      </c>
      <c r="BM46" s="1236">
        <f t="shared" ca="1" si="69"/>
        <v>0</v>
      </c>
      <c r="BN46" s="1236">
        <f t="shared" ca="1" si="70"/>
        <v>0</v>
      </c>
      <c r="BO46" s="1236">
        <f t="shared" ca="1" si="71"/>
        <v>0</v>
      </c>
      <c r="BP46" s="1236">
        <f t="shared" ca="1" si="72"/>
        <v>0</v>
      </c>
      <c r="BQ46" s="1236">
        <f t="shared" ca="1" si="73"/>
        <v>0</v>
      </c>
      <c r="BR46" s="1236">
        <f t="shared" ca="1" si="74"/>
        <v>0</v>
      </c>
      <c r="BS46" s="1236">
        <f t="shared" ca="1" si="75"/>
        <v>0</v>
      </c>
      <c r="BT46" s="1236">
        <f t="shared" ca="1" si="76"/>
        <v>0</v>
      </c>
      <c r="BU46" s="1236">
        <f t="shared" ca="1" si="77"/>
        <v>0</v>
      </c>
      <c r="BV46" s="1236">
        <f t="shared" ca="1" si="78"/>
        <v>0</v>
      </c>
      <c r="BW46" s="1236">
        <f t="shared" ca="1" si="79"/>
        <v>0</v>
      </c>
      <c r="BX46" s="1236">
        <f t="shared" ca="1" si="80"/>
        <v>0</v>
      </c>
      <c r="BY46" s="1236">
        <f t="shared" ca="1" si="81"/>
        <v>0</v>
      </c>
      <c r="BZ46" s="1236">
        <f t="shared" ca="1" si="82"/>
        <v>0</v>
      </c>
      <c r="CA46" s="1236">
        <f t="shared" ca="1" si="83"/>
        <v>0</v>
      </c>
      <c r="CB46" s="1236">
        <f t="shared" ca="1" si="84"/>
        <v>0</v>
      </c>
      <c r="CC46" s="1236">
        <f t="shared" ca="1" si="85"/>
        <v>0</v>
      </c>
      <c r="CD46" s="1236">
        <f t="shared" ca="1" si="86"/>
        <v>0</v>
      </c>
      <c r="CE46" s="1236">
        <f t="shared" ca="1" si="87"/>
        <v>0</v>
      </c>
      <c r="CF46" s="1236">
        <f t="shared" ca="1" si="88"/>
        <v>0</v>
      </c>
      <c r="CG46" s="1236">
        <f t="shared" ca="1" si="89"/>
        <v>0</v>
      </c>
      <c r="CH46" s="1236">
        <f t="shared" ca="1" si="90"/>
        <v>0</v>
      </c>
      <c r="CI46" s="1236">
        <f t="shared" ca="1" si="91"/>
        <v>0</v>
      </c>
      <c r="CJ46" s="1236">
        <f t="shared" ca="1" si="92"/>
        <v>0</v>
      </c>
      <c r="CO46" s="1165"/>
      <c r="CP46" s="1165"/>
      <c r="DK46" s="1238"/>
      <c r="DL46" s="1238"/>
      <c r="DM46" s="1238"/>
      <c r="DN46" s="1238"/>
      <c r="DO46" s="1238"/>
      <c r="DP46" s="1238"/>
      <c r="DQ46" s="1238"/>
      <c r="DR46" s="1238"/>
      <c r="DS46" s="1238"/>
      <c r="DT46" s="1238"/>
      <c r="DU46" s="1238"/>
      <c r="DV46" s="1238"/>
      <c r="DW46" s="1238"/>
      <c r="DX46" s="1238"/>
      <c r="DY46" s="1238"/>
      <c r="DZ46" s="1238"/>
      <c r="EA46" s="1238"/>
      <c r="EB46" s="1238"/>
      <c r="EC46" s="1238"/>
      <c r="ED46" s="1238"/>
      <c r="EE46" s="1238"/>
      <c r="EF46" s="1238"/>
      <c r="EG46" s="1238"/>
      <c r="EH46" s="1238"/>
      <c r="EI46" s="1238"/>
      <c r="EJ46" s="1238"/>
      <c r="EK46" s="1238"/>
      <c r="EL46" s="1238"/>
      <c r="EM46" s="1238"/>
      <c r="EN46" s="1238"/>
      <c r="EO46" s="1238"/>
      <c r="EP46" s="1238"/>
      <c r="EQ46" s="1238"/>
      <c r="ER46" s="1238"/>
      <c r="ES46" s="1238"/>
      <c r="ET46" s="1238"/>
    </row>
    <row r="47" spans="1:162">
      <c r="A47" s="1224"/>
      <c r="B47" s="1230" t="s">
        <v>390</v>
      </c>
      <c r="M47" s="1231">
        <f ca="1">SUM(M43:M46)</f>
        <v>0</v>
      </c>
      <c r="N47" s="1231">
        <f ca="1">SUM(N43:N46)</f>
        <v>0</v>
      </c>
      <c r="O47" s="1231">
        <f ca="1">SUM(O43:O46)</f>
        <v>0</v>
      </c>
      <c r="P47" s="1231">
        <f ca="1">SUM(P43:P46)</f>
        <v>0</v>
      </c>
      <c r="Q47" s="1231">
        <f ca="1">SUM(Q43:Q46)</f>
        <v>0</v>
      </c>
      <c r="R47" s="1231">
        <f t="shared" ref="R47:Y47" ca="1" si="101">SUM(R43:R46)</f>
        <v>0</v>
      </c>
      <c r="S47" s="1231">
        <f t="shared" ca="1" si="101"/>
        <v>0</v>
      </c>
      <c r="T47" s="1231">
        <f t="shared" ca="1" si="101"/>
        <v>0</v>
      </c>
      <c r="U47" s="1231">
        <f t="shared" ca="1" si="101"/>
        <v>0</v>
      </c>
      <c r="V47" s="1231">
        <f t="shared" ca="1" si="101"/>
        <v>0</v>
      </c>
      <c r="W47" s="1231">
        <f t="shared" ca="1" si="101"/>
        <v>0</v>
      </c>
      <c r="X47" s="1231">
        <f t="shared" ca="1" si="101"/>
        <v>0</v>
      </c>
      <c r="Y47" s="1231">
        <f t="shared" ca="1" si="101"/>
        <v>0</v>
      </c>
      <c r="Z47" s="1231">
        <f ca="1">SUM(Z43:Z46)</f>
        <v>0</v>
      </c>
      <c r="AA47" s="1231">
        <f ca="1">SUM(AA43:AA46)</f>
        <v>0</v>
      </c>
      <c r="AB47" s="1231">
        <f ca="1">SUM(AB43:AB46)</f>
        <v>0</v>
      </c>
      <c r="AC47" s="1231">
        <f ca="1">SUM(AC43:AC46)</f>
        <v>0</v>
      </c>
      <c r="AD47" s="1231"/>
      <c r="AE47" s="1231"/>
      <c r="AF47" s="1231"/>
      <c r="AG47" s="1231">
        <f t="shared" ca="1" si="37"/>
        <v>0</v>
      </c>
      <c r="AH47" s="1231">
        <f t="shared" ca="1" si="38"/>
        <v>0</v>
      </c>
      <c r="AI47" s="1231">
        <f t="shared" ca="1" si="39"/>
        <v>0</v>
      </c>
      <c r="AJ47" s="1231">
        <f t="shared" ca="1" si="40"/>
        <v>0</v>
      </c>
      <c r="AK47" s="1231">
        <f t="shared" ca="1" si="41"/>
        <v>0</v>
      </c>
      <c r="AL47" s="1231">
        <f t="shared" ca="1" si="42"/>
        <v>0</v>
      </c>
      <c r="AM47" s="1231">
        <f t="shared" ca="1" si="43"/>
        <v>0</v>
      </c>
      <c r="AN47" s="1231">
        <f t="shared" ca="1" si="44"/>
        <v>0</v>
      </c>
      <c r="AO47" s="1231">
        <f t="shared" ca="1" si="45"/>
        <v>0</v>
      </c>
      <c r="AP47" s="1231">
        <f t="shared" ca="1" si="46"/>
        <v>0</v>
      </c>
      <c r="AQ47" s="1231">
        <f t="shared" ca="1" si="47"/>
        <v>0</v>
      </c>
      <c r="AR47" s="1231">
        <f t="shared" ca="1" si="48"/>
        <v>0</v>
      </c>
      <c r="AS47" s="1231">
        <f t="shared" ca="1" si="49"/>
        <v>0</v>
      </c>
      <c r="AT47" s="1231">
        <f t="shared" ca="1" si="50"/>
        <v>0</v>
      </c>
      <c r="AU47" s="1231">
        <f t="shared" ca="1" si="51"/>
        <v>0</v>
      </c>
      <c r="AV47" s="1231">
        <f t="shared" ca="1" si="52"/>
        <v>0</v>
      </c>
      <c r="AW47" s="1231">
        <f t="shared" ca="1" si="53"/>
        <v>0</v>
      </c>
      <c r="AX47" s="1231">
        <f t="shared" ca="1" si="54"/>
        <v>0</v>
      </c>
      <c r="AY47" s="1231">
        <f t="shared" ca="1" si="55"/>
        <v>0</v>
      </c>
      <c r="AZ47" s="1231">
        <f t="shared" ca="1" si="56"/>
        <v>0</v>
      </c>
      <c r="BA47" s="1231">
        <f t="shared" ca="1" si="57"/>
        <v>0</v>
      </c>
      <c r="BB47" s="1231">
        <f t="shared" ca="1" si="58"/>
        <v>0</v>
      </c>
      <c r="BC47" s="1231">
        <f t="shared" ca="1" si="59"/>
        <v>0</v>
      </c>
      <c r="BD47" s="1231">
        <f t="shared" ca="1" si="60"/>
        <v>0</v>
      </c>
      <c r="BE47" s="1231">
        <f t="shared" ca="1" si="61"/>
        <v>0</v>
      </c>
      <c r="BF47" s="1231">
        <f t="shared" ca="1" si="62"/>
        <v>0</v>
      </c>
      <c r="BG47" s="1231">
        <f t="shared" ca="1" si="63"/>
        <v>0</v>
      </c>
      <c r="BH47" s="1231">
        <f t="shared" ca="1" si="64"/>
        <v>0</v>
      </c>
      <c r="BI47" s="1231">
        <f t="shared" ca="1" si="65"/>
        <v>0</v>
      </c>
      <c r="BJ47" s="1231">
        <f t="shared" ca="1" si="66"/>
        <v>0</v>
      </c>
      <c r="BK47" s="1231">
        <f t="shared" ca="1" si="67"/>
        <v>0</v>
      </c>
      <c r="BL47" s="1231">
        <f t="shared" ca="1" si="68"/>
        <v>0</v>
      </c>
      <c r="BM47" s="1231">
        <f t="shared" ca="1" si="69"/>
        <v>0</v>
      </c>
      <c r="BN47" s="1231">
        <f t="shared" ca="1" si="70"/>
        <v>0</v>
      </c>
      <c r="BO47" s="1231">
        <f t="shared" ca="1" si="71"/>
        <v>0</v>
      </c>
      <c r="BP47" s="1231">
        <f t="shared" ca="1" si="72"/>
        <v>0</v>
      </c>
      <c r="BQ47" s="1231">
        <f t="shared" ca="1" si="73"/>
        <v>0</v>
      </c>
      <c r="BR47" s="1231">
        <f t="shared" ca="1" si="74"/>
        <v>0</v>
      </c>
      <c r="BS47" s="1231">
        <f t="shared" ca="1" si="75"/>
        <v>0</v>
      </c>
      <c r="BT47" s="1231">
        <f t="shared" ca="1" si="76"/>
        <v>0</v>
      </c>
      <c r="BU47" s="1231">
        <f t="shared" ca="1" si="77"/>
        <v>0</v>
      </c>
      <c r="BV47" s="1231">
        <f t="shared" ca="1" si="78"/>
        <v>0</v>
      </c>
      <c r="BW47" s="1231">
        <f t="shared" ca="1" si="79"/>
        <v>0</v>
      </c>
      <c r="BX47" s="1231">
        <f t="shared" ca="1" si="80"/>
        <v>0</v>
      </c>
      <c r="BY47" s="1231">
        <f t="shared" ca="1" si="81"/>
        <v>0</v>
      </c>
      <c r="BZ47" s="1231">
        <f t="shared" ca="1" si="82"/>
        <v>0</v>
      </c>
      <c r="CA47" s="1231">
        <f t="shared" ca="1" si="83"/>
        <v>0</v>
      </c>
      <c r="CB47" s="1231">
        <f t="shared" ca="1" si="84"/>
        <v>0</v>
      </c>
      <c r="CC47" s="1231">
        <f t="shared" ca="1" si="85"/>
        <v>0</v>
      </c>
      <c r="CD47" s="1231">
        <f t="shared" ca="1" si="86"/>
        <v>0</v>
      </c>
      <c r="CE47" s="1231">
        <f t="shared" ca="1" si="87"/>
        <v>0</v>
      </c>
      <c r="CF47" s="1231">
        <f t="shared" ca="1" si="88"/>
        <v>0</v>
      </c>
      <c r="CG47" s="1231">
        <f t="shared" ca="1" si="89"/>
        <v>0</v>
      </c>
      <c r="CH47" s="1231">
        <f t="shared" ca="1" si="90"/>
        <v>0</v>
      </c>
      <c r="CI47" s="1231">
        <f t="shared" ca="1" si="91"/>
        <v>0</v>
      </c>
      <c r="CJ47" s="1231">
        <f t="shared" ca="1" si="92"/>
        <v>0</v>
      </c>
      <c r="CO47" s="1165"/>
      <c r="CP47" s="1165"/>
      <c r="CQ47" s="1231"/>
      <c r="CR47" s="1231"/>
      <c r="CS47" s="1231"/>
      <c r="CT47" s="1231"/>
      <c r="CU47" s="1231"/>
      <c r="CV47" s="1231"/>
      <c r="CW47" s="1231"/>
      <c r="CX47" s="1231"/>
      <c r="CY47" s="1231"/>
      <c r="CZ47" s="1231"/>
      <c r="DA47" s="1231"/>
      <c r="DB47" s="1231"/>
      <c r="DC47" s="1231"/>
      <c r="DD47" s="1231"/>
      <c r="DE47" s="1231"/>
      <c r="DF47" s="1231"/>
      <c r="DG47" s="1231"/>
      <c r="DH47" s="1231"/>
      <c r="DI47" s="1231"/>
      <c r="DJ47" s="1231"/>
      <c r="DK47" s="1231"/>
      <c r="DL47" s="1231"/>
      <c r="DM47" s="1231"/>
      <c r="DN47" s="1231"/>
      <c r="DO47" s="1231"/>
      <c r="DP47" s="1231"/>
      <c r="DQ47" s="1231"/>
      <c r="DR47" s="1231"/>
      <c r="DS47" s="1231"/>
      <c r="DT47" s="1231"/>
      <c r="DU47" s="1231"/>
      <c r="DV47" s="1231"/>
      <c r="DW47" s="1231"/>
      <c r="DX47" s="1231"/>
      <c r="DY47" s="1231"/>
      <c r="DZ47" s="1231"/>
      <c r="EA47" s="1231"/>
      <c r="EB47" s="1231"/>
      <c r="EC47" s="1231"/>
      <c r="ED47" s="1231"/>
      <c r="EE47" s="1231"/>
      <c r="EF47" s="1231"/>
      <c r="EG47" s="1231"/>
      <c r="EH47" s="1231"/>
      <c r="EI47" s="1231"/>
      <c r="EJ47" s="1231"/>
      <c r="EK47" s="1231"/>
      <c r="EL47" s="1231"/>
      <c r="EM47" s="1231"/>
      <c r="EN47" s="1231"/>
      <c r="EO47" s="1231"/>
      <c r="EP47" s="1231"/>
      <c r="EQ47" s="1231"/>
      <c r="ER47" s="1231"/>
      <c r="ES47" s="1231"/>
      <c r="ET47" s="1231"/>
      <c r="EU47" s="1231"/>
      <c r="EV47" s="1231"/>
      <c r="EW47" s="1231"/>
      <c r="EX47" s="1231"/>
      <c r="EY47" s="1231"/>
      <c r="EZ47" s="1231"/>
      <c r="FA47" s="1231"/>
      <c r="FB47" s="1231"/>
      <c r="FC47" s="1231"/>
      <c r="FD47" s="1231"/>
      <c r="FE47" s="1231"/>
      <c r="FF47" s="1231"/>
    </row>
    <row r="48" spans="1:162">
      <c r="A48" s="1224"/>
      <c r="B48" s="1230" t="s">
        <v>393</v>
      </c>
      <c r="M48" s="1236">
        <f t="shared" ref="M48:AC48" ca="1" si="102">OFFSET($CQ48,0,M$7)+OFFSET($CR48,0,M$7)+OFFSET($CS48,0,M$7)+OFFSET($CT48,0,M$7)</f>
        <v>0</v>
      </c>
      <c r="N48" s="1236">
        <f t="shared" ca="1" si="102"/>
        <v>0</v>
      </c>
      <c r="O48" s="1236">
        <f t="shared" ca="1" si="102"/>
        <v>0</v>
      </c>
      <c r="P48" s="1236">
        <f t="shared" ca="1" si="102"/>
        <v>0</v>
      </c>
      <c r="Q48" s="1236">
        <f t="shared" ca="1" si="102"/>
        <v>0</v>
      </c>
      <c r="R48" s="1236">
        <f t="shared" ca="1" si="102"/>
        <v>0</v>
      </c>
      <c r="S48" s="1236">
        <f t="shared" ca="1" si="102"/>
        <v>0</v>
      </c>
      <c r="T48" s="1236">
        <f t="shared" ca="1" si="102"/>
        <v>0</v>
      </c>
      <c r="U48" s="1236">
        <f t="shared" ca="1" si="102"/>
        <v>20.014000000000003</v>
      </c>
      <c r="V48" s="1236">
        <f t="shared" ca="1" si="102"/>
        <v>14.29</v>
      </c>
      <c r="W48" s="1241">
        <f ca="1">OFFSET($CQ48,0,W$7)+OFFSET($CR48,0,W$7)+OFFSET($CS48,0,W$7)+OFFSET($CT48,0,W$7)</f>
        <v>15.878999999999998</v>
      </c>
      <c r="X48" s="1236">
        <f t="shared" ca="1" si="102"/>
        <v>-17.530000000000012</v>
      </c>
      <c r="Y48" s="1236">
        <f t="shared" ca="1" si="102"/>
        <v>20.117000000000001</v>
      </c>
      <c r="Z48" s="1236">
        <f t="shared" ca="1" si="102"/>
        <v>45.197999999999993</v>
      </c>
      <c r="AA48" s="1236">
        <f t="shared" ca="1" si="102"/>
        <v>0</v>
      </c>
      <c r="AB48" s="1236">
        <f t="shared" ca="1" si="102"/>
        <v>0</v>
      </c>
      <c r="AC48" s="1236">
        <f t="shared" ca="1" si="102"/>
        <v>0</v>
      </c>
      <c r="AG48" s="1236">
        <f t="shared" ca="1" si="37"/>
        <v>0</v>
      </c>
      <c r="AH48" s="1236">
        <f t="shared" ca="1" si="38"/>
        <v>0</v>
      </c>
      <c r="AI48" s="1236">
        <f t="shared" ca="1" si="39"/>
        <v>0</v>
      </c>
      <c r="AJ48" s="1236">
        <f t="shared" ca="1" si="40"/>
        <v>0</v>
      </c>
      <c r="AK48" s="1236">
        <f t="shared" ca="1" si="41"/>
        <v>0</v>
      </c>
      <c r="AL48" s="1236">
        <f t="shared" ca="1" si="42"/>
        <v>0</v>
      </c>
      <c r="AM48" s="1236">
        <f t="shared" ca="1" si="43"/>
        <v>0</v>
      </c>
      <c r="AN48" s="1236">
        <f t="shared" ca="1" si="44"/>
        <v>0</v>
      </c>
      <c r="AO48" s="1236">
        <f t="shared" ca="1" si="45"/>
        <v>0</v>
      </c>
      <c r="AP48" s="1236">
        <f t="shared" ca="1" si="46"/>
        <v>0</v>
      </c>
      <c r="AQ48" s="1236">
        <f t="shared" ca="1" si="47"/>
        <v>0</v>
      </c>
      <c r="AR48" s="1236">
        <f t="shared" ca="1" si="48"/>
        <v>0</v>
      </c>
      <c r="AS48" s="1236">
        <f t="shared" ca="1" si="49"/>
        <v>0</v>
      </c>
      <c r="AT48" s="1236">
        <f t="shared" ca="1" si="50"/>
        <v>0</v>
      </c>
      <c r="AU48" s="1236">
        <f t="shared" ca="1" si="51"/>
        <v>0</v>
      </c>
      <c r="AV48" s="1236">
        <f t="shared" ca="1" si="52"/>
        <v>0</v>
      </c>
      <c r="AW48" s="1236">
        <f t="shared" ca="1" si="53"/>
        <v>0</v>
      </c>
      <c r="AX48" s="1236">
        <f t="shared" ca="1" si="54"/>
        <v>0</v>
      </c>
      <c r="AY48" s="1236">
        <f t="shared" ca="1" si="55"/>
        <v>0</v>
      </c>
      <c r="AZ48" s="1236">
        <f t="shared" ca="1" si="56"/>
        <v>0</v>
      </c>
      <c r="BA48" s="1236">
        <f t="shared" ca="1" si="57"/>
        <v>0</v>
      </c>
      <c r="BB48" s="1236">
        <f t="shared" ca="1" si="58"/>
        <v>0</v>
      </c>
      <c r="BC48" s="1236">
        <f t="shared" ca="1" si="59"/>
        <v>0</v>
      </c>
      <c r="BD48" s="1236">
        <f t="shared" ca="1" si="60"/>
        <v>0</v>
      </c>
      <c r="BE48" s="1236">
        <f t="shared" ca="1" si="61"/>
        <v>0</v>
      </c>
      <c r="BF48" s="1236">
        <f t="shared" ca="1" si="62"/>
        <v>0</v>
      </c>
      <c r="BG48" s="1236">
        <f t="shared" ca="1" si="63"/>
        <v>0</v>
      </c>
      <c r="BH48" s="1236">
        <f t="shared" ca="1" si="64"/>
        <v>0</v>
      </c>
      <c r="BI48" s="1236">
        <f t="shared" ca="1" si="65"/>
        <v>0</v>
      </c>
      <c r="BJ48" s="1236">
        <f t="shared" ca="1" si="66"/>
        <v>0</v>
      </c>
      <c r="BK48" s="1236">
        <f t="shared" ca="1" si="67"/>
        <v>0</v>
      </c>
      <c r="BL48" s="1236">
        <f t="shared" ca="1" si="68"/>
        <v>0</v>
      </c>
      <c r="BM48" s="1236">
        <f t="shared" ca="1" si="69"/>
        <v>9.4979999999999993</v>
      </c>
      <c r="BN48" s="1236">
        <f t="shared" ca="1" si="70"/>
        <v>6.0770000000000017</v>
      </c>
      <c r="BO48" s="1236">
        <f t="shared" ca="1" si="71"/>
        <v>8.6750000000000043</v>
      </c>
      <c r="BP48" s="1236">
        <f t="shared" ca="1" si="72"/>
        <v>20.014000000000003</v>
      </c>
      <c r="BQ48" s="1236">
        <f t="shared" ca="1" si="73"/>
        <v>-6.3970000000000002</v>
      </c>
      <c r="BR48" s="1236">
        <f t="shared" ca="1" si="74"/>
        <v>-2.2919999999999972</v>
      </c>
      <c r="BS48" s="1236">
        <f t="shared" ca="1" si="75"/>
        <v>5.1189999999999989</v>
      </c>
      <c r="BT48" s="1236">
        <f t="shared" ca="1" si="76"/>
        <v>14.29</v>
      </c>
      <c r="BU48" s="1236">
        <f t="shared" ca="1" si="77"/>
        <v>9.766</v>
      </c>
      <c r="BV48" s="1236">
        <f t="shared" ca="1" si="78"/>
        <v>23.169000000000004</v>
      </c>
      <c r="BW48" s="1236">
        <f t="shared" ca="1" si="79"/>
        <v>20.341000000000001</v>
      </c>
      <c r="BX48" s="1236">
        <f t="shared" ca="1" si="80"/>
        <v>15.878999999999998</v>
      </c>
      <c r="BY48" s="1236">
        <f t="shared" ca="1" si="81"/>
        <v>-8.8149999999999942</v>
      </c>
      <c r="BZ48" s="1236">
        <f t="shared" ca="1" si="82"/>
        <v>-25.244</v>
      </c>
      <c r="CA48" s="1236">
        <f t="shared" ca="1" si="83"/>
        <v>-22.582000000000011</v>
      </c>
      <c r="CB48" s="1236">
        <f t="shared" ca="1" si="84"/>
        <v>-17.530000000000012</v>
      </c>
      <c r="CC48" s="1236">
        <f t="shared" ca="1" si="85"/>
        <v>-6.0059999999999949</v>
      </c>
      <c r="CD48" s="1236">
        <f t="shared" ca="1" si="86"/>
        <v>11.427999999999999</v>
      </c>
      <c r="CE48" s="1236">
        <f t="shared" ca="1" si="87"/>
        <v>25.079000000000001</v>
      </c>
      <c r="CF48" s="1236">
        <f t="shared" ca="1" si="88"/>
        <v>20.117000000000001</v>
      </c>
      <c r="CG48" s="1236">
        <f t="shared" ca="1" si="89"/>
        <v>1.4459999999999962</v>
      </c>
      <c r="CH48" s="1236">
        <f t="shared" ca="1" si="90"/>
        <v>14.405999999999997</v>
      </c>
      <c r="CI48" s="1236">
        <f t="shared" ca="1" si="91"/>
        <v>13.559999999999997</v>
      </c>
      <c r="CJ48" s="1236">
        <f t="shared" ca="1" si="92"/>
        <v>45.197999999999993</v>
      </c>
      <c r="CO48" s="1165"/>
      <c r="CP48" s="1165"/>
      <c r="DK48" s="1231"/>
      <c r="DL48" s="1231"/>
      <c r="DM48" s="1231"/>
      <c r="DN48" s="1231"/>
      <c r="DO48" s="1231"/>
      <c r="DP48" s="1231"/>
      <c r="DQ48" s="1231"/>
      <c r="DR48" s="1231"/>
      <c r="DS48" s="1231"/>
      <c r="DT48" s="1231"/>
      <c r="DU48" s="1231"/>
      <c r="DV48" s="1231"/>
      <c r="DW48" s="1231">
        <f>DW49-DW38-DW41-DW47-DW42</f>
        <v>9.4979999999999993</v>
      </c>
      <c r="DX48" s="1231">
        <f t="shared" ref="DX48:ER48" si="103">DX49-DX38-DX41-DX47-DX42</f>
        <v>-3.4209999999999976</v>
      </c>
      <c r="DY48" s="1231">
        <f t="shared" si="103"/>
        <v>2.5980000000000025</v>
      </c>
      <c r="DZ48" s="1231">
        <f t="shared" si="103"/>
        <v>11.339</v>
      </c>
      <c r="EA48" s="1231">
        <f t="shared" si="103"/>
        <v>-6.3970000000000002</v>
      </c>
      <c r="EB48" s="1231">
        <f t="shared" si="103"/>
        <v>4.1050000000000031</v>
      </c>
      <c r="EC48" s="1231">
        <f t="shared" si="103"/>
        <v>7.410999999999996</v>
      </c>
      <c r="ED48" s="1231">
        <f t="shared" si="103"/>
        <v>9.1710000000000012</v>
      </c>
      <c r="EE48" s="1231">
        <f t="shared" si="103"/>
        <v>9.766</v>
      </c>
      <c r="EF48" s="1231">
        <f t="shared" si="103"/>
        <v>13.403000000000006</v>
      </c>
      <c r="EG48" s="1231">
        <f t="shared" si="103"/>
        <v>-2.828000000000003</v>
      </c>
      <c r="EH48" s="1231">
        <f t="shared" si="103"/>
        <v>-4.4620000000000024</v>
      </c>
      <c r="EI48" s="1231">
        <f t="shared" si="103"/>
        <v>-8.8149999999999942</v>
      </c>
      <c r="EJ48" s="1231">
        <f t="shared" si="103"/>
        <v>-16.429000000000006</v>
      </c>
      <c r="EK48" s="1231">
        <f t="shared" si="103"/>
        <v>2.6619999999999893</v>
      </c>
      <c r="EL48" s="1231">
        <f t="shared" si="103"/>
        <v>5.0519999999999987</v>
      </c>
      <c r="EM48" s="1231">
        <f t="shared" si="103"/>
        <v>-6.0059999999999949</v>
      </c>
      <c r="EN48" s="1231">
        <f t="shared" si="103"/>
        <v>17.433999999999994</v>
      </c>
      <c r="EO48" s="1231">
        <f t="shared" si="103"/>
        <v>13.651000000000003</v>
      </c>
      <c r="EP48" s="1231">
        <f t="shared" si="103"/>
        <v>-4.9620000000000006</v>
      </c>
      <c r="EQ48" s="1231">
        <f t="shared" si="103"/>
        <v>1.4459999999999962</v>
      </c>
      <c r="ER48" s="1231">
        <f t="shared" si="103"/>
        <v>12.96</v>
      </c>
      <c r="ES48" s="1231">
        <f>ES49-ES38-ES41-ES47-ES42</f>
        <v>-0.84600000000000009</v>
      </c>
      <c r="ET48" s="1231">
        <f>ET49-ET38-ET41-ET47-ET42</f>
        <v>31.637999999999998</v>
      </c>
    </row>
    <row r="49" spans="1:162" s="1231" customFormat="1">
      <c r="A49" s="1224"/>
      <c r="B49" s="1230" t="s">
        <v>354</v>
      </c>
      <c r="M49" s="1231">
        <f t="shared" ref="M49:R49" ca="1" si="104">M38+M41+M42+M47+M48</f>
        <v>0</v>
      </c>
      <c r="N49" s="1231">
        <f t="shared" ca="1" si="104"/>
        <v>0</v>
      </c>
      <c r="O49" s="1231">
        <f t="shared" ca="1" si="104"/>
        <v>0</v>
      </c>
      <c r="P49" s="1231">
        <f t="shared" ca="1" si="104"/>
        <v>0</v>
      </c>
      <c r="Q49" s="1231">
        <f t="shared" ca="1" si="104"/>
        <v>0</v>
      </c>
      <c r="R49" s="1231">
        <f t="shared" ca="1" si="104"/>
        <v>0</v>
      </c>
      <c r="S49" s="1231">
        <f t="shared" ref="S49:Y49" ca="1" si="105">S38+S41+S42+S47+S48</f>
        <v>0</v>
      </c>
      <c r="T49" s="1231">
        <f t="shared" ca="1" si="105"/>
        <v>0</v>
      </c>
      <c r="U49" s="1231">
        <f t="shared" ca="1" si="105"/>
        <v>-8.490000000000002</v>
      </c>
      <c r="V49" s="1231">
        <f t="shared" ca="1" si="105"/>
        <v>7.8049999999999997</v>
      </c>
      <c r="W49" s="1231">
        <f t="shared" ca="1" si="105"/>
        <v>8.8599999999999977</v>
      </c>
      <c r="X49" s="1231">
        <f t="shared" ca="1" si="105"/>
        <v>-29.324000000000012</v>
      </c>
      <c r="Y49" s="1231">
        <f t="shared" ca="1" si="105"/>
        <v>3.3740000000000023</v>
      </c>
      <c r="Z49" s="1231">
        <f ca="1">Z38+Z41+Z42+Z47+Z48</f>
        <v>77.046999999999997</v>
      </c>
      <c r="AA49" s="1231">
        <f ca="1">AA38+AA41+AA42+AA47+AA48</f>
        <v>0</v>
      </c>
      <c r="AB49" s="1231">
        <f ca="1">AB38+AB41+AB42+AB47+AB48</f>
        <v>0</v>
      </c>
      <c r="AC49" s="1231">
        <f ca="1">AC38+AC41+AC42+AC47+AC48</f>
        <v>0</v>
      </c>
      <c r="AG49" s="1231">
        <f t="shared" ca="1" si="37"/>
        <v>0</v>
      </c>
      <c r="AH49" s="1231">
        <f t="shared" ca="1" si="38"/>
        <v>0</v>
      </c>
      <c r="AI49" s="1231">
        <f t="shared" ca="1" si="39"/>
        <v>0</v>
      </c>
      <c r="AJ49" s="1231">
        <f t="shared" ca="1" si="40"/>
        <v>0</v>
      </c>
      <c r="AK49" s="1231">
        <f t="shared" ca="1" si="41"/>
        <v>0</v>
      </c>
      <c r="AL49" s="1231">
        <f t="shared" ca="1" si="42"/>
        <v>0</v>
      </c>
      <c r="AM49" s="1231">
        <f t="shared" ca="1" si="43"/>
        <v>0</v>
      </c>
      <c r="AN49" s="1231">
        <f t="shared" ca="1" si="44"/>
        <v>0</v>
      </c>
      <c r="AO49" s="1231">
        <f t="shared" ca="1" si="45"/>
        <v>0</v>
      </c>
      <c r="AP49" s="1231">
        <f t="shared" ca="1" si="46"/>
        <v>0</v>
      </c>
      <c r="AQ49" s="1231">
        <f t="shared" ca="1" si="47"/>
        <v>0</v>
      </c>
      <c r="AR49" s="1231">
        <f t="shared" ca="1" si="48"/>
        <v>0</v>
      </c>
      <c r="AS49" s="1231">
        <f t="shared" ca="1" si="49"/>
        <v>0</v>
      </c>
      <c r="AT49" s="1231">
        <f t="shared" ca="1" si="50"/>
        <v>0</v>
      </c>
      <c r="AU49" s="1231">
        <f t="shared" ca="1" si="51"/>
        <v>0</v>
      </c>
      <c r="AV49" s="1231">
        <f t="shared" ca="1" si="52"/>
        <v>0</v>
      </c>
      <c r="AW49" s="1231">
        <f t="shared" ca="1" si="53"/>
        <v>0</v>
      </c>
      <c r="AX49" s="1231">
        <f t="shared" ca="1" si="54"/>
        <v>0</v>
      </c>
      <c r="AY49" s="1231">
        <f t="shared" ca="1" si="55"/>
        <v>0</v>
      </c>
      <c r="AZ49" s="1231">
        <f t="shared" ca="1" si="56"/>
        <v>0</v>
      </c>
      <c r="BA49" s="1231">
        <f t="shared" ca="1" si="57"/>
        <v>0</v>
      </c>
      <c r="BB49" s="1231">
        <f t="shared" ca="1" si="58"/>
        <v>0</v>
      </c>
      <c r="BC49" s="1231">
        <f t="shared" ca="1" si="59"/>
        <v>0</v>
      </c>
      <c r="BD49" s="1231">
        <f t="shared" ca="1" si="60"/>
        <v>0</v>
      </c>
      <c r="BE49" s="1231">
        <f t="shared" ca="1" si="61"/>
        <v>0</v>
      </c>
      <c r="BF49" s="1231">
        <f t="shared" ca="1" si="62"/>
        <v>0</v>
      </c>
      <c r="BG49" s="1231">
        <f t="shared" ca="1" si="63"/>
        <v>0</v>
      </c>
      <c r="BH49" s="1231">
        <f t="shared" ca="1" si="64"/>
        <v>0</v>
      </c>
      <c r="BI49" s="1231">
        <f t="shared" ca="1" si="65"/>
        <v>0</v>
      </c>
      <c r="BJ49" s="1231">
        <f t="shared" ca="1" si="66"/>
        <v>0</v>
      </c>
      <c r="BK49" s="1231">
        <f t="shared" ca="1" si="67"/>
        <v>0</v>
      </c>
      <c r="BL49" s="1231">
        <f t="shared" ca="1" si="68"/>
        <v>0</v>
      </c>
      <c r="BM49" s="1231">
        <f t="shared" ca="1" si="69"/>
        <v>0</v>
      </c>
      <c r="BN49" s="1231">
        <f t="shared" ca="1" si="70"/>
        <v>-11.564999999999998</v>
      </c>
      <c r="BO49" s="1231">
        <f t="shared" ca="1" si="71"/>
        <v>-16.245999999999995</v>
      </c>
      <c r="BP49" s="1231">
        <f t="shared" ca="1" si="72"/>
        <v>-8.4899999999999949</v>
      </c>
      <c r="BQ49" s="1231">
        <f t="shared" ca="1" si="73"/>
        <v>-9.1890000000000001</v>
      </c>
      <c r="BR49" s="1231">
        <f t="shared" ca="1" si="74"/>
        <v>-10.293999999999997</v>
      </c>
      <c r="BS49" s="1231">
        <f t="shared" ca="1" si="75"/>
        <v>-2.4540000000000006</v>
      </c>
      <c r="BT49" s="1231">
        <f t="shared" ca="1" si="76"/>
        <v>7.8049999999999997</v>
      </c>
      <c r="BU49" s="1231">
        <f t="shared" ca="1" si="77"/>
        <v>6.125</v>
      </c>
      <c r="BV49" s="1231">
        <f t="shared" ca="1" si="78"/>
        <v>18.068000000000005</v>
      </c>
      <c r="BW49" s="1231">
        <f t="shared" ca="1" si="79"/>
        <v>14.609000000000002</v>
      </c>
      <c r="BX49" s="1231">
        <f t="shared" ca="1" si="80"/>
        <v>8.86</v>
      </c>
      <c r="BY49" s="1231">
        <f t="shared" ca="1" si="81"/>
        <v>-13.635999999999996</v>
      </c>
      <c r="BZ49" s="1231">
        <f t="shared" ca="1" si="82"/>
        <v>-34.268000000000001</v>
      </c>
      <c r="CA49" s="1231">
        <f t="shared" ca="1" si="83"/>
        <v>-29.797000000000011</v>
      </c>
      <c r="CB49" s="1231">
        <f t="shared" ca="1" si="84"/>
        <v>-29.324000000000012</v>
      </c>
      <c r="CC49" s="1231">
        <f t="shared" ca="1" si="85"/>
        <v>-12.370999999999995</v>
      </c>
      <c r="CD49" s="1231">
        <f t="shared" ca="1" si="86"/>
        <v>2.1690000000000005</v>
      </c>
      <c r="CE49" s="1231">
        <f t="shared" ca="1" si="87"/>
        <v>9.4590000000000032</v>
      </c>
      <c r="CF49" s="1231">
        <f t="shared" ca="1" si="88"/>
        <v>3.3740000000000032</v>
      </c>
      <c r="CG49" s="1231">
        <f t="shared" ca="1" si="89"/>
        <v>0.77599999999999625</v>
      </c>
      <c r="CH49" s="1231">
        <f t="shared" ca="1" si="90"/>
        <v>15.730999999999998</v>
      </c>
      <c r="CI49" s="1231">
        <f t="shared" ca="1" si="91"/>
        <v>33.573999999999998</v>
      </c>
      <c r="CJ49" s="1231">
        <f t="shared" ca="1" si="92"/>
        <v>77.046999999999997</v>
      </c>
      <c r="DK49" s="1232"/>
      <c r="DL49" s="1232"/>
      <c r="DM49" s="1232"/>
      <c r="DN49" s="1232"/>
      <c r="DO49" s="1232"/>
      <c r="DP49" s="1232"/>
      <c r="DQ49" s="1232"/>
      <c r="DR49" s="1232"/>
      <c r="DS49" s="1232"/>
      <c r="DT49" s="1232"/>
      <c r="DU49" s="1232"/>
      <c r="DV49" s="1232"/>
      <c r="DW49" s="1232">
        <f t="shared" ref="DW49:ET49" si="106">DW51-DW34</f>
        <v>0</v>
      </c>
      <c r="DX49" s="1232">
        <f t="shared" si="106"/>
        <v>-11.564999999999998</v>
      </c>
      <c r="DY49" s="1232">
        <f t="shared" si="106"/>
        <v>-4.6809999999999974</v>
      </c>
      <c r="DZ49" s="1232">
        <f t="shared" si="106"/>
        <v>7.7560000000000002</v>
      </c>
      <c r="EA49" s="1232">
        <f t="shared" si="106"/>
        <v>-9.1890000000000001</v>
      </c>
      <c r="EB49" s="1232">
        <f t="shared" si="106"/>
        <v>-1.1049999999999969</v>
      </c>
      <c r="EC49" s="1232">
        <f t="shared" si="106"/>
        <v>7.8399999999999963</v>
      </c>
      <c r="ED49" s="1232">
        <f t="shared" si="106"/>
        <v>10.259</v>
      </c>
      <c r="EE49" s="1232">
        <f t="shared" si="106"/>
        <v>6.125</v>
      </c>
      <c r="EF49" s="1232">
        <f t="shared" si="106"/>
        <v>11.943000000000005</v>
      </c>
      <c r="EG49" s="1232">
        <f t="shared" si="106"/>
        <v>-3.4590000000000032</v>
      </c>
      <c r="EH49" s="1232">
        <f t="shared" si="106"/>
        <v>-5.7490000000000023</v>
      </c>
      <c r="EI49" s="1232">
        <f t="shared" si="106"/>
        <v>-13.635999999999996</v>
      </c>
      <c r="EJ49" s="1232">
        <f t="shared" si="106"/>
        <v>-20.632000000000005</v>
      </c>
      <c r="EK49" s="1232">
        <f t="shared" si="106"/>
        <v>4.4709999999999894</v>
      </c>
      <c r="EL49" s="1232">
        <f t="shared" si="106"/>
        <v>0.47299999999999898</v>
      </c>
      <c r="EM49" s="1232">
        <f t="shared" si="106"/>
        <v>-12.370999999999995</v>
      </c>
      <c r="EN49" s="1232">
        <f t="shared" si="106"/>
        <v>14.539999999999996</v>
      </c>
      <c r="EO49" s="1232">
        <f t="shared" si="106"/>
        <v>7.2900000000000027</v>
      </c>
      <c r="EP49" s="1232">
        <f t="shared" si="106"/>
        <v>-6.085</v>
      </c>
      <c r="EQ49" s="1232">
        <f t="shared" si="106"/>
        <v>0.77599999999999625</v>
      </c>
      <c r="ER49" s="1232">
        <f t="shared" si="106"/>
        <v>14.955000000000002</v>
      </c>
      <c r="ES49" s="1232">
        <f t="shared" si="106"/>
        <v>17.843</v>
      </c>
      <c r="ET49" s="1232">
        <f t="shared" si="106"/>
        <v>43.472999999999999</v>
      </c>
    </row>
    <row r="50" spans="1:162">
      <c r="A50" s="1224"/>
      <c r="B50" s="1234"/>
      <c r="CO50" s="1165"/>
      <c r="CP50" s="1165"/>
      <c r="CQ50" s="1231"/>
      <c r="CR50" s="1231"/>
      <c r="CS50" s="1231"/>
      <c r="CT50" s="1231"/>
      <c r="CU50" s="1231"/>
      <c r="CV50" s="1231"/>
      <c r="CW50" s="1231"/>
      <c r="CX50" s="1231"/>
      <c r="CY50" s="1231"/>
      <c r="CZ50" s="1231"/>
      <c r="DA50" s="1231"/>
      <c r="DB50" s="1231"/>
      <c r="DC50" s="1231"/>
      <c r="DD50" s="1231"/>
      <c r="DE50" s="1231"/>
      <c r="DF50" s="1231"/>
      <c r="DG50" s="1231"/>
      <c r="DH50" s="1231"/>
      <c r="DI50" s="1231"/>
      <c r="DJ50" s="1231"/>
      <c r="DK50" s="1231"/>
      <c r="DL50" s="1231"/>
      <c r="DM50" s="1231"/>
      <c r="DN50" s="1231"/>
      <c r="DO50" s="1231"/>
      <c r="DP50" s="1231"/>
      <c r="DQ50" s="1231"/>
      <c r="DR50" s="1231"/>
      <c r="DS50" s="1231"/>
      <c r="DT50" s="1231"/>
      <c r="DU50" s="1231"/>
      <c r="DV50" s="1231"/>
      <c r="DW50" s="1231"/>
      <c r="DX50" s="1231"/>
      <c r="DY50" s="1231"/>
      <c r="DZ50" s="1231"/>
      <c r="EA50" s="1231"/>
      <c r="EB50" s="1231"/>
      <c r="EC50" s="1231"/>
      <c r="ED50" s="1231"/>
      <c r="EE50" s="1231"/>
      <c r="EF50" s="1231"/>
      <c r="EG50" s="1231"/>
      <c r="EH50" s="1231"/>
      <c r="EI50" s="1231"/>
      <c r="EJ50" s="1231"/>
      <c r="EK50" s="1231"/>
      <c r="EL50" s="1231"/>
      <c r="EM50" s="1231"/>
      <c r="EN50" s="1231"/>
      <c r="EO50" s="1231"/>
      <c r="EP50" s="1231"/>
      <c r="EQ50" s="1231"/>
      <c r="ER50" s="1231"/>
      <c r="ES50" s="1231"/>
      <c r="ET50" s="1231"/>
      <c r="EU50" s="1231"/>
      <c r="EV50" s="1231"/>
      <c r="EW50" s="1231"/>
      <c r="EX50" s="1231"/>
      <c r="EY50" s="1231"/>
      <c r="EZ50" s="1231"/>
      <c r="FA50" s="1231"/>
      <c r="FB50" s="1231"/>
      <c r="FC50" s="1231"/>
      <c r="FD50" s="1231"/>
      <c r="FE50" s="1231"/>
      <c r="FF50" s="1231"/>
    </row>
    <row r="51" spans="1:162" s="1231" customFormat="1">
      <c r="A51" s="1207" t="s">
        <v>488</v>
      </c>
      <c r="B51" s="1230" t="s">
        <v>5</v>
      </c>
      <c r="M51" s="1231">
        <f t="shared" ref="M51:R51" ca="1" si="107">M28+M49</f>
        <v>0</v>
      </c>
      <c r="N51" s="1231">
        <f t="shared" ca="1" si="107"/>
        <v>0</v>
      </c>
      <c r="O51" s="1231">
        <f t="shared" ca="1" si="107"/>
        <v>0</v>
      </c>
      <c r="P51" s="1231">
        <f t="shared" ca="1" si="107"/>
        <v>0</v>
      </c>
      <c r="Q51" s="1231">
        <f t="shared" ca="1" si="107"/>
        <v>0</v>
      </c>
      <c r="R51" s="1231">
        <f t="shared" ca="1" si="107"/>
        <v>0</v>
      </c>
      <c r="S51" s="1231">
        <f t="shared" ref="S51:Y51" ca="1" si="108">S28+S49</f>
        <v>0</v>
      </c>
      <c r="T51" s="1231">
        <f t="shared" ca="1" si="108"/>
        <v>0</v>
      </c>
      <c r="U51" s="1231">
        <f t="shared" ca="1" si="108"/>
        <v>178.59699999999995</v>
      </c>
      <c r="V51" s="1231">
        <f t="shared" ca="1" si="108"/>
        <v>138.04999999999978</v>
      </c>
      <c r="W51" s="1231">
        <f t="shared" ca="1" si="108"/>
        <v>230.86399999999995</v>
      </c>
      <c r="X51" s="1231">
        <f t="shared" ca="1" si="108"/>
        <v>309.88199999999989</v>
      </c>
      <c r="Y51" s="1231">
        <f t="shared" ca="1" si="108"/>
        <v>128.2690000000002</v>
      </c>
      <c r="Z51" s="1231">
        <f ca="1">Z28+Z49</f>
        <v>91.686999999999642</v>
      </c>
      <c r="AA51" s="1231">
        <f ca="1">AA28+AA49</f>
        <v>0</v>
      </c>
      <c r="AB51" s="1231">
        <f ca="1">AB28+AB49</f>
        <v>0</v>
      </c>
      <c r="AC51" s="1231">
        <f ca="1">AC28+AC49</f>
        <v>0</v>
      </c>
      <c r="AG51" s="1231">
        <f ca="1">OFFSET($CQ51,0,AG$7)</f>
        <v>0</v>
      </c>
      <c r="AH51" s="1231">
        <f ca="1">OFFSET($CQ51,0,AH$7)+OFFSET($CR51,0,AH$7)</f>
        <v>0</v>
      </c>
      <c r="AI51" s="1231">
        <f ca="1">OFFSET($CQ51,0,AI$7)+OFFSET($CR51,0,AI$7)+OFFSET($CS51,0,AI$7)</f>
        <v>0</v>
      </c>
      <c r="AJ51" s="1231">
        <f ca="1">OFFSET($CQ51,0,AJ$7)+OFFSET($CR51,0,AJ$7)+OFFSET($CS51,0,AJ$7)+OFFSET($CT51,0,AJ$7)</f>
        <v>0</v>
      </c>
      <c r="AK51" s="1231">
        <f ca="1">OFFSET($CQ51,0,AK$7)</f>
        <v>0</v>
      </c>
      <c r="AL51" s="1231">
        <f ca="1">OFFSET($CQ51,0,AL$7)+OFFSET($CR51,0,AL$7)</f>
        <v>0</v>
      </c>
      <c r="AM51" s="1231">
        <f ca="1">OFFSET($CQ51,0,AM$7)+OFFSET($CR51,0,AM$7)+OFFSET($CS51,0,AM$7)</f>
        <v>0</v>
      </c>
      <c r="AN51" s="1231">
        <f ca="1">OFFSET($CQ51,0,AN$7)+OFFSET($CR51,0,AN$7)+OFFSET($CS51,0,AN$7)+OFFSET($CT51,0,AN$7)</f>
        <v>0</v>
      </c>
      <c r="AO51" s="1231">
        <f ca="1">OFFSET($CQ51,0,AO$7)</f>
        <v>0</v>
      </c>
      <c r="AP51" s="1231">
        <f ca="1">OFFSET($CQ51,0,AP$7)+OFFSET($CR51,0,AP$7)</f>
        <v>0</v>
      </c>
      <c r="AQ51" s="1231">
        <f ca="1">OFFSET($CQ51,0,AQ$7)+OFFSET($CR51,0,AQ$7)+OFFSET($CS51,0,AQ$7)</f>
        <v>0</v>
      </c>
      <c r="AR51" s="1231">
        <f ca="1">OFFSET($CQ51,0,AR$7)+OFFSET($CR51,0,AR$7)+OFFSET($CS51,0,AR$7)+OFFSET($CT51,0,AR$7)</f>
        <v>0</v>
      </c>
      <c r="AS51" s="1231">
        <f ca="1">OFFSET($CQ51,0,AS$7)</f>
        <v>0</v>
      </c>
      <c r="AT51" s="1231">
        <f ca="1">OFFSET($CQ51,0,AT$7)+OFFSET($CR51,0,AT$7)</f>
        <v>0</v>
      </c>
      <c r="AU51" s="1231">
        <f ca="1">OFFSET($CQ51,0,AU$7)+OFFSET($CR51,0,AU$7)+OFFSET($CS51,0,AU$7)</f>
        <v>0</v>
      </c>
      <c r="AV51" s="1231">
        <f ca="1">OFFSET($CQ51,0,AV$7)+OFFSET($CR51,0,AV$7)+OFFSET($CS51,0,AV$7)+OFFSET($CT51,0,AV$7)</f>
        <v>0</v>
      </c>
      <c r="AW51" s="1231">
        <f ca="1">OFFSET($CQ51,0,AW$7)</f>
        <v>0</v>
      </c>
      <c r="AX51" s="1231">
        <f ca="1">OFFSET($CQ51,0,AX$7)+OFFSET($CR51,0,AX$7)</f>
        <v>0</v>
      </c>
      <c r="AY51" s="1231">
        <f ca="1">OFFSET($CQ51,0,AY$7)+OFFSET($CR51,0,AY$7)+OFFSET($CS51,0,AY$7)</f>
        <v>0</v>
      </c>
      <c r="AZ51" s="1231">
        <f ca="1">OFFSET($CQ51,0,AZ$7)+OFFSET($CR51,0,AZ$7)+OFFSET($CS51,0,AZ$7)+OFFSET($CT51,0,AZ$7)</f>
        <v>0</v>
      </c>
      <c r="BA51" s="1231">
        <f ca="1">OFFSET($CQ51,0,BA$7)</f>
        <v>0</v>
      </c>
      <c r="BB51" s="1231">
        <f ca="1">OFFSET($CQ51,0,BB$7)+OFFSET($CR51,0,BB$7)</f>
        <v>0</v>
      </c>
      <c r="BC51" s="1231">
        <f ca="1">OFFSET($CQ51,0,BC$7)+OFFSET($CR51,0,BC$7)+OFFSET($CS51,0,BC$7)</f>
        <v>0</v>
      </c>
      <c r="BD51" s="1231">
        <f ca="1">OFFSET($CQ51,0,BD$7)+OFFSET($CR51,0,BD$7)+OFFSET($CS51,0,BD$7)+OFFSET($CT51,0,BD$7)</f>
        <v>0</v>
      </c>
      <c r="BE51" s="1231">
        <f ca="1">OFFSET($CQ51,0,BE$7)</f>
        <v>0</v>
      </c>
      <c r="BF51" s="1231">
        <f ca="1">OFFSET($CQ51,0,BF$7)+OFFSET($CR51,0,BF$7)</f>
        <v>0</v>
      </c>
      <c r="BG51" s="1231">
        <f ca="1">OFFSET($CQ51,0,BG$7)+OFFSET($CR51,0,BG$7)+OFFSET($CS51,0,BG$7)</f>
        <v>0</v>
      </c>
      <c r="BH51" s="1231">
        <f ca="1">OFFSET($CQ51,0,BH$7)+OFFSET($CR51,0,BH$7)+OFFSET($CS51,0,BH$7)+OFFSET($CT51,0,BH$7)</f>
        <v>0</v>
      </c>
      <c r="BI51" s="1231">
        <f ca="1">OFFSET($CQ51,0,BI$7)</f>
        <v>0</v>
      </c>
      <c r="BJ51" s="1231">
        <f ca="1">OFFSET($CQ51,0,BJ$7)+OFFSET($CR51,0,BJ$7)</f>
        <v>0</v>
      </c>
      <c r="BK51" s="1231">
        <f ca="1">OFFSET($CQ51,0,BK$7)+OFFSET($CR51,0,BK$7)+OFFSET($CS51,0,BK$7)</f>
        <v>0</v>
      </c>
      <c r="BL51" s="1231">
        <f ca="1">OFFSET($CQ51,0,BL$7)+OFFSET($CR51,0,BL$7)+OFFSET($CS51,0,BL$7)+OFFSET($CT51,0,BL$7)</f>
        <v>0</v>
      </c>
      <c r="BM51" s="1231">
        <f ca="1">OFFSET($CQ51,0,BM$7)</f>
        <v>43.048000000000002</v>
      </c>
      <c r="BN51" s="1231">
        <f ca="1">OFFSET($CQ51,0,BN$7)+OFFSET($CR51,0,BN$7)</f>
        <v>118.88800000000001</v>
      </c>
      <c r="BO51" s="1231">
        <f ca="1">OFFSET($CQ51,0,BO$7)+OFFSET($CR51,0,BO$7)+OFFSET($CS51,0,BO$7)</f>
        <v>162.74200000000002</v>
      </c>
      <c r="BP51" s="1231">
        <f ca="1">OFFSET($CQ51,0,BP$7)+OFFSET($CR51,0,BP$7)+OFFSET($CS51,0,BP$7)+OFFSET($CT51,0,BP$7)</f>
        <v>178.59700000000001</v>
      </c>
      <c r="BQ51" s="1231">
        <f ca="1">OFFSET($CQ51,0,BQ$7)</f>
        <v>20.396000000000001</v>
      </c>
      <c r="BR51" s="1231">
        <f ca="1">OFFSET($CQ51,0,BR$7)+OFFSET($CR51,0,BR$7)</f>
        <v>77.483000000000004</v>
      </c>
      <c r="BS51" s="1231">
        <f ca="1">OFFSET($CQ51,0,BS$7)+OFFSET($CR51,0,BS$7)+OFFSET($CS51,0,BS$7)</f>
        <v>126.143</v>
      </c>
      <c r="BT51" s="1231">
        <f ca="1">OFFSET($CQ51,0,BT$7)+OFFSET($CR51,0,BT$7)+OFFSET($CS51,0,BT$7)+OFFSET($CT51,0,BT$7)</f>
        <v>138.05000000000001</v>
      </c>
      <c r="BU51" s="1231">
        <f ca="1">OFFSET($CQ51,0,BU$7)</f>
        <v>51.628999999999998</v>
      </c>
      <c r="BV51" s="1231">
        <f ca="1">OFFSET($CQ51,0,BV$7)+OFFSET($CR51,0,BV$7)</f>
        <v>124.249</v>
      </c>
      <c r="BW51" s="1231">
        <f ca="1">OFFSET($CQ51,0,BW$7)+OFFSET($CR51,0,BW$7)+OFFSET($CS51,0,BW$7)</f>
        <v>195.01599999999999</v>
      </c>
      <c r="BX51" s="1231">
        <f ca="1">OFFSET($CQ51,0,BX$7)+OFFSET($CR51,0,BX$7)+OFFSET($CS51,0,BX$7)+OFFSET($CT51,0,BX$7)</f>
        <v>230.86399999999998</v>
      </c>
      <c r="BY51" s="1231">
        <f ca="1">OFFSET($CQ51,0,BY$7)</f>
        <v>52.5</v>
      </c>
      <c r="BZ51" s="1231">
        <f ca="1">OFFSET($CQ51,0,BZ$7)+OFFSET($CR51,0,BZ$7)</f>
        <v>147.28800000000001</v>
      </c>
      <c r="CA51" s="1231">
        <f ca="1">OFFSET($CQ51,0,CA$7)+OFFSET($CR51,0,CA$7)+OFFSET($CS51,0,CA$7)</f>
        <v>260.39100000000002</v>
      </c>
      <c r="CB51" s="1231">
        <f ca="1">OFFSET($CQ51,0,CB$7)+OFFSET($CR51,0,CB$7)+OFFSET($CS51,0,CB$7)+OFFSET($CT51,0,CB$7)</f>
        <v>309.88200000000001</v>
      </c>
      <c r="CC51" s="1231">
        <f ca="1">OFFSET($CQ51,0,CC$7)</f>
        <v>65.015000000000001</v>
      </c>
      <c r="CD51" s="1231">
        <f ca="1">OFFSET($CQ51,0,CD$7)+OFFSET($CR51,0,CD$7)</f>
        <v>101.187</v>
      </c>
      <c r="CE51" s="1231">
        <f ca="1">OFFSET($CQ51,0,CE$7)+OFFSET($CR51,0,CE$7)+OFFSET($CS51,0,CE$7)</f>
        <v>131.18199999999999</v>
      </c>
      <c r="CF51" s="1231">
        <f ca="1">OFFSET($CQ51,0,CF$7)+OFFSET($CR51,0,CF$7)+OFFSET($CS51,0,CF$7)+OFFSET($CT51,0,CF$7)</f>
        <v>128.26899999999998</v>
      </c>
      <c r="CG51" s="1231">
        <f ca="1">OFFSET($CQ51,0,CG$7)</f>
        <v>43.037999999999997</v>
      </c>
      <c r="CH51" s="1231">
        <f ca="1">OFFSET($CQ51,0,CH$7)+OFFSET($CR51,0,CH$7)</f>
        <v>77.128999999999991</v>
      </c>
      <c r="CI51" s="1231">
        <f ca="1">OFFSET($CQ51,0,CI$7)+OFFSET($CR51,0,CI$7)+OFFSET($CS51,0,CI$7)</f>
        <v>89.143999999999991</v>
      </c>
      <c r="CJ51" s="1231">
        <f ca="1">OFFSET($CQ51,0,CJ$7)+OFFSET($CR51,0,CJ$7)+OFFSET($CS51,0,CJ$7)+OFFSET($CT51,0,CJ$7)</f>
        <v>91.686999999999998</v>
      </c>
      <c r="DK51" s="1232"/>
      <c r="DL51" s="1232"/>
      <c r="DM51" s="1232"/>
      <c r="DN51" s="1232"/>
      <c r="DO51" s="1232"/>
      <c r="DP51" s="1232"/>
      <c r="DQ51" s="1232"/>
      <c r="DR51" s="1232"/>
      <c r="DS51" s="1232"/>
      <c r="DT51" s="1232"/>
      <c r="DU51" s="1232"/>
      <c r="DV51" s="1232"/>
      <c r="DW51" s="1232">
        <f>INDEX('Basic Data TR'!$A$1:$AMJ$9673,MATCH($A51,'Basic Data TR'!$A$1:$A$9673,0),MATCH(DW$6,'Basic Data TR'!$A$1:$AMJ$1,0))</f>
        <v>43.048000000000002</v>
      </c>
      <c r="DX51" s="1232">
        <f>INDEX('Basic Data TR'!$A$1:$AMJ$9673,MATCH($A51,'Basic Data TR'!$A$1:$A$9673,0),MATCH(DX$6,'Basic Data TR'!$A$1:$AMJ$1,0))</f>
        <v>75.84</v>
      </c>
      <c r="DY51" s="1232">
        <f>INDEX('Basic Data TR'!$A$1:$AMJ$9673,MATCH($A51,'Basic Data TR'!$A$1:$A$9673,0),MATCH(DY$6,'Basic Data TR'!$A$1:$AMJ$1,0))</f>
        <v>43.853999999999999</v>
      </c>
      <c r="DZ51" s="1232">
        <f>INDEX('Basic Data TR'!$A$1:$AMJ$9673,MATCH($A51,'Basic Data TR'!$A$1:$A$9673,0),MATCH(DZ$6,'Basic Data TR'!$A$1:$AMJ$1,0))</f>
        <v>15.855</v>
      </c>
      <c r="EA51" s="1232">
        <f>INDEX('Basic Data TR'!$A$1:$AMJ$9673,MATCH($A51,'Basic Data TR'!$A$1:$A$9673,0),MATCH(EA$6,'Basic Data TR'!$A$1:$AMJ$1,0))</f>
        <v>20.396000000000001</v>
      </c>
      <c r="EB51" s="1232">
        <f>INDEX('Basic Data TR'!$A$1:$AMJ$9673,MATCH($A51,'Basic Data TR'!$A$1:$A$9673,0),MATCH(EB$6,'Basic Data TR'!$A$1:$AMJ$1,0))</f>
        <v>57.087000000000003</v>
      </c>
      <c r="EC51" s="1232">
        <f>INDEX('Basic Data TR'!$A$1:$AMJ$9673,MATCH($A51,'Basic Data TR'!$A$1:$A$9673,0),MATCH(EC$6,'Basic Data TR'!$A$1:$AMJ$1,0))</f>
        <v>48.66</v>
      </c>
      <c r="ED51" s="1232">
        <f>INDEX('Basic Data TR'!$A$1:$AMJ$9673,MATCH($A51,'Basic Data TR'!$A$1:$A$9673,0),MATCH(ED$6,'Basic Data TR'!$A$1:$AMJ$1,0))</f>
        <v>11.907</v>
      </c>
      <c r="EE51" s="1232">
        <f>INDEX('Basic Data TR'!$A$1:$AMJ$9673,MATCH($A51,'Basic Data TR'!$A$1:$A$9673,0),MATCH(EE$6,'Basic Data TR'!$A$1:$AMJ$1,0))</f>
        <v>51.628999999999998</v>
      </c>
      <c r="EF51" s="1232">
        <f>INDEX('Basic Data TR'!$A$1:$AMJ$9673,MATCH($A51,'Basic Data TR'!$A$1:$A$9673,0),MATCH(EF$6,'Basic Data TR'!$A$1:$AMJ$1,0))</f>
        <v>72.62</v>
      </c>
      <c r="EG51" s="1232">
        <f>INDEX('Basic Data TR'!$A$1:$AMJ$9673,MATCH($A51,'Basic Data TR'!$A$1:$A$9673,0),MATCH(EG$6,'Basic Data TR'!$A$1:$AMJ$1,0))</f>
        <v>70.766999999999996</v>
      </c>
      <c r="EH51" s="1232">
        <f>INDEX('Basic Data TR'!$A$1:$AMJ$9673,MATCH($A51,'Basic Data TR'!$A$1:$A$9673,0),MATCH(EH$6,'Basic Data TR'!$A$1:$AMJ$1,0))</f>
        <v>35.847999999999999</v>
      </c>
      <c r="EI51" s="1232">
        <f>INDEX('Basic Data TR'!$A$1:$AMJ$9673,MATCH($A51,'Basic Data TR'!$A$1:$A$9673,0),MATCH(EI$6,'Basic Data TR'!$A$1:$AMJ$1,0))</f>
        <v>52.5</v>
      </c>
      <c r="EJ51" s="1232">
        <f>INDEX('Basic Data TR'!$A$1:$AMJ$9673,MATCH($A51,'Basic Data TR'!$A$1:$A$9673,0),MATCH(EJ$6,'Basic Data TR'!$A$1:$AMJ$1,0))</f>
        <v>94.787999999999997</v>
      </c>
      <c r="EK51" s="1232">
        <f>INDEX('Basic Data TR'!$A$1:$AMJ$9673,MATCH($A51,'Basic Data TR'!$A$1:$A$9673,0),MATCH(EK$6,'Basic Data TR'!$A$1:$AMJ$1,0))</f>
        <v>113.10299999999999</v>
      </c>
      <c r="EL51" s="1232">
        <f>INDEX('Basic Data TR'!$A$1:$AMJ$9673,MATCH($A51,'Basic Data TR'!$A$1:$A$9673,0),MATCH(EL$6,'Basic Data TR'!$A$1:$AMJ$1,0))</f>
        <v>49.491</v>
      </c>
      <c r="EM51" s="1232">
        <f>INDEX('Basic Data TR'!$A$1:$AMJ$9673,MATCH($A51,'Basic Data TR'!$A$1:$A$9673,0),MATCH(EM$6,'Basic Data TR'!$A$1:$AMJ$1,0))</f>
        <v>65.015000000000001</v>
      </c>
      <c r="EN51" s="1232">
        <f>INDEX('Basic Data TR'!$A$1:$AMJ$9673,MATCH($A51,'Basic Data TR'!$A$1:$A$9673,0),MATCH(EN$6,'Basic Data TR'!$A$1:$AMJ$1,0))</f>
        <v>36.171999999999997</v>
      </c>
      <c r="EO51" s="1232">
        <f>INDEX('Basic Data TR'!$A$1:$AMJ$9673,MATCH($A51,'Basic Data TR'!$A$1:$A$9673,0),MATCH(EO$6,'Basic Data TR'!$A$1:$AMJ$1,0))</f>
        <v>29.995000000000001</v>
      </c>
      <c r="EP51" s="1232">
        <f>INDEX('Basic Data TR'!$A$1:$AMJ$9673,MATCH($A51,'Basic Data TR'!$A$1:$A$9673,0),MATCH(EP$6,'Basic Data TR'!$A$1:$AMJ$1,0))</f>
        <v>-2.9129999999999998</v>
      </c>
      <c r="EQ51" s="1232">
        <f>INDEX('Basic Data TR'!$A$1:$AMJ$9673,MATCH($A51,'Basic Data TR'!$A$1:$A$9673,0),MATCH(EQ$6,'Basic Data TR'!$A$1:$AMJ$1,0))</f>
        <v>43.037999999999997</v>
      </c>
      <c r="ER51" s="1232">
        <f>INDEX('Basic Data TR'!$A$1:$AMJ$9673,MATCH($A51,'Basic Data TR'!$A$1:$A$9673,0),MATCH(ER$6,'Basic Data TR'!$A$1:$AMJ$1,0))</f>
        <v>34.091000000000001</v>
      </c>
      <c r="ES51" s="1232">
        <f>INDEX('Basic Data TR'!$A$1:$AMJ$9673,MATCH($A51,'Basic Data TR'!$A$1:$A$9673,0),MATCH(ES$6,'Basic Data TR'!$A$1:$AMJ$1,0))</f>
        <v>12.015000000000001</v>
      </c>
      <c r="ET51" s="1232">
        <f>INDEX('Basic Data TR'!$A$1:$AMJ$9673,MATCH($A51,'Basic Data TR'!$A$1:$A$9673,0),MATCH(ET$6,'Basic Data TR'!$A$1:$AMJ$1,0))</f>
        <v>2.5430000000000001</v>
      </c>
    </row>
    <row r="52" spans="1:162" s="1235" customFormat="1">
      <c r="A52" s="1233"/>
      <c r="B52" s="1234" t="s">
        <v>6</v>
      </c>
      <c r="M52" s="1235" t="e">
        <f ca="1">Model!#REF!-M51</f>
        <v>#REF!</v>
      </c>
      <c r="N52" s="1235" t="e">
        <f ca="1">Model!#REF!-N51</f>
        <v>#REF!</v>
      </c>
      <c r="O52" s="1235" t="e">
        <f ca="1">Model!#REF!-O51</f>
        <v>#REF!</v>
      </c>
      <c r="P52" s="1235" t="e">
        <f ca="1">Model!#REF!-P51</f>
        <v>#REF!</v>
      </c>
      <c r="Q52" s="1235" t="e">
        <f ca="1">Model!#REF!-Q51</f>
        <v>#REF!</v>
      </c>
      <c r="R52" s="1213"/>
      <c r="S52" s="1213"/>
      <c r="T52" s="1213"/>
      <c r="U52" s="1213">
        <f ca="1">Model!D45-U51</f>
        <v>0</v>
      </c>
      <c r="V52" s="1213">
        <f ca="1">Model!E45-V51</f>
        <v>2.2737367544323206E-13</v>
      </c>
      <c r="W52" s="1213">
        <f ca="1">Model!F45-W51</f>
        <v>0</v>
      </c>
      <c r="X52" s="1213">
        <f ca="1">Model!G45-X51</f>
        <v>0</v>
      </c>
      <c r="Y52" s="1213">
        <f ca="1">Model!H45-Y51</f>
        <v>0</v>
      </c>
      <c r="Z52" s="1213">
        <f ca="1">Model!I45-Z51</f>
        <v>0</v>
      </c>
      <c r="AA52" s="1213">
        <f ca="1">Model!J45-AA51</f>
        <v>182.27600000000041</v>
      </c>
      <c r="AB52" s="1213">
        <f ca="1">Model!K45-AB51</f>
        <v>737.40800000000013</v>
      </c>
      <c r="AC52" s="1213">
        <f ca="1">Model!L45-AC51</f>
        <v>1840.3240000000003</v>
      </c>
      <c r="AD52" s="1213"/>
      <c r="AE52" s="1213"/>
      <c r="AG52" s="1213"/>
      <c r="AH52" s="1213"/>
      <c r="AI52" s="1213"/>
      <c r="AJ52" s="1213"/>
      <c r="AK52" s="1213"/>
      <c r="AL52" s="1213"/>
      <c r="AM52" s="1213"/>
      <c r="AN52" s="1213"/>
      <c r="AO52" s="1213"/>
      <c r="AP52" s="1213"/>
      <c r="AQ52" s="1213"/>
      <c r="AR52" s="1213"/>
      <c r="AS52" s="1213"/>
      <c r="AT52" s="1213"/>
      <c r="AU52" s="1213"/>
      <c r="AV52" s="1213"/>
      <c r="AW52" s="1213"/>
      <c r="AX52" s="1213"/>
      <c r="AY52" s="1213"/>
      <c r="AZ52" s="1213"/>
      <c r="BA52" s="1213"/>
      <c r="BB52" s="1213"/>
      <c r="BC52" s="1213"/>
      <c r="BD52" s="1213"/>
      <c r="BE52" s="1213"/>
      <c r="BF52" s="1213"/>
      <c r="BG52" s="1213"/>
      <c r="BH52" s="1213"/>
      <c r="BI52" s="1213"/>
      <c r="BJ52" s="1213"/>
      <c r="BK52" s="1213"/>
      <c r="BL52" s="1213"/>
      <c r="BM52" s="1213"/>
      <c r="BN52" s="1213"/>
      <c r="BO52" s="1213"/>
      <c r="BP52" s="1213"/>
      <c r="BQ52" s="1213"/>
      <c r="BR52" s="1213"/>
      <c r="BS52" s="1213"/>
      <c r="BT52" s="1213"/>
      <c r="BU52" s="1213"/>
      <c r="BV52" s="1213"/>
      <c r="BW52" s="1213"/>
      <c r="BX52" s="1213"/>
      <c r="BY52" s="1213"/>
      <c r="BZ52" s="1213"/>
      <c r="CA52" s="1213"/>
      <c r="CB52" s="1213"/>
      <c r="CC52" s="1213"/>
      <c r="CD52" s="1213"/>
      <c r="CE52" s="1213"/>
      <c r="CF52" s="1213"/>
      <c r="CG52" s="1213"/>
      <c r="CH52" s="1213"/>
      <c r="CI52" s="1213"/>
      <c r="CJ52" s="1213"/>
      <c r="CO52" s="1165"/>
      <c r="CP52" s="1165"/>
      <c r="CQ52" s="1231"/>
      <c r="CR52" s="1231"/>
      <c r="CS52" s="1231"/>
      <c r="CT52" s="1231"/>
      <c r="CU52" s="1231"/>
      <c r="CV52" s="1231"/>
      <c r="CW52" s="1231"/>
      <c r="CX52" s="1231"/>
      <c r="CY52" s="1231"/>
      <c r="CZ52" s="1231"/>
      <c r="DA52" s="1231"/>
      <c r="DB52" s="1231"/>
      <c r="DC52" s="1231"/>
      <c r="DD52" s="1231"/>
      <c r="DE52" s="1231"/>
      <c r="DF52" s="1231"/>
      <c r="DG52" s="1231"/>
      <c r="DH52" s="1231"/>
      <c r="DI52" s="1231"/>
      <c r="DJ52" s="1231"/>
      <c r="DK52" s="1243"/>
      <c r="DL52" s="1243"/>
      <c r="DM52" s="1243"/>
      <c r="DN52" s="1243"/>
      <c r="DO52" s="1243"/>
      <c r="DP52" s="1243"/>
      <c r="DQ52" s="1243"/>
      <c r="DR52" s="1243"/>
      <c r="DS52" s="1243"/>
      <c r="DT52" s="1243"/>
      <c r="DU52" s="1243"/>
      <c r="DV52" s="1243"/>
      <c r="DW52" s="1243">
        <f>DW51-'Basic Data TR'!Z63</f>
        <v>0</v>
      </c>
      <c r="DX52" s="1243">
        <f>DX51-'Basic Data TR'!AA63</f>
        <v>0</v>
      </c>
      <c r="DY52" s="1243">
        <f>DY51-'Basic Data TR'!AB63</f>
        <v>0</v>
      </c>
      <c r="DZ52" s="1243">
        <f>DZ51-'Basic Data TR'!AC63</f>
        <v>0</v>
      </c>
      <c r="EA52" s="1243">
        <f>EA51-'Basic Data TR'!AD63</f>
        <v>0</v>
      </c>
      <c r="EB52" s="1243">
        <f>EB51-'Basic Data TR'!AE63</f>
        <v>0</v>
      </c>
      <c r="EC52" s="1243">
        <f>EC51-'Basic Data TR'!AF63</f>
        <v>0</v>
      </c>
      <c r="ED52" s="1243">
        <f>ED51-'Basic Data TR'!AG63</f>
        <v>0</v>
      </c>
      <c r="EE52" s="1243">
        <f>EE51-'Basic Data TR'!AH63</f>
        <v>0</v>
      </c>
      <c r="EF52" s="1243">
        <f>EF51-'Basic Data TR'!AI63</f>
        <v>0</v>
      </c>
      <c r="EG52" s="1243">
        <f>EG51-'Basic Data TR'!AJ63</f>
        <v>0</v>
      </c>
      <c r="EH52" s="1243">
        <f>EH51-'Basic Data TR'!AK63</f>
        <v>0</v>
      </c>
      <c r="EI52" s="1243">
        <f>EI51-'Basic Data TR'!AL63</f>
        <v>0</v>
      </c>
      <c r="EJ52" s="1243">
        <f>EJ51-'Basic Data TR'!AM63</f>
        <v>0</v>
      </c>
      <c r="EK52" s="1243">
        <f>EK51-'Basic Data TR'!AN63</f>
        <v>0</v>
      </c>
      <c r="EL52" s="1243">
        <f>EL51-'Basic Data TR'!AO63</f>
        <v>0</v>
      </c>
      <c r="EM52" s="1243">
        <f>EM51-'Basic Data TR'!AP63</f>
        <v>0</v>
      </c>
      <c r="EN52" s="1243">
        <f>EN51-'Basic Data TR'!AQ63</f>
        <v>0</v>
      </c>
      <c r="EO52" s="1243">
        <f>EO51-'Basic Data TR'!AR63</f>
        <v>0</v>
      </c>
      <c r="EP52" s="1243">
        <f>EP51-'Basic Data TR'!AS63</f>
        <v>0</v>
      </c>
      <c r="EQ52" s="1243">
        <f>EQ51-'Basic Data TR'!AT63</f>
        <v>0</v>
      </c>
      <c r="ER52" s="1243">
        <f>ER51-'Basic Data TR'!AU63</f>
        <v>0</v>
      </c>
      <c r="ES52" s="1243">
        <f>ES51-'Basic Data TR'!AV63</f>
        <v>0</v>
      </c>
      <c r="ET52" s="1243">
        <f>ET51-'Basic Data TR'!AW63</f>
        <v>0</v>
      </c>
      <c r="EU52" s="1231"/>
      <c r="EV52" s="1231"/>
      <c r="EW52" s="1231"/>
      <c r="EX52" s="1231"/>
      <c r="EY52" s="1231"/>
      <c r="EZ52" s="1231"/>
      <c r="FA52" s="1231"/>
      <c r="FB52" s="1231"/>
      <c r="FC52" s="1231"/>
      <c r="FD52" s="1231"/>
      <c r="FE52" s="1231"/>
      <c r="FF52" s="1231"/>
    </row>
    <row r="53" spans="1:162" s="1235" customFormat="1">
      <c r="A53" s="1233"/>
      <c r="B53" s="1234" t="s">
        <v>6</v>
      </c>
      <c r="M53" s="1241">
        <f t="shared" ref="M53:AC53" ca="1" si="109">OFFSET($CQ51,0,M$7)+OFFSET($CR51,0,M$7)+OFFSET($CS51,0,M$7)+OFFSET($CT51,0,M$7)-M51</f>
        <v>0</v>
      </c>
      <c r="N53" s="1241">
        <f t="shared" ca="1" si="109"/>
        <v>0</v>
      </c>
      <c r="O53" s="1241">
        <f t="shared" ca="1" si="109"/>
        <v>0</v>
      </c>
      <c r="P53" s="1241">
        <f t="shared" ca="1" si="109"/>
        <v>0</v>
      </c>
      <c r="Q53" s="1241">
        <f t="shared" ca="1" si="109"/>
        <v>0</v>
      </c>
      <c r="R53" s="1214"/>
      <c r="S53" s="1214"/>
      <c r="T53" s="1214"/>
      <c r="U53" s="1214">
        <f t="shared" ca="1" si="109"/>
        <v>0</v>
      </c>
      <c r="V53" s="1214">
        <f t="shared" ca="1" si="109"/>
        <v>2.2737367544323206E-13</v>
      </c>
      <c r="W53" s="1214">
        <f t="shared" ca="1" si="109"/>
        <v>0</v>
      </c>
      <c r="X53" s="1214">
        <f t="shared" ca="1" si="109"/>
        <v>0</v>
      </c>
      <c r="Y53" s="1214">
        <f t="shared" ca="1" si="109"/>
        <v>-2.2737367544323206E-13</v>
      </c>
      <c r="Z53" s="1214">
        <f t="shared" ca="1" si="109"/>
        <v>3.5527136788005009E-13</v>
      </c>
      <c r="AA53" s="1214">
        <f t="shared" ca="1" si="109"/>
        <v>0</v>
      </c>
      <c r="AB53" s="1214">
        <f t="shared" ca="1" si="109"/>
        <v>0</v>
      </c>
      <c r="AC53" s="1214">
        <f t="shared" ca="1" si="109"/>
        <v>0</v>
      </c>
      <c r="AD53" s="1214"/>
      <c r="AE53" s="1214"/>
      <c r="AF53" s="1241"/>
      <c r="AG53" s="1214"/>
      <c r="AH53" s="1214"/>
      <c r="AI53" s="1214"/>
      <c r="AJ53" s="1214"/>
      <c r="AK53" s="1214"/>
      <c r="AL53" s="1214"/>
      <c r="AM53" s="1214"/>
      <c r="AN53" s="1214"/>
      <c r="AO53" s="1214"/>
      <c r="AP53" s="1214"/>
      <c r="AQ53" s="1214"/>
      <c r="AR53" s="1214"/>
      <c r="AS53" s="1214"/>
      <c r="AT53" s="1214"/>
      <c r="AU53" s="1214"/>
      <c r="AV53" s="1214"/>
      <c r="AW53" s="1214"/>
      <c r="AX53" s="1214"/>
      <c r="AY53" s="1214"/>
      <c r="AZ53" s="1214"/>
      <c r="BA53" s="1214"/>
      <c r="BB53" s="1214"/>
      <c r="BC53" s="1214"/>
      <c r="BD53" s="1214"/>
      <c r="BE53" s="1214"/>
      <c r="BF53" s="1214"/>
      <c r="BG53" s="1214"/>
      <c r="BH53" s="1214"/>
      <c r="BI53" s="1214"/>
      <c r="BJ53" s="1214"/>
      <c r="BK53" s="1214"/>
      <c r="BL53" s="1214"/>
      <c r="BM53" s="1214"/>
      <c r="BN53" s="1214"/>
      <c r="BO53" s="1214"/>
      <c r="BP53" s="1214"/>
      <c r="BQ53" s="1214"/>
      <c r="BR53" s="1214"/>
      <c r="BS53" s="1214"/>
      <c r="BT53" s="1214"/>
      <c r="BU53" s="1214"/>
      <c r="BV53" s="1214"/>
      <c r="BW53" s="1214"/>
      <c r="BX53" s="1214"/>
      <c r="BY53" s="1214"/>
      <c r="BZ53" s="1214"/>
      <c r="CA53" s="1214"/>
      <c r="CB53" s="1214"/>
      <c r="CC53" s="1214"/>
      <c r="CD53" s="1214"/>
      <c r="CE53" s="1214"/>
      <c r="CF53" s="1214"/>
      <c r="CG53" s="1214"/>
      <c r="CH53" s="1214"/>
      <c r="CI53" s="1214"/>
      <c r="CJ53" s="1214"/>
      <c r="CO53" s="1165"/>
      <c r="CP53" s="1165"/>
      <c r="CQ53" s="1231"/>
      <c r="CR53" s="1231"/>
      <c r="CS53" s="1231"/>
      <c r="CT53" s="1231"/>
      <c r="CU53" s="1231"/>
      <c r="CV53" s="1231"/>
      <c r="CW53" s="1231"/>
      <c r="CX53" s="1231"/>
      <c r="CY53" s="1231"/>
      <c r="CZ53" s="1231"/>
      <c r="DA53" s="1231"/>
      <c r="DB53" s="1231"/>
      <c r="DC53" s="1231"/>
      <c r="DD53" s="1231"/>
      <c r="DE53" s="1231"/>
      <c r="DF53" s="1231"/>
      <c r="DG53" s="1231"/>
      <c r="DH53" s="1231"/>
      <c r="DI53" s="1231"/>
      <c r="DJ53" s="1231"/>
      <c r="EU53" s="1231"/>
      <c r="EV53" s="1231"/>
      <c r="EW53" s="1231"/>
      <c r="EX53" s="1231"/>
      <c r="EY53" s="1231"/>
      <c r="EZ53" s="1231"/>
      <c r="FA53" s="1231"/>
      <c r="FB53" s="1231"/>
      <c r="FC53" s="1231"/>
      <c r="FD53" s="1231"/>
      <c r="FE53" s="1231"/>
      <c r="FF53" s="1231"/>
    </row>
    <row r="54" spans="1:162">
      <c r="A54" s="1224"/>
      <c r="CO54" s="1165"/>
      <c r="CP54" s="1165"/>
      <c r="CQ54" s="1231"/>
      <c r="CR54" s="1231"/>
      <c r="CS54" s="1231"/>
      <c r="CT54" s="1231"/>
      <c r="CU54" s="1231"/>
      <c r="CV54" s="1231"/>
      <c r="CW54" s="1231"/>
      <c r="CX54" s="1231"/>
      <c r="CY54" s="1231"/>
      <c r="CZ54" s="1231"/>
      <c r="DA54" s="1231"/>
      <c r="DB54" s="1231"/>
      <c r="DC54" s="1231"/>
      <c r="DD54" s="1231"/>
      <c r="DE54" s="1231"/>
      <c r="DF54" s="1231"/>
      <c r="DG54" s="1231"/>
      <c r="DH54" s="1231"/>
      <c r="DI54" s="1231"/>
      <c r="DJ54" s="1231"/>
      <c r="DK54" s="1231"/>
      <c r="DL54" s="1231"/>
      <c r="DM54" s="1231"/>
      <c r="DN54" s="1231"/>
      <c r="DO54" s="1231"/>
      <c r="DP54" s="1231"/>
      <c r="DQ54" s="1231"/>
      <c r="DR54" s="1231"/>
      <c r="DS54" s="1231"/>
      <c r="DT54" s="1231"/>
      <c r="DU54" s="1231"/>
      <c r="DV54" s="1231"/>
      <c r="DW54" s="1231"/>
      <c r="DX54" s="1231"/>
      <c r="DY54" s="1231"/>
      <c r="DZ54" s="1231"/>
      <c r="EA54" s="1231"/>
      <c r="EB54" s="1231"/>
      <c r="EC54" s="1231"/>
      <c r="ED54" s="1231"/>
      <c r="EE54" s="1231"/>
      <c r="EF54" s="1231"/>
      <c r="EG54" s="1231"/>
      <c r="EH54" s="1231"/>
      <c r="EI54" s="1231"/>
      <c r="EJ54" s="1231"/>
      <c r="EK54" s="1231"/>
      <c r="EL54" s="1231"/>
      <c r="EM54" s="1231"/>
      <c r="EN54" s="1231"/>
      <c r="EO54" s="1231"/>
      <c r="EP54" s="1231"/>
      <c r="EQ54" s="1231"/>
      <c r="ER54" s="1231"/>
      <c r="ES54" s="1231"/>
      <c r="ET54" s="1231"/>
      <c r="EU54" s="1231"/>
      <c r="EV54" s="1231"/>
      <c r="EW54" s="1231"/>
      <c r="EX54" s="1231"/>
      <c r="EY54" s="1231"/>
      <c r="EZ54" s="1231"/>
      <c r="FA54" s="1231"/>
      <c r="FB54" s="1231"/>
      <c r="FC54" s="1231"/>
      <c r="FD54" s="1231"/>
      <c r="FE54" s="1231"/>
      <c r="FF54" s="1231"/>
    </row>
    <row r="55" spans="1:162" s="1231" customFormat="1">
      <c r="A55" s="1209" t="s">
        <v>489</v>
      </c>
      <c r="B55" s="1230" t="s">
        <v>38</v>
      </c>
      <c r="M55" s="1231">
        <f t="shared" ref="M55:V57" ca="1" si="110">OFFSET($CQ55,0,M$7)+OFFSET($CR55,0,M$7)+OFFSET($CS55,0,M$7)+OFFSET($CT55,0,M$7)</f>
        <v>0</v>
      </c>
      <c r="N55" s="1231">
        <f t="shared" ca="1" si="110"/>
        <v>0</v>
      </c>
      <c r="O55" s="1231">
        <f t="shared" ca="1" si="110"/>
        <v>0</v>
      </c>
      <c r="P55" s="1231">
        <f t="shared" ca="1" si="110"/>
        <v>0</v>
      </c>
      <c r="Q55" s="1231">
        <f t="shared" ca="1" si="110"/>
        <v>0</v>
      </c>
      <c r="U55" s="1231">
        <f t="shared" ca="1" si="110"/>
        <v>-4.1300000000000008</v>
      </c>
      <c r="V55" s="1231">
        <f t="shared" ca="1" si="110"/>
        <v>-11.789</v>
      </c>
      <c r="W55" s="1231">
        <f t="shared" ref="W55:AC57" ca="1" si="111">OFFSET($CQ55,0,W$7)+OFFSET($CR55,0,W$7)+OFFSET($CS55,0,W$7)+OFFSET($CT55,0,W$7)</f>
        <v>-8.5410000000000004</v>
      </c>
      <c r="X55" s="1231">
        <f t="shared" ca="1" si="111"/>
        <v>6.5520000000000005</v>
      </c>
      <c r="Y55" s="1231">
        <f t="shared" ca="1" si="111"/>
        <v>-1.8459999999999996</v>
      </c>
      <c r="Z55" s="1231">
        <f t="shared" ca="1" si="111"/>
        <v>-14.475999999999999</v>
      </c>
      <c r="AA55" s="1231">
        <f t="shared" ca="1" si="111"/>
        <v>0</v>
      </c>
      <c r="AB55" s="1231">
        <f t="shared" ca="1" si="111"/>
        <v>0</v>
      </c>
      <c r="AC55" s="1231">
        <f t="shared" ca="1" si="111"/>
        <v>0</v>
      </c>
      <c r="AG55" s="1231">
        <f ca="1">OFFSET($CQ55,0,AG$7)</f>
        <v>0</v>
      </c>
      <c r="AH55" s="1231">
        <f ca="1">OFFSET($CQ55,0,AH$7)+OFFSET($CR55,0,AH$7)</f>
        <v>0</v>
      </c>
      <c r="AI55" s="1231">
        <f ca="1">OFFSET($CQ55,0,AI$7)+OFFSET($CR55,0,AI$7)+OFFSET($CS55,0,AI$7)</f>
        <v>0</v>
      </c>
      <c r="AJ55" s="1231">
        <f ca="1">OFFSET($CQ55,0,AJ$7)+OFFSET($CR55,0,AJ$7)+OFFSET($CS55,0,AJ$7)+OFFSET($CT55,0,AJ$7)</f>
        <v>0</v>
      </c>
      <c r="AK55" s="1231">
        <f ca="1">OFFSET($CQ55,0,AK$7)</f>
        <v>0</v>
      </c>
      <c r="AL55" s="1231">
        <f ca="1">OFFSET($CQ55,0,AL$7)+OFFSET($CR55,0,AL$7)</f>
        <v>0</v>
      </c>
      <c r="AM55" s="1231">
        <f ca="1">OFFSET($CQ55,0,AM$7)+OFFSET($CR55,0,AM$7)+OFFSET($CS55,0,AM$7)</f>
        <v>0</v>
      </c>
      <c r="AN55" s="1231">
        <f ca="1">OFFSET($CQ55,0,AN$7)+OFFSET($CR55,0,AN$7)+OFFSET($CS55,0,AN$7)+OFFSET($CT55,0,AN$7)</f>
        <v>0</v>
      </c>
      <c r="AO55" s="1231">
        <f ca="1">OFFSET($CQ55,0,AO$7)</f>
        <v>0</v>
      </c>
      <c r="AP55" s="1231">
        <f ca="1">OFFSET($CQ55,0,AP$7)+OFFSET($CR55,0,AP$7)</f>
        <v>0</v>
      </c>
      <c r="AQ55" s="1231">
        <f ca="1">OFFSET($CQ55,0,AQ$7)+OFFSET($CR55,0,AQ$7)+OFFSET($CS55,0,AQ$7)</f>
        <v>0</v>
      </c>
      <c r="AR55" s="1231">
        <f ca="1">OFFSET($CQ55,0,AR$7)+OFFSET($CR55,0,AR$7)+OFFSET($CS55,0,AR$7)+OFFSET($CT55,0,AR$7)</f>
        <v>0</v>
      </c>
      <c r="AS55" s="1231">
        <f ca="1">OFFSET($CQ55,0,AS$7)</f>
        <v>0</v>
      </c>
      <c r="AT55" s="1231">
        <f ca="1">OFFSET($CQ55,0,AT$7)+OFFSET($CR55,0,AT$7)</f>
        <v>0</v>
      </c>
      <c r="AU55" s="1231">
        <f ca="1">OFFSET($CQ55,0,AU$7)+OFFSET($CR55,0,AU$7)+OFFSET($CS55,0,AU$7)</f>
        <v>0</v>
      </c>
      <c r="AV55" s="1231">
        <f ca="1">OFFSET($CQ55,0,AV$7)+OFFSET($CR55,0,AV$7)+OFFSET($CS55,0,AV$7)+OFFSET($CT55,0,AV$7)</f>
        <v>0</v>
      </c>
      <c r="AW55" s="1231">
        <f ca="1">OFFSET($CQ55,0,AW$7)</f>
        <v>0</v>
      </c>
      <c r="AX55" s="1231">
        <f ca="1">OFFSET($CQ55,0,AX$7)+OFFSET($CR55,0,AX$7)</f>
        <v>0</v>
      </c>
      <c r="AY55" s="1231">
        <f ca="1">OFFSET($CQ55,0,AY$7)+OFFSET($CR55,0,AY$7)+OFFSET($CS55,0,AY$7)</f>
        <v>0</v>
      </c>
      <c r="AZ55" s="1231">
        <f ca="1">OFFSET($CQ55,0,AZ$7)+OFFSET($CR55,0,AZ$7)+OFFSET($CS55,0,AZ$7)+OFFSET($CT55,0,AZ$7)</f>
        <v>0</v>
      </c>
      <c r="BA55" s="1231">
        <f ca="1">OFFSET($CQ55,0,BA$7)</f>
        <v>0</v>
      </c>
      <c r="BB55" s="1231">
        <f ca="1">OFFSET($CQ55,0,BB$7)+OFFSET($CR55,0,BB$7)</f>
        <v>0</v>
      </c>
      <c r="BC55" s="1231">
        <f ca="1">OFFSET($CQ55,0,BC$7)+OFFSET($CR55,0,BC$7)+OFFSET($CS55,0,BC$7)</f>
        <v>0</v>
      </c>
      <c r="BD55" s="1231">
        <f ca="1">OFFSET($CQ55,0,BD$7)+OFFSET($CR55,0,BD$7)+OFFSET($CS55,0,BD$7)+OFFSET($CT55,0,BD$7)</f>
        <v>0</v>
      </c>
      <c r="BE55" s="1231">
        <f ca="1">OFFSET($CQ55,0,BE$7)</f>
        <v>0</v>
      </c>
      <c r="BF55" s="1231">
        <f ca="1">OFFSET($CQ55,0,BF$7)+OFFSET($CR55,0,BF$7)</f>
        <v>0</v>
      </c>
      <c r="BG55" s="1231">
        <f ca="1">OFFSET($CQ55,0,BG$7)+OFFSET($CR55,0,BG$7)+OFFSET($CS55,0,BG$7)</f>
        <v>0</v>
      </c>
      <c r="BH55" s="1231">
        <f ca="1">OFFSET($CQ55,0,BH$7)+OFFSET($CR55,0,BH$7)+OFFSET($CS55,0,BH$7)+OFFSET($CT55,0,BH$7)</f>
        <v>0</v>
      </c>
      <c r="BI55" s="1231">
        <f ca="1">OFFSET($CQ55,0,BI$7)</f>
        <v>0</v>
      </c>
      <c r="BJ55" s="1231">
        <f ca="1">OFFSET($CQ55,0,BJ$7)+OFFSET($CR55,0,BJ$7)</f>
        <v>0</v>
      </c>
      <c r="BK55" s="1231">
        <f ca="1">OFFSET($CQ55,0,BK$7)+OFFSET($CR55,0,BK$7)+OFFSET($CS55,0,BK$7)</f>
        <v>0</v>
      </c>
      <c r="BL55" s="1231">
        <f ca="1">OFFSET($CQ55,0,BL$7)+OFFSET($CR55,0,BL$7)+OFFSET($CS55,0,BL$7)+OFFSET($CT55,0,BL$7)</f>
        <v>0</v>
      </c>
      <c r="BM55" s="1231">
        <f ca="1">OFFSET($CQ55,0,BM$7)</f>
        <v>-2.536</v>
      </c>
      <c r="BN55" s="1231">
        <f ca="1">OFFSET($CQ55,0,BN$7)+OFFSET($CR55,0,BN$7)</f>
        <v>-3.0460000000000003</v>
      </c>
      <c r="BO55" s="1231">
        <f ca="1">OFFSET($CQ55,0,BO$7)+OFFSET($CR55,0,BO$7)+OFFSET($CS55,0,BO$7)</f>
        <v>-3.9600000000000004</v>
      </c>
      <c r="BP55" s="1231">
        <f ca="1">OFFSET($CQ55,0,BP$7)+OFFSET($CR55,0,BP$7)+OFFSET($CS55,0,BP$7)+OFFSET($CT55,0,BP$7)</f>
        <v>-4.1300000000000008</v>
      </c>
      <c r="BQ55" s="1231">
        <f ca="1">OFFSET($CQ55,0,BQ$7)</f>
        <v>-1.454</v>
      </c>
      <c r="BR55" s="1231">
        <f ca="1">OFFSET($CQ55,0,BR$7)+OFFSET($CR55,0,BR$7)</f>
        <v>-1.361</v>
      </c>
      <c r="BS55" s="1231">
        <f ca="1">OFFSET($CQ55,0,BS$7)+OFFSET($CR55,0,BS$7)+OFFSET($CS55,0,BS$7)</f>
        <v>-1.343</v>
      </c>
      <c r="BT55" s="1231">
        <f ca="1">OFFSET($CQ55,0,BT$7)+OFFSET($CR55,0,BT$7)+OFFSET($CS55,0,BT$7)+OFFSET($CT55,0,BT$7)</f>
        <v>-11.789</v>
      </c>
      <c r="BU55" s="1231">
        <f ca="1">OFFSET($CQ55,0,BU$7)</f>
        <v>-5.3999999999999999E-2</v>
      </c>
      <c r="BV55" s="1231">
        <f ca="1">OFFSET($CQ55,0,BV$7)+OFFSET($CR55,0,BV$7)</f>
        <v>-0.97800000000000009</v>
      </c>
      <c r="BW55" s="1231">
        <f ca="1">OFFSET($CQ55,0,BW$7)+OFFSET($CR55,0,BW$7)+OFFSET($CS55,0,BW$7)</f>
        <v>-2.7709999999999999</v>
      </c>
      <c r="BX55" s="1231">
        <f ca="1">OFFSET($CQ55,0,BX$7)+OFFSET($CR55,0,BX$7)+OFFSET($CS55,0,BX$7)+OFFSET($CT55,0,BX$7)</f>
        <v>-8.5410000000000004</v>
      </c>
      <c r="BY55" s="1231">
        <f ca="1">OFFSET($CQ55,0,BY$7)</f>
        <v>-0.73799999999999999</v>
      </c>
      <c r="BZ55" s="1231">
        <f ca="1">OFFSET($CQ55,0,BZ$7)+OFFSET($CR55,0,BZ$7)</f>
        <v>-1.0349999999999999</v>
      </c>
      <c r="CA55" s="1231">
        <f ca="1">OFFSET($CQ55,0,CA$7)+OFFSET($CR55,0,CA$7)+OFFSET($CS55,0,CA$7)</f>
        <v>-1.9949999999999999</v>
      </c>
      <c r="CB55" s="1231">
        <f ca="1">OFFSET($CQ55,0,CB$7)+OFFSET($CR55,0,CB$7)+OFFSET($CS55,0,CB$7)+OFFSET($CT55,0,CB$7)</f>
        <v>6.5520000000000005</v>
      </c>
      <c r="CC55" s="1231">
        <f ca="1">OFFSET($CQ55,0,CC$7)</f>
        <v>-0.80200000000000005</v>
      </c>
      <c r="CD55" s="1231">
        <f ca="1">OFFSET($CQ55,0,CD$7)+OFFSET($CR55,0,CD$7)</f>
        <v>-3.6579999999999999</v>
      </c>
      <c r="CE55" s="1231">
        <f ca="1">OFFSET($CQ55,0,CE$7)+OFFSET($CR55,0,CE$7)+OFFSET($CS55,0,CE$7)</f>
        <v>-3.0629999999999997</v>
      </c>
      <c r="CF55" s="1231">
        <f ca="1">OFFSET($CQ55,0,CF$7)+OFFSET($CR55,0,CF$7)+OFFSET($CS55,0,CF$7)+OFFSET($CT55,0,CF$7)</f>
        <v>-1.8459999999999996</v>
      </c>
      <c r="CG55" s="1231">
        <f ca="1">OFFSET($CQ55,0,CG$7)</f>
        <v>-15.958</v>
      </c>
      <c r="CH55" s="1231">
        <f ca="1">OFFSET($CQ55,0,CH$7)+OFFSET($CR55,0,CH$7)</f>
        <v>-18.384</v>
      </c>
      <c r="CI55" s="1231">
        <f ca="1">OFFSET($CQ55,0,CI$7)+OFFSET($CR55,0,CI$7)+OFFSET($CS55,0,CI$7)</f>
        <v>-22.808</v>
      </c>
      <c r="CJ55" s="1231">
        <f ca="1">OFFSET($CQ55,0,CJ$7)+OFFSET($CR55,0,CJ$7)+OFFSET($CS55,0,CJ$7)+OFFSET($CT55,0,CJ$7)</f>
        <v>-14.475999999999999</v>
      </c>
      <c r="CO55" s="1165"/>
      <c r="CP55" s="1165"/>
      <c r="DK55" s="1232"/>
      <c r="DL55" s="1232"/>
      <c r="DM55" s="1232"/>
      <c r="DN55" s="1232"/>
      <c r="DO55" s="1232"/>
      <c r="DP55" s="1232"/>
      <c r="DQ55" s="1232"/>
      <c r="DR55" s="1232"/>
      <c r="DS55" s="1232"/>
      <c r="DT55" s="1232"/>
      <c r="DU55" s="1232"/>
      <c r="DV55" s="1232"/>
      <c r="DW55" s="1232">
        <f>-INDEX('Basic Data TR'!$A$1:$AMJ$9673,MATCH($A55,'Basic Data TR'!$A$1:$A$9673,0),MATCH(DW$6,'Basic Data TR'!$A$1:$AMJ$1,0))</f>
        <v>-2.536</v>
      </c>
      <c r="DX55" s="1232">
        <f>-INDEX('Basic Data TR'!$A$1:$AMJ$9673,MATCH($A55,'Basic Data TR'!$A$1:$A$9673,0),MATCH(DX$6,'Basic Data TR'!$A$1:$AMJ$1,0))</f>
        <v>-0.51</v>
      </c>
      <c r="DY55" s="1232">
        <f>-INDEX('Basic Data TR'!$A$1:$AMJ$9673,MATCH($A55,'Basic Data TR'!$A$1:$A$9673,0),MATCH(DY$6,'Basic Data TR'!$A$1:$AMJ$1,0))</f>
        <v>-0.91400000000000003</v>
      </c>
      <c r="DZ55" s="1232">
        <f>-INDEX('Basic Data TR'!$A$1:$AMJ$9673,MATCH($A55,'Basic Data TR'!$A$1:$A$9673,0),MATCH(DZ$6,'Basic Data TR'!$A$1:$AMJ$1,0))</f>
        <v>-0.17</v>
      </c>
      <c r="EA55" s="1232">
        <f>-INDEX('Basic Data TR'!$A$1:$AMJ$9673,MATCH($A55,'Basic Data TR'!$A$1:$A$9673,0),MATCH(EA$6,'Basic Data TR'!$A$1:$AMJ$1,0))</f>
        <v>-1.454</v>
      </c>
      <c r="EB55" s="1232">
        <f>-INDEX('Basic Data TR'!$A$1:$AMJ$9673,MATCH($A55,'Basic Data TR'!$A$1:$A$9673,0),MATCH(EB$6,'Basic Data TR'!$A$1:$AMJ$1,0))</f>
        <v>9.2999999999999999E-2</v>
      </c>
      <c r="EC55" s="1232">
        <f>-INDEX('Basic Data TR'!$A$1:$AMJ$9673,MATCH($A55,'Basic Data TR'!$A$1:$A$9673,0),MATCH(EC$6,'Basic Data TR'!$A$1:$AMJ$1,0))</f>
        <v>1.7999999999999999E-2</v>
      </c>
      <c r="ED55" s="1232">
        <f>-INDEX('Basic Data TR'!$A$1:$AMJ$9673,MATCH($A55,'Basic Data TR'!$A$1:$A$9673,0),MATCH(ED$6,'Basic Data TR'!$A$1:$AMJ$1,0))</f>
        <v>-10.446</v>
      </c>
      <c r="EE55" s="1232">
        <f>-INDEX('Basic Data TR'!$A$1:$AMJ$9673,MATCH($A55,'Basic Data TR'!$A$1:$A$9673,0),MATCH(EE$6,'Basic Data TR'!$A$1:$AMJ$1,0))</f>
        <v>-5.3999999999999999E-2</v>
      </c>
      <c r="EF55" s="1232">
        <f>-INDEX('Basic Data TR'!$A$1:$AMJ$9673,MATCH($A55,'Basic Data TR'!$A$1:$A$9673,0),MATCH(EF$6,'Basic Data TR'!$A$1:$AMJ$1,0))</f>
        <v>-0.92400000000000004</v>
      </c>
      <c r="EG55" s="1232">
        <f>-INDEX('Basic Data TR'!$A$1:$AMJ$9673,MATCH($A55,'Basic Data TR'!$A$1:$A$9673,0),MATCH(EG$6,'Basic Data TR'!$A$1:$AMJ$1,0))</f>
        <v>-1.7929999999999999</v>
      </c>
      <c r="EH55" s="1232">
        <f>-INDEX('Basic Data TR'!$A$1:$AMJ$9673,MATCH($A55,'Basic Data TR'!$A$1:$A$9673,0),MATCH(EH$6,'Basic Data TR'!$A$1:$AMJ$1,0))</f>
        <v>-5.77</v>
      </c>
      <c r="EI55" s="1232">
        <f>-INDEX('Basic Data TR'!$A$1:$AMJ$9673,MATCH($A55,'Basic Data TR'!$A$1:$A$9673,0),MATCH(EI$6,'Basic Data TR'!$A$1:$AMJ$1,0))</f>
        <v>-0.73799999999999999</v>
      </c>
      <c r="EJ55" s="1232">
        <f>-INDEX('Basic Data TR'!$A$1:$AMJ$9673,MATCH($A55,'Basic Data TR'!$A$1:$A$9673,0),MATCH(EJ$6,'Basic Data TR'!$A$1:$AMJ$1,0))</f>
        <v>-0.29699999999999999</v>
      </c>
      <c r="EK55" s="1232">
        <f>-INDEX('Basic Data TR'!$A$1:$AMJ$9673,MATCH($A55,'Basic Data TR'!$A$1:$A$9673,0),MATCH(EK$6,'Basic Data TR'!$A$1:$AMJ$1,0))</f>
        <v>-0.96</v>
      </c>
      <c r="EL55" s="1232">
        <f>-INDEX('Basic Data TR'!$A$1:$AMJ$9673,MATCH($A55,'Basic Data TR'!$A$1:$A$9673,0),MATCH(EL$6,'Basic Data TR'!$A$1:$AMJ$1,0))</f>
        <v>8.5470000000000006</v>
      </c>
      <c r="EM55" s="1232">
        <f>-INDEX('Basic Data TR'!$A$1:$AMJ$9673,MATCH($A55,'Basic Data TR'!$A$1:$A$9673,0),MATCH(EM$6,'Basic Data TR'!$A$1:$AMJ$1,0))</f>
        <v>-0.80200000000000005</v>
      </c>
      <c r="EN55" s="1232">
        <f>-INDEX('Basic Data TR'!$A$1:$AMJ$9673,MATCH($A55,'Basic Data TR'!$A$1:$A$9673,0),MATCH(EN$6,'Basic Data TR'!$A$1:$AMJ$1,0))</f>
        <v>-2.8559999999999999</v>
      </c>
      <c r="EO55" s="1232">
        <f>-INDEX('Basic Data TR'!$A$1:$AMJ$9673,MATCH($A55,'Basic Data TR'!$A$1:$A$9673,0),MATCH(EO$6,'Basic Data TR'!$A$1:$AMJ$1,0))</f>
        <v>0.59499999999999997</v>
      </c>
      <c r="EP55" s="1232">
        <f>-INDEX('Basic Data TR'!$A$1:$AMJ$9673,MATCH($A55,'Basic Data TR'!$A$1:$A$9673,0),MATCH(EP$6,'Basic Data TR'!$A$1:$AMJ$1,0))</f>
        <v>1.2170000000000001</v>
      </c>
      <c r="EQ55" s="1232">
        <f>-INDEX('Basic Data TR'!$A$1:$AMJ$9673,MATCH($A55,'Basic Data TR'!$A$1:$A$9673,0),MATCH(EQ$6,'Basic Data TR'!$A$1:$AMJ$1,0))</f>
        <v>-15.958</v>
      </c>
      <c r="ER55" s="1232">
        <f>-INDEX('Basic Data TR'!$A$1:$AMJ$9673,MATCH($A55,'Basic Data TR'!$A$1:$A$9673,0),MATCH(ER$6,'Basic Data TR'!$A$1:$AMJ$1,0))</f>
        <v>-2.4260000000000002</v>
      </c>
      <c r="ES55" s="1232">
        <f>-INDEX('Basic Data TR'!$A$1:$AMJ$9673,MATCH($A55,'Basic Data TR'!$A$1:$A$9673,0),MATCH(ES$6,'Basic Data TR'!$A$1:$AMJ$1,0))</f>
        <v>-4.4240000000000004</v>
      </c>
      <c r="ET55" s="1232">
        <f>-INDEX('Basic Data TR'!$A$1:$AMJ$9673,MATCH($A55,'Basic Data TR'!$A$1:$A$9673,0),MATCH(ET$6,'Basic Data TR'!$A$1:$AMJ$1,0))</f>
        <v>8.3320000000000007</v>
      </c>
    </row>
    <row r="56" spans="1:162" s="1231" customFormat="1">
      <c r="A56" s="1209" t="s">
        <v>491</v>
      </c>
      <c r="B56" s="1230" t="s">
        <v>126</v>
      </c>
      <c r="M56" s="1231">
        <f t="shared" ca="1" si="110"/>
        <v>0</v>
      </c>
      <c r="N56" s="1231">
        <f t="shared" ca="1" si="110"/>
        <v>0</v>
      </c>
      <c r="O56" s="1231">
        <f t="shared" ca="1" si="110"/>
        <v>0</v>
      </c>
      <c r="P56" s="1231">
        <f t="shared" ca="1" si="110"/>
        <v>0</v>
      </c>
      <c r="Q56" s="1231">
        <f t="shared" ca="1" si="110"/>
        <v>0</v>
      </c>
      <c r="U56" s="1231">
        <f t="shared" ca="1" si="110"/>
        <v>1.29</v>
      </c>
      <c r="V56" s="1231">
        <f t="shared" ca="1" si="110"/>
        <v>-26.707999999999998</v>
      </c>
      <c r="W56" s="1231">
        <f t="shared" ca="1" si="111"/>
        <v>-31.087999999999997</v>
      </c>
      <c r="X56" s="1231">
        <f t="shared" ca="1" si="111"/>
        <v>-60.195999999999998</v>
      </c>
      <c r="Y56" s="1231">
        <f t="shared" ca="1" si="111"/>
        <v>-53.256</v>
      </c>
      <c r="Z56" s="1231">
        <f t="shared" ca="1" si="111"/>
        <v>-56.843999999999994</v>
      </c>
      <c r="AA56" s="1231">
        <f t="shared" ca="1" si="111"/>
        <v>0</v>
      </c>
      <c r="AB56" s="1231">
        <f t="shared" ca="1" si="111"/>
        <v>0</v>
      </c>
      <c r="AC56" s="1231">
        <f t="shared" ca="1" si="111"/>
        <v>0</v>
      </c>
      <c r="AG56" s="1231">
        <f ca="1">OFFSET($CQ56,0,AG$7)</f>
        <v>0</v>
      </c>
      <c r="AH56" s="1231">
        <f ca="1">OFFSET($CQ56,0,AH$7)+OFFSET($CR56,0,AH$7)</f>
        <v>0</v>
      </c>
      <c r="AI56" s="1231">
        <f ca="1">OFFSET($CQ56,0,AI$7)+OFFSET($CR56,0,AI$7)+OFFSET($CS56,0,AI$7)</f>
        <v>0</v>
      </c>
      <c r="AJ56" s="1231">
        <f ca="1">OFFSET($CQ56,0,AJ$7)+OFFSET($CR56,0,AJ$7)+OFFSET($CS56,0,AJ$7)+OFFSET($CT56,0,AJ$7)</f>
        <v>0</v>
      </c>
      <c r="AK56" s="1231">
        <f ca="1">OFFSET($CQ56,0,AK$7)</f>
        <v>0</v>
      </c>
      <c r="AL56" s="1231">
        <f ca="1">OFFSET($CQ56,0,AL$7)+OFFSET($CR56,0,AL$7)</f>
        <v>0</v>
      </c>
      <c r="AM56" s="1231">
        <f ca="1">OFFSET($CQ56,0,AM$7)+OFFSET($CR56,0,AM$7)+OFFSET($CS56,0,AM$7)</f>
        <v>0</v>
      </c>
      <c r="AN56" s="1231">
        <f ca="1">OFFSET($CQ56,0,AN$7)+OFFSET($CR56,0,AN$7)+OFFSET($CS56,0,AN$7)+OFFSET($CT56,0,AN$7)</f>
        <v>0</v>
      </c>
      <c r="AO56" s="1231">
        <f ca="1">OFFSET($CQ56,0,AO$7)</f>
        <v>0</v>
      </c>
      <c r="AP56" s="1231">
        <f ca="1">OFFSET($CQ56,0,AP$7)+OFFSET($CR56,0,AP$7)</f>
        <v>0</v>
      </c>
      <c r="AQ56" s="1231">
        <f ca="1">OFFSET($CQ56,0,AQ$7)+OFFSET($CR56,0,AQ$7)+OFFSET($CS56,0,AQ$7)</f>
        <v>0</v>
      </c>
      <c r="AR56" s="1231">
        <f ca="1">OFFSET($CQ56,0,AR$7)+OFFSET($CR56,0,AR$7)+OFFSET($CS56,0,AR$7)+OFFSET($CT56,0,AR$7)</f>
        <v>0</v>
      </c>
      <c r="AS56" s="1231">
        <f ca="1">OFFSET($CQ56,0,AS$7)</f>
        <v>0</v>
      </c>
      <c r="AT56" s="1231">
        <f ca="1">OFFSET($CQ56,0,AT$7)+OFFSET($CR56,0,AT$7)</f>
        <v>0</v>
      </c>
      <c r="AU56" s="1231">
        <f ca="1">OFFSET($CQ56,0,AU$7)+OFFSET($CR56,0,AU$7)+OFFSET($CS56,0,AU$7)</f>
        <v>0</v>
      </c>
      <c r="AV56" s="1231">
        <f ca="1">OFFSET($CQ56,0,AV$7)+OFFSET($CR56,0,AV$7)+OFFSET($CS56,0,AV$7)+OFFSET($CT56,0,AV$7)</f>
        <v>0</v>
      </c>
      <c r="AW56" s="1231">
        <f ca="1">OFFSET($CQ56,0,AW$7)</f>
        <v>0</v>
      </c>
      <c r="AX56" s="1231">
        <f ca="1">OFFSET($CQ56,0,AX$7)+OFFSET($CR56,0,AX$7)</f>
        <v>0</v>
      </c>
      <c r="AY56" s="1231">
        <f ca="1">OFFSET($CQ56,0,AY$7)+OFFSET($CR56,0,AY$7)+OFFSET($CS56,0,AY$7)</f>
        <v>0</v>
      </c>
      <c r="AZ56" s="1231">
        <f ca="1">OFFSET($CQ56,0,AZ$7)+OFFSET($CR56,0,AZ$7)+OFFSET($CS56,0,AZ$7)+OFFSET($CT56,0,AZ$7)</f>
        <v>0</v>
      </c>
      <c r="BA56" s="1231">
        <f ca="1">OFFSET($CQ56,0,BA$7)</f>
        <v>0</v>
      </c>
      <c r="BB56" s="1231">
        <f ca="1">OFFSET($CQ56,0,BB$7)+OFFSET($CR56,0,BB$7)</f>
        <v>0</v>
      </c>
      <c r="BC56" s="1231">
        <f ca="1">OFFSET($CQ56,0,BC$7)+OFFSET($CR56,0,BC$7)+OFFSET($CS56,0,BC$7)</f>
        <v>0</v>
      </c>
      <c r="BD56" s="1231">
        <f ca="1">OFFSET($CQ56,0,BD$7)+OFFSET($CR56,0,BD$7)+OFFSET($CS56,0,BD$7)+OFFSET($CT56,0,BD$7)</f>
        <v>0</v>
      </c>
      <c r="BE56" s="1231">
        <f ca="1">OFFSET($CQ56,0,BE$7)</f>
        <v>0</v>
      </c>
      <c r="BF56" s="1231">
        <f ca="1">OFFSET($CQ56,0,BF$7)+OFFSET($CR56,0,BF$7)</f>
        <v>0</v>
      </c>
      <c r="BG56" s="1231">
        <f ca="1">OFFSET($CQ56,0,BG$7)+OFFSET($CR56,0,BG$7)+OFFSET($CS56,0,BG$7)</f>
        <v>0</v>
      </c>
      <c r="BH56" s="1231">
        <f ca="1">OFFSET($CQ56,0,BH$7)+OFFSET($CR56,0,BH$7)+OFFSET($CS56,0,BH$7)+OFFSET($CT56,0,BH$7)</f>
        <v>0</v>
      </c>
      <c r="BI56" s="1231">
        <f ca="1">OFFSET($CQ56,0,BI$7)</f>
        <v>0</v>
      </c>
      <c r="BJ56" s="1231">
        <f ca="1">OFFSET($CQ56,0,BJ$7)+OFFSET($CR56,0,BJ$7)</f>
        <v>0</v>
      </c>
      <c r="BK56" s="1231">
        <f ca="1">OFFSET($CQ56,0,BK$7)+OFFSET($CR56,0,BK$7)+OFFSET($CS56,0,BK$7)</f>
        <v>0</v>
      </c>
      <c r="BL56" s="1231">
        <f ca="1">OFFSET($CQ56,0,BL$7)+OFFSET($CR56,0,BL$7)+OFFSET($CS56,0,BL$7)+OFFSET($CT56,0,BL$7)</f>
        <v>0</v>
      </c>
      <c r="BM56" s="1231">
        <f ca="1">OFFSET($CQ56,0,BM$7)</f>
        <v>-9.1999999999999998E-2</v>
      </c>
      <c r="BN56" s="1231">
        <f ca="1">OFFSET($CQ56,0,BN$7)+OFFSET($CR56,0,BN$7)</f>
        <v>-0.16299999999999998</v>
      </c>
      <c r="BO56" s="1231">
        <f ca="1">OFFSET($CQ56,0,BO$7)+OFFSET($CR56,0,BO$7)+OFFSET($CS56,0,BO$7)</f>
        <v>0.28600000000000003</v>
      </c>
      <c r="BP56" s="1231">
        <f ca="1">OFFSET($CQ56,0,BP$7)+OFFSET($CR56,0,BP$7)+OFFSET($CS56,0,BP$7)+OFFSET($CT56,0,BP$7)</f>
        <v>1.29</v>
      </c>
      <c r="BQ56" s="1231">
        <f ca="1">OFFSET($CQ56,0,BQ$7)</f>
        <v>-1.319</v>
      </c>
      <c r="BR56" s="1231">
        <f ca="1">OFFSET($CQ56,0,BR$7)+OFFSET($CR56,0,BR$7)</f>
        <v>-0.94</v>
      </c>
      <c r="BS56" s="1231">
        <f ca="1">OFFSET($CQ56,0,BS$7)+OFFSET($CR56,0,BS$7)+OFFSET($CS56,0,BS$7)</f>
        <v>0.21799999999999997</v>
      </c>
      <c r="BT56" s="1231">
        <f ca="1">OFFSET($CQ56,0,BT$7)+OFFSET($CR56,0,BT$7)+OFFSET($CS56,0,BT$7)+OFFSET($CT56,0,BT$7)</f>
        <v>-26.707999999999998</v>
      </c>
      <c r="BU56" s="1231">
        <f ca="1">OFFSET($CQ56,0,BU$7)</f>
        <v>-3.9020000000000001</v>
      </c>
      <c r="BV56" s="1231">
        <f ca="1">OFFSET($CQ56,0,BV$7)+OFFSET($CR56,0,BV$7)</f>
        <v>-8.91</v>
      </c>
      <c r="BW56" s="1231">
        <f ca="1">OFFSET($CQ56,0,BW$7)+OFFSET($CR56,0,BW$7)+OFFSET($CS56,0,BW$7)</f>
        <v>-22.561999999999998</v>
      </c>
      <c r="BX56" s="1231">
        <f ca="1">OFFSET($CQ56,0,BX$7)+OFFSET($CR56,0,BX$7)+OFFSET($CS56,0,BX$7)+OFFSET($CT56,0,BX$7)</f>
        <v>-31.087999999999997</v>
      </c>
      <c r="BY56" s="1231">
        <f ca="1">OFFSET($CQ56,0,BY$7)</f>
        <v>-9.6560000000000006</v>
      </c>
      <c r="BZ56" s="1231">
        <f ca="1">OFFSET($CQ56,0,BZ$7)+OFFSET($CR56,0,BZ$7)</f>
        <v>-12.808</v>
      </c>
      <c r="CA56" s="1231">
        <f ca="1">OFFSET($CQ56,0,CA$7)+OFFSET($CR56,0,CA$7)+OFFSET($CS56,0,CA$7)</f>
        <v>-14.225999999999999</v>
      </c>
      <c r="CB56" s="1231">
        <f ca="1">OFFSET($CQ56,0,CB$7)+OFFSET($CR56,0,CB$7)+OFFSET($CS56,0,CB$7)+OFFSET($CT56,0,CB$7)</f>
        <v>-60.195999999999998</v>
      </c>
      <c r="CC56" s="1231">
        <f ca="1">OFFSET($CQ56,0,CC$7)</f>
        <v>-5.5780000000000003</v>
      </c>
      <c r="CD56" s="1231">
        <f ca="1">OFFSET($CQ56,0,CD$7)+OFFSET($CR56,0,CD$7)</f>
        <v>-8.5330000000000013</v>
      </c>
      <c r="CE56" s="1231">
        <f ca="1">OFFSET($CQ56,0,CE$7)+OFFSET($CR56,0,CE$7)+OFFSET($CS56,0,CE$7)</f>
        <v>-3.8420000000000014</v>
      </c>
      <c r="CF56" s="1231">
        <f ca="1">OFFSET($CQ56,0,CF$7)+OFFSET($CR56,0,CF$7)+OFFSET($CS56,0,CF$7)+OFFSET($CT56,0,CF$7)</f>
        <v>-53.256</v>
      </c>
      <c r="CG56" s="1231">
        <f ca="1">OFFSET($CQ56,0,CG$7)</f>
        <v>-2.2970000000000002</v>
      </c>
      <c r="CH56" s="1231">
        <f ca="1">OFFSET($CQ56,0,CH$7)+OFFSET($CR56,0,CH$7)</f>
        <v>-22.231000000000002</v>
      </c>
      <c r="CI56" s="1231">
        <f ca="1">OFFSET($CQ56,0,CI$7)+OFFSET($CR56,0,CI$7)+OFFSET($CS56,0,CI$7)</f>
        <v>-41.198999999999998</v>
      </c>
      <c r="CJ56" s="1231">
        <f ca="1">OFFSET($CQ56,0,CJ$7)+OFFSET($CR56,0,CJ$7)+OFFSET($CS56,0,CJ$7)+OFFSET($CT56,0,CJ$7)</f>
        <v>-56.843999999999994</v>
      </c>
      <c r="CO56" s="1165"/>
      <c r="CP56" s="1165"/>
      <c r="DK56" s="1232"/>
      <c r="DL56" s="1232"/>
      <c r="DM56" s="1232"/>
      <c r="DN56" s="1232"/>
      <c r="DO56" s="1232"/>
      <c r="DP56" s="1232"/>
      <c r="DQ56" s="1232"/>
      <c r="DR56" s="1232"/>
      <c r="DS56" s="1232"/>
      <c r="DT56" s="1232"/>
      <c r="DU56" s="1232"/>
      <c r="DV56" s="1232"/>
      <c r="DW56" s="1232">
        <f>-INDEX('Basic Data TR'!$A$1:$AMJ$9673,MATCH($A56,'Basic Data TR'!$A$1:$A$9673,0),MATCH(DW$6,'Basic Data TR'!$A$1:$AMJ$1,0))</f>
        <v>-9.1999999999999998E-2</v>
      </c>
      <c r="DX56" s="1232">
        <f>-INDEX('Basic Data TR'!$A$1:$AMJ$9673,MATCH($A56,'Basic Data TR'!$A$1:$A$9673,0),MATCH(DX$6,'Basic Data TR'!$A$1:$AMJ$1,0))</f>
        <v>-7.0999999999999994E-2</v>
      </c>
      <c r="DY56" s="1232">
        <f>-INDEX('Basic Data TR'!$A$1:$AMJ$9673,MATCH($A56,'Basic Data TR'!$A$1:$A$9673,0),MATCH(DY$6,'Basic Data TR'!$A$1:$AMJ$1,0))</f>
        <v>0.44900000000000001</v>
      </c>
      <c r="DZ56" s="1232">
        <f>-INDEX('Basic Data TR'!$A$1:$AMJ$9673,MATCH($A56,'Basic Data TR'!$A$1:$A$9673,0),MATCH(DZ$6,'Basic Data TR'!$A$1:$AMJ$1,0))</f>
        <v>1.004</v>
      </c>
      <c r="EA56" s="1232">
        <f>-INDEX('Basic Data TR'!$A$1:$AMJ$9673,MATCH($A56,'Basic Data TR'!$A$1:$A$9673,0),MATCH(EA$6,'Basic Data TR'!$A$1:$AMJ$1,0))</f>
        <v>-1.319</v>
      </c>
      <c r="EB56" s="1232">
        <f>-INDEX('Basic Data TR'!$A$1:$AMJ$9673,MATCH($A56,'Basic Data TR'!$A$1:$A$9673,0),MATCH(EB$6,'Basic Data TR'!$A$1:$AMJ$1,0))</f>
        <v>0.379</v>
      </c>
      <c r="EC56" s="1232">
        <f>-INDEX('Basic Data TR'!$A$1:$AMJ$9673,MATCH($A56,'Basic Data TR'!$A$1:$A$9673,0),MATCH(EC$6,'Basic Data TR'!$A$1:$AMJ$1,0))</f>
        <v>1.1579999999999999</v>
      </c>
      <c r="ED56" s="1232">
        <f>-INDEX('Basic Data TR'!$A$1:$AMJ$9673,MATCH($A56,'Basic Data TR'!$A$1:$A$9673,0),MATCH(ED$6,'Basic Data TR'!$A$1:$AMJ$1,0))</f>
        <v>-26.925999999999998</v>
      </c>
      <c r="EE56" s="1232">
        <f>-INDEX('Basic Data TR'!$A$1:$AMJ$9673,MATCH($A56,'Basic Data TR'!$A$1:$A$9673,0),MATCH(EE$6,'Basic Data TR'!$A$1:$AMJ$1,0))</f>
        <v>-3.9020000000000001</v>
      </c>
      <c r="EF56" s="1232">
        <f>-INDEX('Basic Data TR'!$A$1:$AMJ$9673,MATCH($A56,'Basic Data TR'!$A$1:$A$9673,0),MATCH(EF$6,'Basic Data TR'!$A$1:$AMJ$1,0))</f>
        <v>-5.008</v>
      </c>
      <c r="EG56" s="1232">
        <f>-INDEX('Basic Data TR'!$A$1:$AMJ$9673,MATCH($A56,'Basic Data TR'!$A$1:$A$9673,0),MATCH(EG$6,'Basic Data TR'!$A$1:$AMJ$1,0))</f>
        <v>-13.651999999999999</v>
      </c>
      <c r="EH56" s="1232">
        <f>-INDEX('Basic Data TR'!$A$1:$AMJ$9673,MATCH($A56,'Basic Data TR'!$A$1:$A$9673,0),MATCH(EH$6,'Basic Data TR'!$A$1:$AMJ$1,0))</f>
        <v>-8.5259999999999998</v>
      </c>
      <c r="EI56" s="1232">
        <f>-INDEX('Basic Data TR'!$A$1:$AMJ$9673,MATCH($A56,'Basic Data TR'!$A$1:$A$9673,0),MATCH(EI$6,'Basic Data TR'!$A$1:$AMJ$1,0))</f>
        <v>-9.6560000000000006</v>
      </c>
      <c r="EJ56" s="1232">
        <f>-INDEX('Basic Data TR'!$A$1:$AMJ$9673,MATCH($A56,'Basic Data TR'!$A$1:$A$9673,0),MATCH(EJ$6,'Basic Data TR'!$A$1:$AMJ$1,0))</f>
        <v>-3.1520000000000001</v>
      </c>
      <c r="EK56" s="1232">
        <f>-INDEX('Basic Data TR'!$A$1:$AMJ$9673,MATCH($A56,'Basic Data TR'!$A$1:$A$9673,0),MATCH(EK$6,'Basic Data TR'!$A$1:$AMJ$1,0))</f>
        <v>-1.4179999999999999</v>
      </c>
      <c r="EL56" s="1232">
        <f>-INDEX('Basic Data TR'!$A$1:$AMJ$9673,MATCH($A56,'Basic Data TR'!$A$1:$A$9673,0),MATCH(EL$6,'Basic Data TR'!$A$1:$AMJ$1,0))</f>
        <v>-45.97</v>
      </c>
      <c r="EM56" s="1232">
        <f>-INDEX('Basic Data TR'!$A$1:$AMJ$9673,MATCH($A56,'Basic Data TR'!$A$1:$A$9673,0),MATCH(EM$6,'Basic Data TR'!$A$1:$AMJ$1,0))</f>
        <v>-5.5780000000000003</v>
      </c>
      <c r="EN56" s="1232">
        <f>-INDEX('Basic Data TR'!$A$1:$AMJ$9673,MATCH($A56,'Basic Data TR'!$A$1:$A$9673,0),MATCH(EN$6,'Basic Data TR'!$A$1:$AMJ$1,0))</f>
        <v>-2.9550000000000001</v>
      </c>
      <c r="EO56" s="1232">
        <f>-INDEX('Basic Data TR'!$A$1:$AMJ$9673,MATCH($A56,'Basic Data TR'!$A$1:$A$9673,0),MATCH(EO$6,'Basic Data TR'!$A$1:$AMJ$1,0))</f>
        <v>4.6909999999999998</v>
      </c>
      <c r="EP56" s="1232">
        <f>-INDEX('Basic Data TR'!$A$1:$AMJ$9673,MATCH($A56,'Basic Data TR'!$A$1:$A$9673,0),MATCH(EP$6,'Basic Data TR'!$A$1:$AMJ$1,0))</f>
        <v>-49.414000000000001</v>
      </c>
      <c r="EQ56" s="1232">
        <f>-INDEX('Basic Data TR'!$A$1:$AMJ$9673,MATCH($A56,'Basic Data TR'!$A$1:$A$9673,0),MATCH(EQ$6,'Basic Data TR'!$A$1:$AMJ$1,0))</f>
        <v>-2.2970000000000002</v>
      </c>
      <c r="ER56" s="1232">
        <f>-INDEX('Basic Data TR'!$A$1:$AMJ$9673,MATCH($A56,'Basic Data TR'!$A$1:$A$9673,0),MATCH(ER$6,'Basic Data TR'!$A$1:$AMJ$1,0))</f>
        <v>-19.934000000000001</v>
      </c>
      <c r="ES56" s="1232">
        <f>-INDEX('Basic Data TR'!$A$1:$AMJ$9673,MATCH($A56,'Basic Data TR'!$A$1:$A$9673,0),MATCH(ES$6,'Basic Data TR'!$A$1:$AMJ$1,0))</f>
        <v>-18.968</v>
      </c>
      <c r="ET56" s="1232">
        <f>-INDEX('Basic Data TR'!$A$1:$AMJ$9673,MATCH($A56,'Basic Data TR'!$A$1:$A$9673,0),MATCH(ET$6,'Basic Data TR'!$A$1:$AMJ$1,0))</f>
        <v>-15.645</v>
      </c>
    </row>
    <row r="57" spans="1:162" s="1231" customFormat="1">
      <c r="A57" s="1229"/>
      <c r="B57" s="1230" t="s">
        <v>2</v>
      </c>
      <c r="M57" s="1231">
        <f t="shared" ca="1" si="110"/>
        <v>0</v>
      </c>
      <c r="N57" s="1231">
        <f t="shared" ca="1" si="110"/>
        <v>0</v>
      </c>
      <c r="O57" s="1231">
        <f t="shared" ca="1" si="110"/>
        <v>0</v>
      </c>
      <c r="P57" s="1231">
        <f t="shared" ca="1" si="110"/>
        <v>0</v>
      </c>
      <c r="Q57" s="1231">
        <f t="shared" ca="1" si="110"/>
        <v>0</v>
      </c>
      <c r="U57" s="1231">
        <f t="shared" ca="1" si="110"/>
        <v>0</v>
      </c>
      <c r="V57" s="1231">
        <f ca="1">OFFSET($CQ57,0,V$7)+OFFSET($CR57,0,V$7)+OFFSET($CS57,0,V$7)+OFFSET($CT57,0,V$7)</f>
        <v>0</v>
      </c>
      <c r="W57" s="1231">
        <f t="shared" ca="1" si="111"/>
        <v>0</v>
      </c>
      <c r="X57" s="1231">
        <f t="shared" ca="1" si="111"/>
        <v>0</v>
      </c>
      <c r="Y57" s="1231">
        <f t="shared" ca="1" si="111"/>
        <v>0</v>
      </c>
      <c r="Z57" s="1231">
        <f t="shared" ca="1" si="111"/>
        <v>0</v>
      </c>
      <c r="AA57" s="1231">
        <f t="shared" ca="1" si="111"/>
        <v>0</v>
      </c>
      <c r="AB57" s="1231">
        <f t="shared" ca="1" si="111"/>
        <v>0</v>
      </c>
      <c r="AC57" s="1231">
        <f t="shared" ca="1" si="111"/>
        <v>0</v>
      </c>
      <c r="AG57" s="1231">
        <f ca="1">OFFSET($CQ57,0,AG$7)</f>
        <v>0</v>
      </c>
      <c r="AH57" s="1231">
        <f ca="1">OFFSET($CQ57,0,AH$7)+OFFSET($CR57,0,AH$7)</f>
        <v>0</v>
      </c>
      <c r="AI57" s="1231">
        <f ca="1">OFFSET($CQ57,0,AI$7)+OFFSET($CR57,0,AI$7)+OFFSET($CS57,0,AI$7)</f>
        <v>0</v>
      </c>
      <c r="AJ57" s="1231">
        <f ca="1">OFFSET($CQ57,0,AJ$7)+OFFSET($CR57,0,AJ$7)+OFFSET($CS57,0,AJ$7)+OFFSET($CT57,0,AJ$7)</f>
        <v>0</v>
      </c>
      <c r="AK57" s="1231">
        <f ca="1">OFFSET($CQ57,0,AK$7)</f>
        <v>0</v>
      </c>
      <c r="AL57" s="1231">
        <f ca="1">OFFSET($CQ57,0,AL$7)+OFFSET($CR57,0,AL$7)</f>
        <v>0</v>
      </c>
      <c r="AM57" s="1231">
        <f ca="1">OFFSET($CQ57,0,AM$7)+OFFSET($CR57,0,AM$7)+OFFSET($CS57,0,AM$7)</f>
        <v>0</v>
      </c>
      <c r="AN57" s="1231">
        <f ca="1">OFFSET($CQ57,0,AN$7)+OFFSET($CR57,0,AN$7)+OFFSET($CS57,0,AN$7)+OFFSET($CT57,0,AN$7)</f>
        <v>0</v>
      </c>
      <c r="AO57" s="1231">
        <f ca="1">OFFSET($CQ57,0,AO$7)</f>
        <v>0</v>
      </c>
      <c r="AP57" s="1231">
        <f ca="1">OFFSET($CQ57,0,AP$7)+OFFSET($CR57,0,AP$7)</f>
        <v>0</v>
      </c>
      <c r="AQ57" s="1231">
        <f ca="1">OFFSET($CQ57,0,AQ$7)+OFFSET($CR57,0,AQ$7)+OFFSET($CS57,0,AQ$7)</f>
        <v>0</v>
      </c>
      <c r="AR57" s="1231">
        <f ca="1">OFFSET($CQ57,0,AR$7)+OFFSET($CR57,0,AR$7)+OFFSET($CS57,0,AR$7)+OFFSET($CT57,0,AR$7)</f>
        <v>0</v>
      </c>
      <c r="AS57" s="1231">
        <f ca="1">OFFSET($CQ57,0,AS$7)</f>
        <v>0</v>
      </c>
      <c r="AT57" s="1231">
        <f ca="1">OFFSET($CQ57,0,AT$7)+OFFSET($CR57,0,AT$7)</f>
        <v>0</v>
      </c>
      <c r="AU57" s="1231">
        <f ca="1">OFFSET($CQ57,0,AU$7)+OFFSET($CR57,0,AU$7)+OFFSET($CS57,0,AU$7)</f>
        <v>0</v>
      </c>
      <c r="AV57" s="1231">
        <f ca="1">OFFSET($CQ57,0,AV$7)+OFFSET($CR57,0,AV$7)+OFFSET($CS57,0,AV$7)+OFFSET($CT57,0,AV$7)</f>
        <v>0</v>
      </c>
      <c r="AW57" s="1231">
        <f ca="1">OFFSET($CQ57,0,AW$7)</f>
        <v>0</v>
      </c>
      <c r="AX57" s="1231">
        <f ca="1">OFFSET($CQ57,0,AX$7)+OFFSET($CR57,0,AX$7)</f>
        <v>0</v>
      </c>
      <c r="AY57" s="1231">
        <f ca="1">OFFSET($CQ57,0,AY$7)+OFFSET($CR57,0,AY$7)+OFFSET($CS57,0,AY$7)</f>
        <v>0</v>
      </c>
      <c r="AZ57" s="1231">
        <f ca="1">OFFSET($CQ57,0,AZ$7)+OFFSET($CR57,0,AZ$7)+OFFSET($CS57,0,AZ$7)+OFFSET($CT57,0,AZ$7)</f>
        <v>0</v>
      </c>
      <c r="BA57" s="1231">
        <f ca="1">OFFSET($CQ57,0,BA$7)</f>
        <v>0</v>
      </c>
      <c r="BB57" s="1231">
        <f ca="1">OFFSET($CQ57,0,BB$7)+OFFSET($CR57,0,BB$7)</f>
        <v>0</v>
      </c>
      <c r="BC57" s="1231">
        <f ca="1">OFFSET($CQ57,0,BC$7)+OFFSET($CR57,0,BC$7)+OFFSET($CS57,0,BC$7)</f>
        <v>0</v>
      </c>
      <c r="BD57" s="1231">
        <f ca="1">OFFSET($CQ57,0,BD$7)+OFFSET($CR57,0,BD$7)+OFFSET($CS57,0,BD$7)+OFFSET($CT57,0,BD$7)</f>
        <v>0</v>
      </c>
      <c r="BE57" s="1231">
        <f ca="1">OFFSET($CQ57,0,BE$7)</f>
        <v>0</v>
      </c>
      <c r="BF57" s="1231">
        <f ca="1">OFFSET($CQ57,0,BF$7)+OFFSET($CR57,0,BF$7)</f>
        <v>0</v>
      </c>
      <c r="BG57" s="1231">
        <f ca="1">OFFSET($CQ57,0,BG$7)+OFFSET($CR57,0,BG$7)+OFFSET($CS57,0,BG$7)</f>
        <v>0</v>
      </c>
      <c r="BH57" s="1231">
        <f ca="1">OFFSET($CQ57,0,BH$7)+OFFSET($CR57,0,BH$7)+OFFSET($CS57,0,BH$7)+OFFSET($CT57,0,BH$7)</f>
        <v>0</v>
      </c>
      <c r="BI57" s="1231">
        <f ca="1">OFFSET($CQ57,0,BI$7)</f>
        <v>0</v>
      </c>
      <c r="BJ57" s="1231">
        <f ca="1">OFFSET($CQ57,0,BJ$7)+OFFSET($CR57,0,BJ$7)</f>
        <v>0</v>
      </c>
      <c r="BK57" s="1231">
        <f ca="1">OFFSET($CQ57,0,BK$7)+OFFSET($CR57,0,BK$7)+OFFSET($CS57,0,BK$7)</f>
        <v>0</v>
      </c>
      <c r="BL57" s="1231">
        <f ca="1">OFFSET($CQ57,0,BL$7)+OFFSET($CR57,0,BL$7)+OFFSET($CS57,0,BL$7)+OFFSET($CT57,0,BL$7)</f>
        <v>0</v>
      </c>
      <c r="BM57" s="1231">
        <f ca="1">OFFSET($CQ57,0,BM$7)</f>
        <v>0</v>
      </c>
      <c r="BN57" s="1231">
        <f ca="1">OFFSET($CQ57,0,BN$7)+OFFSET($CR57,0,BN$7)</f>
        <v>0</v>
      </c>
      <c r="BO57" s="1231">
        <f ca="1">OFFSET($CQ57,0,BO$7)+OFFSET($CR57,0,BO$7)+OFFSET($CS57,0,BO$7)</f>
        <v>0</v>
      </c>
      <c r="BP57" s="1231">
        <f ca="1">OFFSET($CQ57,0,BP$7)+OFFSET($CR57,0,BP$7)+OFFSET($CS57,0,BP$7)+OFFSET($CT57,0,BP$7)</f>
        <v>0</v>
      </c>
      <c r="BQ57" s="1231">
        <f ca="1">OFFSET($CQ57,0,BQ$7)</f>
        <v>0</v>
      </c>
      <c r="BR57" s="1231">
        <f ca="1">OFFSET($CQ57,0,BR$7)+OFFSET($CR57,0,BR$7)</f>
        <v>0</v>
      </c>
      <c r="BS57" s="1231">
        <f ca="1">OFFSET($CQ57,0,BS$7)+OFFSET($CR57,0,BS$7)+OFFSET($CS57,0,BS$7)</f>
        <v>0</v>
      </c>
      <c r="BT57" s="1231">
        <f ca="1">OFFSET($CQ57,0,BT$7)+OFFSET($CR57,0,BT$7)+OFFSET($CS57,0,BT$7)+OFFSET($CT57,0,BT$7)</f>
        <v>0</v>
      </c>
      <c r="BU57" s="1231">
        <f ca="1">OFFSET($CQ57,0,BU$7)</f>
        <v>0</v>
      </c>
      <c r="BV57" s="1231">
        <f ca="1">OFFSET($CQ57,0,BV$7)+OFFSET($CR57,0,BV$7)</f>
        <v>0</v>
      </c>
      <c r="BW57" s="1231">
        <f ca="1">OFFSET($CQ57,0,BW$7)+OFFSET($CR57,0,BW$7)+OFFSET($CS57,0,BW$7)</f>
        <v>0</v>
      </c>
      <c r="BX57" s="1231">
        <f ca="1">OFFSET($CQ57,0,BX$7)+OFFSET($CR57,0,BX$7)+OFFSET($CS57,0,BX$7)+OFFSET($CT57,0,BX$7)</f>
        <v>0</v>
      </c>
      <c r="BY57" s="1231">
        <f ca="1">OFFSET($CQ57,0,BY$7)</f>
        <v>0</v>
      </c>
      <c r="BZ57" s="1231">
        <f ca="1">OFFSET($CQ57,0,BZ$7)+OFFSET($CR57,0,BZ$7)</f>
        <v>0</v>
      </c>
      <c r="CA57" s="1231">
        <f ca="1">OFFSET($CQ57,0,CA$7)+OFFSET($CR57,0,CA$7)+OFFSET($CS57,0,CA$7)</f>
        <v>0</v>
      </c>
      <c r="CB57" s="1231">
        <f ca="1">OFFSET($CQ57,0,CB$7)+OFFSET($CR57,0,CB$7)+OFFSET($CS57,0,CB$7)+OFFSET($CT57,0,CB$7)</f>
        <v>0</v>
      </c>
      <c r="CC57" s="1231">
        <f ca="1">OFFSET($CQ57,0,CC$7)</f>
        <v>0</v>
      </c>
      <c r="CD57" s="1231">
        <f ca="1">OFFSET($CQ57,0,CD$7)+OFFSET($CR57,0,CD$7)</f>
        <v>0</v>
      </c>
      <c r="CE57" s="1231">
        <f ca="1">OFFSET($CQ57,0,CE$7)+OFFSET($CR57,0,CE$7)+OFFSET($CS57,0,CE$7)</f>
        <v>0</v>
      </c>
      <c r="CF57" s="1231">
        <f ca="1">OFFSET($CQ57,0,CF$7)+OFFSET($CR57,0,CF$7)+OFFSET($CS57,0,CF$7)+OFFSET($CT57,0,CF$7)</f>
        <v>0</v>
      </c>
      <c r="CG57" s="1231">
        <f ca="1">OFFSET($CQ57,0,CG$7)</f>
        <v>0</v>
      </c>
      <c r="CH57" s="1231">
        <f ca="1">OFFSET($CQ57,0,CH$7)+OFFSET($CR57,0,CH$7)</f>
        <v>0</v>
      </c>
      <c r="CI57" s="1231">
        <f ca="1">OFFSET($CQ57,0,CI$7)+OFFSET($CR57,0,CI$7)+OFFSET($CS57,0,CI$7)</f>
        <v>0</v>
      </c>
      <c r="CJ57" s="1231">
        <f ca="1">OFFSET($CQ57,0,CJ$7)+OFFSET($CR57,0,CJ$7)+OFFSET($CS57,0,CJ$7)+OFFSET($CT57,0,CJ$7)</f>
        <v>0</v>
      </c>
      <c r="CO57" s="1165"/>
      <c r="CP57" s="1165"/>
    </row>
    <row r="58" spans="1:162" s="1231" customFormat="1">
      <c r="A58" s="1229"/>
      <c r="B58" s="1230"/>
      <c r="CO58" s="1165"/>
      <c r="CP58" s="1165"/>
      <c r="CQ58" s="1236"/>
      <c r="CR58" s="1236"/>
      <c r="CS58" s="1236"/>
      <c r="CT58" s="1236"/>
      <c r="CU58" s="1236"/>
      <c r="CV58" s="1236"/>
      <c r="CW58" s="1236"/>
      <c r="CX58" s="1236"/>
      <c r="CY58" s="1236"/>
      <c r="CZ58" s="1236"/>
      <c r="DA58" s="1236"/>
      <c r="DB58" s="1236"/>
      <c r="DC58" s="1236"/>
      <c r="DD58" s="1236"/>
      <c r="DE58" s="1236"/>
      <c r="DF58" s="1236"/>
      <c r="DG58" s="1236"/>
      <c r="DH58" s="1236"/>
      <c r="DI58" s="1236"/>
      <c r="DJ58" s="1236"/>
      <c r="DK58" s="1236"/>
      <c r="DL58" s="1236"/>
      <c r="DM58" s="1236"/>
      <c r="DN58" s="1236"/>
      <c r="DO58" s="1236"/>
      <c r="DP58" s="1236"/>
      <c r="DQ58" s="1236"/>
      <c r="DR58" s="1236"/>
      <c r="DS58" s="1236"/>
      <c r="DT58" s="1236"/>
      <c r="DU58" s="1236"/>
      <c r="DV58" s="1236"/>
      <c r="DW58" s="1236"/>
      <c r="DX58" s="1236"/>
      <c r="DY58" s="1236"/>
      <c r="DZ58" s="1236"/>
      <c r="EA58" s="1236"/>
      <c r="EB58" s="1236"/>
      <c r="EC58" s="1236"/>
      <c r="ED58" s="1236"/>
      <c r="EE58" s="1236"/>
      <c r="EF58" s="1236"/>
      <c r="EG58" s="1236"/>
      <c r="EH58" s="1236"/>
      <c r="EI58" s="1236"/>
      <c r="EJ58" s="1236"/>
      <c r="EK58" s="1236"/>
      <c r="EL58" s="1236"/>
      <c r="EM58" s="1236"/>
      <c r="EN58" s="1236"/>
      <c r="EO58" s="1236"/>
      <c r="EP58" s="1236"/>
      <c r="EQ58" s="1236"/>
      <c r="ER58" s="1236"/>
      <c r="ES58" s="1236"/>
      <c r="ET58" s="1236"/>
      <c r="EU58" s="1236"/>
      <c r="EV58" s="1236"/>
      <c r="EW58" s="1236"/>
      <c r="EX58" s="1236"/>
      <c r="EY58" s="1236"/>
      <c r="EZ58" s="1236"/>
      <c r="FA58" s="1236"/>
      <c r="FB58" s="1236"/>
      <c r="FC58" s="1236"/>
      <c r="FD58" s="1236"/>
      <c r="FE58" s="1236"/>
      <c r="FF58" s="1236"/>
    </row>
    <row r="59" spans="1:162">
      <c r="A59" s="1224"/>
      <c r="B59" s="1237" t="s">
        <v>118</v>
      </c>
      <c r="AG59" s="1236">
        <f ca="1">OFFSET($CQ59,0,AG$7)</f>
        <v>0</v>
      </c>
      <c r="AH59" s="1236">
        <f ca="1">OFFSET($CQ59,0,AH$7)+OFFSET($CR59,0,AH$7)</f>
        <v>0</v>
      </c>
      <c r="AI59" s="1236">
        <f ca="1">OFFSET($CQ59,0,AI$7)+OFFSET($CR59,0,AI$7)+OFFSET($CS59,0,AI$7)</f>
        <v>0</v>
      </c>
      <c r="AJ59" s="1236">
        <f ca="1">OFFSET($CQ59,0,AJ$7)+OFFSET($CR59,0,AJ$7)+OFFSET($CS59,0,AJ$7)+OFFSET($CT59,0,AJ$7)</f>
        <v>0</v>
      </c>
      <c r="AK59" s="1236">
        <f ca="1">OFFSET($CQ59,0,AK$7)</f>
        <v>0</v>
      </c>
      <c r="AL59" s="1236">
        <f ca="1">OFFSET($CQ59,0,AL$7)+OFFSET($CR59,0,AL$7)</f>
        <v>0</v>
      </c>
      <c r="AM59" s="1236">
        <f ca="1">OFFSET($CQ59,0,AM$7)+OFFSET($CR59,0,AM$7)+OFFSET($CS59,0,AM$7)</f>
        <v>0</v>
      </c>
      <c r="AN59" s="1236">
        <f ca="1">OFFSET($CQ59,0,AN$7)+OFFSET($CR59,0,AN$7)+OFFSET($CS59,0,AN$7)+OFFSET($CT59,0,AN$7)</f>
        <v>0</v>
      </c>
      <c r="AO59" s="1236">
        <f ca="1">OFFSET($CQ59,0,AO$7)</f>
        <v>0</v>
      </c>
      <c r="AP59" s="1236">
        <f ca="1">OFFSET($CQ59,0,AP$7)+OFFSET($CR59,0,AP$7)</f>
        <v>0</v>
      </c>
      <c r="AQ59" s="1236">
        <f ca="1">OFFSET($CQ59,0,AQ$7)+OFFSET($CR59,0,AQ$7)+OFFSET($CS59,0,AQ$7)</f>
        <v>0</v>
      </c>
      <c r="AR59" s="1236">
        <f ca="1">OFFSET($CQ59,0,AR$7)+OFFSET($CR59,0,AR$7)+OFFSET($CS59,0,AR$7)+OFFSET($CT59,0,AR$7)</f>
        <v>0</v>
      </c>
      <c r="AS59" s="1236">
        <f ca="1">OFFSET($CQ59,0,AS$7)</f>
        <v>0</v>
      </c>
      <c r="AT59" s="1236">
        <f ca="1">OFFSET($CQ59,0,AT$7)+OFFSET($CR59,0,AT$7)</f>
        <v>0</v>
      </c>
      <c r="AU59" s="1236">
        <f ca="1">OFFSET($CQ59,0,AU$7)+OFFSET($CR59,0,AU$7)+OFFSET($CS59,0,AU$7)</f>
        <v>0</v>
      </c>
      <c r="AV59" s="1236">
        <f ca="1">OFFSET($CQ59,0,AV$7)+OFFSET($CR59,0,AV$7)+OFFSET($CS59,0,AV$7)+OFFSET($CT59,0,AV$7)</f>
        <v>0</v>
      </c>
      <c r="AW59" s="1236">
        <f ca="1">OFFSET($CQ59,0,AW$7)</f>
        <v>0</v>
      </c>
      <c r="AX59" s="1236">
        <f ca="1">OFFSET($CQ59,0,AX$7)+OFFSET($CR59,0,AX$7)</f>
        <v>0</v>
      </c>
      <c r="AY59" s="1236">
        <f ca="1">OFFSET($CQ59,0,AY$7)+OFFSET($CR59,0,AY$7)+OFFSET($CS59,0,AY$7)</f>
        <v>0</v>
      </c>
      <c r="AZ59" s="1236">
        <f ca="1">OFFSET($CQ59,0,AZ$7)+OFFSET($CR59,0,AZ$7)+OFFSET($CS59,0,AZ$7)+OFFSET($CT59,0,AZ$7)</f>
        <v>0</v>
      </c>
      <c r="BA59" s="1236">
        <f ca="1">OFFSET($CQ59,0,BA$7)</f>
        <v>0</v>
      </c>
      <c r="BB59" s="1236">
        <f ca="1">OFFSET($CQ59,0,BB$7)+OFFSET($CR59,0,BB$7)</f>
        <v>0</v>
      </c>
      <c r="BC59" s="1236">
        <f ca="1">OFFSET($CQ59,0,BC$7)+OFFSET($CR59,0,BC$7)+OFFSET($CS59,0,BC$7)</f>
        <v>0</v>
      </c>
      <c r="BD59" s="1236">
        <f ca="1">OFFSET($CQ59,0,BD$7)+OFFSET($CR59,0,BD$7)+OFFSET($CS59,0,BD$7)+OFFSET($CT59,0,BD$7)</f>
        <v>0</v>
      </c>
      <c r="BE59" s="1236">
        <f ca="1">OFFSET($CQ59,0,BE$7)</f>
        <v>0</v>
      </c>
      <c r="BF59" s="1236">
        <f ca="1">OFFSET($CQ59,0,BF$7)+OFFSET($CR59,0,BF$7)</f>
        <v>0</v>
      </c>
      <c r="BG59" s="1236">
        <f ca="1">OFFSET($CQ59,0,BG$7)+OFFSET($CR59,0,BG$7)+OFFSET($CS59,0,BG$7)</f>
        <v>0</v>
      </c>
      <c r="BH59" s="1236">
        <f ca="1">OFFSET($CQ59,0,BH$7)+OFFSET($CR59,0,BH$7)+OFFSET($CS59,0,BH$7)+OFFSET($CT59,0,BH$7)</f>
        <v>0</v>
      </c>
      <c r="BI59" s="1236">
        <f ca="1">OFFSET($CQ59,0,BI$7)</f>
        <v>0</v>
      </c>
      <c r="BJ59" s="1236">
        <f ca="1">OFFSET($CQ59,0,BJ$7)+OFFSET($CR59,0,BJ$7)</f>
        <v>0</v>
      </c>
      <c r="BK59" s="1236">
        <f ca="1">OFFSET($CQ59,0,BK$7)+OFFSET($CR59,0,BK$7)+OFFSET($CS59,0,BK$7)</f>
        <v>0</v>
      </c>
      <c r="BL59" s="1236">
        <f ca="1">OFFSET($CQ59,0,BL$7)+OFFSET($CR59,0,BL$7)+OFFSET($CS59,0,BL$7)+OFFSET($CT59,0,BL$7)</f>
        <v>0</v>
      </c>
      <c r="BM59" s="1236">
        <f ca="1">OFFSET($CQ59,0,BM$7)</f>
        <v>0</v>
      </c>
      <c r="BN59" s="1236">
        <f ca="1">OFFSET($CQ59,0,BN$7)+OFFSET($CR59,0,BN$7)</f>
        <v>0</v>
      </c>
      <c r="BO59" s="1236">
        <f ca="1">OFFSET($CQ59,0,BO$7)+OFFSET($CR59,0,BO$7)+OFFSET($CS59,0,BO$7)</f>
        <v>0</v>
      </c>
      <c r="BP59" s="1236">
        <f ca="1">OFFSET($CQ59,0,BP$7)+OFFSET($CR59,0,BP$7)+OFFSET($CS59,0,BP$7)+OFFSET($CT59,0,BP$7)</f>
        <v>0</v>
      </c>
      <c r="BQ59" s="1236">
        <f ca="1">OFFSET($CQ59,0,BQ$7)</f>
        <v>0</v>
      </c>
      <c r="BR59" s="1236">
        <f ca="1">OFFSET($CQ59,0,BR$7)+OFFSET($CR59,0,BR$7)</f>
        <v>0</v>
      </c>
      <c r="BS59" s="1236">
        <f ca="1">OFFSET($CQ59,0,BS$7)+OFFSET($CR59,0,BS$7)+OFFSET($CS59,0,BS$7)</f>
        <v>0</v>
      </c>
      <c r="BT59" s="1236">
        <f ca="1">OFFSET($CQ59,0,BT$7)+OFFSET($CR59,0,BT$7)+OFFSET($CS59,0,BT$7)+OFFSET($CT59,0,BT$7)</f>
        <v>0</v>
      </c>
      <c r="BU59" s="1236">
        <f ca="1">OFFSET($CQ59,0,BU$7)</f>
        <v>0</v>
      </c>
      <c r="BV59" s="1236">
        <f ca="1">OFFSET($CQ59,0,BV$7)+OFFSET($CR59,0,BV$7)</f>
        <v>0</v>
      </c>
      <c r="BW59" s="1236">
        <f ca="1">OFFSET($CQ59,0,BW$7)+OFFSET($CR59,0,BW$7)+OFFSET($CS59,0,BW$7)</f>
        <v>0</v>
      </c>
      <c r="BX59" s="1236">
        <f ca="1">OFFSET($CQ59,0,BX$7)+OFFSET($CR59,0,BX$7)+OFFSET($CS59,0,BX$7)+OFFSET($CT59,0,BX$7)</f>
        <v>0</v>
      </c>
      <c r="BY59" s="1236">
        <f ca="1">OFFSET($CQ59,0,BY$7)</f>
        <v>0</v>
      </c>
      <c r="BZ59" s="1236">
        <f ca="1">OFFSET($CQ59,0,BZ$7)+OFFSET($CR59,0,BZ$7)</f>
        <v>0</v>
      </c>
      <c r="CA59" s="1236">
        <f ca="1">OFFSET($CQ59,0,CA$7)+OFFSET($CR59,0,CA$7)+OFFSET($CS59,0,CA$7)</f>
        <v>0</v>
      </c>
      <c r="CB59" s="1236">
        <f ca="1">OFFSET($CQ59,0,CB$7)+OFFSET($CR59,0,CB$7)+OFFSET($CS59,0,CB$7)+OFFSET($CT59,0,CB$7)</f>
        <v>0</v>
      </c>
      <c r="CC59" s="1236">
        <f ca="1">OFFSET($CQ59,0,CC$7)</f>
        <v>0</v>
      </c>
      <c r="CD59" s="1236">
        <f ca="1">OFFSET($CQ59,0,CD$7)+OFFSET($CR59,0,CD$7)</f>
        <v>0</v>
      </c>
      <c r="CE59" s="1236">
        <f ca="1">OFFSET($CQ59,0,CE$7)+OFFSET($CR59,0,CE$7)+OFFSET($CS59,0,CE$7)</f>
        <v>0</v>
      </c>
      <c r="CF59" s="1236">
        <f ca="1">OFFSET($CQ59,0,CF$7)+OFFSET($CR59,0,CF$7)+OFFSET($CS59,0,CF$7)+OFFSET($CT59,0,CF$7)</f>
        <v>0</v>
      </c>
      <c r="CG59" s="1236">
        <f ca="1">OFFSET($CQ59,0,CG$7)</f>
        <v>0</v>
      </c>
      <c r="CH59" s="1236">
        <f ca="1">OFFSET($CQ59,0,CH$7)+OFFSET($CR59,0,CH$7)</f>
        <v>0</v>
      </c>
      <c r="CI59" s="1236">
        <f ca="1">OFFSET($CQ59,0,CI$7)+OFFSET($CR59,0,CI$7)+OFFSET($CS59,0,CI$7)</f>
        <v>0</v>
      </c>
      <c r="CJ59" s="1236">
        <f ca="1">OFFSET($CQ59,0,CJ$7)+OFFSET($CR59,0,CJ$7)+OFFSET($CS59,0,CJ$7)+OFFSET($CT59,0,CJ$7)</f>
        <v>0</v>
      </c>
      <c r="CO59" s="1165"/>
      <c r="CP59" s="1165"/>
    </row>
    <row r="60" spans="1:162">
      <c r="A60" s="1224"/>
      <c r="B60" s="1237" t="s">
        <v>118</v>
      </c>
      <c r="AG60" s="1236">
        <f ca="1">OFFSET($CQ60,0,AG$7)</f>
        <v>0</v>
      </c>
      <c r="AH60" s="1236">
        <f ca="1">OFFSET($CQ60,0,AH$7)+OFFSET($CR60,0,AH$7)</f>
        <v>0</v>
      </c>
      <c r="AI60" s="1236">
        <f ca="1">OFFSET($CQ60,0,AI$7)+OFFSET($CR60,0,AI$7)+OFFSET($CS60,0,AI$7)</f>
        <v>0</v>
      </c>
      <c r="AJ60" s="1236">
        <f ca="1">OFFSET($CQ60,0,AJ$7)+OFFSET($CR60,0,AJ$7)+OFFSET($CS60,0,AJ$7)+OFFSET($CT60,0,AJ$7)</f>
        <v>0</v>
      </c>
      <c r="AK60" s="1236">
        <f ca="1">OFFSET($CQ60,0,AK$7)</f>
        <v>0</v>
      </c>
      <c r="AL60" s="1236">
        <f ca="1">OFFSET($CQ60,0,AL$7)+OFFSET($CR60,0,AL$7)</f>
        <v>0</v>
      </c>
      <c r="AM60" s="1236">
        <f ca="1">OFFSET($CQ60,0,AM$7)+OFFSET($CR60,0,AM$7)+OFFSET($CS60,0,AM$7)</f>
        <v>0</v>
      </c>
      <c r="AN60" s="1236">
        <f ca="1">OFFSET($CQ60,0,AN$7)+OFFSET($CR60,0,AN$7)+OFFSET($CS60,0,AN$7)+OFFSET($CT60,0,AN$7)</f>
        <v>0</v>
      </c>
      <c r="AO60" s="1236">
        <f ca="1">OFFSET($CQ60,0,AO$7)</f>
        <v>0</v>
      </c>
      <c r="AP60" s="1236">
        <f ca="1">OFFSET($CQ60,0,AP$7)+OFFSET($CR60,0,AP$7)</f>
        <v>0</v>
      </c>
      <c r="AQ60" s="1236">
        <f ca="1">OFFSET($CQ60,0,AQ$7)+OFFSET($CR60,0,AQ$7)+OFFSET($CS60,0,AQ$7)</f>
        <v>0</v>
      </c>
      <c r="AR60" s="1236">
        <f ca="1">OFFSET($CQ60,0,AR$7)+OFFSET($CR60,0,AR$7)+OFFSET($CS60,0,AR$7)+OFFSET($CT60,0,AR$7)</f>
        <v>0</v>
      </c>
      <c r="AS60" s="1236">
        <f ca="1">OFFSET($CQ60,0,AS$7)</f>
        <v>0</v>
      </c>
      <c r="AT60" s="1236">
        <f ca="1">OFFSET($CQ60,0,AT$7)+OFFSET($CR60,0,AT$7)</f>
        <v>0</v>
      </c>
      <c r="AU60" s="1236">
        <f ca="1">OFFSET($CQ60,0,AU$7)+OFFSET($CR60,0,AU$7)+OFFSET($CS60,0,AU$7)</f>
        <v>0</v>
      </c>
      <c r="AV60" s="1236">
        <f ca="1">OFFSET($CQ60,0,AV$7)+OFFSET($CR60,0,AV$7)+OFFSET($CS60,0,AV$7)+OFFSET($CT60,0,AV$7)</f>
        <v>0</v>
      </c>
      <c r="AW60" s="1236">
        <f ca="1">OFFSET($CQ60,0,AW$7)</f>
        <v>0</v>
      </c>
      <c r="AX60" s="1236">
        <f ca="1">OFFSET($CQ60,0,AX$7)+OFFSET($CR60,0,AX$7)</f>
        <v>0</v>
      </c>
      <c r="AY60" s="1236">
        <f ca="1">OFFSET($CQ60,0,AY$7)+OFFSET($CR60,0,AY$7)+OFFSET($CS60,0,AY$7)</f>
        <v>0</v>
      </c>
      <c r="AZ60" s="1236">
        <f ca="1">OFFSET($CQ60,0,AZ$7)+OFFSET($CR60,0,AZ$7)+OFFSET($CS60,0,AZ$7)+OFFSET($CT60,0,AZ$7)</f>
        <v>0</v>
      </c>
      <c r="BA60" s="1236">
        <f ca="1">OFFSET($CQ60,0,BA$7)</f>
        <v>0</v>
      </c>
      <c r="BB60" s="1236">
        <f ca="1">OFFSET($CQ60,0,BB$7)+OFFSET($CR60,0,BB$7)</f>
        <v>0</v>
      </c>
      <c r="BC60" s="1236">
        <f ca="1">OFFSET($CQ60,0,BC$7)+OFFSET($CR60,0,BC$7)+OFFSET($CS60,0,BC$7)</f>
        <v>0</v>
      </c>
      <c r="BD60" s="1236">
        <f ca="1">OFFSET($CQ60,0,BD$7)+OFFSET($CR60,0,BD$7)+OFFSET($CS60,0,BD$7)+OFFSET($CT60,0,BD$7)</f>
        <v>0</v>
      </c>
      <c r="BE60" s="1236">
        <f ca="1">OFFSET($CQ60,0,BE$7)</f>
        <v>0</v>
      </c>
      <c r="BF60" s="1236">
        <f ca="1">OFFSET($CQ60,0,BF$7)+OFFSET($CR60,0,BF$7)</f>
        <v>0</v>
      </c>
      <c r="BG60" s="1236">
        <f ca="1">OFFSET($CQ60,0,BG$7)+OFFSET($CR60,0,BG$7)+OFFSET($CS60,0,BG$7)</f>
        <v>0</v>
      </c>
      <c r="BH60" s="1236">
        <f ca="1">OFFSET($CQ60,0,BH$7)+OFFSET($CR60,0,BH$7)+OFFSET($CS60,0,BH$7)+OFFSET($CT60,0,BH$7)</f>
        <v>0</v>
      </c>
      <c r="BI60" s="1236">
        <f ca="1">OFFSET($CQ60,0,BI$7)</f>
        <v>0</v>
      </c>
      <c r="BJ60" s="1236">
        <f ca="1">OFFSET($CQ60,0,BJ$7)+OFFSET($CR60,0,BJ$7)</f>
        <v>0</v>
      </c>
      <c r="BK60" s="1236">
        <f ca="1">OFFSET($CQ60,0,BK$7)+OFFSET($CR60,0,BK$7)+OFFSET($CS60,0,BK$7)</f>
        <v>0</v>
      </c>
      <c r="BL60" s="1236">
        <f ca="1">OFFSET($CQ60,0,BL$7)+OFFSET($CR60,0,BL$7)+OFFSET($CS60,0,BL$7)+OFFSET($CT60,0,BL$7)</f>
        <v>0</v>
      </c>
      <c r="BM60" s="1236">
        <f ca="1">OFFSET($CQ60,0,BM$7)</f>
        <v>0</v>
      </c>
      <c r="BN60" s="1236">
        <f ca="1">OFFSET($CQ60,0,BN$7)+OFFSET($CR60,0,BN$7)</f>
        <v>0</v>
      </c>
      <c r="BO60" s="1236">
        <f ca="1">OFFSET($CQ60,0,BO$7)+OFFSET($CR60,0,BO$7)+OFFSET($CS60,0,BO$7)</f>
        <v>0</v>
      </c>
      <c r="BP60" s="1236">
        <f ca="1">OFFSET($CQ60,0,BP$7)+OFFSET($CR60,0,BP$7)+OFFSET($CS60,0,BP$7)+OFFSET($CT60,0,BP$7)</f>
        <v>0</v>
      </c>
      <c r="BQ60" s="1236">
        <f ca="1">OFFSET($CQ60,0,BQ$7)</f>
        <v>0</v>
      </c>
      <c r="BR60" s="1236">
        <f ca="1">OFFSET($CQ60,0,BR$7)+OFFSET($CR60,0,BR$7)</f>
        <v>0</v>
      </c>
      <c r="BS60" s="1236">
        <f ca="1">OFFSET($CQ60,0,BS$7)+OFFSET($CR60,0,BS$7)+OFFSET($CS60,0,BS$7)</f>
        <v>0</v>
      </c>
      <c r="BT60" s="1236">
        <f ca="1">OFFSET($CQ60,0,BT$7)+OFFSET($CR60,0,BT$7)+OFFSET($CS60,0,BT$7)+OFFSET($CT60,0,BT$7)</f>
        <v>0</v>
      </c>
      <c r="BU60" s="1236">
        <f ca="1">OFFSET($CQ60,0,BU$7)</f>
        <v>0</v>
      </c>
      <c r="BV60" s="1236">
        <f ca="1">OFFSET($CQ60,0,BV$7)+OFFSET($CR60,0,BV$7)</f>
        <v>0</v>
      </c>
      <c r="BW60" s="1236">
        <f ca="1">OFFSET($CQ60,0,BW$7)+OFFSET($CR60,0,BW$7)+OFFSET($CS60,0,BW$7)</f>
        <v>0</v>
      </c>
      <c r="BX60" s="1236">
        <f ca="1">OFFSET($CQ60,0,BX$7)+OFFSET($CR60,0,BX$7)+OFFSET($CS60,0,BX$7)+OFFSET($CT60,0,BX$7)</f>
        <v>0</v>
      </c>
      <c r="BY60" s="1236">
        <f ca="1">OFFSET($CQ60,0,BY$7)</f>
        <v>0</v>
      </c>
      <c r="BZ60" s="1236">
        <f ca="1">OFFSET($CQ60,0,BZ$7)+OFFSET($CR60,0,BZ$7)</f>
        <v>0</v>
      </c>
      <c r="CA60" s="1236">
        <f ca="1">OFFSET($CQ60,0,CA$7)+OFFSET($CR60,0,CA$7)+OFFSET($CS60,0,CA$7)</f>
        <v>0</v>
      </c>
      <c r="CB60" s="1236">
        <f ca="1">OFFSET($CQ60,0,CB$7)+OFFSET($CR60,0,CB$7)+OFFSET($CS60,0,CB$7)+OFFSET($CT60,0,CB$7)</f>
        <v>0</v>
      </c>
      <c r="CC60" s="1236">
        <f ca="1">OFFSET($CQ60,0,CC$7)</f>
        <v>0</v>
      </c>
      <c r="CD60" s="1236">
        <f ca="1">OFFSET($CQ60,0,CD$7)+OFFSET($CR60,0,CD$7)</f>
        <v>0</v>
      </c>
      <c r="CE60" s="1236">
        <f ca="1">OFFSET($CQ60,0,CE$7)+OFFSET($CR60,0,CE$7)+OFFSET($CS60,0,CE$7)</f>
        <v>0</v>
      </c>
      <c r="CF60" s="1236">
        <f ca="1">OFFSET($CQ60,0,CF$7)+OFFSET($CR60,0,CF$7)+OFFSET($CS60,0,CF$7)+OFFSET($CT60,0,CF$7)</f>
        <v>0</v>
      </c>
      <c r="CG60" s="1236">
        <f ca="1">OFFSET($CQ60,0,CG$7)</f>
        <v>0</v>
      </c>
      <c r="CH60" s="1236">
        <f ca="1">OFFSET($CQ60,0,CH$7)+OFFSET($CR60,0,CH$7)</f>
        <v>0</v>
      </c>
      <c r="CI60" s="1236">
        <f ca="1">OFFSET($CQ60,0,CI$7)+OFFSET($CR60,0,CI$7)+OFFSET($CS60,0,CI$7)</f>
        <v>0</v>
      </c>
      <c r="CJ60" s="1236">
        <f ca="1">OFFSET($CQ60,0,CJ$7)+OFFSET($CR60,0,CJ$7)+OFFSET($CS60,0,CJ$7)+OFFSET($CT60,0,CJ$7)</f>
        <v>0</v>
      </c>
      <c r="CO60" s="1165"/>
      <c r="CP60" s="1165"/>
    </row>
    <row r="61" spans="1:162" s="1231" customFormat="1">
      <c r="A61" s="1229"/>
      <c r="B61" s="1230" t="s">
        <v>131</v>
      </c>
      <c r="M61" s="1231">
        <f>SUM(M59:M60)</f>
        <v>0</v>
      </c>
      <c r="N61" s="1231">
        <f>SUM(N59:N60)</f>
        <v>0</v>
      </c>
      <c r="O61" s="1231">
        <f>SUM(O59:O60)</f>
        <v>0</v>
      </c>
      <c r="P61" s="1231">
        <f>SUM(P59:P60)</f>
        <v>0</v>
      </c>
      <c r="Q61" s="1231">
        <f>SUM(Q59:Q60)</f>
        <v>0</v>
      </c>
      <c r="U61" s="1231">
        <f t="shared" ref="U61:AC61" ca="1" si="112">OFFSET($CQ61,0,U$7)+OFFSET($CR61,0,U$7)+OFFSET($CS61,0,U$7)+OFFSET($CT61,0,U$7)</f>
        <v>-2.5800000000000036</v>
      </c>
      <c r="V61" s="1231">
        <f t="shared" ca="1" si="112"/>
        <v>53.416000000000004</v>
      </c>
      <c r="W61" s="1231">
        <f t="shared" ca="1" si="112"/>
        <v>62.176000000000002</v>
      </c>
      <c r="X61" s="1231">
        <f t="shared" ca="1" si="112"/>
        <v>120.39200000000002</v>
      </c>
      <c r="Y61" s="1231">
        <f t="shared" ca="1" si="112"/>
        <v>106.51200000000001</v>
      </c>
      <c r="Z61" s="1231">
        <f t="shared" ca="1" si="112"/>
        <v>113.68799999999999</v>
      </c>
      <c r="AA61" s="1231">
        <f t="shared" ca="1" si="112"/>
        <v>0</v>
      </c>
      <c r="AB61" s="1231">
        <f t="shared" ca="1" si="112"/>
        <v>0</v>
      </c>
      <c r="AC61" s="1231">
        <f t="shared" ca="1" si="112"/>
        <v>0</v>
      </c>
      <c r="AG61" s="1231">
        <f ca="1">OFFSET($CQ61,0,AG$7)</f>
        <v>0</v>
      </c>
      <c r="AH61" s="1231">
        <f ca="1">OFFSET($CQ61,0,AH$7)+OFFSET($CR61,0,AH$7)</f>
        <v>0</v>
      </c>
      <c r="AI61" s="1231">
        <f ca="1">OFFSET($CQ61,0,AI$7)+OFFSET($CR61,0,AI$7)+OFFSET($CS61,0,AI$7)</f>
        <v>0</v>
      </c>
      <c r="AJ61" s="1231">
        <f ca="1">OFFSET($CQ61,0,AJ$7)+OFFSET($CR61,0,AJ$7)+OFFSET($CS61,0,AJ$7)+OFFSET($CT61,0,AJ$7)</f>
        <v>0</v>
      </c>
      <c r="AK61" s="1231">
        <f ca="1">OFFSET($CQ61,0,AK$7)</f>
        <v>0</v>
      </c>
      <c r="AL61" s="1231">
        <f ca="1">OFFSET($CQ61,0,AL$7)+OFFSET($CR61,0,AL$7)</f>
        <v>0</v>
      </c>
      <c r="AM61" s="1231">
        <f ca="1">OFFSET($CQ61,0,AM$7)+OFFSET($CR61,0,AM$7)+OFFSET($CS61,0,AM$7)</f>
        <v>0</v>
      </c>
      <c r="AN61" s="1231">
        <f ca="1">OFFSET($CQ61,0,AN$7)+OFFSET($CR61,0,AN$7)+OFFSET($CS61,0,AN$7)+OFFSET($CT61,0,AN$7)</f>
        <v>0</v>
      </c>
      <c r="AO61" s="1231">
        <f ca="1">OFFSET($CQ61,0,AO$7)</f>
        <v>0</v>
      </c>
      <c r="AP61" s="1231">
        <f ca="1">OFFSET($CQ61,0,AP$7)+OFFSET($CR61,0,AP$7)</f>
        <v>0</v>
      </c>
      <c r="AQ61" s="1231">
        <f ca="1">OFFSET($CQ61,0,AQ$7)+OFFSET($CR61,0,AQ$7)+OFFSET($CS61,0,AQ$7)</f>
        <v>0</v>
      </c>
      <c r="AR61" s="1231">
        <f ca="1">OFFSET($CQ61,0,AR$7)+OFFSET($CR61,0,AR$7)+OFFSET($CS61,0,AR$7)+OFFSET($CT61,0,AR$7)</f>
        <v>0</v>
      </c>
      <c r="AS61" s="1231">
        <f ca="1">OFFSET($CQ61,0,AS$7)</f>
        <v>0</v>
      </c>
      <c r="AT61" s="1231">
        <f ca="1">OFFSET($CQ61,0,AT$7)+OFFSET($CR61,0,AT$7)</f>
        <v>0</v>
      </c>
      <c r="AU61" s="1231">
        <f ca="1">OFFSET($CQ61,0,AU$7)+OFFSET($CR61,0,AU$7)+OFFSET($CS61,0,AU$7)</f>
        <v>0</v>
      </c>
      <c r="AV61" s="1231">
        <f ca="1">OFFSET($CQ61,0,AV$7)+OFFSET($CR61,0,AV$7)+OFFSET($CS61,0,AV$7)+OFFSET($CT61,0,AV$7)</f>
        <v>0</v>
      </c>
      <c r="AW61" s="1231">
        <f ca="1">OFFSET($CQ61,0,AW$7)</f>
        <v>0</v>
      </c>
      <c r="AX61" s="1231">
        <f ca="1">OFFSET($CQ61,0,AX$7)+OFFSET($CR61,0,AX$7)</f>
        <v>0</v>
      </c>
      <c r="AY61" s="1231">
        <f ca="1">OFFSET($CQ61,0,AY$7)+OFFSET($CR61,0,AY$7)+OFFSET($CS61,0,AY$7)</f>
        <v>0</v>
      </c>
      <c r="AZ61" s="1231">
        <f ca="1">OFFSET($CQ61,0,AZ$7)+OFFSET($CR61,0,AZ$7)+OFFSET($CS61,0,AZ$7)+OFFSET($CT61,0,AZ$7)</f>
        <v>0</v>
      </c>
      <c r="BA61" s="1231">
        <f ca="1">OFFSET($CQ61,0,BA$7)</f>
        <v>0</v>
      </c>
      <c r="BB61" s="1231">
        <f ca="1">OFFSET($CQ61,0,BB$7)+OFFSET($CR61,0,BB$7)</f>
        <v>0</v>
      </c>
      <c r="BC61" s="1231">
        <f ca="1">OFFSET($CQ61,0,BC$7)+OFFSET($CR61,0,BC$7)+OFFSET($CS61,0,BC$7)</f>
        <v>0</v>
      </c>
      <c r="BD61" s="1231">
        <f ca="1">OFFSET($CQ61,0,BD$7)+OFFSET($CR61,0,BD$7)+OFFSET($CS61,0,BD$7)+OFFSET($CT61,0,BD$7)</f>
        <v>0</v>
      </c>
      <c r="BE61" s="1231">
        <f ca="1">OFFSET($CQ61,0,BE$7)</f>
        <v>0</v>
      </c>
      <c r="BF61" s="1231">
        <f ca="1">OFFSET($CQ61,0,BF$7)+OFFSET($CR61,0,BF$7)</f>
        <v>0</v>
      </c>
      <c r="BG61" s="1231">
        <f ca="1">OFFSET($CQ61,0,BG$7)+OFFSET($CR61,0,BG$7)+OFFSET($CS61,0,BG$7)</f>
        <v>0</v>
      </c>
      <c r="BH61" s="1231">
        <f ca="1">OFFSET($CQ61,0,BH$7)+OFFSET($CR61,0,BH$7)+OFFSET($CS61,0,BH$7)+OFFSET($CT61,0,BH$7)</f>
        <v>0</v>
      </c>
      <c r="BI61" s="1231">
        <f ca="1">OFFSET($CQ61,0,BI$7)</f>
        <v>0</v>
      </c>
      <c r="BJ61" s="1231">
        <f ca="1">OFFSET($CQ61,0,BJ$7)+OFFSET($CR61,0,BJ$7)</f>
        <v>0</v>
      </c>
      <c r="BK61" s="1231">
        <f ca="1">OFFSET($CQ61,0,BK$7)+OFFSET($CR61,0,BK$7)+OFFSET($CS61,0,BK$7)</f>
        <v>0</v>
      </c>
      <c r="BL61" s="1231">
        <f ca="1">OFFSET($CQ61,0,BL$7)+OFFSET($CR61,0,BL$7)+OFFSET($CS61,0,BL$7)+OFFSET($CT61,0,BL$7)</f>
        <v>0</v>
      </c>
      <c r="BM61" s="1231">
        <f ca="1">OFFSET($CQ61,0,BM$7)</f>
        <v>0.1839999999999975</v>
      </c>
      <c r="BN61" s="1231">
        <f ca="1">OFFSET($CQ61,0,BN$7)+OFFSET($CR61,0,BN$7)</f>
        <v>0.32599999999999341</v>
      </c>
      <c r="BO61" s="1231">
        <f ca="1">OFFSET($CQ61,0,BO$7)+OFFSET($CR61,0,BO$7)+OFFSET($CS61,0,BO$7)</f>
        <v>-0.57200000000000273</v>
      </c>
      <c r="BP61" s="1231">
        <f ca="1">OFFSET($CQ61,0,BP$7)+OFFSET($CR61,0,BP$7)+OFFSET($CS61,0,BP$7)+OFFSET($CT61,0,BP$7)</f>
        <v>-2.5800000000000036</v>
      </c>
      <c r="BQ61" s="1231">
        <f ca="1">OFFSET($CQ61,0,BQ$7)</f>
        <v>2.6379999999999981</v>
      </c>
      <c r="BR61" s="1231">
        <f ca="1">OFFSET($CQ61,0,BR$7)+OFFSET($CR61,0,BR$7)</f>
        <v>1.8799999999999955</v>
      </c>
      <c r="BS61" s="1231">
        <f ca="1">OFFSET($CQ61,0,BS$7)+OFFSET($CR61,0,BS$7)+OFFSET($CS61,0,BS$7)</f>
        <v>-0.43599999999999994</v>
      </c>
      <c r="BT61" s="1231">
        <f ca="1">OFFSET($CQ61,0,BT$7)+OFFSET($CR61,0,BT$7)+OFFSET($CS61,0,BT$7)+OFFSET($CT61,0,BT$7)</f>
        <v>53.416000000000004</v>
      </c>
      <c r="BU61" s="1231">
        <f ca="1">OFFSET($CQ61,0,BU$7)</f>
        <v>7.804000000000002</v>
      </c>
      <c r="BV61" s="1231">
        <f ca="1">OFFSET($CQ61,0,BV$7)+OFFSET($CR61,0,BV$7)</f>
        <v>17.819999999999993</v>
      </c>
      <c r="BW61" s="1231">
        <f ca="1">OFFSET($CQ61,0,BW$7)+OFFSET($CR61,0,BW$7)+OFFSET($CS61,0,BW$7)</f>
        <v>45.124000000000009</v>
      </c>
      <c r="BX61" s="1231">
        <f ca="1">OFFSET($CQ61,0,BX$7)+OFFSET($CR61,0,BX$7)+OFFSET($CS61,0,BX$7)+OFFSET($CT61,0,BX$7)</f>
        <v>62.176000000000002</v>
      </c>
      <c r="BY61" s="1231">
        <f ca="1">OFFSET($CQ61,0,BY$7)</f>
        <v>19.311999999999998</v>
      </c>
      <c r="BZ61" s="1231">
        <f ca="1">OFFSET($CQ61,0,BZ$7)+OFFSET($CR61,0,BZ$7)</f>
        <v>25.616</v>
      </c>
      <c r="CA61" s="1231">
        <f ca="1">OFFSET($CQ61,0,CA$7)+OFFSET($CR61,0,CA$7)+OFFSET($CS61,0,CA$7)</f>
        <v>28.452000000000012</v>
      </c>
      <c r="CB61" s="1231">
        <f ca="1">OFFSET($CQ61,0,CB$7)+OFFSET($CR61,0,CB$7)+OFFSET($CS61,0,CB$7)+OFFSET($CT61,0,CB$7)</f>
        <v>120.39200000000002</v>
      </c>
      <c r="CC61" s="1231">
        <f ca="1">OFFSET($CQ61,0,CC$7)</f>
        <v>11.156000000000006</v>
      </c>
      <c r="CD61" s="1231">
        <f ca="1">OFFSET($CQ61,0,CD$7)+OFFSET($CR61,0,CD$7)</f>
        <v>17.06600000000001</v>
      </c>
      <c r="CE61" s="1231">
        <f ca="1">OFFSET($CQ61,0,CE$7)+OFFSET($CR61,0,CE$7)+OFFSET($CS61,0,CE$7)</f>
        <v>7.6840000000000117</v>
      </c>
      <c r="CF61" s="1231">
        <f ca="1">OFFSET($CQ61,0,CF$7)+OFFSET($CR61,0,CF$7)+OFFSET($CS61,0,CF$7)+OFFSET($CT61,0,CF$7)</f>
        <v>106.51200000000001</v>
      </c>
      <c r="CG61" s="1231">
        <f ca="1">OFFSET($CQ61,0,CG$7)</f>
        <v>4.5940000000000012</v>
      </c>
      <c r="CH61" s="1231">
        <f ca="1">OFFSET($CQ61,0,CH$7)+OFFSET($CR61,0,CH$7)</f>
        <v>44.462000000000003</v>
      </c>
      <c r="CI61" s="1231">
        <f ca="1">OFFSET($CQ61,0,CI$7)+OFFSET($CR61,0,CI$7)+OFFSET($CS61,0,CI$7)</f>
        <v>82.397999999999996</v>
      </c>
      <c r="CJ61" s="1231">
        <f ca="1">OFFSET($CQ61,0,CJ$7)+OFFSET($CR61,0,CJ$7)+OFFSET($CS61,0,CJ$7)+OFFSET($CT61,0,CJ$7)</f>
        <v>113.68799999999999</v>
      </c>
      <c r="DW61" s="1231">
        <f t="shared" ref="DW61:ET61" si="113">DW63-DW56-DW55-DW51</f>
        <v>0.1839999999999975</v>
      </c>
      <c r="DX61" s="1231">
        <f t="shared" si="113"/>
        <v>0.14199999999999591</v>
      </c>
      <c r="DY61" s="1231">
        <f t="shared" si="113"/>
        <v>-0.89799999999999613</v>
      </c>
      <c r="DZ61" s="1231">
        <f t="shared" si="113"/>
        <v>-2.0080000000000009</v>
      </c>
      <c r="EA61" s="1231">
        <f t="shared" si="113"/>
        <v>2.6379999999999981</v>
      </c>
      <c r="EB61" s="1231">
        <f t="shared" si="113"/>
        <v>-0.75800000000000267</v>
      </c>
      <c r="EC61" s="1231">
        <f t="shared" si="113"/>
        <v>-2.3159999999999954</v>
      </c>
      <c r="ED61" s="1231">
        <f t="shared" si="113"/>
        <v>53.852000000000004</v>
      </c>
      <c r="EE61" s="1231">
        <f t="shared" si="113"/>
        <v>7.804000000000002</v>
      </c>
      <c r="EF61" s="1231">
        <f t="shared" si="113"/>
        <v>10.015999999999991</v>
      </c>
      <c r="EG61" s="1231">
        <f t="shared" si="113"/>
        <v>27.304000000000016</v>
      </c>
      <c r="EH61" s="1231">
        <f t="shared" si="113"/>
        <v>17.051999999999992</v>
      </c>
      <c r="EI61" s="1231">
        <f t="shared" si="113"/>
        <v>19.311999999999998</v>
      </c>
      <c r="EJ61" s="1231">
        <f t="shared" si="113"/>
        <v>6.304000000000002</v>
      </c>
      <c r="EK61" s="1231">
        <f t="shared" si="113"/>
        <v>2.8360000000000127</v>
      </c>
      <c r="EL61" s="1231">
        <f t="shared" si="113"/>
        <v>91.940000000000012</v>
      </c>
      <c r="EM61" s="1231">
        <f t="shared" si="113"/>
        <v>11.156000000000006</v>
      </c>
      <c r="EN61" s="1231">
        <f t="shared" si="113"/>
        <v>5.9100000000000037</v>
      </c>
      <c r="EO61" s="1231">
        <f t="shared" si="113"/>
        <v>-9.3819999999999979</v>
      </c>
      <c r="EP61" s="1231">
        <f t="shared" si="113"/>
        <v>98.828000000000003</v>
      </c>
      <c r="EQ61" s="1231">
        <f t="shared" si="113"/>
        <v>4.5940000000000012</v>
      </c>
      <c r="ER61" s="1231">
        <f t="shared" si="113"/>
        <v>39.868000000000002</v>
      </c>
      <c r="ES61" s="1231">
        <f t="shared" si="113"/>
        <v>37.936</v>
      </c>
      <c r="ET61" s="1231">
        <f t="shared" si="113"/>
        <v>31.29</v>
      </c>
    </row>
    <row r="62" spans="1:162" s="1231" customFormat="1">
      <c r="A62" s="1229"/>
      <c r="B62" s="1230"/>
      <c r="CO62" s="1165"/>
      <c r="CP62" s="1165"/>
      <c r="CQ62" s="1236"/>
      <c r="CR62" s="1236"/>
      <c r="CS62" s="1236"/>
      <c r="CT62" s="1236"/>
      <c r="CU62" s="1236"/>
      <c r="CV62" s="1236"/>
      <c r="CW62" s="1236"/>
      <c r="CX62" s="1236"/>
      <c r="CY62" s="1236"/>
      <c r="CZ62" s="1236"/>
      <c r="DA62" s="1236"/>
      <c r="DB62" s="1236"/>
      <c r="DC62" s="1236"/>
      <c r="DD62" s="1236"/>
      <c r="DE62" s="1236"/>
      <c r="DF62" s="1236"/>
      <c r="DG62" s="1236"/>
      <c r="DH62" s="1236"/>
      <c r="DI62" s="1236"/>
      <c r="DJ62" s="1236"/>
      <c r="DK62" s="1236"/>
      <c r="DL62" s="1236"/>
      <c r="DM62" s="1236"/>
      <c r="DN62" s="1236"/>
      <c r="DO62" s="1236"/>
      <c r="DP62" s="1236"/>
      <c r="DQ62" s="1236"/>
      <c r="DR62" s="1236"/>
      <c r="DS62" s="1236"/>
      <c r="DT62" s="1236"/>
      <c r="DU62" s="1236"/>
      <c r="DV62" s="1236"/>
      <c r="DW62" s="1236"/>
      <c r="DX62" s="1236"/>
      <c r="DY62" s="1236"/>
      <c r="DZ62" s="1236"/>
      <c r="EA62" s="1236"/>
      <c r="EB62" s="1236"/>
      <c r="EC62" s="1236"/>
      <c r="ED62" s="1236"/>
      <c r="EE62" s="1236"/>
      <c r="EF62" s="1236"/>
      <c r="EG62" s="1236"/>
      <c r="EH62" s="1236"/>
      <c r="EI62" s="1236"/>
      <c r="EJ62" s="1236"/>
      <c r="EK62" s="1236"/>
      <c r="EL62" s="1236"/>
      <c r="EM62" s="1236"/>
      <c r="EN62" s="1236"/>
      <c r="EO62" s="1236"/>
      <c r="EP62" s="1236"/>
      <c r="EQ62" s="1236"/>
      <c r="ER62" s="1236"/>
      <c r="ES62" s="1236"/>
      <c r="ET62" s="1236"/>
      <c r="EU62" s="1236"/>
      <c r="EV62" s="1236"/>
      <c r="EW62" s="1236"/>
      <c r="EX62" s="1236"/>
      <c r="EY62" s="1236"/>
      <c r="EZ62" s="1236"/>
      <c r="FA62" s="1236"/>
      <c r="FB62" s="1236"/>
      <c r="FC62" s="1236"/>
      <c r="FD62" s="1236"/>
      <c r="FE62" s="1236"/>
      <c r="FF62" s="1236"/>
    </row>
    <row r="63" spans="1:162" s="1231" customFormat="1">
      <c r="A63" s="1207" t="s">
        <v>508</v>
      </c>
      <c r="B63" s="1230" t="s">
        <v>158</v>
      </c>
      <c r="M63" s="1231">
        <f ca="1">M51+M55+M56-M57+M61</f>
        <v>0</v>
      </c>
      <c r="N63" s="1231">
        <f ca="1">N51+N55+N56-N57+N61</f>
        <v>0</v>
      </c>
      <c r="O63" s="1231">
        <f ca="1">O51+O55+O56-O57+O61</f>
        <v>0</v>
      </c>
      <c r="P63" s="1231">
        <f ca="1">P51+P55+P56-P57+P61</f>
        <v>0</v>
      </c>
      <c r="Q63" s="1231">
        <f ca="1">Q51+Q55+Q56-Q57+Q61</f>
        <v>0</v>
      </c>
      <c r="U63" s="1231">
        <f t="shared" ref="U63:AC63" ca="1" si="114">U51+U55+U56-U57+U61</f>
        <v>173.17699999999994</v>
      </c>
      <c r="V63" s="1231">
        <f t="shared" ca="1" si="114"/>
        <v>152.9689999999998</v>
      </c>
      <c r="W63" s="1231">
        <f t="shared" ca="1" si="114"/>
        <v>253.41099999999994</v>
      </c>
      <c r="X63" s="1231">
        <f t="shared" ca="1" si="114"/>
        <v>376.63</v>
      </c>
      <c r="Y63" s="1231">
        <f t="shared" ca="1" si="114"/>
        <v>179.6790000000002</v>
      </c>
      <c r="Z63" s="1231">
        <f t="shared" ca="1" si="114"/>
        <v>134.05499999999964</v>
      </c>
      <c r="AA63" s="1231">
        <f t="shared" ca="1" si="114"/>
        <v>0</v>
      </c>
      <c r="AB63" s="1231">
        <f t="shared" ca="1" si="114"/>
        <v>0</v>
      </c>
      <c r="AC63" s="1231">
        <f t="shared" ca="1" si="114"/>
        <v>0</v>
      </c>
      <c r="AG63" s="1231">
        <f ca="1">OFFSET($CQ63,0,AG$7)</f>
        <v>0</v>
      </c>
      <c r="AH63" s="1231">
        <f ca="1">OFFSET($CQ63,0,AH$7)+OFFSET($CR63,0,AH$7)</f>
        <v>0</v>
      </c>
      <c r="AI63" s="1231">
        <f ca="1">OFFSET($CQ63,0,AI$7)+OFFSET($CR63,0,AI$7)+OFFSET($CS63,0,AI$7)</f>
        <v>0</v>
      </c>
      <c r="AJ63" s="1231">
        <f ca="1">OFFSET($CQ63,0,AJ$7)+OFFSET($CR63,0,AJ$7)+OFFSET($CS63,0,AJ$7)+OFFSET($CT63,0,AJ$7)</f>
        <v>0</v>
      </c>
      <c r="AK63" s="1231">
        <f ca="1">OFFSET($CQ63,0,AK$7)</f>
        <v>0</v>
      </c>
      <c r="AL63" s="1231">
        <f ca="1">OFFSET($CQ63,0,AL$7)+OFFSET($CR63,0,AL$7)</f>
        <v>0</v>
      </c>
      <c r="AM63" s="1231">
        <f ca="1">OFFSET($CQ63,0,AM$7)+OFFSET($CR63,0,AM$7)+OFFSET($CS63,0,AM$7)</f>
        <v>0</v>
      </c>
      <c r="AN63" s="1231">
        <f ca="1">OFFSET($CQ63,0,AN$7)+OFFSET($CR63,0,AN$7)+OFFSET($CS63,0,AN$7)+OFFSET($CT63,0,AN$7)</f>
        <v>0</v>
      </c>
      <c r="AO63" s="1231">
        <f ca="1">OFFSET($CQ63,0,AO$7)</f>
        <v>0</v>
      </c>
      <c r="AP63" s="1231">
        <f ca="1">OFFSET($CQ63,0,AP$7)+OFFSET($CR63,0,AP$7)</f>
        <v>0</v>
      </c>
      <c r="AQ63" s="1231">
        <f ca="1">OFFSET($CQ63,0,AQ$7)+OFFSET($CR63,0,AQ$7)+OFFSET($CS63,0,AQ$7)</f>
        <v>0</v>
      </c>
      <c r="AR63" s="1231">
        <f ca="1">OFFSET($CQ63,0,AR$7)+OFFSET($CR63,0,AR$7)+OFFSET($CS63,0,AR$7)+OFFSET($CT63,0,AR$7)</f>
        <v>0</v>
      </c>
      <c r="AS63" s="1231">
        <f ca="1">OFFSET($CQ63,0,AS$7)</f>
        <v>0</v>
      </c>
      <c r="AT63" s="1231">
        <f ca="1">OFFSET($CQ63,0,AT$7)+OFFSET($CR63,0,AT$7)</f>
        <v>0</v>
      </c>
      <c r="AU63" s="1231">
        <f ca="1">OFFSET($CQ63,0,AU$7)+OFFSET($CR63,0,AU$7)+OFFSET($CS63,0,AU$7)</f>
        <v>0</v>
      </c>
      <c r="AV63" s="1231">
        <f ca="1">OFFSET($CQ63,0,AV$7)+OFFSET($CR63,0,AV$7)+OFFSET($CS63,0,AV$7)+OFFSET($CT63,0,AV$7)</f>
        <v>0</v>
      </c>
      <c r="AW63" s="1231">
        <f ca="1">OFFSET($CQ63,0,AW$7)</f>
        <v>0</v>
      </c>
      <c r="AX63" s="1231">
        <f ca="1">OFFSET($CQ63,0,AX$7)+OFFSET($CR63,0,AX$7)</f>
        <v>0</v>
      </c>
      <c r="AY63" s="1231">
        <f ca="1">OFFSET($CQ63,0,AY$7)+OFFSET($CR63,0,AY$7)+OFFSET($CS63,0,AY$7)</f>
        <v>0</v>
      </c>
      <c r="AZ63" s="1231">
        <f ca="1">OFFSET($CQ63,0,AZ$7)+OFFSET($CR63,0,AZ$7)+OFFSET($CS63,0,AZ$7)+OFFSET($CT63,0,AZ$7)</f>
        <v>0</v>
      </c>
      <c r="BA63" s="1231">
        <f ca="1">OFFSET($CQ63,0,BA$7)</f>
        <v>0</v>
      </c>
      <c r="BB63" s="1231">
        <f ca="1">OFFSET($CQ63,0,BB$7)+OFFSET($CR63,0,BB$7)</f>
        <v>0</v>
      </c>
      <c r="BC63" s="1231">
        <f ca="1">OFFSET($CQ63,0,BC$7)+OFFSET($CR63,0,BC$7)+OFFSET($CS63,0,BC$7)</f>
        <v>0</v>
      </c>
      <c r="BD63" s="1231">
        <f ca="1">OFFSET($CQ63,0,BD$7)+OFFSET($CR63,0,BD$7)+OFFSET($CS63,0,BD$7)+OFFSET($CT63,0,BD$7)</f>
        <v>0</v>
      </c>
      <c r="BE63" s="1231">
        <f ca="1">OFFSET($CQ63,0,BE$7)</f>
        <v>0</v>
      </c>
      <c r="BF63" s="1231">
        <f ca="1">OFFSET($CQ63,0,BF$7)+OFFSET($CR63,0,BF$7)</f>
        <v>0</v>
      </c>
      <c r="BG63" s="1231">
        <f ca="1">OFFSET($CQ63,0,BG$7)+OFFSET($CR63,0,BG$7)+OFFSET($CS63,0,BG$7)</f>
        <v>0</v>
      </c>
      <c r="BH63" s="1231">
        <f ca="1">OFFSET($CQ63,0,BH$7)+OFFSET($CR63,0,BH$7)+OFFSET($CS63,0,BH$7)+OFFSET($CT63,0,BH$7)</f>
        <v>0</v>
      </c>
      <c r="BI63" s="1231">
        <f ca="1">OFFSET($CQ63,0,BI$7)</f>
        <v>0</v>
      </c>
      <c r="BJ63" s="1231">
        <f ca="1">OFFSET($CQ63,0,BJ$7)+OFFSET($CR63,0,BJ$7)</f>
        <v>0</v>
      </c>
      <c r="BK63" s="1231">
        <f ca="1">OFFSET($CQ63,0,BK$7)+OFFSET($CR63,0,BK$7)+OFFSET($CS63,0,BK$7)</f>
        <v>0</v>
      </c>
      <c r="BL63" s="1231">
        <f ca="1">OFFSET($CQ63,0,BL$7)+OFFSET($CR63,0,BL$7)+OFFSET($CS63,0,BL$7)+OFFSET($CT63,0,BL$7)</f>
        <v>0</v>
      </c>
      <c r="BM63" s="1231">
        <f ca="1">OFFSET($CQ63,0,BM$7)</f>
        <v>40.603999999999999</v>
      </c>
      <c r="BN63" s="1231">
        <f ca="1">OFFSET($CQ63,0,BN$7)+OFFSET($CR63,0,BN$7)</f>
        <v>116.005</v>
      </c>
      <c r="BO63" s="1231">
        <f ca="1">OFFSET($CQ63,0,BO$7)+OFFSET($CR63,0,BO$7)+OFFSET($CS63,0,BO$7)</f>
        <v>158.49599999999998</v>
      </c>
      <c r="BP63" s="1231">
        <f ca="1">OFFSET($CQ63,0,BP$7)+OFFSET($CR63,0,BP$7)+OFFSET($CS63,0,BP$7)+OFFSET($CT63,0,BP$7)</f>
        <v>173.17699999999999</v>
      </c>
      <c r="BQ63" s="1231">
        <f ca="1">OFFSET($CQ63,0,BQ$7)</f>
        <v>20.260999999999999</v>
      </c>
      <c r="BR63" s="1231">
        <f ca="1">OFFSET($CQ63,0,BR$7)+OFFSET($CR63,0,BR$7)</f>
        <v>77.061999999999998</v>
      </c>
      <c r="BS63" s="1231">
        <f ca="1">OFFSET($CQ63,0,BS$7)+OFFSET($CR63,0,BS$7)+OFFSET($CS63,0,BS$7)</f>
        <v>124.58199999999999</v>
      </c>
      <c r="BT63" s="1231">
        <f ca="1">OFFSET($CQ63,0,BT$7)+OFFSET($CR63,0,BT$7)+OFFSET($CS63,0,BT$7)+OFFSET($CT63,0,BT$7)</f>
        <v>152.96899999999999</v>
      </c>
      <c r="BU63" s="1231">
        <f ca="1">OFFSET($CQ63,0,BU$7)</f>
        <v>55.476999999999997</v>
      </c>
      <c r="BV63" s="1231">
        <f ca="1">OFFSET($CQ63,0,BV$7)+OFFSET($CR63,0,BV$7)</f>
        <v>132.18099999999998</v>
      </c>
      <c r="BW63" s="1231">
        <f ca="1">OFFSET($CQ63,0,BW$7)+OFFSET($CR63,0,BW$7)+OFFSET($CS63,0,BW$7)</f>
        <v>214.80699999999999</v>
      </c>
      <c r="BX63" s="1231">
        <f ca="1">OFFSET($CQ63,0,BX$7)+OFFSET($CR63,0,BX$7)+OFFSET($CS63,0,BX$7)+OFFSET($CT63,0,BX$7)</f>
        <v>253.411</v>
      </c>
      <c r="BY63" s="1231">
        <f ca="1">OFFSET($CQ63,0,BY$7)</f>
        <v>61.417999999999999</v>
      </c>
      <c r="BZ63" s="1231">
        <f ca="1">OFFSET($CQ63,0,BZ$7)+OFFSET($CR63,0,BZ$7)</f>
        <v>159.06100000000001</v>
      </c>
      <c r="CA63" s="1231">
        <f ca="1">OFFSET($CQ63,0,CA$7)+OFFSET($CR63,0,CA$7)+OFFSET($CS63,0,CA$7)</f>
        <v>272.62200000000001</v>
      </c>
      <c r="CB63" s="1231">
        <f ca="1">OFFSET($CQ63,0,CB$7)+OFFSET($CR63,0,CB$7)+OFFSET($CS63,0,CB$7)+OFFSET($CT63,0,CB$7)</f>
        <v>376.63</v>
      </c>
      <c r="CC63" s="1231">
        <f ca="1">OFFSET($CQ63,0,CC$7)</f>
        <v>69.790999999999997</v>
      </c>
      <c r="CD63" s="1231">
        <f ca="1">OFFSET($CQ63,0,CD$7)+OFFSET($CR63,0,CD$7)</f>
        <v>106.062</v>
      </c>
      <c r="CE63" s="1231">
        <f ca="1">OFFSET($CQ63,0,CE$7)+OFFSET($CR63,0,CE$7)+OFFSET($CS63,0,CE$7)</f>
        <v>131.96100000000001</v>
      </c>
      <c r="CF63" s="1231">
        <f ca="1">OFFSET($CQ63,0,CF$7)+OFFSET($CR63,0,CF$7)+OFFSET($CS63,0,CF$7)+OFFSET($CT63,0,CF$7)</f>
        <v>179.67900000000003</v>
      </c>
      <c r="CG63" s="1231">
        <f ca="1">OFFSET($CQ63,0,CG$7)</f>
        <v>29.376999999999999</v>
      </c>
      <c r="CH63" s="1231">
        <f ca="1">OFFSET($CQ63,0,CH$7)+OFFSET($CR63,0,CH$7)</f>
        <v>80.975999999999999</v>
      </c>
      <c r="CI63" s="1231">
        <f ca="1">OFFSET($CQ63,0,CI$7)+OFFSET($CR63,0,CI$7)+OFFSET($CS63,0,CI$7)</f>
        <v>107.535</v>
      </c>
      <c r="CJ63" s="1231">
        <f ca="1">OFFSET($CQ63,0,CJ$7)+OFFSET($CR63,0,CJ$7)+OFFSET($CS63,0,CJ$7)+OFFSET($CT63,0,CJ$7)</f>
        <v>134.05500000000001</v>
      </c>
      <c r="DK63" s="1232"/>
      <c r="DL63" s="1232"/>
      <c r="DM63" s="1232"/>
      <c r="DN63" s="1232"/>
      <c r="DO63" s="1232"/>
      <c r="DP63" s="1232"/>
      <c r="DQ63" s="1232"/>
      <c r="DR63" s="1232"/>
      <c r="DS63" s="1232"/>
      <c r="DT63" s="1232"/>
      <c r="DU63" s="1232"/>
      <c r="DV63" s="1232"/>
      <c r="DW63" s="1232">
        <f>INDEX('Basic Data TR'!$A$1:$AMJ$9673,MATCH($A63,'Basic Data TR'!$A$1:$A$9673,0),MATCH(DW$6,'Basic Data TR'!$A$1:$AMJ$1,0))</f>
        <v>40.603999999999999</v>
      </c>
      <c r="DX63" s="1232">
        <f>INDEX('Basic Data TR'!$A$1:$AMJ$9673,MATCH($A63,'Basic Data TR'!$A$1:$A$9673,0),MATCH(DX$6,'Basic Data TR'!$A$1:$AMJ$1,0))</f>
        <v>75.400999999999996</v>
      </c>
      <c r="DY63" s="1232">
        <f>INDEX('Basic Data TR'!$A$1:$AMJ$9673,MATCH($A63,'Basic Data TR'!$A$1:$A$9673,0),MATCH(DY$6,'Basic Data TR'!$A$1:$AMJ$1,0))</f>
        <v>42.491</v>
      </c>
      <c r="DZ63" s="1232">
        <f>INDEX('Basic Data TR'!$A$1:$AMJ$9673,MATCH($A63,'Basic Data TR'!$A$1:$A$9673,0),MATCH(DZ$6,'Basic Data TR'!$A$1:$AMJ$1,0))</f>
        <v>14.680999999999999</v>
      </c>
      <c r="EA63" s="1232">
        <f>INDEX('Basic Data TR'!$A$1:$AMJ$9673,MATCH($A63,'Basic Data TR'!$A$1:$A$9673,0),MATCH(EA$6,'Basic Data TR'!$A$1:$AMJ$1,0))</f>
        <v>20.260999999999999</v>
      </c>
      <c r="EB63" s="1232">
        <f>INDEX('Basic Data TR'!$A$1:$AMJ$9673,MATCH($A63,'Basic Data TR'!$A$1:$A$9673,0),MATCH(EB$6,'Basic Data TR'!$A$1:$AMJ$1,0))</f>
        <v>56.801000000000002</v>
      </c>
      <c r="EC63" s="1232">
        <f>INDEX('Basic Data TR'!$A$1:$AMJ$9673,MATCH($A63,'Basic Data TR'!$A$1:$A$9673,0),MATCH(EC$6,'Basic Data TR'!$A$1:$AMJ$1,0))</f>
        <v>47.52</v>
      </c>
      <c r="ED63" s="1232">
        <f>INDEX('Basic Data TR'!$A$1:$AMJ$9673,MATCH($A63,'Basic Data TR'!$A$1:$A$9673,0),MATCH(ED$6,'Basic Data TR'!$A$1:$AMJ$1,0))</f>
        <v>28.387</v>
      </c>
      <c r="EE63" s="1232">
        <f>INDEX('Basic Data TR'!$A$1:$AMJ$9673,MATCH($A63,'Basic Data TR'!$A$1:$A$9673,0),MATCH(EE$6,'Basic Data TR'!$A$1:$AMJ$1,0))</f>
        <v>55.476999999999997</v>
      </c>
      <c r="EF63" s="1232">
        <f>INDEX('Basic Data TR'!$A$1:$AMJ$9673,MATCH($A63,'Basic Data TR'!$A$1:$A$9673,0),MATCH(EF$6,'Basic Data TR'!$A$1:$AMJ$1,0))</f>
        <v>76.703999999999994</v>
      </c>
      <c r="EG63" s="1232">
        <f>INDEX('Basic Data TR'!$A$1:$AMJ$9673,MATCH($A63,'Basic Data TR'!$A$1:$A$9673,0),MATCH(EG$6,'Basic Data TR'!$A$1:$AMJ$1,0))</f>
        <v>82.626000000000005</v>
      </c>
      <c r="EH63" s="1232">
        <f>INDEX('Basic Data TR'!$A$1:$AMJ$9673,MATCH($A63,'Basic Data TR'!$A$1:$A$9673,0),MATCH(EH$6,'Basic Data TR'!$A$1:$AMJ$1,0))</f>
        <v>38.603999999999999</v>
      </c>
      <c r="EI63" s="1232">
        <f>INDEX('Basic Data TR'!$A$1:$AMJ$9673,MATCH($A63,'Basic Data TR'!$A$1:$A$9673,0),MATCH(EI$6,'Basic Data TR'!$A$1:$AMJ$1,0))</f>
        <v>61.417999999999999</v>
      </c>
      <c r="EJ63" s="1232">
        <f>INDEX('Basic Data TR'!$A$1:$AMJ$9673,MATCH($A63,'Basic Data TR'!$A$1:$A$9673,0),MATCH(EJ$6,'Basic Data TR'!$A$1:$AMJ$1,0))</f>
        <v>97.643000000000001</v>
      </c>
      <c r="EK63" s="1232">
        <f>INDEX('Basic Data TR'!$A$1:$AMJ$9673,MATCH($A63,'Basic Data TR'!$A$1:$A$9673,0),MATCH(EK$6,'Basic Data TR'!$A$1:$AMJ$1,0))</f>
        <v>113.56100000000001</v>
      </c>
      <c r="EL63" s="1232">
        <f>INDEX('Basic Data TR'!$A$1:$AMJ$9673,MATCH($A63,'Basic Data TR'!$A$1:$A$9673,0),MATCH(EL$6,'Basic Data TR'!$A$1:$AMJ$1,0))</f>
        <v>104.008</v>
      </c>
      <c r="EM63" s="1232">
        <f>INDEX('Basic Data TR'!$A$1:$AMJ$9673,MATCH($A63,'Basic Data TR'!$A$1:$A$9673,0),MATCH(EM$6,'Basic Data TR'!$A$1:$AMJ$1,0))</f>
        <v>69.790999999999997</v>
      </c>
      <c r="EN63" s="1232">
        <f>INDEX('Basic Data TR'!$A$1:$AMJ$9673,MATCH($A63,'Basic Data TR'!$A$1:$A$9673,0),MATCH(EN$6,'Basic Data TR'!$A$1:$AMJ$1,0))</f>
        <v>36.271000000000001</v>
      </c>
      <c r="EO63" s="1232">
        <f>INDEX('Basic Data TR'!$A$1:$AMJ$9673,MATCH($A63,'Basic Data TR'!$A$1:$A$9673,0),MATCH(EO$6,'Basic Data TR'!$A$1:$AMJ$1,0))</f>
        <v>25.899000000000001</v>
      </c>
      <c r="EP63" s="1232">
        <f>INDEX('Basic Data TR'!$A$1:$AMJ$9673,MATCH($A63,'Basic Data TR'!$A$1:$A$9673,0),MATCH(EP$6,'Basic Data TR'!$A$1:$AMJ$1,0))</f>
        <v>47.718000000000004</v>
      </c>
      <c r="EQ63" s="1232">
        <f>INDEX('Basic Data TR'!$A$1:$AMJ$9673,MATCH($A63,'Basic Data TR'!$A$1:$A$9673,0),MATCH(EQ$6,'Basic Data TR'!$A$1:$AMJ$1,0))</f>
        <v>29.376999999999999</v>
      </c>
      <c r="ER63" s="1232">
        <f>INDEX('Basic Data TR'!$A$1:$AMJ$9673,MATCH($A63,'Basic Data TR'!$A$1:$A$9673,0),MATCH(ER$6,'Basic Data TR'!$A$1:$AMJ$1,0))</f>
        <v>51.598999999999997</v>
      </c>
      <c r="ES63" s="1232">
        <f>INDEX('Basic Data TR'!$A$1:$AMJ$9673,MATCH($A63,'Basic Data TR'!$A$1:$A$9673,0),MATCH(ES$6,'Basic Data TR'!$A$1:$AMJ$1,0))</f>
        <v>26.559000000000001</v>
      </c>
      <c r="ET63" s="1232">
        <f>INDEX('Basic Data TR'!$A$1:$AMJ$9673,MATCH($A63,'Basic Data TR'!$A$1:$A$9673,0),MATCH(ET$6,'Basic Data TR'!$A$1:$AMJ$1,0))</f>
        <v>26.52</v>
      </c>
    </row>
    <row r="64" spans="1:162" s="1235" customFormat="1">
      <c r="A64" s="1233"/>
      <c r="B64" s="1234" t="s">
        <v>6</v>
      </c>
      <c r="M64" s="1235" t="e">
        <f ca="1">Model!#REF!-M63</f>
        <v>#REF!</v>
      </c>
      <c r="N64" s="1235" t="e">
        <f ca="1">Model!#REF!-N63</f>
        <v>#REF!</v>
      </c>
      <c r="O64" s="1235" t="e">
        <f ca="1">Model!#REF!-O63</f>
        <v>#REF!</v>
      </c>
      <c r="P64" s="1235" t="e">
        <f ca="1">Model!#REF!-P63</f>
        <v>#REF!</v>
      </c>
      <c r="Q64" s="1235" t="e">
        <f ca="1">Model!#REF!-Q63</f>
        <v>#REF!</v>
      </c>
      <c r="R64" s="1213"/>
      <c r="S64" s="1213"/>
      <c r="T64" s="1213"/>
      <c r="U64" s="1213">
        <f ca="1">Model!D52-U63</f>
        <v>0</v>
      </c>
      <c r="V64" s="1213">
        <f ca="1">Model!E52-V63</f>
        <v>0</v>
      </c>
      <c r="W64" s="1213">
        <f ca="1">Model!F52-W63</f>
        <v>0</v>
      </c>
      <c r="X64" s="1213">
        <f ca="1">Model!G52-X63</f>
        <v>0</v>
      </c>
      <c r="Y64" s="1213">
        <f ca="1">Model!H52-Y63</f>
        <v>0</v>
      </c>
      <c r="Z64" s="1213">
        <f ca="1">Model!I52-Z63</f>
        <v>0</v>
      </c>
      <c r="AA64" s="1213">
        <f ca="1">Model!J52-AA63</f>
        <v>234.68100000000041</v>
      </c>
      <c r="AB64" s="1213">
        <f ca="1">Model!K52-AB63</f>
        <v>715.55000000000018</v>
      </c>
      <c r="AC64" s="1213">
        <f ca="1">Model!L52-AC63</f>
        <v>1701.8030000000003</v>
      </c>
      <c r="AD64" s="1213"/>
      <c r="AE64" s="1213"/>
      <c r="AG64" s="1213"/>
      <c r="AH64" s="1213"/>
      <c r="AI64" s="1213"/>
      <c r="AJ64" s="1213"/>
      <c r="AK64" s="1213"/>
      <c r="AL64" s="1213"/>
      <c r="AM64" s="1213"/>
      <c r="AN64" s="1213"/>
      <c r="AO64" s="1213"/>
      <c r="AP64" s="1213"/>
      <c r="AQ64" s="1213"/>
      <c r="AR64" s="1213"/>
      <c r="AS64" s="1213"/>
      <c r="AT64" s="1213"/>
      <c r="AU64" s="1213"/>
      <c r="AV64" s="1213"/>
      <c r="AW64" s="1213"/>
      <c r="AX64" s="1213"/>
      <c r="AY64" s="1213"/>
      <c r="AZ64" s="1213"/>
      <c r="BA64" s="1213"/>
      <c r="BB64" s="1213"/>
      <c r="BC64" s="1213"/>
      <c r="BD64" s="1213"/>
      <c r="BE64" s="1213"/>
      <c r="BF64" s="1213"/>
      <c r="BG64" s="1213"/>
      <c r="BH64" s="1213"/>
      <c r="BI64" s="1213"/>
      <c r="BJ64" s="1213"/>
      <c r="BK64" s="1213"/>
      <c r="BL64" s="1213"/>
      <c r="BM64" s="1213"/>
      <c r="BN64" s="1213"/>
      <c r="BO64" s="1213"/>
      <c r="BP64" s="1213"/>
      <c r="BQ64" s="1213"/>
      <c r="BR64" s="1213"/>
      <c r="BS64" s="1213"/>
      <c r="BT64" s="1213"/>
      <c r="BU64" s="1213"/>
      <c r="BV64" s="1213"/>
      <c r="BW64" s="1213"/>
      <c r="BX64" s="1213"/>
      <c r="BY64" s="1213"/>
      <c r="BZ64" s="1213"/>
      <c r="CA64" s="1213"/>
      <c r="CB64" s="1213"/>
      <c r="CC64" s="1213"/>
      <c r="CD64" s="1213"/>
      <c r="CE64" s="1213"/>
      <c r="CF64" s="1213"/>
      <c r="CG64" s="1213"/>
      <c r="CH64" s="1213"/>
      <c r="CI64" s="1213"/>
      <c r="CO64" s="1165"/>
      <c r="CP64" s="1165"/>
      <c r="CQ64" s="1165"/>
      <c r="CU64" s="1165"/>
      <c r="DK64" s="1243"/>
      <c r="DL64" s="1243"/>
      <c r="DM64" s="1243"/>
      <c r="DN64" s="1243"/>
      <c r="DO64" s="1243"/>
      <c r="DP64" s="1243"/>
      <c r="DQ64" s="1243"/>
      <c r="DR64" s="1243"/>
      <c r="DS64" s="1243"/>
      <c r="DT64" s="1243"/>
      <c r="DU64" s="1243"/>
      <c r="DV64" s="1243"/>
      <c r="DW64" s="1243">
        <f>DW63-'Basic Data TR'!Z84</f>
        <v>0</v>
      </c>
      <c r="DX64" s="1243">
        <f>DX63-'Basic Data TR'!AA84</f>
        <v>0</v>
      </c>
      <c r="DY64" s="1243">
        <f>DY63-'Basic Data TR'!AB84</f>
        <v>0</v>
      </c>
      <c r="DZ64" s="1243">
        <f>DZ63-'Basic Data TR'!AC84</f>
        <v>0</v>
      </c>
      <c r="EA64" s="1243">
        <f>EA63-'Basic Data TR'!AD84</f>
        <v>0</v>
      </c>
      <c r="EB64" s="1243">
        <f>EB63-'Basic Data TR'!AE84</f>
        <v>0</v>
      </c>
      <c r="EC64" s="1243">
        <f>EC63-'Basic Data TR'!AF84</f>
        <v>0</v>
      </c>
      <c r="ED64" s="1243">
        <f>ED63-'Basic Data TR'!AG84</f>
        <v>0</v>
      </c>
      <c r="EE64" s="1243">
        <f>EE63-'Basic Data TR'!AH84</f>
        <v>0</v>
      </c>
      <c r="EF64" s="1243">
        <f>EF63-'Basic Data TR'!AI84</f>
        <v>0</v>
      </c>
      <c r="EG64" s="1243">
        <f>EG63-'Basic Data TR'!AJ84</f>
        <v>0</v>
      </c>
      <c r="EH64" s="1243">
        <f>EH63-'Basic Data TR'!AK84</f>
        <v>0</v>
      </c>
      <c r="EI64" s="1243">
        <f>EI63-'Basic Data TR'!AL84</f>
        <v>0</v>
      </c>
      <c r="EJ64" s="1243">
        <f>EJ63-'Basic Data TR'!AM84</f>
        <v>0</v>
      </c>
      <c r="EK64" s="1243">
        <f>EK63-'Basic Data TR'!AN84</f>
        <v>0</v>
      </c>
      <c r="EL64" s="1243">
        <f>EL63-'Basic Data TR'!AO84</f>
        <v>0</v>
      </c>
      <c r="EM64" s="1243">
        <f>EM63-'Basic Data TR'!AP84</f>
        <v>0</v>
      </c>
      <c r="EN64" s="1243">
        <f>EN63-'Basic Data TR'!AQ84</f>
        <v>0</v>
      </c>
      <c r="EO64" s="1243">
        <f>EO63-'Basic Data TR'!AR84</f>
        <v>0</v>
      </c>
      <c r="EP64" s="1243">
        <f>EP63-'Basic Data TR'!AS84</f>
        <v>0</v>
      </c>
      <c r="EQ64" s="1243">
        <f>EQ63-'Basic Data TR'!AT84</f>
        <v>0</v>
      </c>
      <c r="ER64" s="1243">
        <f>ER63-'Basic Data TR'!AU84</f>
        <v>0</v>
      </c>
      <c r="ES64" s="1243">
        <f>ES63-'Basic Data TR'!AV84</f>
        <v>0</v>
      </c>
      <c r="ET64" s="1243">
        <f>ET63-'Basic Data TR'!AW84</f>
        <v>0</v>
      </c>
    </row>
    <row r="65" spans="1:162" s="1231" customFormat="1">
      <c r="A65" s="1229"/>
      <c r="B65" s="1234" t="s">
        <v>6</v>
      </c>
      <c r="D65" s="1235"/>
      <c r="E65" s="1235"/>
      <c r="F65" s="1235"/>
      <c r="G65" s="1235"/>
      <c r="H65" s="1235"/>
      <c r="I65" s="1235"/>
      <c r="J65" s="1235"/>
      <c r="K65" s="1235"/>
      <c r="L65" s="1235"/>
      <c r="M65" s="1241">
        <f t="shared" ref="M65:AC65" ca="1" si="115">OFFSET($CQ63,0,M$7)+OFFSET($CR63,0,M$7)+OFFSET($CS63,0,M$7)+OFFSET($CT63,0,M$7)-M63</f>
        <v>0</v>
      </c>
      <c r="N65" s="1241">
        <f t="shared" ca="1" si="115"/>
        <v>0</v>
      </c>
      <c r="O65" s="1241">
        <f t="shared" ca="1" si="115"/>
        <v>0</v>
      </c>
      <c r="P65" s="1241">
        <f t="shared" ca="1" si="115"/>
        <v>0</v>
      </c>
      <c r="Q65" s="1241">
        <f t="shared" ca="1" si="115"/>
        <v>0</v>
      </c>
      <c r="R65" s="1214">
        <f t="shared" ca="1" si="115"/>
        <v>0</v>
      </c>
      <c r="S65" s="1214">
        <f t="shared" ca="1" si="115"/>
        <v>0</v>
      </c>
      <c r="T65" s="1214">
        <f t="shared" ca="1" si="115"/>
        <v>0</v>
      </c>
      <c r="U65" s="1214">
        <f t="shared" ca="1" si="115"/>
        <v>0</v>
      </c>
      <c r="V65" s="1214">
        <f t="shared" ca="1" si="115"/>
        <v>0</v>
      </c>
      <c r="W65" s="1214">
        <f t="shared" ca="1" si="115"/>
        <v>0</v>
      </c>
      <c r="X65" s="1214">
        <f t="shared" ca="1" si="115"/>
        <v>0</v>
      </c>
      <c r="Y65" s="1214">
        <f t="shared" ca="1" si="115"/>
        <v>0</v>
      </c>
      <c r="Z65" s="1214">
        <f t="shared" ca="1" si="115"/>
        <v>3.694822225952521E-13</v>
      </c>
      <c r="AA65" s="1214">
        <f t="shared" ca="1" si="115"/>
        <v>0</v>
      </c>
      <c r="AB65" s="1214">
        <f t="shared" ca="1" si="115"/>
        <v>0</v>
      </c>
      <c r="AC65" s="1214">
        <f t="shared" ca="1" si="115"/>
        <v>0</v>
      </c>
      <c r="AD65" s="1214"/>
      <c r="AE65" s="1214"/>
      <c r="AF65" s="1241"/>
      <c r="AG65" s="1214"/>
      <c r="AH65" s="1214"/>
      <c r="AI65" s="1214"/>
      <c r="AJ65" s="1214"/>
      <c r="AK65" s="1214"/>
      <c r="AL65" s="1214"/>
      <c r="AM65" s="1214"/>
      <c r="AN65" s="1214"/>
      <c r="AO65" s="1214"/>
      <c r="AP65" s="1214"/>
      <c r="AQ65" s="1214"/>
      <c r="AR65" s="1214"/>
      <c r="AS65" s="1214"/>
      <c r="AT65" s="1214"/>
      <c r="AU65" s="1214"/>
      <c r="AV65" s="1214"/>
      <c r="AW65" s="1214"/>
      <c r="AX65" s="1214"/>
      <c r="AY65" s="1214"/>
      <c r="AZ65" s="1214"/>
      <c r="BA65" s="1214"/>
      <c r="BB65" s="1214"/>
      <c r="BC65" s="1214"/>
      <c r="BD65" s="1214"/>
      <c r="BE65" s="1214"/>
      <c r="BF65" s="1214"/>
      <c r="BG65" s="1214"/>
      <c r="BH65" s="1214"/>
      <c r="BI65" s="1214"/>
      <c r="BJ65" s="1214"/>
      <c r="BK65" s="1214"/>
      <c r="BL65" s="1214"/>
      <c r="BM65" s="1214"/>
      <c r="BN65" s="1214"/>
      <c r="BO65" s="1214"/>
      <c r="BP65" s="1214"/>
      <c r="BQ65" s="1214"/>
      <c r="BR65" s="1214"/>
      <c r="BS65" s="1214"/>
      <c r="BT65" s="1214"/>
      <c r="BU65" s="1214"/>
      <c r="BV65" s="1214"/>
      <c r="BW65" s="1214"/>
      <c r="BX65" s="1214"/>
      <c r="BY65" s="1214"/>
      <c r="BZ65" s="1214"/>
      <c r="CA65" s="1214"/>
      <c r="CB65" s="1214"/>
      <c r="CC65" s="1214"/>
      <c r="CD65" s="1214"/>
      <c r="CE65" s="1214"/>
      <c r="CF65" s="1214"/>
      <c r="CG65" s="1214"/>
      <c r="CH65" s="1214"/>
      <c r="CI65" s="1214"/>
      <c r="CO65" s="1165"/>
      <c r="CP65" s="1165"/>
      <c r="CQ65" s="1165"/>
      <c r="CR65" s="1165"/>
      <c r="CS65" s="1165"/>
      <c r="CT65" s="1165"/>
      <c r="CU65" s="1165"/>
      <c r="CV65" s="1165"/>
      <c r="CW65" s="1165"/>
      <c r="CX65" s="1165"/>
    </row>
    <row r="66" spans="1:162" s="1231" customFormat="1">
      <c r="A66" s="1229"/>
      <c r="B66" s="1234"/>
      <c r="D66" s="1235"/>
      <c r="E66" s="1235"/>
      <c r="F66" s="1235"/>
      <c r="G66" s="1235"/>
      <c r="H66" s="1235"/>
      <c r="I66" s="1235"/>
      <c r="J66" s="1235"/>
      <c r="K66" s="1235"/>
      <c r="L66" s="1235"/>
      <c r="M66" s="1235"/>
      <c r="N66" s="1235"/>
      <c r="O66" s="1235"/>
      <c r="P66" s="1235"/>
      <c r="Q66" s="1235"/>
      <c r="R66" s="1235"/>
      <c r="S66" s="1235"/>
      <c r="T66" s="1235"/>
      <c r="U66" s="1235"/>
      <c r="V66" s="1235"/>
      <c r="W66" s="1235"/>
      <c r="X66" s="1235"/>
      <c r="Y66" s="1235"/>
      <c r="Z66" s="1235"/>
      <c r="AA66" s="1235"/>
      <c r="AB66" s="1235"/>
      <c r="AC66" s="1235"/>
      <c r="AD66" s="1235"/>
      <c r="AE66" s="1235"/>
      <c r="AF66" s="1235"/>
      <c r="CO66" s="1165"/>
      <c r="CP66" s="1165"/>
      <c r="CQ66" s="1165"/>
      <c r="CR66" s="1165"/>
      <c r="CS66" s="1165"/>
      <c r="CT66" s="1165"/>
      <c r="CU66" s="1165"/>
      <c r="CV66" s="1165"/>
      <c r="CW66" s="1165"/>
      <c r="CX66" s="1165"/>
    </row>
    <row r="67" spans="1:162">
      <c r="A67" s="1224"/>
      <c r="B67" s="1250" t="s">
        <v>394</v>
      </c>
      <c r="CO67" s="1165"/>
      <c r="CP67" s="1165"/>
    </row>
    <row r="68" spans="1:162" s="1253" customFormat="1">
      <c r="A68" s="1207" t="s">
        <v>511</v>
      </c>
      <c r="B68" s="1244" t="s">
        <v>39</v>
      </c>
      <c r="C68" s="1251"/>
      <c r="D68" s="1251"/>
      <c r="E68" s="1251"/>
      <c r="F68" s="1251"/>
      <c r="G68" s="1251"/>
      <c r="H68" s="1251"/>
      <c r="I68" s="1251"/>
      <c r="J68" s="1251"/>
      <c r="K68" s="1251"/>
      <c r="L68" s="1251"/>
      <c r="M68" s="1251"/>
      <c r="N68" s="1251"/>
      <c r="O68" s="1251"/>
      <c r="P68" s="1251"/>
      <c r="Q68" s="1251"/>
      <c r="R68" s="1251" t="e">
        <f ca="1">R$63/R75</f>
        <v>#DIV/0!</v>
      </c>
      <c r="S68" s="1251" t="e">
        <f t="shared" ref="S68:AC68" ca="1" si="116">S$63/S75</f>
        <v>#DIV/0!</v>
      </c>
      <c r="T68" s="1251" t="e">
        <f t="shared" ca="1" si="116"/>
        <v>#DIV/0!</v>
      </c>
      <c r="U68" s="1251">
        <f t="shared" ca="1" si="116"/>
        <v>5.4021954382571423E-2</v>
      </c>
      <c r="V68" s="1251">
        <f t="shared" ca="1" si="116"/>
        <v>4.5631456470453004E-2</v>
      </c>
      <c r="W68" s="1251">
        <f t="shared" ca="1" si="116"/>
        <v>6.5057920662212193E-2</v>
      </c>
      <c r="X68" s="1251">
        <f t="shared" ca="1" si="116"/>
        <v>8.9173580768178204E-2</v>
      </c>
      <c r="Y68" s="1251">
        <f t="shared" ca="1" si="116"/>
        <v>3.8821447894003942E-2</v>
      </c>
      <c r="Z68" s="1251">
        <f t="shared" ca="1" si="116"/>
        <v>2.6941071790958462E-2</v>
      </c>
      <c r="AA68" s="1251" t="e">
        <f t="shared" ca="1" si="116"/>
        <v>#DIV/0!</v>
      </c>
      <c r="AB68" s="1251" t="e">
        <f t="shared" ca="1" si="116"/>
        <v>#DIV/0!</v>
      </c>
      <c r="AC68" s="1251" t="e">
        <f t="shared" ca="1" si="116"/>
        <v>#DIV/0!</v>
      </c>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c r="CB68" s="1251"/>
      <c r="CC68" s="1251"/>
      <c r="CD68" s="1251"/>
      <c r="CE68" s="1251"/>
      <c r="CF68" s="1251"/>
      <c r="CG68" s="1251"/>
      <c r="CH68" s="1251"/>
      <c r="CI68" s="1251"/>
      <c r="CJ68" s="1251"/>
      <c r="CK68" s="1251"/>
      <c r="CL68" s="1251"/>
      <c r="CM68" s="1251"/>
      <c r="CN68" s="1251"/>
      <c r="CO68" s="1251"/>
      <c r="CP68" s="1251"/>
      <c r="CQ68" s="1251"/>
      <c r="CR68" s="1251"/>
      <c r="CS68" s="1251"/>
      <c r="CT68" s="1251"/>
      <c r="CU68" s="1251"/>
      <c r="CV68" s="1251"/>
      <c r="CW68" s="1251"/>
      <c r="CX68" s="1251"/>
      <c r="CY68" s="1251"/>
      <c r="CZ68" s="1251"/>
      <c r="DA68" s="1251"/>
      <c r="DB68" s="1251"/>
      <c r="DC68" s="1251"/>
      <c r="DD68" s="1251"/>
      <c r="DE68" s="1251"/>
      <c r="DF68" s="1251"/>
      <c r="DG68" s="1251"/>
      <c r="DH68" s="1251"/>
      <c r="DI68" s="1251"/>
      <c r="DJ68" s="1251"/>
      <c r="DK68" s="1252"/>
      <c r="DL68" s="1252"/>
      <c r="DM68" s="1252"/>
      <c r="DN68" s="1252"/>
      <c r="DO68" s="1252"/>
      <c r="DP68" s="1252"/>
      <c r="DQ68" s="1252"/>
      <c r="DR68" s="1252"/>
      <c r="DS68" s="1252"/>
      <c r="DT68" s="1252"/>
      <c r="DU68" s="1252"/>
      <c r="DV68" s="1252"/>
      <c r="DW68" s="1252">
        <f>INDEX('Basic Data TR'!$A$1:$AMJ$9673,MATCH($A68,'Basic Data TR'!$A$1:$A$9673,0),MATCH(DW$6,'Basic Data TR'!$A$1:$AMJ$1,0))</f>
        <v>1.268E-2</v>
      </c>
      <c r="DX68" s="1252">
        <f>INDEX('Basic Data TR'!$A$1:$AMJ$9673,MATCH($A68,'Basic Data TR'!$A$1:$A$9673,0),MATCH(DX$6,'Basic Data TR'!$A$1:$AMJ$1,0))</f>
        <v>2.3519999999999999E-2</v>
      </c>
      <c r="DY68" s="1252">
        <f>INDEX('Basic Data TR'!$A$1:$AMJ$9673,MATCH($A68,'Basic Data TR'!$A$1:$A$9673,0),MATCH(DY$6,'Basic Data TR'!$A$1:$AMJ$1,0))</f>
        <v>1.324E-2</v>
      </c>
      <c r="DZ68" s="1252">
        <f>INDEX('Basic Data TR'!$A$1:$AMJ$9673,MATCH($A68,'Basic Data TR'!$A$1:$A$9673,0),MATCH(DZ$6,'Basic Data TR'!$A$1:$AMJ$1,0))</f>
        <v>4.5799999999999999E-3</v>
      </c>
      <c r="EA68" s="1252">
        <f>INDEX('Basic Data TR'!$A$1:$AMJ$9673,MATCH($A68,'Basic Data TR'!$A$1:$A$9673,0),MATCH(EA$6,'Basic Data TR'!$A$1:$AMJ$1,0))</f>
        <v>6.3E-3</v>
      </c>
      <c r="EB68" s="1252">
        <f>INDEX('Basic Data TR'!$A$1:$AMJ$9673,MATCH($A68,'Basic Data TR'!$A$1:$A$9673,0),MATCH(EB$6,'Basic Data TR'!$A$1:$AMJ$1,0))</f>
        <v>1.7330000000000002E-2</v>
      </c>
      <c r="EC68" s="1252">
        <f>INDEX('Basic Data TR'!$A$1:$AMJ$9673,MATCH($A68,'Basic Data TR'!$A$1:$A$9673,0),MATCH(EC$6,'Basic Data TR'!$A$1:$AMJ$1,0))</f>
        <v>1.3639999999999999E-2</v>
      </c>
      <c r="ED68" s="1252">
        <f>INDEX('Basic Data TR'!$A$1:$AMJ$9673,MATCH($A68,'Basic Data TR'!$A$1:$A$9673,0),MATCH(ED$6,'Basic Data TR'!$A$1:$AMJ$1,0))</f>
        <v>8.2699999999999996E-3</v>
      </c>
      <c r="EE68" s="1252">
        <f>INDEX('Basic Data TR'!$A$1:$AMJ$9673,MATCH($A68,'Basic Data TR'!$A$1:$A$9673,0),MATCH(EE$6,'Basic Data TR'!$A$1:$AMJ$1,0))</f>
        <v>1.546E-2</v>
      </c>
      <c r="EF68" s="1252">
        <f>INDEX('Basic Data TR'!$A$1:$AMJ$9673,MATCH($A68,'Basic Data TR'!$A$1:$A$9673,0),MATCH(EF$6,'Basic Data TR'!$A$1:$AMJ$1,0))</f>
        <v>2.0619999999999999E-2</v>
      </c>
      <c r="EG68" s="1252">
        <f>INDEX('Basic Data TR'!$A$1:$AMJ$9673,MATCH($A68,'Basic Data TR'!$A$1:$A$9673,0),MATCH(EG$6,'Basic Data TR'!$A$1:$AMJ$1,0))</f>
        <v>2.027E-2</v>
      </c>
      <c r="EH68" s="1252">
        <f>INDEX('Basic Data TR'!$A$1:$AMJ$9673,MATCH($A68,'Basic Data TR'!$A$1:$A$9673,0),MATCH(EH$6,'Basic Data TR'!$A$1:$AMJ$1,0))</f>
        <v>9.1999999999999998E-3</v>
      </c>
      <c r="EI68" s="1252">
        <f>INDEX('Basic Data TR'!$A$1:$AMJ$9673,MATCH($A68,'Basic Data TR'!$A$1:$A$9673,0),MATCH(EI$6,'Basic Data TR'!$A$1:$AMJ$1,0))</f>
        <v>1.4590000000000001E-2</v>
      </c>
      <c r="EJ68" s="1252">
        <f>INDEX('Basic Data TR'!$A$1:$AMJ$9673,MATCH($A68,'Basic Data TR'!$A$1:$A$9673,0),MATCH(EJ$6,'Basic Data TR'!$A$1:$AMJ$1,0))</f>
        <v>2.315E-2</v>
      </c>
      <c r="EK68" s="1252">
        <f>INDEX('Basic Data TR'!$A$1:$AMJ$9673,MATCH($A68,'Basic Data TR'!$A$1:$A$9673,0),MATCH(EK$6,'Basic Data TR'!$A$1:$AMJ$1,0))</f>
        <v>2.69E-2</v>
      </c>
      <c r="EL68" s="1252">
        <f>INDEX('Basic Data TR'!$A$1:$AMJ$9673,MATCH($A68,'Basic Data TR'!$A$1:$A$9673,0),MATCH(EL$6,'Basic Data TR'!$A$1:$AMJ$1,0))</f>
        <v>2.4490000000000001E-2</v>
      </c>
      <c r="EM68" s="1252">
        <f>INDEX('Basic Data TR'!$A$1:$AMJ$9673,MATCH($A68,'Basic Data TR'!$A$1:$A$9673,0),MATCH(EM$6,'Basic Data TR'!$A$1:$AMJ$1,0))</f>
        <v>1.5570000000000001E-2</v>
      </c>
      <c r="EN68" s="1252">
        <f>INDEX('Basic Data TR'!$A$1:$AMJ$9673,MATCH($A68,'Basic Data TR'!$A$1:$A$9673,0),MATCH(EN$6,'Basic Data TR'!$A$1:$AMJ$1,0))</f>
        <v>7.7999999999999996E-3</v>
      </c>
      <c r="EO68" s="1252">
        <f>INDEX('Basic Data TR'!$A$1:$AMJ$9673,MATCH($A68,'Basic Data TR'!$A$1:$A$9673,0),MATCH(EO$6,'Basic Data TR'!$A$1:$AMJ$1,0))</f>
        <v>5.5700000000000003E-3</v>
      </c>
      <c r="EP68" s="1252">
        <f>INDEX('Basic Data TR'!$A$1:$AMJ$9673,MATCH($A68,'Basic Data TR'!$A$1:$A$9673,0),MATCH(EP$6,'Basic Data TR'!$A$1:$AMJ$1,0))</f>
        <v>1.009E-2</v>
      </c>
      <c r="EQ68" s="1252">
        <f>INDEX('Basic Data TR'!$A$1:$AMJ$9673,MATCH($A68,'Basic Data TR'!$A$1:$A$9673,0),MATCH(EQ$6,'Basic Data TR'!$A$1:$AMJ$1,0))</f>
        <v>5.9699999999999996E-3</v>
      </c>
      <c r="ER68" s="1252">
        <f>INDEX('Basic Data TR'!$A$1:$AMJ$9673,MATCH($A68,'Basic Data TR'!$A$1:$A$9673,0),MATCH(ER$6,'Basic Data TR'!$A$1:$AMJ$1,0))</f>
        <v>1.0460000000000001E-2</v>
      </c>
      <c r="ES68" s="1252">
        <f>INDEX('Basic Data TR'!$A$1:$AMJ$9673,MATCH($A68,'Basic Data TR'!$A$1:$A$9673,0),MATCH(ES$6,'Basic Data TR'!$A$1:$AMJ$1,0))</f>
        <v>5.3E-3</v>
      </c>
      <c r="ET68" s="1252">
        <f>INDEX('Basic Data TR'!$A$1:$AMJ$9673,MATCH($A68,'Basic Data TR'!$A$1:$A$9673,0),MATCH(ET$6,'Basic Data TR'!$A$1:$AMJ$1,0))</f>
        <v>5.2599999999999999E-3</v>
      </c>
    </row>
    <row r="69" spans="1:162" s="1253" customFormat="1">
      <c r="A69" s="1206" t="s">
        <v>516</v>
      </c>
      <c r="B69" s="1244" t="s">
        <v>40</v>
      </c>
      <c r="C69" s="1251"/>
      <c r="D69" s="1251"/>
      <c r="E69" s="1251"/>
      <c r="F69" s="1251"/>
      <c r="G69" s="1251"/>
      <c r="H69" s="1251"/>
      <c r="I69" s="1251"/>
      <c r="J69" s="1251"/>
      <c r="K69" s="1251"/>
      <c r="L69" s="1251"/>
      <c r="M69" s="1251"/>
      <c r="N69" s="1251"/>
      <c r="O69" s="1251"/>
      <c r="P69" s="1251"/>
      <c r="Q69" s="1251"/>
      <c r="R69" s="1251" t="e">
        <f ca="1">R$63/R76</f>
        <v>#DIV/0!</v>
      </c>
      <c r="S69" s="1251" t="e">
        <f t="shared" ref="S69:AC69" ca="1" si="117">S$63/S76</f>
        <v>#DIV/0!</v>
      </c>
      <c r="T69" s="1251" t="e">
        <f t="shared" ca="1" si="117"/>
        <v>#DIV/0!</v>
      </c>
      <c r="U69" s="1251">
        <f t="shared" ca="1" si="117"/>
        <v>5.2758604926574665E-2</v>
      </c>
      <c r="V69" s="1251">
        <f t="shared" ca="1" si="117"/>
        <v>4.2804098900240319E-2</v>
      </c>
      <c r="W69" s="1251">
        <f t="shared" ca="1" si="117"/>
        <v>5.8885515386012409E-2</v>
      </c>
      <c r="X69" s="1251">
        <f t="shared" ca="1" si="117"/>
        <v>7.8135104405242947E-2</v>
      </c>
      <c r="Y69" s="1251">
        <f t="shared" ca="1" si="117"/>
        <v>3.5972863308714235E-2</v>
      </c>
      <c r="Z69" s="1251">
        <f t="shared" ca="1" si="117"/>
        <v>2.6764027151810494E-2</v>
      </c>
      <c r="AA69" s="1251" t="e">
        <f t="shared" ca="1" si="117"/>
        <v>#DIV/0!</v>
      </c>
      <c r="AB69" s="1251" t="e">
        <f t="shared" ca="1" si="117"/>
        <v>#DIV/0!</v>
      </c>
      <c r="AC69" s="1251" t="e">
        <f t="shared" ca="1" si="117"/>
        <v>#DIV/0!</v>
      </c>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c r="CB69" s="1251"/>
      <c r="CC69" s="1251"/>
      <c r="CD69" s="1251"/>
      <c r="CE69" s="1251"/>
      <c r="CF69" s="1251"/>
      <c r="CG69" s="1251"/>
      <c r="CH69" s="1251"/>
      <c r="CI69" s="1251"/>
      <c r="CJ69" s="1251"/>
      <c r="CK69" s="1251"/>
      <c r="CL69" s="1251"/>
      <c r="CM69" s="1251"/>
      <c r="CN69" s="1251"/>
      <c r="CO69" s="1251"/>
      <c r="CP69" s="1251"/>
      <c r="CQ69" s="1251"/>
      <c r="CR69" s="1251"/>
      <c r="CS69" s="1251"/>
      <c r="CT69" s="1251"/>
      <c r="CU69" s="1251"/>
      <c r="CV69" s="1251"/>
      <c r="CW69" s="1251"/>
      <c r="CX69" s="1251"/>
      <c r="CY69" s="1251"/>
      <c r="CZ69" s="1251"/>
      <c r="DA69" s="1251"/>
      <c r="DB69" s="1251"/>
      <c r="DC69" s="1251"/>
      <c r="DD69" s="1251"/>
      <c r="DE69" s="1251"/>
      <c r="DF69" s="1251"/>
      <c r="DG69" s="1251"/>
      <c r="DH69" s="1251"/>
      <c r="DI69" s="1251"/>
      <c r="DJ69" s="1251"/>
      <c r="DK69" s="1252"/>
      <c r="DL69" s="1252"/>
      <c r="DM69" s="1252"/>
      <c r="DN69" s="1252"/>
      <c r="DO69" s="1252"/>
      <c r="DP69" s="1252"/>
      <c r="DQ69" s="1252"/>
      <c r="DR69" s="1252"/>
      <c r="DS69" s="1252"/>
      <c r="DT69" s="1252"/>
      <c r="DU69" s="1252"/>
      <c r="DV69" s="1252"/>
      <c r="DW69" s="1252">
        <f>INDEX('Basic Data TR'!$A$1:$AMJ$9673,MATCH($A69,'Basic Data TR'!$A$1:$A$9673,0),MATCH(DW$6,'Basic Data TR'!$A$1:$AMJ$1,0))</f>
        <v>1.2619999999999999E-2</v>
      </c>
      <c r="DX69" s="1252">
        <f>INDEX('Basic Data TR'!$A$1:$AMJ$9673,MATCH($A69,'Basic Data TR'!$A$1:$A$9673,0),MATCH(DX$6,'Basic Data TR'!$A$1:$AMJ$1,0))</f>
        <v>2.3349999999999999E-2</v>
      </c>
      <c r="DY69" s="1252">
        <f>INDEX('Basic Data TR'!$A$1:$AMJ$9673,MATCH($A69,'Basic Data TR'!$A$1:$A$9673,0),MATCH(DY$6,'Basic Data TR'!$A$1:$AMJ$1,0))</f>
        <v>1.3129999999999999E-2</v>
      </c>
      <c r="DZ69" s="1252">
        <f>INDEX('Basic Data TR'!$A$1:$AMJ$9673,MATCH($A69,'Basic Data TR'!$A$1:$A$9673,0),MATCH(DZ$6,'Basic Data TR'!$A$1:$AMJ$1,0))</f>
        <v>4.5999999999999999E-3</v>
      </c>
      <c r="EA69" s="1252">
        <f>INDEX('Basic Data TR'!$A$1:$AMJ$9673,MATCH($A69,'Basic Data TR'!$A$1:$A$9673,0),MATCH(EA$6,'Basic Data TR'!$A$1:$AMJ$1,0))</f>
        <v>6.2300000000000003E-3</v>
      </c>
      <c r="EB69" s="1252">
        <f>INDEX('Basic Data TR'!$A$1:$AMJ$9673,MATCH($A69,'Basic Data TR'!$A$1:$A$9673,0),MATCH(EB$6,'Basic Data TR'!$A$1:$AMJ$1,0))</f>
        <v>1.5259999999999999E-2</v>
      </c>
      <c r="EC69" s="1252">
        <f>INDEX('Basic Data TR'!$A$1:$AMJ$9673,MATCH($A69,'Basic Data TR'!$A$1:$A$9673,0),MATCH(EC$6,'Basic Data TR'!$A$1:$AMJ$1,0))</f>
        <v>1.221E-2</v>
      </c>
      <c r="ED69" s="1252">
        <f>INDEX('Basic Data TR'!$A$1:$AMJ$9673,MATCH($A69,'Basic Data TR'!$A$1:$A$9673,0),MATCH(ED$6,'Basic Data TR'!$A$1:$AMJ$1,0))</f>
        <v>8.2699999999999996E-3</v>
      </c>
      <c r="EE69" s="1252">
        <f>INDEX('Basic Data TR'!$A$1:$AMJ$9673,MATCH($A69,'Basic Data TR'!$A$1:$A$9673,0),MATCH(EE$6,'Basic Data TR'!$A$1:$AMJ$1,0))</f>
        <v>1.3809999999999999E-2</v>
      </c>
      <c r="EF69" s="1252">
        <f>INDEX('Basic Data TR'!$A$1:$AMJ$9673,MATCH($A69,'Basic Data TR'!$A$1:$A$9673,0),MATCH(EF$6,'Basic Data TR'!$A$1:$AMJ$1,0))</f>
        <v>1.8450000000000001E-2</v>
      </c>
      <c r="EG69" s="1252">
        <f>INDEX('Basic Data TR'!$A$1:$AMJ$9673,MATCH($A69,'Basic Data TR'!$A$1:$A$9673,0),MATCH(EG$6,'Basic Data TR'!$A$1:$AMJ$1,0))</f>
        <v>1.8350000000000002E-2</v>
      </c>
      <c r="EH69" s="1252">
        <f>INDEX('Basic Data TR'!$A$1:$AMJ$9673,MATCH($A69,'Basic Data TR'!$A$1:$A$9673,0),MATCH(EH$6,'Basic Data TR'!$A$1:$AMJ$1,0))</f>
        <v>8.5100000000000002E-3</v>
      </c>
      <c r="EI69" s="1252">
        <f>INDEX('Basic Data TR'!$A$1:$AMJ$9673,MATCH($A69,'Basic Data TR'!$A$1:$A$9673,0),MATCH(EI$6,'Basic Data TR'!$A$1:$AMJ$1,0))</f>
        <v>1.325E-2</v>
      </c>
      <c r="EJ69" s="1252">
        <f>INDEX('Basic Data TR'!$A$1:$AMJ$9673,MATCH($A69,'Basic Data TR'!$A$1:$A$9673,0),MATCH(EJ$6,'Basic Data TR'!$A$1:$AMJ$1,0))</f>
        <v>2.2530000000000001E-2</v>
      </c>
      <c r="EK69" s="1252">
        <f>INDEX('Basic Data TR'!$A$1:$AMJ$9673,MATCH($A69,'Basic Data TR'!$A$1:$A$9673,0),MATCH(EK$6,'Basic Data TR'!$A$1:$AMJ$1,0))</f>
        <v>2.2589999999999999E-2</v>
      </c>
      <c r="EL69" s="1252">
        <f>INDEX('Basic Data TR'!$A$1:$AMJ$9673,MATCH($A69,'Basic Data TR'!$A$1:$A$9673,0),MATCH(EL$6,'Basic Data TR'!$A$1:$AMJ$1,0))</f>
        <v>2.4150000000000001E-2</v>
      </c>
      <c r="EM69" s="1252">
        <f>INDEX('Basic Data TR'!$A$1:$AMJ$9673,MATCH($A69,'Basic Data TR'!$A$1:$A$9673,0),MATCH(EM$6,'Basic Data TR'!$A$1:$AMJ$1,0))</f>
        <v>1.3780000000000001E-2</v>
      </c>
      <c r="EN69" s="1252">
        <f>INDEX('Basic Data TR'!$A$1:$AMJ$9673,MATCH($A69,'Basic Data TR'!$A$1:$A$9673,0),MATCH(EN$6,'Basic Data TR'!$A$1:$AMJ$1,0))</f>
        <v>7.1599999999999997E-3</v>
      </c>
      <c r="EO69" s="1252">
        <f>INDEX('Basic Data TR'!$A$1:$AMJ$9673,MATCH($A69,'Basic Data TR'!$A$1:$A$9673,0),MATCH(EO$6,'Basic Data TR'!$A$1:$AMJ$1,0))</f>
        <v>5.5199999999999997E-3</v>
      </c>
      <c r="EP69" s="1252">
        <f>INDEX('Basic Data TR'!$A$1:$AMJ$9673,MATCH($A69,'Basic Data TR'!$A$1:$A$9673,0),MATCH(EP$6,'Basic Data TR'!$A$1:$AMJ$1,0))</f>
        <v>9.2499999999999995E-3</v>
      </c>
      <c r="EQ69" s="1252">
        <f>INDEX('Basic Data TR'!$A$1:$AMJ$9673,MATCH($A69,'Basic Data TR'!$A$1:$A$9673,0),MATCH(EQ$6,'Basic Data TR'!$A$1:$AMJ$1,0))</f>
        <v>5.9199999999999999E-3</v>
      </c>
      <c r="ER69" s="1252">
        <f>INDEX('Basic Data TR'!$A$1:$AMJ$9673,MATCH($A69,'Basic Data TR'!$A$1:$A$9673,0),MATCH(ER$6,'Basic Data TR'!$A$1:$AMJ$1,0))</f>
        <v>1.0240000000000001E-2</v>
      </c>
      <c r="ES69" s="1252">
        <f>INDEX('Basic Data TR'!$A$1:$AMJ$9673,MATCH($A69,'Basic Data TR'!$A$1:$A$9673,0),MATCH(ES$6,'Basic Data TR'!$A$1:$AMJ$1,0))</f>
        <v>5.2700000000000004E-3</v>
      </c>
      <c r="ET69" s="1252">
        <f>INDEX('Basic Data TR'!$A$1:$AMJ$9673,MATCH($A69,'Basic Data TR'!$A$1:$A$9673,0),MATCH(ET$6,'Basic Data TR'!$A$1:$AMJ$1,0))</f>
        <v>5.2399999999999999E-3</v>
      </c>
    </row>
    <row r="70" spans="1:162">
      <c r="A70" s="1224"/>
      <c r="CO70" s="1165"/>
      <c r="CP70" s="1165"/>
    </row>
    <row r="71" spans="1:162">
      <c r="B71" s="1250" t="s">
        <v>41</v>
      </c>
      <c r="CO71" s="1165"/>
      <c r="CP71" s="1165"/>
    </row>
    <row r="72" spans="1:162">
      <c r="A72" s="1203" t="s">
        <v>664</v>
      </c>
      <c r="B72" s="1244" t="s">
        <v>379</v>
      </c>
      <c r="M72" s="1231">
        <f t="shared" ref="M72:AC72" ca="1" si="118">OFFSET($CQ72,0,M$7)+OFFSET($CR72,0,M$7)+OFFSET($CS72,0,M$7)+OFFSET($CT72,0,M$7)</f>
        <v>0</v>
      </c>
      <c r="N72" s="1231">
        <f t="shared" ca="1" si="118"/>
        <v>0</v>
      </c>
      <c r="O72" s="1231">
        <f t="shared" ca="1" si="118"/>
        <v>0</v>
      </c>
      <c r="P72" s="1231">
        <f t="shared" ca="1" si="118"/>
        <v>0</v>
      </c>
      <c r="Q72" s="1231">
        <f t="shared" ca="1" si="118"/>
        <v>0</v>
      </c>
      <c r="R72" s="1231">
        <f t="shared" ca="1" si="118"/>
        <v>0</v>
      </c>
      <c r="S72" s="1231">
        <f t="shared" ca="1" si="118"/>
        <v>0</v>
      </c>
      <c r="T72" s="1231">
        <f t="shared" ca="1" si="118"/>
        <v>0</v>
      </c>
      <c r="U72" s="1231">
        <f t="shared" ca="1" si="118"/>
        <v>0</v>
      </c>
      <c r="V72" s="1231">
        <f t="shared" ca="1" si="118"/>
        <v>0</v>
      </c>
      <c r="W72" s="1231">
        <f t="shared" ca="1" si="118"/>
        <v>0</v>
      </c>
      <c r="X72" s="1231">
        <f t="shared" ca="1" si="118"/>
        <v>0</v>
      </c>
      <c r="Y72" s="1231">
        <f t="shared" ca="1" si="118"/>
        <v>0</v>
      </c>
      <c r="Z72" s="1231">
        <f t="shared" ca="1" si="118"/>
        <v>0</v>
      </c>
      <c r="AA72" s="1231">
        <f t="shared" ca="1" si="118"/>
        <v>0</v>
      </c>
      <c r="AB72" s="1231">
        <f t="shared" ca="1" si="118"/>
        <v>0</v>
      </c>
      <c r="AC72" s="1231">
        <f t="shared" ca="1" si="118"/>
        <v>0</v>
      </c>
      <c r="AD72" s="1231"/>
      <c r="AE72" s="1231"/>
      <c r="AF72" s="1231"/>
      <c r="CO72" s="1165"/>
      <c r="CP72" s="1165"/>
      <c r="DK72" s="1232"/>
      <c r="DL72" s="1232"/>
      <c r="DM72" s="1232"/>
      <c r="DN72" s="1232"/>
      <c r="DO72" s="1232"/>
      <c r="DP72" s="1232"/>
      <c r="DQ72" s="1232"/>
      <c r="DR72" s="1232"/>
      <c r="DS72" s="1232"/>
      <c r="DT72" s="1232"/>
      <c r="DU72" s="1232"/>
      <c r="DV72" s="1232"/>
      <c r="DW72" s="1232">
        <f>INDEX('Basic Data TR'!$A$1:$AMJ$9673,MATCH($A72,'Basic Data TR'!$A$1:$A$9673,0),MATCH(DW$6,'Basic Data TR'!$A$1:$AMJ$1,0))</f>
        <v>0</v>
      </c>
      <c r="DX72" s="1232">
        <f>INDEX('Basic Data TR'!$A$1:$AMJ$9673,MATCH($A72,'Basic Data TR'!$A$1:$A$9673,0),MATCH(DX$6,'Basic Data TR'!$A$1:$AMJ$1,0))</f>
        <v>0</v>
      </c>
      <c r="DY72" s="1232">
        <f>INDEX('Basic Data TR'!$A$1:$AMJ$9673,MATCH($A72,'Basic Data TR'!$A$1:$A$9673,0),MATCH(DY$6,'Basic Data TR'!$A$1:$AMJ$1,0))</f>
        <v>0</v>
      </c>
      <c r="DZ72" s="1232">
        <f>INDEX('Basic Data TR'!$A$1:$AMJ$9673,MATCH($A72,'Basic Data TR'!$A$1:$A$9673,0),MATCH(DZ$6,'Basic Data TR'!$A$1:$AMJ$1,0))</f>
        <v>0</v>
      </c>
      <c r="EA72" s="1232">
        <f>INDEX('Basic Data TR'!$A$1:$AMJ$9673,MATCH($A72,'Basic Data TR'!$A$1:$A$9673,0),MATCH(EA$6,'Basic Data TR'!$A$1:$AMJ$1,0))</f>
        <v>0</v>
      </c>
      <c r="EB72" s="1232">
        <f>INDEX('Basic Data TR'!$A$1:$AMJ$9673,MATCH($A72,'Basic Data TR'!$A$1:$A$9673,0),MATCH(EB$6,'Basic Data TR'!$A$1:$AMJ$1,0))</f>
        <v>0</v>
      </c>
      <c r="EC72" s="1232">
        <f>INDEX('Basic Data TR'!$A$1:$AMJ$9673,MATCH($A72,'Basic Data TR'!$A$1:$A$9673,0),MATCH(EC$6,'Basic Data TR'!$A$1:$AMJ$1,0))</f>
        <v>0</v>
      </c>
      <c r="ED72" s="1232">
        <f>INDEX('Basic Data TR'!$A$1:$AMJ$9673,MATCH($A72,'Basic Data TR'!$A$1:$A$9673,0),MATCH(ED$6,'Basic Data TR'!$A$1:$AMJ$1,0))</f>
        <v>0</v>
      </c>
      <c r="EE72" s="1232">
        <f>INDEX('Basic Data TR'!$A$1:$AMJ$9673,MATCH($A72,'Basic Data TR'!$A$1:$A$9673,0),MATCH(EE$6,'Basic Data TR'!$A$1:$AMJ$1,0))</f>
        <v>0</v>
      </c>
      <c r="EF72" s="1232">
        <f>INDEX('Basic Data TR'!$A$1:$AMJ$9673,MATCH($A72,'Basic Data TR'!$A$1:$A$9673,0),MATCH(EF$6,'Basic Data TR'!$A$1:$AMJ$1,0))</f>
        <v>0</v>
      </c>
      <c r="EG72" s="1232">
        <f>INDEX('Basic Data TR'!$A$1:$AMJ$9673,MATCH($A72,'Basic Data TR'!$A$1:$A$9673,0),MATCH(EG$6,'Basic Data TR'!$A$1:$AMJ$1,0))</f>
        <v>0</v>
      </c>
      <c r="EH72" s="1232">
        <f>INDEX('Basic Data TR'!$A$1:$AMJ$9673,MATCH($A72,'Basic Data TR'!$A$1:$A$9673,0),MATCH(EH$6,'Basic Data TR'!$A$1:$AMJ$1,0))</f>
        <v>0</v>
      </c>
      <c r="EI72" s="1232">
        <f>INDEX('Basic Data TR'!$A$1:$AMJ$9673,MATCH($A72,'Basic Data TR'!$A$1:$A$9673,0),MATCH(EI$6,'Basic Data TR'!$A$1:$AMJ$1,0))</f>
        <v>0</v>
      </c>
      <c r="EJ72" s="1232">
        <f>INDEX('Basic Data TR'!$A$1:$AMJ$9673,MATCH($A72,'Basic Data TR'!$A$1:$A$9673,0),MATCH(EJ$6,'Basic Data TR'!$A$1:$AMJ$1,0))</f>
        <v>0</v>
      </c>
      <c r="EK72" s="1232">
        <f>INDEX('Basic Data TR'!$A$1:$AMJ$9673,MATCH($A72,'Basic Data TR'!$A$1:$A$9673,0),MATCH(EK$6,'Basic Data TR'!$A$1:$AMJ$1,0))</f>
        <v>0</v>
      </c>
      <c r="EL72" s="1232">
        <f>INDEX('Basic Data TR'!$A$1:$AMJ$9673,MATCH($A72,'Basic Data TR'!$A$1:$A$9673,0),MATCH(EL$6,'Basic Data TR'!$A$1:$AMJ$1,0))</f>
        <v>0</v>
      </c>
      <c r="EM72" s="1232">
        <f>INDEX('Basic Data TR'!$A$1:$AMJ$9673,MATCH($A72,'Basic Data TR'!$A$1:$A$9673,0),MATCH(EM$6,'Basic Data TR'!$A$1:$AMJ$1,0))</f>
        <v>0</v>
      </c>
      <c r="EN72" s="1232">
        <f>INDEX('Basic Data TR'!$A$1:$AMJ$9673,MATCH($A72,'Basic Data TR'!$A$1:$A$9673,0),MATCH(EN$6,'Basic Data TR'!$A$1:$AMJ$1,0))</f>
        <v>0</v>
      </c>
      <c r="EO72" s="1232">
        <f>INDEX('Basic Data TR'!$A$1:$AMJ$9673,MATCH($A72,'Basic Data TR'!$A$1:$A$9673,0),MATCH(EO$6,'Basic Data TR'!$A$1:$AMJ$1,0))</f>
        <v>0</v>
      </c>
      <c r="EP72" s="1232">
        <f>INDEX('Basic Data TR'!$A$1:$AMJ$9673,MATCH($A72,'Basic Data TR'!$A$1:$A$9673,0),MATCH(EP$6,'Basic Data TR'!$A$1:$AMJ$1,0))</f>
        <v>0</v>
      </c>
      <c r="EQ72" s="1232">
        <f>INDEX('Basic Data TR'!$A$1:$AMJ$9673,MATCH($A72,'Basic Data TR'!$A$1:$A$9673,0),MATCH(EQ$6,'Basic Data TR'!$A$1:$AMJ$1,0))</f>
        <v>0</v>
      </c>
      <c r="ER72" s="1232">
        <f>INDEX('Basic Data TR'!$A$1:$AMJ$9673,MATCH($A72,'Basic Data TR'!$A$1:$A$9673,0),MATCH(ER$6,'Basic Data TR'!$A$1:$AMJ$1,0))</f>
        <v>0</v>
      </c>
      <c r="ES72" s="1232">
        <f>INDEX('Basic Data TR'!$A$1:$AMJ$9673,MATCH($A72,'Basic Data TR'!$A$1:$A$9673,0),MATCH(ES$6,'Basic Data TR'!$A$1:$AMJ$1,0))</f>
        <v>0</v>
      </c>
      <c r="ET72" s="1232">
        <f>INDEX('Basic Data TR'!$A$1:$AMJ$9673,MATCH($A72,'Basic Data TR'!$A$1:$A$9673,0),MATCH(ET$6,'Basic Data TR'!$A$1:$AMJ$1,0))</f>
        <v>0</v>
      </c>
    </row>
    <row r="73" spans="1:162">
      <c r="B73" s="1237"/>
      <c r="BU73" s="1254"/>
      <c r="CO73" s="1165"/>
      <c r="CP73" s="1165"/>
    </row>
    <row r="74" spans="1:162">
      <c r="A74" s="1224"/>
      <c r="B74" s="1250" t="s">
        <v>151</v>
      </c>
      <c r="CO74" s="1165"/>
      <c r="CP74" s="1165"/>
    </row>
    <row r="75" spans="1:162">
      <c r="A75" s="1209" t="s">
        <v>509</v>
      </c>
      <c r="B75" s="1244" t="s">
        <v>395</v>
      </c>
      <c r="C75" s="1231"/>
      <c r="D75" s="1231"/>
      <c r="E75" s="1231"/>
      <c r="F75" s="1231"/>
      <c r="G75" s="1231"/>
      <c r="H75" s="1231"/>
      <c r="I75" s="1231"/>
      <c r="J75" s="1231"/>
      <c r="K75" s="1231"/>
      <c r="L75" s="1231"/>
      <c r="M75" s="1231"/>
      <c r="N75" s="1231"/>
      <c r="O75" s="1231"/>
      <c r="P75" s="1231"/>
      <c r="Q75" s="1231"/>
      <c r="R75" s="1231" t="e">
        <f t="shared" ref="R75:V76" ca="1" si="119">AVERAGE(OFFSET($CQ75,0,R$7),OFFSET($CR75,0,R$7),OFFSET($CS75,0,R$7),OFFSET($CT75,0,R$7))</f>
        <v>#DIV/0!</v>
      </c>
      <c r="S75" s="1231" t="e">
        <f t="shared" ca="1" si="119"/>
        <v>#DIV/0!</v>
      </c>
      <c r="T75" s="1231" t="e">
        <f t="shared" ca="1" si="119"/>
        <v>#DIV/0!</v>
      </c>
      <c r="U75" s="1231">
        <f t="shared" ca="1" si="119"/>
        <v>3205.6781725000001</v>
      </c>
      <c r="V75" s="1231">
        <f t="shared" ca="1" si="119"/>
        <v>3352.2708199999997</v>
      </c>
      <c r="W75" s="1231">
        <f t="shared" ref="W75:AC76" ca="1" si="120">AVERAGE(OFFSET($CQ75,0,W$7),OFFSET($CR75,0,W$7),OFFSET($CS75,0,W$7),OFFSET($CT75,0,W$7))</f>
        <v>3895.1598425000002</v>
      </c>
      <c r="X75" s="1231">
        <f t="shared" ca="1" si="120"/>
        <v>4223.5603499999997</v>
      </c>
      <c r="Y75" s="1231">
        <f t="shared" ca="1" si="120"/>
        <v>4628.3436024999992</v>
      </c>
      <c r="Z75" s="1231">
        <f t="shared" ca="1" si="120"/>
        <v>4975.8599450000002</v>
      </c>
      <c r="AA75" s="1231" t="e">
        <f t="shared" ca="1" si="120"/>
        <v>#DIV/0!</v>
      </c>
      <c r="AB75" s="1231" t="e">
        <f t="shared" ca="1" si="120"/>
        <v>#DIV/0!</v>
      </c>
      <c r="AC75" s="1231" t="e">
        <f t="shared" ca="1" si="120"/>
        <v>#DIV/0!</v>
      </c>
      <c r="AD75" s="1231"/>
      <c r="AE75" s="1231"/>
      <c r="AF75" s="1231"/>
      <c r="AG75" s="1231"/>
      <c r="AH75" s="1231"/>
      <c r="AI75" s="1231"/>
      <c r="AJ75" s="1231"/>
      <c r="AK75" s="1231"/>
      <c r="AL75" s="1231"/>
      <c r="AM75" s="1231"/>
      <c r="AN75" s="1231"/>
      <c r="AO75" s="1231"/>
      <c r="AP75" s="1231"/>
      <c r="AQ75" s="1231"/>
      <c r="AR75" s="1231"/>
      <c r="AS75" s="1231"/>
      <c r="AT75" s="1231"/>
      <c r="AU75" s="1231"/>
      <c r="AV75" s="1231"/>
      <c r="AW75" s="1231"/>
      <c r="AX75" s="1231"/>
      <c r="AY75" s="1231"/>
      <c r="AZ75" s="1231"/>
      <c r="BA75" s="1231"/>
      <c r="BB75" s="1231"/>
      <c r="BC75" s="1231"/>
      <c r="BD75" s="1231"/>
      <c r="BE75" s="1231"/>
      <c r="BF75" s="1231"/>
      <c r="BG75" s="1231"/>
      <c r="BH75" s="1231"/>
      <c r="BI75" s="1231"/>
      <c r="BJ75" s="1231"/>
      <c r="BK75" s="1231"/>
      <c r="BL75" s="1231"/>
      <c r="BM75" s="1231"/>
      <c r="BN75" s="1231"/>
      <c r="BO75" s="1231"/>
      <c r="BP75" s="1231"/>
      <c r="BQ75" s="1231"/>
      <c r="BR75" s="1231"/>
      <c r="BS75" s="1231"/>
      <c r="BT75" s="1231"/>
      <c r="BU75" s="1231"/>
      <c r="BV75" s="1231"/>
      <c r="BW75" s="1231"/>
      <c r="BX75" s="1231"/>
      <c r="BY75" s="1231"/>
      <c r="BZ75" s="1231"/>
      <c r="CA75" s="1231"/>
      <c r="CB75" s="1231"/>
      <c r="CC75" s="1231"/>
      <c r="CD75" s="1231"/>
      <c r="CE75" s="1231"/>
      <c r="CF75" s="1231"/>
      <c r="CG75" s="1231"/>
      <c r="CH75" s="1231"/>
      <c r="CI75" s="1231"/>
      <c r="CJ75" s="1231"/>
      <c r="CK75" s="1231"/>
      <c r="CL75" s="1231"/>
      <c r="CM75" s="1231"/>
      <c r="CN75" s="1231"/>
      <c r="CO75" s="1230"/>
      <c r="CP75" s="1230"/>
      <c r="CQ75" s="1231"/>
      <c r="CR75" s="1255"/>
      <c r="CS75" s="1231"/>
      <c r="CT75" s="1231"/>
      <c r="CU75" s="1231"/>
      <c r="CV75" s="1255"/>
      <c r="CW75" s="1231"/>
      <c r="CX75" s="1231"/>
      <c r="CY75" s="1231"/>
      <c r="CZ75" s="1255"/>
      <c r="DA75" s="1231"/>
      <c r="DB75" s="1231"/>
      <c r="DC75" s="1231"/>
      <c r="DD75" s="1255"/>
      <c r="DE75" s="1231"/>
      <c r="DF75" s="1231"/>
      <c r="DG75" s="1231"/>
      <c r="DH75" s="1255"/>
      <c r="DI75" s="1231"/>
      <c r="DJ75" s="1231"/>
      <c r="DK75" s="1232"/>
      <c r="DL75" s="1232"/>
      <c r="DM75" s="1232"/>
      <c r="DN75" s="1232"/>
      <c r="DO75" s="1232"/>
      <c r="DP75" s="1232"/>
      <c r="DQ75" s="1232"/>
      <c r="DR75" s="1232"/>
      <c r="DS75" s="1232"/>
      <c r="DT75" s="1232"/>
      <c r="DU75" s="1232"/>
      <c r="DV75" s="1232"/>
      <c r="DW75" s="1232">
        <f>INDEX('Basic Data TR'!$A$1:$AMJ$9673,MATCH($A75,'Basic Data TR'!$A$1:$A$9673,0),MATCH(DW$6,'Basic Data TR'!$A$1:$AMJ$1,0))</f>
        <v>3201.4142099999999</v>
      </c>
      <c r="DX75" s="1232">
        <f>INDEX('Basic Data TR'!$A$1:$AMJ$9673,MATCH($A75,'Basic Data TR'!$A$1:$A$9673,0),MATCH(DX$6,'Basic Data TR'!$A$1:$AMJ$1,0))</f>
        <v>3205.1463600000002</v>
      </c>
      <c r="DY75" s="1232">
        <f>INDEX('Basic Data TR'!$A$1:$AMJ$9673,MATCH($A75,'Basic Data TR'!$A$1:$A$9673,0),MATCH(DY$6,'Basic Data TR'!$A$1:$AMJ$1,0))</f>
        <v>3208.3652000000002</v>
      </c>
      <c r="DZ75" s="1232">
        <f>INDEX('Basic Data TR'!$A$1:$AMJ$9673,MATCH($A75,'Basic Data TR'!$A$1:$A$9673,0),MATCH(DZ$6,'Basic Data TR'!$A$1:$AMJ$1,0))</f>
        <v>3207.78692</v>
      </c>
      <c r="EA75" s="1232">
        <f>INDEX('Basic Data TR'!$A$1:$AMJ$9673,MATCH($A75,'Basic Data TR'!$A$1:$A$9673,0),MATCH(EA$6,'Basic Data TR'!$A$1:$AMJ$1,0))</f>
        <v>3216.8629999999998</v>
      </c>
      <c r="EB75" s="1232">
        <f>INDEX('Basic Data TR'!$A$1:$AMJ$9673,MATCH($A75,'Basic Data TR'!$A$1:$A$9673,0),MATCH(EB$6,'Basic Data TR'!$A$1:$AMJ$1,0))</f>
        <v>3276.9544500000002</v>
      </c>
      <c r="EC75" s="1232">
        <f>INDEX('Basic Data TR'!$A$1:$AMJ$9673,MATCH($A75,'Basic Data TR'!$A$1:$A$9673,0),MATCH(EC$6,'Basic Data TR'!$A$1:$AMJ$1,0))</f>
        <v>3484.56763</v>
      </c>
      <c r="ED75" s="1232">
        <f>INDEX('Basic Data TR'!$A$1:$AMJ$9673,MATCH($A75,'Basic Data TR'!$A$1:$A$9673,0),MATCH(ED$6,'Basic Data TR'!$A$1:$AMJ$1,0))</f>
        <v>3430.6981999999998</v>
      </c>
      <c r="EE75" s="1232">
        <f>INDEX('Basic Data TR'!$A$1:$AMJ$9673,MATCH($A75,'Basic Data TR'!$A$1:$A$9673,0),MATCH(EE$6,'Basic Data TR'!$A$1:$AMJ$1,0))</f>
        <v>3587.674</v>
      </c>
      <c r="EF75" s="1232">
        <f>INDEX('Basic Data TR'!$A$1:$AMJ$9673,MATCH($A75,'Basic Data TR'!$A$1:$A$9673,0),MATCH(EF$6,'Basic Data TR'!$A$1:$AMJ$1,0))</f>
        <v>3719.18001</v>
      </c>
      <c r="EG75" s="1232">
        <f>INDEX('Basic Data TR'!$A$1:$AMJ$9673,MATCH($A75,'Basic Data TR'!$A$1:$A$9673,0),MATCH(EG$6,'Basic Data TR'!$A$1:$AMJ$1,0))</f>
        <v>4077.0627599999998</v>
      </c>
      <c r="EH75" s="1232">
        <f>INDEX('Basic Data TR'!$A$1:$AMJ$9673,MATCH($A75,'Basic Data TR'!$A$1:$A$9673,0),MATCH(EH$6,'Basic Data TR'!$A$1:$AMJ$1,0))</f>
        <v>4196.7226000000001</v>
      </c>
      <c r="EI75" s="1232">
        <f>INDEX('Basic Data TR'!$A$1:$AMJ$9673,MATCH($A75,'Basic Data TR'!$A$1:$A$9673,0),MATCH(EI$6,'Basic Data TR'!$A$1:$AMJ$1,0))</f>
        <v>4208.8297899999998</v>
      </c>
      <c r="EJ75" s="1232">
        <f>INDEX('Basic Data TR'!$A$1:$AMJ$9673,MATCH($A75,'Basic Data TR'!$A$1:$A$9673,0),MATCH(EJ$6,'Basic Data TR'!$A$1:$AMJ$1,0))</f>
        <v>4217.8115200000002</v>
      </c>
      <c r="EK75" s="1232">
        <f>INDEX('Basic Data TR'!$A$1:$AMJ$9673,MATCH($A75,'Basic Data TR'!$A$1:$A$9673,0),MATCH(EK$6,'Basic Data TR'!$A$1:$AMJ$1,0))</f>
        <v>4221.4327599999997</v>
      </c>
      <c r="EL75" s="1232">
        <f>INDEX('Basic Data TR'!$A$1:$AMJ$9673,MATCH($A75,'Basic Data TR'!$A$1:$A$9673,0),MATCH(EL$6,'Basic Data TR'!$A$1:$AMJ$1,0))</f>
        <v>4246.1673300000002</v>
      </c>
      <c r="EM75" s="1232">
        <f>INDEX('Basic Data TR'!$A$1:$AMJ$9673,MATCH($A75,'Basic Data TR'!$A$1:$A$9673,0),MATCH(EM$6,'Basic Data TR'!$A$1:$AMJ$1,0))</f>
        <v>4482.6644999999999</v>
      </c>
      <c r="EN75" s="1232">
        <f>INDEX('Basic Data TR'!$A$1:$AMJ$9673,MATCH($A75,'Basic Data TR'!$A$1:$A$9673,0),MATCH(EN$6,'Basic Data TR'!$A$1:$AMJ$1,0))</f>
        <v>4650.6323000000002</v>
      </c>
      <c r="EO75" s="1232">
        <f>INDEX('Basic Data TR'!$A$1:$AMJ$9673,MATCH($A75,'Basic Data TR'!$A$1:$A$9673,0),MATCH(EO$6,'Basic Data TR'!$A$1:$AMJ$1,0))</f>
        <v>4651.3043399999997</v>
      </c>
      <c r="EP75" s="1232">
        <f>INDEX('Basic Data TR'!$A$1:$AMJ$9673,MATCH($A75,'Basic Data TR'!$A$1:$A$9673,0),MATCH(EP$6,'Basic Data TR'!$A$1:$AMJ$1,0))</f>
        <v>4728.7732699999997</v>
      </c>
      <c r="EQ75" s="1232">
        <f>INDEX('Basic Data TR'!$A$1:$AMJ$9673,MATCH($A75,'Basic Data TR'!$A$1:$A$9673,0),MATCH(EQ$6,'Basic Data TR'!$A$1:$AMJ$1,0))</f>
        <v>4918.4486800000004</v>
      </c>
      <c r="ER75" s="1232">
        <f>INDEX('Basic Data TR'!$A$1:$AMJ$9673,MATCH($A75,'Basic Data TR'!$A$1:$A$9673,0),MATCH(ER$6,'Basic Data TR'!$A$1:$AMJ$1,0))</f>
        <v>4932.1691000000001</v>
      </c>
      <c r="ES75" s="1232">
        <f>INDEX('Basic Data TR'!$A$1:$AMJ$9673,MATCH($A75,'Basic Data TR'!$A$1:$A$9673,0),MATCH(ES$6,'Basic Data TR'!$A$1:$AMJ$1,0))</f>
        <v>5013.9690099999998</v>
      </c>
      <c r="ET75" s="1232">
        <f>INDEX('Basic Data TR'!$A$1:$AMJ$9673,MATCH($A75,'Basic Data TR'!$A$1:$A$9673,0),MATCH(ET$6,'Basic Data TR'!$A$1:$AMJ$1,0))</f>
        <v>5038.8529900000003</v>
      </c>
      <c r="EV75" s="1256"/>
      <c r="EX75" s="1165"/>
      <c r="EY75" s="1165"/>
      <c r="EZ75" s="1165"/>
      <c r="FA75" s="1165"/>
      <c r="FB75" s="1165"/>
      <c r="FC75" s="1165"/>
      <c r="FD75" s="1165"/>
      <c r="FE75" s="1165"/>
      <c r="FF75" s="1165"/>
    </row>
    <row r="76" spans="1:162">
      <c r="A76" s="1209" t="s">
        <v>514</v>
      </c>
      <c r="B76" s="1244" t="s">
        <v>3</v>
      </c>
      <c r="C76" s="1231"/>
      <c r="D76" s="1231"/>
      <c r="E76" s="1231"/>
      <c r="F76" s="1231"/>
      <c r="G76" s="1231"/>
      <c r="H76" s="1231"/>
      <c r="I76" s="1231"/>
      <c r="J76" s="1231"/>
      <c r="K76" s="1231"/>
      <c r="L76" s="1231"/>
      <c r="M76" s="1231"/>
      <c r="N76" s="1231"/>
      <c r="O76" s="1231"/>
      <c r="P76" s="1231"/>
      <c r="Q76" s="1231"/>
      <c r="R76" s="1231" t="e">
        <f t="shared" ca="1" si="119"/>
        <v>#DIV/0!</v>
      </c>
      <c r="S76" s="1231" t="e">
        <f t="shared" ca="1" si="119"/>
        <v>#DIV/0!</v>
      </c>
      <c r="T76" s="1231" t="e">
        <f t="shared" ca="1" si="119"/>
        <v>#DIV/0!</v>
      </c>
      <c r="U76" s="1231">
        <f t="shared" ca="1" si="119"/>
        <v>3282.44085</v>
      </c>
      <c r="V76" s="1231">
        <f t="shared" ca="1" si="119"/>
        <v>3573.6998075000001</v>
      </c>
      <c r="W76" s="1231">
        <f t="shared" ca="1" si="120"/>
        <v>4303.4521874999991</v>
      </c>
      <c r="X76" s="1231">
        <f t="shared" ca="1" si="120"/>
        <v>4820.2405675</v>
      </c>
      <c r="Y76" s="1231">
        <f t="shared" ca="1" si="120"/>
        <v>4994.8484349999999</v>
      </c>
      <c r="Z76" s="1231">
        <f t="shared" ca="1" si="120"/>
        <v>5008.7753699999994</v>
      </c>
      <c r="AA76" s="1231" t="e">
        <f t="shared" ca="1" si="120"/>
        <v>#DIV/0!</v>
      </c>
      <c r="AB76" s="1231" t="e">
        <f t="shared" ca="1" si="120"/>
        <v>#DIV/0!</v>
      </c>
      <c r="AC76" s="1231" t="e">
        <f t="shared" ca="1" si="120"/>
        <v>#DIV/0!</v>
      </c>
      <c r="AD76" s="1231"/>
      <c r="AE76" s="1231"/>
      <c r="AF76" s="1231"/>
      <c r="AG76" s="1231"/>
      <c r="AH76" s="1231"/>
      <c r="AI76" s="1231"/>
      <c r="AJ76" s="1231"/>
      <c r="AK76" s="1231"/>
      <c r="AL76" s="1231"/>
      <c r="AM76" s="1231"/>
      <c r="AN76" s="1231"/>
      <c r="AO76" s="1231"/>
      <c r="AP76" s="1231"/>
      <c r="AQ76" s="1231"/>
      <c r="AR76" s="1231"/>
      <c r="AS76" s="1231"/>
      <c r="AT76" s="1231"/>
      <c r="AU76" s="1231"/>
      <c r="AV76" s="1231"/>
      <c r="AW76" s="1231"/>
      <c r="AX76" s="1231"/>
      <c r="AY76" s="1231"/>
      <c r="AZ76" s="1231"/>
      <c r="BA76" s="1231"/>
      <c r="BB76" s="1231"/>
      <c r="BC76" s="1231"/>
      <c r="BD76" s="1231"/>
      <c r="BE76" s="1231"/>
      <c r="BF76" s="1231"/>
      <c r="BG76" s="1231"/>
      <c r="BH76" s="1231"/>
      <c r="BI76" s="1231"/>
      <c r="BJ76" s="1231"/>
      <c r="BK76" s="1231"/>
      <c r="BL76" s="1231"/>
      <c r="BM76" s="1231"/>
      <c r="BN76" s="1231"/>
      <c r="BO76" s="1231"/>
      <c r="BP76" s="1231"/>
      <c r="BQ76" s="1231"/>
      <c r="BR76" s="1231"/>
      <c r="BS76" s="1231"/>
      <c r="BT76" s="1231"/>
      <c r="BU76" s="1231"/>
      <c r="BV76" s="1231"/>
      <c r="BW76" s="1231"/>
      <c r="BX76" s="1231"/>
      <c r="BY76" s="1231"/>
      <c r="BZ76" s="1231"/>
      <c r="CA76" s="1231"/>
      <c r="CB76" s="1231"/>
      <c r="CC76" s="1231"/>
      <c r="CD76" s="1231"/>
      <c r="CE76" s="1231"/>
      <c r="CF76" s="1231"/>
      <c r="CG76" s="1231"/>
      <c r="CH76" s="1231"/>
      <c r="CI76" s="1231"/>
      <c r="CJ76" s="1231"/>
      <c r="CK76" s="1231"/>
      <c r="CL76" s="1231"/>
      <c r="CM76" s="1231"/>
      <c r="CN76" s="1231"/>
      <c r="CO76" s="1230"/>
      <c r="CP76" s="1230"/>
      <c r="CQ76" s="1231"/>
      <c r="CR76" s="1255"/>
      <c r="CS76" s="1231"/>
      <c r="CT76" s="1231"/>
      <c r="CU76" s="1231"/>
      <c r="CV76" s="1255"/>
      <c r="CW76" s="1231"/>
      <c r="CX76" s="1231"/>
      <c r="CY76" s="1231"/>
      <c r="CZ76" s="1255"/>
      <c r="DA76" s="1231"/>
      <c r="DB76" s="1231"/>
      <c r="DC76" s="1231"/>
      <c r="DD76" s="1255"/>
      <c r="DE76" s="1231"/>
      <c r="DF76" s="1231"/>
      <c r="DG76" s="1231"/>
      <c r="DH76" s="1255"/>
      <c r="DI76" s="1231"/>
      <c r="DJ76" s="1231"/>
      <c r="DK76" s="1232"/>
      <c r="DL76" s="1232"/>
      <c r="DM76" s="1232"/>
      <c r="DN76" s="1232"/>
      <c r="DO76" s="1232"/>
      <c r="DP76" s="1232"/>
      <c r="DQ76" s="1232"/>
      <c r="DR76" s="1232"/>
      <c r="DS76" s="1232"/>
      <c r="DT76" s="1232"/>
      <c r="DU76" s="1232"/>
      <c r="DV76" s="1232"/>
      <c r="DW76" s="1232">
        <f>INDEX('Basic Data TR'!$A$1:$AMJ$9673,MATCH($A76,'Basic Data TR'!$A$1:$A$9673,0),MATCH(DW$6,'Basic Data TR'!$A$1:$AMJ$1,0))</f>
        <v>3218.2139299999999</v>
      </c>
      <c r="DX76" s="1232">
        <f>INDEX('Basic Data TR'!$A$1:$AMJ$9673,MATCH($A76,'Basic Data TR'!$A$1:$A$9673,0),MATCH(DX$6,'Basic Data TR'!$A$1:$AMJ$1,0))</f>
        <v>3229.57251</v>
      </c>
      <c r="DY76" s="1232">
        <f>INDEX('Basic Data TR'!$A$1:$AMJ$9673,MATCH($A76,'Basic Data TR'!$A$1:$A$9673,0),MATCH(DY$6,'Basic Data TR'!$A$1:$AMJ$1,0))</f>
        <v>3235.4552199999998</v>
      </c>
      <c r="DZ76" s="1232">
        <f>INDEX('Basic Data TR'!$A$1:$AMJ$9673,MATCH($A76,'Basic Data TR'!$A$1:$A$9673,0),MATCH(DZ$6,'Basic Data TR'!$A$1:$AMJ$1,0))</f>
        <v>3446.5217400000001</v>
      </c>
      <c r="EA76" s="1232">
        <f>INDEX('Basic Data TR'!$A$1:$AMJ$9673,MATCH($A76,'Basic Data TR'!$A$1:$A$9673,0),MATCH(EA$6,'Basic Data TR'!$A$1:$AMJ$1,0))</f>
        <v>3251.2916</v>
      </c>
      <c r="EB76" s="1232">
        <f>INDEX('Basic Data TR'!$A$1:$AMJ$9673,MATCH($A76,'Basic Data TR'!$A$1:$A$9673,0),MATCH(EB$6,'Basic Data TR'!$A$1:$AMJ$1,0))</f>
        <v>3722.4188800000002</v>
      </c>
      <c r="EC76" s="1232">
        <f>INDEX('Basic Data TR'!$A$1:$AMJ$9673,MATCH($A76,'Basic Data TR'!$A$1:$A$9673,0),MATCH(EC$6,'Basic Data TR'!$A$1:$AMJ$1,0))</f>
        <v>3890.3905500000001</v>
      </c>
      <c r="ED76" s="1232">
        <f>INDEX('Basic Data TR'!$A$1:$AMJ$9673,MATCH($A76,'Basic Data TR'!$A$1:$A$9673,0),MATCH(ED$6,'Basic Data TR'!$A$1:$AMJ$1,0))</f>
        <v>3430.6981999999998</v>
      </c>
      <c r="EE76" s="1232">
        <f>INDEX('Basic Data TR'!$A$1:$AMJ$9673,MATCH($A76,'Basic Data TR'!$A$1:$A$9673,0),MATCH(EE$6,'Basic Data TR'!$A$1:$AMJ$1,0))</f>
        <v>4018.0857999999998</v>
      </c>
      <c r="EF76" s="1232">
        <f>INDEX('Basic Data TR'!$A$1:$AMJ$9673,MATCH($A76,'Basic Data TR'!$A$1:$A$9673,0),MATCH(EF$6,'Basic Data TR'!$A$1:$AMJ$1,0))</f>
        <v>4157.1630699999996</v>
      </c>
      <c r="EG76" s="1232">
        <f>INDEX('Basic Data TR'!$A$1:$AMJ$9673,MATCH($A76,'Basic Data TR'!$A$1:$A$9673,0),MATCH(EG$6,'Basic Data TR'!$A$1:$AMJ$1,0))</f>
        <v>4502.0233600000001</v>
      </c>
      <c r="EH76" s="1232">
        <f>INDEX('Basic Data TR'!$A$1:$AMJ$9673,MATCH($A76,'Basic Data TR'!$A$1:$A$9673,0),MATCH(EH$6,'Basic Data TR'!$A$1:$AMJ$1,0))</f>
        <v>4536.5365199999997</v>
      </c>
      <c r="EI76" s="1232">
        <f>INDEX('Basic Data TR'!$A$1:$AMJ$9673,MATCH($A76,'Basic Data TR'!$A$1:$A$9673,0),MATCH(EI$6,'Basic Data TR'!$A$1:$AMJ$1,0))</f>
        <v>4634.8491899999999</v>
      </c>
      <c r="EJ76" s="1232">
        <f>INDEX('Basic Data TR'!$A$1:$AMJ$9673,MATCH($A76,'Basic Data TR'!$A$1:$A$9673,0),MATCH(EJ$6,'Basic Data TR'!$A$1:$AMJ$1,0))</f>
        <v>4635.1072299999996</v>
      </c>
      <c r="EK76" s="1232">
        <f>INDEX('Basic Data TR'!$A$1:$AMJ$9673,MATCH($A76,'Basic Data TR'!$A$1:$A$9673,0),MATCH(EK$6,'Basic Data TR'!$A$1:$AMJ$1,0))</f>
        <v>5027.1070900000004</v>
      </c>
      <c r="EL76" s="1232">
        <f>INDEX('Basic Data TR'!$A$1:$AMJ$9673,MATCH($A76,'Basic Data TR'!$A$1:$A$9673,0),MATCH(EL$6,'Basic Data TR'!$A$1:$AMJ$1,0))</f>
        <v>4983.89876</v>
      </c>
      <c r="EM76" s="1232">
        <f>INDEX('Basic Data TR'!$A$1:$AMJ$9673,MATCH($A76,'Basic Data TR'!$A$1:$A$9673,0),MATCH(EM$6,'Basic Data TR'!$A$1:$AMJ$1,0))</f>
        <v>5064.0823700000001</v>
      </c>
      <c r="EN76" s="1232">
        <f>INDEX('Basic Data TR'!$A$1:$AMJ$9673,MATCH($A76,'Basic Data TR'!$A$1:$A$9673,0),MATCH(EN$6,'Basic Data TR'!$A$1:$AMJ$1,0))</f>
        <v>5066.0719300000001</v>
      </c>
      <c r="EO76" s="1232">
        <f>INDEX('Basic Data TR'!$A$1:$AMJ$9673,MATCH($A76,'Basic Data TR'!$A$1:$A$9673,0),MATCH(EO$6,'Basic Data TR'!$A$1:$AMJ$1,0))</f>
        <v>4690.0391900000004</v>
      </c>
      <c r="EP76" s="1232">
        <f>INDEX('Basic Data TR'!$A$1:$AMJ$9673,MATCH($A76,'Basic Data TR'!$A$1:$A$9673,0),MATCH(EP$6,'Basic Data TR'!$A$1:$AMJ$1,0))</f>
        <v>5159.2002499999999</v>
      </c>
      <c r="EQ76" s="1232">
        <f>INDEX('Basic Data TR'!$A$1:$AMJ$9673,MATCH($A76,'Basic Data TR'!$A$1:$A$9673,0),MATCH(EQ$6,'Basic Data TR'!$A$1:$AMJ$1,0))</f>
        <v>4961.9334900000003</v>
      </c>
      <c r="ER76" s="1232">
        <f>INDEX('Basic Data TR'!$A$1:$AMJ$9673,MATCH($A76,'Basic Data TR'!$A$1:$A$9673,0),MATCH(ER$6,'Basic Data TR'!$A$1:$AMJ$1,0))</f>
        <v>4974.7536099999998</v>
      </c>
      <c r="ES76" s="1232">
        <f>INDEX('Basic Data TR'!$A$1:$AMJ$9673,MATCH($A76,'Basic Data TR'!$A$1:$A$9673,0),MATCH(ES$6,'Basic Data TR'!$A$1:$AMJ$1,0))</f>
        <v>5040.1707299999998</v>
      </c>
      <c r="ET76" s="1232">
        <f>INDEX('Basic Data TR'!$A$1:$AMJ$9673,MATCH($A76,'Basic Data TR'!$A$1:$A$9673,0),MATCH(ET$6,'Basic Data TR'!$A$1:$AMJ$1,0))</f>
        <v>5058.2436500000003</v>
      </c>
      <c r="EV76" s="1256"/>
      <c r="EX76" s="1165"/>
      <c r="EY76" s="1165"/>
      <c r="EZ76" s="1165"/>
      <c r="FA76" s="1165"/>
      <c r="FB76" s="1165"/>
      <c r="FC76" s="1165"/>
      <c r="FD76" s="1165"/>
      <c r="FE76" s="1165"/>
      <c r="FF76" s="1165"/>
    </row>
    <row r="77" spans="1:162">
      <c r="A77" s="1209" t="s">
        <v>617</v>
      </c>
      <c r="B77" s="1244" t="s">
        <v>74</v>
      </c>
      <c r="C77" s="1231"/>
      <c r="D77" s="1231"/>
      <c r="E77" s="1231"/>
      <c r="F77" s="1231"/>
      <c r="G77" s="1231"/>
      <c r="H77" s="1231"/>
      <c r="I77" s="1231"/>
      <c r="J77" s="1231"/>
      <c r="K77" s="1231"/>
      <c r="L77" s="1231"/>
      <c r="M77" s="1231">
        <f t="shared" ref="M77:AC77" ca="1" si="121">OFFSET($CT77,0,M$7)</f>
        <v>0</v>
      </c>
      <c r="N77" s="1231">
        <f t="shared" ca="1" si="121"/>
        <v>0</v>
      </c>
      <c r="O77" s="1231">
        <f t="shared" ca="1" si="121"/>
        <v>0</v>
      </c>
      <c r="P77" s="1231">
        <f t="shared" ca="1" si="121"/>
        <v>0</v>
      </c>
      <c r="Q77" s="1231">
        <f t="shared" ca="1" si="121"/>
        <v>0</v>
      </c>
      <c r="R77" s="1231">
        <f t="shared" ca="1" si="121"/>
        <v>0</v>
      </c>
      <c r="S77" s="1231">
        <f t="shared" ca="1" si="121"/>
        <v>0</v>
      </c>
      <c r="T77" s="1231">
        <f t="shared" ca="1" si="121"/>
        <v>0</v>
      </c>
      <c r="U77" s="1231">
        <f>DY77</f>
        <v>3208.3652000000002</v>
      </c>
      <c r="V77" s="1231">
        <f>EC77</f>
        <v>3484.56763</v>
      </c>
      <c r="W77" s="1231">
        <f>EG77</f>
        <v>4077.0627599999998</v>
      </c>
      <c r="X77" s="1231">
        <f>EK77</f>
        <v>4221.4327599999997</v>
      </c>
      <c r="Y77" s="1231">
        <f>EO77</f>
        <v>4651.3043399999997</v>
      </c>
      <c r="Z77" s="1231">
        <f>ES77</f>
        <v>5013.9690099999998</v>
      </c>
      <c r="AA77" s="1231">
        <f t="shared" ca="1" si="121"/>
        <v>0</v>
      </c>
      <c r="AB77" s="1231">
        <f t="shared" ca="1" si="121"/>
        <v>0</v>
      </c>
      <c r="AC77" s="1231">
        <f t="shared" ca="1" si="121"/>
        <v>0</v>
      </c>
      <c r="AD77" s="1231"/>
      <c r="AE77" s="1231"/>
      <c r="AF77" s="1231"/>
      <c r="AG77" s="1231"/>
      <c r="AH77" s="1231"/>
      <c r="AI77" s="1231"/>
      <c r="AJ77" s="1231"/>
      <c r="AK77" s="1231"/>
      <c r="AL77" s="1231"/>
      <c r="AM77" s="1231"/>
      <c r="AN77" s="1231"/>
      <c r="AO77" s="1231"/>
      <c r="AP77" s="1231"/>
      <c r="AQ77" s="1231"/>
      <c r="AR77" s="1231"/>
      <c r="AS77" s="1231"/>
      <c r="AT77" s="1231"/>
      <c r="AU77" s="1231"/>
      <c r="AV77" s="1231"/>
      <c r="AW77" s="1231"/>
      <c r="AX77" s="1231"/>
      <c r="AY77" s="1231"/>
      <c r="AZ77" s="1231"/>
      <c r="BA77" s="1231"/>
      <c r="BB77" s="1231"/>
      <c r="BC77" s="1231"/>
      <c r="BD77" s="1231"/>
      <c r="BE77" s="1231"/>
      <c r="BF77" s="1231"/>
      <c r="BG77" s="1231"/>
      <c r="BH77" s="1231"/>
      <c r="BI77" s="1231"/>
      <c r="BJ77" s="1231"/>
      <c r="BK77" s="1231"/>
      <c r="BL77" s="1231"/>
      <c r="BM77" s="1231"/>
      <c r="BN77" s="1231"/>
      <c r="BO77" s="1231"/>
      <c r="BP77" s="1231"/>
      <c r="BQ77" s="1255"/>
      <c r="BR77" s="1231"/>
      <c r="BS77" s="1231"/>
      <c r="BT77" s="1231"/>
      <c r="BU77" s="1231"/>
      <c r="BV77" s="1231"/>
      <c r="BW77" s="1231"/>
      <c r="BX77" s="1231"/>
      <c r="BY77" s="1231"/>
      <c r="BZ77" s="1231"/>
      <c r="CA77" s="1231"/>
      <c r="CB77" s="1231"/>
      <c r="CC77" s="1231"/>
      <c r="CD77" s="1231"/>
      <c r="CE77" s="1231"/>
      <c r="CF77" s="1231"/>
      <c r="CG77" s="1231"/>
      <c r="CH77" s="1231"/>
      <c r="CI77" s="1231"/>
      <c r="CJ77" s="1231"/>
      <c r="CK77" s="1231"/>
      <c r="CL77" s="1231"/>
      <c r="CM77" s="1231"/>
      <c r="CN77" s="1231"/>
      <c r="CO77" s="1230"/>
      <c r="CP77" s="1230"/>
      <c r="CQ77" s="1231"/>
      <c r="CR77" s="1231"/>
      <c r="CS77" s="1231"/>
      <c r="CT77" s="1231"/>
      <c r="CU77" s="1231"/>
      <c r="CV77" s="1231"/>
      <c r="CW77" s="1231"/>
      <c r="CX77" s="1231"/>
      <c r="CY77" s="1231"/>
      <c r="CZ77" s="1231"/>
      <c r="DA77" s="1231"/>
      <c r="DB77" s="1231"/>
      <c r="DC77" s="1231"/>
      <c r="DD77" s="1231"/>
      <c r="DE77" s="1231"/>
      <c r="DF77" s="1231"/>
      <c r="DG77" s="1231"/>
      <c r="DH77" s="1231"/>
      <c r="DI77" s="1231"/>
      <c r="DJ77" s="1231"/>
      <c r="DK77" s="1232"/>
      <c r="DL77" s="1232"/>
      <c r="DM77" s="1232"/>
      <c r="DN77" s="1232"/>
      <c r="DO77" s="1232"/>
      <c r="DP77" s="1232"/>
      <c r="DQ77" s="1232"/>
      <c r="DR77" s="1232"/>
      <c r="DS77" s="1232"/>
      <c r="DT77" s="1232"/>
      <c r="DU77" s="1232"/>
      <c r="DV77" s="1232"/>
      <c r="DW77" s="1232">
        <f>DW75</f>
        <v>3201.4142099999999</v>
      </c>
      <c r="DX77" s="1232">
        <f>INDEX('Basic Data TR'!$A$1:$AMJ$9673,MATCH($A77,'Basic Data TR'!$A$1:$A$9673,0),MATCH(DX$6,'Basic Data TR'!$A$1:$AMJ$1,0))</f>
        <v>0</v>
      </c>
      <c r="DY77" s="1232">
        <f>DY75</f>
        <v>3208.3652000000002</v>
      </c>
      <c r="DZ77" s="1232">
        <f>INDEX('Basic Data TR'!$A$1:$AMJ$9673,MATCH($A77,'Basic Data TR'!$A$1:$A$9673,0),MATCH(DZ$6,'Basic Data TR'!$A$1:$AMJ$1,0))</f>
        <v>0</v>
      </c>
      <c r="EA77" s="1232">
        <f>EA75</f>
        <v>3216.8629999999998</v>
      </c>
      <c r="EB77" s="1232">
        <f>INDEX('Basic Data TR'!$A$1:$AMJ$9673,MATCH($A77,'Basic Data TR'!$A$1:$A$9673,0),MATCH(EB$6,'Basic Data TR'!$A$1:$AMJ$1,0))</f>
        <v>0</v>
      </c>
      <c r="EC77" s="1232">
        <f>EC75</f>
        <v>3484.56763</v>
      </c>
      <c r="ED77" s="1232">
        <f>INDEX('Basic Data TR'!$A$1:$AMJ$9673,MATCH($A77,'Basic Data TR'!$A$1:$A$9673,0),MATCH(ED$6,'Basic Data TR'!$A$1:$AMJ$1,0))</f>
        <v>0</v>
      </c>
      <c r="EE77" s="1232">
        <f>EE75</f>
        <v>3587.674</v>
      </c>
      <c r="EF77" s="1232">
        <f>INDEX('Basic Data TR'!$A$1:$AMJ$9673,MATCH($A77,'Basic Data TR'!$A$1:$A$9673,0),MATCH(EF$6,'Basic Data TR'!$A$1:$AMJ$1,0))</f>
        <v>0</v>
      </c>
      <c r="EG77" s="1232">
        <f>EG75</f>
        <v>4077.0627599999998</v>
      </c>
      <c r="EH77" s="1232">
        <f>INDEX('Basic Data TR'!$A$1:$AMJ$9673,MATCH($A77,'Basic Data TR'!$A$1:$A$9673,0),MATCH(EH$6,'Basic Data TR'!$A$1:$AMJ$1,0))</f>
        <v>0</v>
      </c>
      <c r="EI77" s="1232">
        <f>EI75</f>
        <v>4208.8297899999998</v>
      </c>
      <c r="EJ77" s="1232">
        <f>INDEX('Basic Data TR'!$A$1:$AMJ$9673,MATCH($A77,'Basic Data TR'!$A$1:$A$9673,0),MATCH(EJ$6,'Basic Data TR'!$A$1:$AMJ$1,0))</f>
        <v>0</v>
      </c>
      <c r="EK77" s="1232">
        <f>EK75</f>
        <v>4221.4327599999997</v>
      </c>
      <c r="EL77" s="1232">
        <f>INDEX('Basic Data TR'!$A$1:$AMJ$9673,MATCH($A77,'Basic Data TR'!$A$1:$A$9673,0),MATCH(EL$6,'Basic Data TR'!$A$1:$AMJ$1,0))</f>
        <v>0</v>
      </c>
      <c r="EM77" s="1232">
        <f>EM75</f>
        <v>4482.6644999999999</v>
      </c>
      <c r="EN77" s="1232">
        <f>INDEX('Basic Data TR'!$A$1:$AMJ$9673,MATCH($A77,'Basic Data TR'!$A$1:$A$9673,0),MATCH(EN$6,'Basic Data TR'!$A$1:$AMJ$1,0))</f>
        <v>0</v>
      </c>
      <c r="EO77" s="1232">
        <f>EO75</f>
        <v>4651.3043399999997</v>
      </c>
      <c r="EP77" s="1232">
        <f>INDEX('Basic Data TR'!$A$1:$AMJ$9673,MATCH($A77,'Basic Data TR'!$A$1:$A$9673,0),MATCH(EP$6,'Basic Data TR'!$A$1:$AMJ$1,0))</f>
        <v>0</v>
      </c>
      <c r="EQ77" s="1232">
        <f>EQ75</f>
        <v>4918.4486800000004</v>
      </c>
      <c r="ER77" s="1232">
        <f>INDEX('Basic Data TR'!$A$1:$AMJ$9673,MATCH($A77,'Basic Data TR'!$A$1:$A$9673,0),MATCH(ER$6,'Basic Data TR'!$A$1:$AMJ$1,0))</f>
        <v>0</v>
      </c>
      <c r="ES77" s="1232">
        <f>ES75</f>
        <v>5013.9690099999998</v>
      </c>
      <c r="ET77" s="1232">
        <f>INDEX('Basic Data TR'!$A$1:$AMJ$9673,MATCH($A77,'Basic Data TR'!$A$1:$A$9673,0),MATCH(ET$6,'Basic Data TR'!$A$1:$AMJ$1,0))</f>
        <v>0</v>
      </c>
    </row>
    <row r="78" spans="1:162">
      <c r="A78" s="1224"/>
      <c r="B78" s="1237" t="s">
        <v>194</v>
      </c>
      <c r="CO78" s="1165"/>
      <c r="CP78" s="1165"/>
    </row>
    <row r="79" spans="1:162">
      <c r="A79" s="1224"/>
      <c r="BS79" s="1257"/>
      <c r="BT79" s="1257"/>
      <c r="BU79" s="1257"/>
      <c r="BV79" s="1257"/>
      <c r="BW79" s="1257"/>
      <c r="BX79" s="1257"/>
      <c r="CO79" s="1165"/>
      <c r="CP79" s="1165"/>
      <c r="CQ79" s="1165"/>
      <c r="CR79" s="1165"/>
      <c r="CS79" s="1165"/>
      <c r="CT79" s="1165"/>
      <c r="CU79" s="1165"/>
      <c r="CV79" s="1165"/>
      <c r="CW79" s="1165"/>
      <c r="CX79" s="1165"/>
    </row>
    <row r="81" spans="1:162" s="1227" customFormat="1" ht="15.75">
      <c r="A81" s="1225"/>
      <c r="B81" s="1228" t="s">
        <v>169</v>
      </c>
      <c r="C81" s="1226" t="e">
        <f t="shared" ref="C81:AC81" si="122">C6</f>
        <v>#REF!</v>
      </c>
      <c r="D81" s="1226" t="e">
        <f t="shared" si="122"/>
        <v>#REF!</v>
      </c>
      <c r="E81" s="1226" t="e">
        <f t="shared" si="122"/>
        <v>#REF!</v>
      </c>
      <c r="F81" s="1226" t="e">
        <f t="shared" si="122"/>
        <v>#REF!</v>
      </c>
      <c r="G81" s="1226" t="e">
        <f t="shared" si="122"/>
        <v>#REF!</v>
      </c>
      <c r="H81" s="1226" t="e">
        <f t="shared" si="122"/>
        <v>#REF!</v>
      </c>
      <c r="I81" s="1226" t="e">
        <f t="shared" si="122"/>
        <v>#REF!</v>
      </c>
      <c r="J81" s="1226" t="e">
        <f t="shared" si="122"/>
        <v>#REF!</v>
      </c>
      <c r="K81" s="1226" t="e">
        <f t="shared" si="122"/>
        <v>#REF!</v>
      </c>
      <c r="L81" s="1226" t="e">
        <f t="shared" si="122"/>
        <v>#REF!</v>
      </c>
      <c r="M81" s="1226" t="e">
        <f t="shared" si="122"/>
        <v>#REF!</v>
      </c>
      <c r="N81" s="1226" t="e">
        <f t="shared" si="122"/>
        <v>#REF!</v>
      </c>
      <c r="O81" s="1226" t="e">
        <f t="shared" si="122"/>
        <v>#REF!</v>
      </c>
      <c r="P81" s="1226" t="e">
        <f t="shared" si="122"/>
        <v>#REF!</v>
      </c>
      <c r="Q81" s="1226" t="e">
        <f t="shared" si="122"/>
        <v>#REF!</v>
      </c>
      <c r="R81" s="1226">
        <f t="shared" si="122"/>
        <v>2010</v>
      </c>
      <c r="S81" s="1226">
        <f t="shared" si="122"/>
        <v>2011</v>
      </c>
      <c r="T81" s="1226">
        <f t="shared" si="122"/>
        <v>2012</v>
      </c>
      <c r="U81" s="1226">
        <f t="shared" si="122"/>
        <v>2013</v>
      </c>
      <c r="V81" s="1226">
        <f t="shared" si="122"/>
        <v>2014</v>
      </c>
      <c r="W81" s="1226">
        <f t="shared" si="122"/>
        <v>2015</v>
      </c>
      <c r="X81" s="1226">
        <f t="shared" si="122"/>
        <v>2016</v>
      </c>
      <c r="Y81" s="1226">
        <f t="shared" si="122"/>
        <v>2017</v>
      </c>
      <c r="Z81" s="1226">
        <f t="shared" si="122"/>
        <v>2018</v>
      </c>
      <c r="AA81" s="1226">
        <f t="shared" si="122"/>
        <v>2019</v>
      </c>
      <c r="AB81" s="1226">
        <f t="shared" si="122"/>
        <v>2020</v>
      </c>
      <c r="AC81" s="1226">
        <f t="shared" si="122"/>
        <v>2021</v>
      </c>
      <c r="AD81" s="1226"/>
      <c r="AE81" s="1226"/>
      <c r="AF81" s="1226"/>
      <c r="AG81" s="1226" t="e">
        <f t="shared" ref="AG81:BL81" si="123">AG6</f>
        <v>#REF!</v>
      </c>
      <c r="AH81" s="1226" t="e">
        <f t="shared" si="123"/>
        <v>#REF!</v>
      </c>
      <c r="AI81" s="1226" t="e">
        <f t="shared" si="123"/>
        <v>#REF!</v>
      </c>
      <c r="AJ81" s="1226" t="e">
        <f t="shared" si="123"/>
        <v>#REF!</v>
      </c>
      <c r="AK81" s="1226" t="e">
        <f t="shared" si="123"/>
        <v>#REF!</v>
      </c>
      <c r="AL81" s="1226" t="e">
        <f t="shared" si="123"/>
        <v>#REF!</v>
      </c>
      <c r="AM81" s="1226" t="e">
        <f t="shared" si="123"/>
        <v>#REF!</v>
      </c>
      <c r="AN81" s="1226" t="e">
        <f t="shared" si="123"/>
        <v>#REF!</v>
      </c>
      <c r="AO81" s="1226" t="e">
        <f t="shared" si="123"/>
        <v>#REF!</v>
      </c>
      <c r="AP81" s="1226" t="e">
        <f t="shared" si="123"/>
        <v>#REF!</v>
      </c>
      <c r="AQ81" s="1226" t="e">
        <f t="shared" si="123"/>
        <v>#REF!</v>
      </c>
      <c r="AR81" s="1226" t="e">
        <f t="shared" si="123"/>
        <v>#REF!</v>
      </c>
      <c r="AS81" s="1226" t="e">
        <f t="shared" si="123"/>
        <v>#REF!</v>
      </c>
      <c r="AT81" s="1226" t="e">
        <f t="shared" si="123"/>
        <v>#REF!</v>
      </c>
      <c r="AU81" s="1226" t="e">
        <f t="shared" si="123"/>
        <v>#REF!</v>
      </c>
      <c r="AV81" s="1226" t="e">
        <f t="shared" si="123"/>
        <v>#REF!</v>
      </c>
      <c r="AW81" s="1226" t="e">
        <f t="shared" si="123"/>
        <v>#REF!</v>
      </c>
      <c r="AX81" s="1226" t="e">
        <f t="shared" si="123"/>
        <v>#REF!</v>
      </c>
      <c r="AY81" s="1226" t="e">
        <f t="shared" si="123"/>
        <v>#REF!</v>
      </c>
      <c r="AZ81" s="1226" t="e">
        <f t="shared" si="123"/>
        <v>#REF!</v>
      </c>
      <c r="BA81" s="1226" t="e">
        <f t="shared" si="123"/>
        <v>#REF!</v>
      </c>
      <c r="BB81" s="1226" t="e">
        <f t="shared" si="123"/>
        <v>#REF!</v>
      </c>
      <c r="BC81" s="1226" t="e">
        <f t="shared" si="123"/>
        <v>#REF!</v>
      </c>
      <c r="BD81" s="1226" t="e">
        <f t="shared" si="123"/>
        <v>#REF!</v>
      </c>
      <c r="BE81" s="1226" t="e">
        <f t="shared" si="123"/>
        <v>#REF!</v>
      </c>
      <c r="BF81" s="1226" t="e">
        <f t="shared" si="123"/>
        <v>#REF!</v>
      </c>
      <c r="BG81" s="1226" t="e">
        <f t="shared" si="123"/>
        <v>#REF!</v>
      </c>
      <c r="BH81" s="1226" t="e">
        <f t="shared" si="123"/>
        <v>#REF!</v>
      </c>
      <c r="BI81" s="1226" t="e">
        <f t="shared" si="123"/>
        <v>#REF!</v>
      </c>
      <c r="BJ81" s="1226" t="e">
        <f t="shared" si="123"/>
        <v>#REF!</v>
      </c>
      <c r="BK81" s="1226" t="e">
        <f t="shared" si="123"/>
        <v>#REF!</v>
      </c>
      <c r="BL81" s="1226" t="e">
        <f t="shared" si="123"/>
        <v>#REF!</v>
      </c>
      <c r="BM81" s="1226" t="e">
        <f t="shared" ref="BM81:CN81" si="124">BM6</f>
        <v>#REF!</v>
      </c>
      <c r="BN81" s="1226" t="e">
        <f t="shared" si="124"/>
        <v>#REF!</v>
      </c>
      <c r="BO81" s="1226" t="e">
        <f t="shared" si="124"/>
        <v>#REF!</v>
      </c>
      <c r="BP81" s="1226" t="e">
        <f t="shared" si="124"/>
        <v>#REF!</v>
      </c>
      <c r="BQ81" s="1226" t="e">
        <f t="shared" si="124"/>
        <v>#REF!</v>
      </c>
      <c r="BR81" s="1226" t="e">
        <f t="shared" si="124"/>
        <v>#REF!</v>
      </c>
      <c r="BS81" s="1226" t="e">
        <f t="shared" si="124"/>
        <v>#REF!</v>
      </c>
      <c r="BT81" s="1226" t="e">
        <f t="shared" si="124"/>
        <v>#REF!</v>
      </c>
      <c r="BU81" s="1226" t="e">
        <f t="shared" si="124"/>
        <v>#REF!</v>
      </c>
      <c r="BV81" s="1226" t="e">
        <f t="shared" si="124"/>
        <v>#REF!</v>
      </c>
      <c r="BW81" s="1226" t="e">
        <f t="shared" si="124"/>
        <v>#REF!</v>
      </c>
      <c r="BX81" s="1226" t="e">
        <f t="shared" si="124"/>
        <v>#REF!</v>
      </c>
      <c r="BY81" s="1226" t="e">
        <f t="shared" si="124"/>
        <v>#REF!</v>
      </c>
      <c r="BZ81" s="1226" t="e">
        <f t="shared" si="124"/>
        <v>#REF!</v>
      </c>
      <c r="CA81" s="1226" t="e">
        <f t="shared" si="124"/>
        <v>#REF!</v>
      </c>
      <c r="CB81" s="1226" t="e">
        <f t="shared" si="124"/>
        <v>#REF!</v>
      </c>
      <c r="CC81" s="1226" t="e">
        <f t="shared" si="124"/>
        <v>#REF!</v>
      </c>
      <c r="CD81" s="1226" t="e">
        <f t="shared" si="124"/>
        <v>#REF!</v>
      </c>
      <c r="CE81" s="1226" t="e">
        <f t="shared" si="124"/>
        <v>#REF!</v>
      </c>
      <c r="CF81" s="1226" t="e">
        <f t="shared" si="124"/>
        <v>#REF!</v>
      </c>
      <c r="CG81" s="1226" t="e">
        <f t="shared" si="124"/>
        <v>#REF!</v>
      </c>
      <c r="CH81" s="1226" t="e">
        <f t="shared" si="124"/>
        <v>#REF!</v>
      </c>
      <c r="CI81" s="1226" t="e">
        <f t="shared" si="124"/>
        <v>#REF!</v>
      </c>
      <c r="CJ81" s="1226" t="e">
        <f t="shared" si="124"/>
        <v>#REF!</v>
      </c>
      <c r="CK81" s="1226" t="e">
        <f t="shared" si="124"/>
        <v>#REF!</v>
      </c>
      <c r="CL81" s="1226" t="e">
        <f t="shared" si="124"/>
        <v>#REF!</v>
      </c>
      <c r="CM81" s="1226" t="e">
        <f t="shared" si="124"/>
        <v>#REF!</v>
      </c>
      <c r="CN81" s="1226" t="e">
        <f t="shared" si="124"/>
        <v>#REF!</v>
      </c>
      <c r="CQ81" s="1226" t="str">
        <f>CQ$6</f>
        <v>1Q05</v>
      </c>
      <c r="CR81" s="1226" t="str">
        <f t="shared" ref="CR81:FC81" si="125">CR$6</f>
        <v>2Q05</v>
      </c>
      <c r="CS81" s="1226" t="str">
        <f t="shared" si="125"/>
        <v>3Q05</v>
      </c>
      <c r="CT81" s="1226" t="str">
        <f t="shared" si="125"/>
        <v>4Q05</v>
      </c>
      <c r="CU81" s="1226" t="str">
        <f t="shared" si="125"/>
        <v>1Q06</v>
      </c>
      <c r="CV81" s="1226" t="str">
        <f t="shared" si="125"/>
        <v>2Q06</v>
      </c>
      <c r="CW81" s="1226" t="str">
        <f t="shared" si="125"/>
        <v>3Q06</v>
      </c>
      <c r="CX81" s="1226" t="str">
        <f t="shared" si="125"/>
        <v>4Q06</v>
      </c>
      <c r="CY81" s="1226" t="str">
        <f t="shared" si="125"/>
        <v>1Q07</v>
      </c>
      <c r="CZ81" s="1226" t="str">
        <f t="shared" si="125"/>
        <v>2Q07</v>
      </c>
      <c r="DA81" s="1226" t="str">
        <f t="shared" si="125"/>
        <v>3Q07</v>
      </c>
      <c r="DB81" s="1226" t="str">
        <f t="shared" si="125"/>
        <v>4Q07</v>
      </c>
      <c r="DC81" s="1226" t="str">
        <f t="shared" si="125"/>
        <v>1Q08</v>
      </c>
      <c r="DD81" s="1226" t="str">
        <f t="shared" si="125"/>
        <v>2Q08</v>
      </c>
      <c r="DE81" s="1226" t="str">
        <f t="shared" si="125"/>
        <v>3Q08</v>
      </c>
      <c r="DF81" s="1226" t="str">
        <f t="shared" si="125"/>
        <v>4Q08</v>
      </c>
      <c r="DG81" s="1226" t="str">
        <f t="shared" si="125"/>
        <v>1Q09</v>
      </c>
      <c r="DH81" s="1226" t="str">
        <f t="shared" si="125"/>
        <v>2Q09</v>
      </c>
      <c r="DI81" s="1226" t="str">
        <f t="shared" si="125"/>
        <v>3Q09</v>
      </c>
      <c r="DJ81" s="1226" t="str">
        <f t="shared" si="125"/>
        <v>4Q09</v>
      </c>
      <c r="DK81" s="1226" t="str">
        <f t="shared" si="125"/>
        <v>1Q10</v>
      </c>
      <c r="DL81" s="1226" t="str">
        <f t="shared" si="125"/>
        <v>2Q10</v>
      </c>
      <c r="DM81" s="1226" t="str">
        <f t="shared" si="125"/>
        <v>3Q10</v>
      </c>
      <c r="DN81" s="1226" t="str">
        <f t="shared" si="125"/>
        <v>4Q10</v>
      </c>
      <c r="DO81" s="1226" t="str">
        <f t="shared" si="125"/>
        <v>1Q11</v>
      </c>
      <c r="DP81" s="1226" t="str">
        <f t="shared" si="125"/>
        <v>2Q11</v>
      </c>
      <c r="DQ81" s="1226" t="str">
        <f t="shared" si="125"/>
        <v>3Q11</v>
      </c>
      <c r="DR81" s="1226" t="str">
        <f t="shared" si="125"/>
        <v>4Q11</v>
      </c>
      <c r="DS81" s="1226" t="str">
        <f t="shared" si="125"/>
        <v>1Q12</v>
      </c>
      <c r="DT81" s="1226" t="str">
        <f t="shared" si="125"/>
        <v>2Q12</v>
      </c>
      <c r="DU81" s="1226" t="str">
        <f t="shared" si="125"/>
        <v>3Q12</v>
      </c>
      <c r="DV81" s="1226" t="str">
        <f t="shared" si="125"/>
        <v>4Q12</v>
      </c>
      <c r="DW81" s="1226" t="str">
        <f t="shared" si="125"/>
        <v>1Q13</v>
      </c>
      <c r="DX81" s="1226" t="str">
        <f t="shared" si="125"/>
        <v>2Q13</v>
      </c>
      <c r="DY81" s="1226" t="str">
        <f t="shared" si="125"/>
        <v>3Q13</v>
      </c>
      <c r="DZ81" s="1226" t="str">
        <f t="shared" si="125"/>
        <v>4Q13</v>
      </c>
      <c r="EA81" s="1226" t="str">
        <f t="shared" si="125"/>
        <v>1Q14</v>
      </c>
      <c r="EB81" s="1226" t="str">
        <f t="shared" si="125"/>
        <v>2Q14</v>
      </c>
      <c r="EC81" s="1226" t="str">
        <f t="shared" si="125"/>
        <v>3Q14</v>
      </c>
      <c r="ED81" s="1226" t="str">
        <f t="shared" si="125"/>
        <v>4Q14</v>
      </c>
      <c r="EE81" s="1226" t="str">
        <f t="shared" si="125"/>
        <v>1Q15</v>
      </c>
      <c r="EF81" s="1226" t="str">
        <f t="shared" si="125"/>
        <v>2Q15</v>
      </c>
      <c r="EG81" s="1226" t="str">
        <f t="shared" si="125"/>
        <v>3Q15</v>
      </c>
      <c r="EH81" s="1226" t="str">
        <f t="shared" si="125"/>
        <v>4Q15</v>
      </c>
      <c r="EI81" s="1226" t="str">
        <f t="shared" si="125"/>
        <v>1Q16</v>
      </c>
      <c r="EJ81" s="1226" t="str">
        <f t="shared" si="125"/>
        <v>2Q16</v>
      </c>
      <c r="EK81" s="1226" t="str">
        <f t="shared" si="125"/>
        <v>3Q16</v>
      </c>
      <c r="EL81" s="1226" t="str">
        <f t="shared" si="125"/>
        <v>4Q16</v>
      </c>
      <c r="EM81" s="1226" t="str">
        <f t="shared" si="125"/>
        <v>1Q17</v>
      </c>
      <c r="EN81" s="1226" t="str">
        <f t="shared" si="125"/>
        <v>2Q17</v>
      </c>
      <c r="EO81" s="1226" t="str">
        <f t="shared" si="125"/>
        <v>3Q17</v>
      </c>
      <c r="EP81" s="1226" t="str">
        <f t="shared" si="125"/>
        <v>4Q17</v>
      </c>
      <c r="EQ81" s="1226" t="str">
        <f t="shared" si="125"/>
        <v>1Q18</v>
      </c>
      <c r="ER81" s="1226" t="str">
        <f t="shared" si="125"/>
        <v>2Q18</v>
      </c>
      <c r="ES81" s="1226" t="str">
        <f t="shared" si="125"/>
        <v>3Q18</v>
      </c>
      <c r="ET81" s="1226" t="str">
        <f t="shared" si="125"/>
        <v>4Q18</v>
      </c>
      <c r="EU81" s="1226" t="str">
        <f t="shared" si="125"/>
        <v>1Q19E</v>
      </c>
      <c r="EV81" s="1226" t="str">
        <f t="shared" si="125"/>
        <v>2Q19E</v>
      </c>
      <c r="EW81" s="1226" t="str">
        <f t="shared" si="125"/>
        <v>3Q19E</v>
      </c>
      <c r="EX81" s="1226" t="str">
        <f t="shared" si="125"/>
        <v>4Q19E</v>
      </c>
      <c r="EY81" s="1226" t="str">
        <f t="shared" si="125"/>
        <v>1Q20E</v>
      </c>
      <c r="EZ81" s="1226" t="str">
        <f t="shared" si="125"/>
        <v>2Q20E</v>
      </c>
      <c r="FA81" s="1226" t="str">
        <f t="shared" si="125"/>
        <v>3Q20E</v>
      </c>
      <c r="FB81" s="1226" t="str">
        <f t="shared" si="125"/>
        <v>4Q20E</v>
      </c>
      <c r="FC81" s="1226" t="str">
        <f t="shared" si="125"/>
        <v>1Q21E</v>
      </c>
      <c r="FD81" s="1226" t="str">
        <f>FD$6</f>
        <v>2Q21E</v>
      </c>
      <c r="FE81" s="1226" t="str">
        <f>FE$6</f>
        <v>3Q21E</v>
      </c>
      <c r="FF81" s="1226" t="str">
        <f>FF$6</f>
        <v>4Q21E</v>
      </c>
    </row>
    <row r="82" spans="1:162">
      <c r="A82" s="1224"/>
      <c r="CQ82" s="1165"/>
      <c r="CR82" s="1165"/>
      <c r="CS82" s="1165"/>
      <c r="CT82" s="1165"/>
      <c r="CU82" s="1165"/>
      <c r="CV82" s="1165"/>
      <c r="CW82" s="1165"/>
      <c r="CX82" s="1165"/>
      <c r="CY82" s="1165"/>
      <c r="CZ82" s="1165"/>
      <c r="DA82" s="1165"/>
      <c r="DB82" s="1165"/>
      <c r="DC82" s="1165"/>
      <c r="DD82" s="1165"/>
      <c r="DE82" s="1165"/>
      <c r="DF82" s="1165"/>
      <c r="DG82" s="1165"/>
      <c r="DH82" s="1165"/>
      <c r="DI82" s="1165"/>
      <c r="DJ82" s="1165"/>
      <c r="DK82" s="1165"/>
      <c r="DL82" s="1165"/>
      <c r="DM82" s="1165"/>
      <c r="DN82" s="1165"/>
      <c r="DO82" s="1165"/>
      <c r="DP82" s="1165"/>
      <c r="DQ82" s="1165"/>
      <c r="DR82" s="1165"/>
      <c r="DS82" s="1165"/>
      <c r="DT82" s="1165"/>
      <c r="DU82" s="1165"/>
      <c r="DV82" s="1165"/>
      <c r="DW82" s="1165"/>
      <c r="DX82" s="1165"/>
      <c r="DY82" s="1165"/>
      <c r="DZ82" s="1165"/>
      <c r="EA82" s="1165"/>
      <c r="EB82" s="1165"/>
      <c r="EC82" s="1165"/>
      <c r="ED82" s="1165"/>
      <c r="EE82" s="1165"/>
      <c r="EF82" s="1165"/>
      <c r="EG82" s="1165"/>
      <c r="EH82" s="1165"/>
      <c r="EI82" s="1165"/>
      <c r="EJ82" s="1165"/>
      <c r="EK82" s="1165"/>
      <c r="EL82" s="1165"/>
      <c r="EM82" s="1165"/>
      <c r="EN82" s="1165"/>
      <c r="EP82" s="1165"/>
      <c r="EQ82" s="1165"/>
      <c r="ER82" s="1165"/>
      <c r="ES82" s="1165"/>
      <c r="ET82" s="1165"/>
      <c r="EU82" s="1165"/>
      <c r="EV82" s="1165"/>
      <c r="EW82" s="1165"/>
      <c r="EX82" s="1165"/>
      <c r="EY82" s="1165"/>
      <c r="EZ82" s="1165"/>
      <c r="FA82" s="1165"/>
      <c r="FB82" s="1165"/>
      <c r="FC82" s="1165"/>
      <c r="FD82" s="1165"/>
      <c r="FE82" s="1165"/>
      <c r="FF82" s="1165"/>
    </row>
    <row r="83" spans="1:162" ht="15">
      <c r="A83" s="1224"/>
      <c r="B83" s="1250" t="s">
        <v>42</v>
      </c>
      <c r="AG83" s="1226"/>
      <c r="AH83" s="1226"/>
      <c r="AI83" s="1226"/>
      <c r="AJ83" s="1226"/>
      <c r="AK83" s="1226"/>
      <c r="AL83" s="1226"/>
      <c r="AM83" s="1226"/>
      <c r="AN83" s="1226"/>
      <c r="AO83" s="1226"/>
      <c r="AP83" s="1226"/>
      <c r="AQ83" s="1226"/>
      <c r="AR83" s="1226"/>
      <c r="AS83" s="1226"/>
      <c r="AT83" s="1226"/>
      <c r="AU83" s="1226"/>
      <c r="AV83" s="1226"/>
      <c r="AW83" s="1226"/>
      <c r="AX83" s="1226"/>
      <c r="AY83" s="1226"/>
      <c r="AZ83" s="1226"/>
      <c r="BA83" s="1226"/>
      <c r="BB83" s="1226"/>
      <c r="BC83" s="1226"/>
      <c r="BD83" s="1226"/>
      <c r="BE83" s="1226"/>
      <c r="BF83" s="1226"/>
      <c r="BG83" s="1226"/>
      <c r="BH83" s="1226"/>
      <c r="BI83" s="1226"/>
      <c r="BJ83" s="1226"/>
      <c r="BK83" s="1226"/>
      <c r="BL83" s="1226"/>
      <c r="BM83" s="1226"/>
      <c r="BN83" s="1226"/>
      <c r="BO83" s="1226"/>
      <c r="BP83" s="1226"/>
      <c r="BQ83" s="1226"/>
      <c r="BR83" s="1226"/>
      <c r="BS83" s="1226"/>
      <c r="BT83" s="1226"/>
      <c r="BU83" s="1226"/>
      <c r="BV83" s="1226"/>
      <c r="BW83" s="1226"/>
      <c r="BX83" s="1226"/>
      <c r="BY83" s="1226"/>
      <c r="BZ83" s="1226"/>
      <c r="CA83" s="1226"/>
      <c r="CB83" s="1226"/>
      <c r="CC83" s="1226"/>
      <c r="CD83" s="1226"/>
      <c r="CE83" s="1226"/>
      <c r="CF83" s="1226"/>
      <c r="CG83" s="1226"/>
      <c r="CH83" s="1226"/>
      <c r="CI83" s="1226"/>
      <c r="CJ83" s="1226"/>
      <c r="CK83" s="1226"/>
      <c r="CL83" s="1226"/>
      <c r="CM83" s="1226"/>
      <c r="CN83" s="1226"/>
      <c r="CQ83" s="1165"/>
      <c r="CR83" s="1165"/>
      <c r="CS83" s="1165"/>
      <c r="CT83" s="1165"/>
      <c r="CU83" s="1165"/>
      <c r="CV83" s="1165"/>
      <c r="CW83" s="1165"/>
      <c r="CX83" s="1165"/>
      <c r="CY83" s="1165"/>
      <c r="CZ83" s="1165"/>
      <c r="DA83" s="1165"/>
      <c r="DB83" s="1165"/>
      <c r="DC83" s="1165"/>
      <c r="DD83" s="1165"/>
      <c r="DE83" s="1165"/>
      <c r="DF83" s="1165"/>
      <c r="DG83" s="1165"/>
      <c r="DH83" s="1165"/>
      <c r="DI83" s="1165"/>
      <c r="DJ83" s="1165"/>
      <c r="DK83" s="1165"/>
      <c r="DL83" s="1165"/>
      <c r="DM83" s="1165"/>
      <c r="DN83" s="1165"/>
      <c r="DO83" s="1165"/>
      <c r="DP83" s="1165"/>
      <c r="DQ83" s="1165"/>
      <c r="DR83" s="1165"/>
      <c r="DS83" s="1165"/>
      <c r="DT83" s="1165"/>
      <c r="DU83" s="1165"/>
      <c r="DV83" s="1165"/>
      <c r="DW83" s="1165"/>
      <c r="DX83" s="1165"/>
      <c r="DY83" s="1165"/>
      <c r="DZ83" s="1165"/>
      <c r="EA83" s="1165"/>
      <c r="EB83" s="1165"/>
      <c r="EC83" s="1165"/>
      <c r="ED83" s="1165"/>
      <c r="EE83" s="1165"/>
      <c r="EF83" s="1165"/>
      <c r="EG83" s="1165"/>
      <c r="EH83" s="1165"/>
      <c r="EI83" s="1165"/>
      <c r="EJ83" s="1165"/>
      <c r="EK83" s="1165"/>
      <c r="EL83" s="1165"/>
      <c r="EM83" s="1165"/>
      <c r="EN83" s="1165"/>
      <c r="EO83" s="1165"/>
      <c r="EP83" s="1165"/>
      <c r="EQ83" s="1165"/>
      <c r="ER83" s="1165"/>
      <c r="ES83" s="1165"/>
      <c r="ET83" s="1165"/>
      <c r="EU83" s="1165"/>
      <c r="EV83" s="1165"/>
      <c r="EW83" s="1165"/>
      <c r="EX83" s="1165"/>
      <c r="EY83" s="1165"/>
      <c r="EZ83" s="1165"/>
      <c r="FA83" s="1165"/>
      <c r="FB83" s="1165"/>
      <c r="FC83" s="1165"/>
      <c r="FD83" s="1165"/>
      <c r="FE83" s="1165"/>
      <c r="FF83" s="1165"/>
    </row>
    <row r="84" spans="1:162" s="1231" customFormat="1">
      <c r="A84" s="1224"/>
      <c r="B84" s="1230" t="s">
        <v>153</v>
      </c>
      <c r="M84" s="1231">
        <f t="shared" ref="M84:Q86" ca="1" si="126">OFFSET($CT84,0,M$7)</f>
        <v>0</v>
      </c>
      <c r="N84" s="1231">
        <f t="shared" ca="1" si="126"/>
        <v>0</v>
      </c>
      <c r="O84" s="1231">
        <f t="shared" ca="1" si="126"/>
        <v>0</v>
      </c>
      <c r="P84" s="1231">
        <f t="shared" ca="1" si="126"/>
        <v>0</v>
      </c>
      <c r="Q84" s="1231">
        <f t="shared" ca="1" si="126"/>
        <v>0</v>
      </c>
      <c r="R84" s="1224">
        <v>7254.6177870000001</v>
      </c>
      <c r="S84" s="1224">
        <v>8034.79</v>
      </c>
      <c r="T84" s="1224">
        <v>8426.9380000000001</v>
      </c>
      <c r="U84" s="1224">
        <v>9057.3979999999992</v>
      </c>
      <c r="V84" s="1224">
        <v>10028.130999999999</v>
      </c>
      <c r="W84" s="1224">
        <v>11415.424999999999</v>
      </c>
      <c r="X84" s="1224">
        <v>13928.83</v>
      </c>
      <c r="Y84" s="1224">
        <v>15736.258</v>
      </c>
      <c r="AA84" s="1231">
        <f ca="1">OFFSET($CT84,0,AA$7)</f>
        <v>0</v>
      </c>
      <c r="AB84" s="1231">
        <f ca="1">OFFSET($CT84,0,AB$7)</f>
        <v>0</v>
      </c>
      <c r="AC84" s="1231">
        <f ca="1">OFFSET($CT84,0,AC$7)</f>
        <v>0</v>
      </c>
      <c r="AG84" s="1231">
        <f>CQ84</f>
        <v>0</v>
      </c>
      <c r="AH84" s="1231">
        <f t="shared" ref="AH84:CN84" si="127">CR84</f>
        <v>0</v>
      </c>
      <c r="AI84" s="1231">
        <f t="shared" si="127"/>
        <v>0</v>
      </c>
      <c r="AJ84" s="1231">
        <f t="shared" si="127"/>
        <v>0</v>
      </c>
      <c r="AK84" s="1231">
        <f t="shared" si="127"/>
        <v>0</v>
      </c>
      <c r="AL84" s="1231">
        <f t="shared" si="127"/>
        <v>0</v>
      </c>
      <c r="AM84" s="1231">
        <f t="shared" si="127"/>
        <v>0</v>
      </c>
      <c r="AN84" s="1231">
        <f t="shared" si="127"/>
        <v>0</v>
      </c>
      <c r="AO84" s="1231">
        <f t="shared" si="127"/>
        <v>0</v>
      </c>
      <c r="AP84" s="1231">
        <f t="shared" si="127"/>
        <v>0</v>
      </c>
      <c r="AQ84" s="1231">
        <f t="shared" si="127"/>
        <v>0</v>
      </c>
      <c r="AR84" s="1231">
        <f t="shared" si="127"/>
        <v>0</v>
      </c>
      <c r="AS84" s="1231">
        <f t="shared" si="127"/>
        <v>0</v>
      </c>
      <c r="AT84" s="1231">
        <f t="shared" si="127"/>
        <v>0</v>
      </c>
      <c r="AU84" s="1231">
        <f t="shared" si="127"/>
        <v>0</v>
      </c>
      <c r="AV84" s="1231">
        <f t="shared" si="127"/>
        <v>0</v>
      </c>
      <c r="AW84" s="1231">
        <f t="shared" si="127"/>
        <v>0</v>
      </c>
      <c r="AX84" s="1231">
        <f t="shared" si="127"/>
        <v>0</v>
      </c>
      <c r="AY84" s="1231">
        <f t="shared" si="127"/>
        <v>0</v>
      </c>
      <c r="AZ84" s="1231">
        <f t="shared" si="127"/>
        <v>0</v>
      </c>
      <c r="BA84" s="1231">
        <f t="shared" si="127"/>
        <v>0</v>
      </c>
      <c r="BB84" s="1231">
        <f t="shared" si="127"/>
        <v>0</v>
      </c>
      <c r="BC84" s="1231">
        <f t="shared" si="127"/>
        <v>0</v>
      </c>
      <c r="BD84" s="1231">
        <f t="shared" si="127"/>
        <v>0</v>
      </c>
      <c r="BE84" s="1231">
        <f t="shared" si="127"/>
        <v>0</v>
      </c>
      <c r="BF84" s="1231">
        <f t="shared" si="127"/>
        <v>0</v>
      </c>
      <c r="BG84" s="1231">
        <f t="shared" si="127"/>
        <v>0</v>
      </c>
      <c r="BH84" s="1231">
        <f t="shared" si="127"/>
        <v>0</v>
      </c>
      <c r="BI84" s="1231">
        <f t="shared" si="127"/>
        <v>0</v>
      </c>
      <c r="BJ84" s="1231">
        <f t="shared" si="127"/>
        <v>0</v>
      </c>
      <c r="BK84" s="1231">
        <f t="shared" si="127"/>
        <v>0</v>
      </c>
      <c r="BL84" s="1231">
        <f t="shared" si="127"/>
        <v>0</v>
      </c>
      <c r="BM84" s="1231">
        <f t="shared" si="127"/>
        <v>0</v>
      </c>
      <c r="BN84" s="1231">
        <f t="shared" si="127"/>
        <v>0</v>
      </c>
      <c r="BO84" s="1231">
        <f t="shared" si="127"/>
        <v>0</v>
      </c>
      <c r="BP84" s="1231">
        <f t="shared" si="127"/>
        <v>0</v>
      </c>
      <c r="BQ84" s="1231">
        <f t="shared" si="127"/>
        <v>0</v>
      </c>
      <c r="BR84" s="1231">
        <f t="shared" si="127"/>
        <v>0</v>
      </c>
      <c r="BS84" s="1231">
        <f t="shared" si="127"/>
        <v>0</v>
      </c>
      <c r="BT84" s="1231">
        <f t="shared" si="127"/>
        <v>0</v>
      </c>
      <c r="BU84" s="1231">
        <f t="shared" si="127"/>
        <v>0</v>
      </c>
      <c r="BV84" s="1231">
        <f t="shared" si="127"/>
        <v>0</v>
      </c>
      <c r="BW84" s="1231">
        <f t="shared" si="127"/>
        <v>0</v>
      </c>
      <c r="BX84" s="1231">
        <f t="shared" si="127"/>
        <v>0</v>
      </c>
      <c r="BY84" s="1231">
        <f t="shared" si="127"/>
        <v>0</v>
      </c>
      <c r="BZ84" s="1231">
        <f t="shared" si="127"/>
        <v>0</v>
      </c>
      <c r="CA84" s="1231">
        <f t="shared" si="127"/>
        <v>0</v>
      </c>
      <c r="CB84" s="1231">
        <f t="shared" si="127"/>
        <v>0</v>
      </c>
      <c r="CC84" s="1231">
        <f t="shared" si="127"/>
        <v>0</v>
      </c>
      <c r="CD84" s="1231">
        <f t="shared" si="127"/>
        <v>0</v>
      </c>
      <c r="CE84" s="1231">
        <f t="shared" si="127"/>
        <v>0</v>
      </c>
      <c r="CF84" s="1231">
        <f t="shared" si="127"/>
        <v>0</v>
      </c>
      <c r="CG84" s="1231">
        <f t="shared" si="127"/>
        <v>0</v>
      </c>
      <c r="CH84" s="1231">
        <f t="shared" si="127"/>
        <v>0</v>
      </c>
      <c r="CI84" s="1231">
        <f t="shared" si="127"/>
        <v>0</v>
      </c>
      <c r="CJ84" s="1231">
        <f t="shared" si="127"/>
        <v>0</v>
      </c>
      <c r="CK84" s="1231">
        <f t="shared" si="127"/>
        <v>0</v>
      </c>
      <c r="CL84" s="1231">
        <f t="shared" si="127"/>
        <v>0</v>
      </c>
      <c r="CM84" s="1231">
        <f t="shared" si="127"/>
        <v>0</v>
      </c>
      <c r="CN84" s="1231">
        <f t="shared" si="127"/>
        <v>0</v>
      </c>
      <c r="CQ84" s="1165"/>
      <c r="CR84" s="1165"/>
      <c r="CS84" s="1165"/>
      <c r="CT84" s="1165"/>
      <c r="CU84" s="1165"/>
      <c r="CV84" s="1165"/>
      <c r="CW84" s="1165"/>
      <c r="CX84" s="1165"/>
      <c r="CY84" s="1165"/>
      <c r="CZ84" s="1165"/>
      <c r="DA84" s="1165"/>
      <c r="DB84" s="1165"/>
      <c r="DC84" s="1165"/>
      <c r="DD84" s="1165"/>
      <c r="DE84" s="1165"/>
      <c r="DF84" s="1165"/>
      <c r="DG84" s="1165"/>
      <c r="DH84" s="1165"/>
      <c r="DI84" s="1165"/>
      <c r="DJ84" s="1165"/>
      <c r="DK84" s="1236"/>
      <c r="DL84" s="1236"/>
      <c r="DM84" s="1236"/>
      <c r="DN84" s="1236"/>
      <c r="DO84" s="1236"/>
      <c r="DP84" s="1236"/>
      <c r="DQ84" s="1236"/>
      <c r="DR84" s="1236"/>
      <c r="DS84" s="1236"/>
      <c r="DT84" s="1236"/>
      <c r="DU84" s="1236"/>
      <c r="DV84" s="1236"/>
      <c r="DW84" s="1236"/>
      <c r="DX84" s="1236"/>
      <c r="DY84" s="1236"/>
      <c r="DZ84" s="1236"/>
      <c r="EA84" s="1236"/>
      <c r="EB84" s="1236"/>
      <c r="EC84" s="1236"/>
      <c r="ED84" s="1236"/>
      <c r="EE84" s="1236"/>
      <c r="EF84" s="1236"/>
      <c r="EG84" s="1236"/>
      <c r="EH84" s="1236"/>
      <c r="EI84" s="1236"/>
      <c r="EJ84" s="1236"/>
      <c r="EK84" s="1236"/>
      <c r="EL84" s="1236"/>
      <c r="EM84" s="1236"/>
      <c r="EN84" s="1236"/>
      <c r="EO84" s="1236"/>
      <c r="EP84" s="1236"/>
      <c r="EQ84" s="1236"/>
      <c r="ER84" s="1236"/>
      <c r="ES84" s="1236"/>
      <c r="ET84" s="1236"/>
      <c r="EU84" s="1165"/>
      <c r="EV84" s="1165"/>
      <c r="EW84" s="1165"/>
      <c r="EX84" s="1165"/>
      <c r="EY84" s="1165"/>
      <c r="EZ84" s="1165"/>
      <c r="FA84" s="1165"/>
      <c r="FB84" s="1165"/>
      <c r="FC84" s="1165"/>
      <c r="FD84" s="1165"/>
      <c r="FE84" s="1165"/>
      <c r="FF84" s="1165"/>
    </row>
    <row r="85" spans="1:162" s="1231" customFormat="1">
      <c r="A85" s="1203" t="s">
        <v>549</v>
      </c>
      <c r="B85" s="1230" t="s">
        <v>60</v>
      </c>
      <c r="K85" s="1236"/>
      <c r="L85" s="1236"/>
      <c r="M85" s="1236">
        <f t="shared" ca="1" si="126"/>
        <v>0</v>
      </c>
      <c r="N85" s="1236">
        <f t="shared" ca="1" si="126"/>
        <v>0</v>
      </c>
      <c r="O85" s="1236">
        <f t="shared" ca="1" si="126"/>
        <v>0</v>
      </c>
      <c r="P85" s="1236">
        <f t="shared" ca="1" si="126"/>
        <v>0</v>
      </c>
      <c r="Q85" s="1236">
        <f t="shared" ca="1" si="126"/>
        <v>0</v>
      </c>
      <c r="R85" s="1224">
        <v>4902.7550000000001</v>
      </c>
      <c r="S85" s="1224">
        <v>5518.2120000000004</v>
      </c>
      <c r="T85" s="1224">
        <v>6041.5029999999997</v>
      </c>
      <c r="U85" s="1224">
        <v>6528.5640000000003</v>
      </c>
      <c r="V85" s="1224">
        <v>7033.0450000000001</v>
      </c>
      <c r="W85" s="1224">
        <v>7511.607</v>
      </c>
      <c r="X85" s="1224">
        <v>8241.473</v>
      </c>
      <c r="Y85" s="1224">
        <v>9212.8549999999996</v>
      </c>
      <c r="Z85" s="1238"/>
      <c r="AA85" s="1238"/>
      <c r="AB85" s="1238"/>
      <c r="AC85" s="1238"/>
      <c r="AD85" s="1236"/>
      <c r="AE85" s="1236"/>
      <c r="AF85" s="1236"/>
      <c r="AG85" s="1236">
        <f t="shared" ref="AG85:AG148" si="128">CQ85</f>
        <v>0</v>
      </c>
      <c r="AH85" s="1236">
        <f t="shared" ref="AH85:AH148" si="129">CR85</f>
        <v>0</v>
      </c>
      <c r="AI85" s="1236">
        <f t="shared" ref="AI85:AI148" si="130">CS85</f>
        <v>0</v>
      </c>
      <c r="AJ85" s="1236">
        <f t="shared" ref="AJ85:AJ148" si="131">CT85</f>
        <v>0</v>
      </c>
      <c r="AK85" s="1236">
        <f t="shared" ref="AK85:AK148" si="132">CU85</f>
        <v>0</v>
      </c>
      <c r="AL85" s="1236">
        <f t="shared" ref="AL85:AL148" si="133">CV85</f>
        <v>0</v>
      </c>
      <c r="AM85" s="1236">
        <f t="shared" ref="AM85:AM148" si="134">CW85</f>
        <v>0</v>
      </c>
      <c r="AN85" s="1236">
        <f t="shared" ref="AN85:AN148" si="135">CX85</f>
        <v>0</v>
      </c>
      <c r="AO85" s="1236">
        <f t="shared" ref="AO85:AO148" si="136">CY85</f>
        <v>0</v>
      </c>
      <c r="AP85" s="1236">
        <f t="shared" ref="AP85:AP148" si="137">CZ85</f>
        <v>0</v>
      </c>
      <c r="AQ85" s="1236">
        <f t="shared" ref="AQ85:AQ148" si="138">DA85</f>
        <v>0</v>
      </c>
      <c r="AR85" s="1236">
        <f t="shared" ref="AR85:AR148" si="139">DB85</f>
        <v>0</v>
      </c>
      <c r="AS85" s="1236">
        <f t="shared" ref="AS85:AS148" si="140">DC85</f>
        <v>0</v>
      </c>
      <c r="AT85" s="1236">
        <f t="shared" ref="AT85:AT148" si="141">DD85</f>
        <v>0</v>
      </c>
      <c r="AU85" s="1236">
        <f t="shared" ref="AU85:AU148" si="142">DE85</f>
        <v>0</v>
      </c>
      <c r="AV85" s="1236">
        <f t="shared" ref="AV85:AV148" si="143">DF85</f>
        <v>0</v>
      </c>
      <c r="AW85" s="1236">
        <f t="shared" ref="AW85:AW148" si="144">DG85</f>
        <v>0</v>
      </c>
      <c r="AX85" s="1236">
        <f t="shared" ref="AX85:AX148" si="145">DH85</f>
        <v>0</v>
      </c>
      <c r="AY85" s="1236">
        <f t="shared" ref="AY85:AY148" si="146">DI85</f>
        <v>0</v>
      </c>
      <c r="AZ85" s="1236">
        <f t="shared" ref="AZ85:AZ148" si="147">DJ85</f>
        <v>0</v>
      </c>
      <c r="BA85" s="1236">
        <f t="shared" ref="BA85:BA148" si="148">DK85</f>
        <v>0</v>
      </c>
      <c r="BB85" s="1236">
        <f t="shared" ref="BB85:BB148" si="149">DL85</f>
        <v>0</v>
      </c>
      <c r="BC85" s="1236">
        <f t="shared" ref="BC85:BC148" si="150">DM85</f>
        <v>0</v>
      </c>
      <c r="BD85" s="1236">
        <f t="shared" ref="BD85:BD148" si="151">DN85</f>
        <v>0</v>
      </c>
      <c r="BE85" s="1236">
        <f t="shared" ref="BE85:BE148" si="152">DO85</f>
        <v>0</v>
      </c>
      <c r="BF85" s="1236">
        <f t="shared" ref="BF85:BF148" si="153">DP85</f>
        <v>0</v>
      </c>
      <c r="BG85" s="1236">
        <f t="shared" ref="BG85:BG148" si="154">DQ85</f>
        <v>0</v>
      </c>
      <c r="BH85" s="1236">
        <f t="shared" ref="BH85:BH148" si="155">DR85</f>
        <v>0</v>
      </c>
      <c r="BI85" s="1236">
        <f t="shared" ref="BI85:BI148" si="156">DS85</f>
        <v>0</v>
      </c>
      <c r="BJ85" s="1236">
        <f t="shared" ref="BJ85:BJ148" si="157">DT85</f>
        <v>0</v>
      </c>
      <c r="BK85" s="1236">
        <f t="shared" ref="BK85:BK148" si="158">DU85</f>
        <v>0</v>
      </c>
      <c r="BL85" s="1236">
        <f t="shared" ref="BL85:BL148" si="159">DV85</f>
        <v>0</v>
      </c>
      <c r="BM85" s="1236">
        <f t="shared" ref="BM85:BM148" si="160">DW85</f>
        <v>0</v>
      </c>
      <c r="BN85" s="1236">
        <f t="shared" ref="BN85:BN148" si="161">DX85</f>
        <v>0</v>
      </c>
      <c r="BO85" s="1236">
        <f t="shared" ref="BO85:BO148" si="162">DY85</f>
        <v>0</v>
      </c>
      <c r="BP85" s="1236">
        <f t="shared" ref="BP85:BP148" si="163">DZ85</f>
        <v>0</v>
      </c>
      <c r="BQ85" s="1236">
        <f t="shared" ref="BQ85:BQ148" si="164">EA85</f>
        <v>0</v>
      </c>
      <c r="BR85" s="1236">
        <f t="shared" ref="BR85:BR148" si="165">EB85</f>
        <v>0</v>
      </c>
      <c r="BS85" s="1236">
        <f t="shared" ref="BS85:BS148" si="166">EC85</f>
        <v>0</v>
      </c>
      <c r="BT85" s="1236">
        <f t="shared" ref="BT85:BT148" si="167">ED85</f>
        <v>0</v>
      </c>
      <c r="BU85" s="1236">
        <f t="shared" ref="BU85:BU148" si="168">EE85</f>
        <v>0</v>
      </c>
      <c r="BV85" s="1236">
        <f t="shared" ref="BV85:BV148" si="169">EF85</f>
        <v>0</v>
      </c>
      <c r="BW85" s="1236">
        <f t="shared" ref="BW85:BW148" si="170">EG85</f>
        <v>0</v>
      </c>
      <c r="BX85" s="1236">
        <f t="shared" ref="BX85:BX148" si="171">EH85</f>
        <v>0</v>
      </c>
      <c r="BY85" s="1236">
        <f t="shared" ref="BY85:BY148" si="172">EI85</f>
        <v>0</v>
      </c>
      <c r="BZ85" s="1236">
        <f t="shared" ref="BZ85:BZ148" si="173">EJ85</f>
        <v>0</v>
      </c>
      <c r="CA85" s="1236">
        <f t="shared" ref="CA85:CA148" si="174">EK85</f>
        <v>0</v>
      </c>
      <c r="CB85" s="1236">
        <f t="shared" ref="CB85:CB148" si="175">EL85</f>
        <v>0</v>
      </c>
      <c r="CC85" s="1236">
        <f t="shared" ref="CC85:CC148" si="176">EM85</f>
        <v>0</v>
      </c>
      <c r="CD85" s="1236">
        <f t="shared" ref="CD85:CD148" si="177">EN85</f>
        <v>0</v>
      </c>
      <c r="CE85" s="1236">
        <f t="shared" ref="CE85:CE148" si="178">EO85</f>
        <v>0</v>
      </c>
      <c r="CF85" s="1236">
        <f t="shared" ref="CF85:CF148" si="179">EP85</f>
        <v>0</v>
      </c>
      <c r="CG85" s="1236">
        <f t="shared" ref="CG85:CG148" si="180">EQ85</f>
        <v>0</v>
      </c>
      <c r="CH85" s="1236">
        <f t="shared" ref="CH85:CH148" si="181">ER85</f>
        <v>0</v>
      </c>
      <c r="CI85" s="1236">
        <f t="shared" ref="CI85:CI148" si="182">ES85</f>
        <v>0</v>
      </c>
      <c r="CJ85" s="1236">
        <f t="shared" ref="CJ85:CJ148" si="183">ET85</f>
        <v>0</v>
      </c>
      <c r="CK85" s="1236">
        <f t="shared" ref="CK85:CK148" si="184">EU85</f>
        <v>0</v>
      </c>
      <c r="CL85" s="1236">
        <f t="shared" ref="CL85:CL148" si="185">EV85</f>
        <v>0</v>
      </c>
      <c r="CM85" s="1236">
        <f t="shared" ref="CM85:CM148" si="186">EW85</f>
        <v>0</v>
      </c>
      <c r="CN85" s="1236">
        <f t="shared" ref="CN85:CN148" si="187">EX85</f>
        <v>0</v>
      </c>
      <c r="CQ85" s="1165"/>
      <c r="CR85" s="1165"/>
      <c r="CS85" s="1165"/>
      <c r="CT85" s="1165"/>
      <c r="CU85" s="1165"/>
      <c r="CV85" s="1165"/>
      <c r="CW85" s="1165"/>
      <c r="CX85" s="1165"/>
      <c r="CY85" s="1165"/>
      <c r="CZ85" s="1165"/>
      <c r="DA85" s="1165"/>
      <c r="DB85" s="1165"/>
      <c r="DC85" s="1165"/>
      <c r="DD85" s="1165"/>
      <c r="DE85" s="1165"/>
      <c r="DF85" s="1165"/>
      <c r="DG85" s="1165"/>
      <c r="DH85" s="1165"/>
      <c r="DI85" s="1165"/>
      <c r="DJ85" s="1165"/>
      <c r="DK85" s="1238"/>
      <c r="DL85" s="1238"/>
      <c r="DM85" s="1238"/>
      <c r="DN85" s="1238"/>
      <c r="DO85" s="1238"/>
      <c r="DP85" s="1238"/>
      <c r="DQ85" s="1238"/>
      <c r="DR85" s="1238"/>
      <c r="DS85" s="1238"/>
      <c r="DT85" s="1238"/>
      <c r="DU85" s="1238"/>
      <c r="DV85" s="1238"/>
      <c r="DW85" s="1238"/>
      <c r="DX85" s="1238"/>
      <c r="DY85" s="1238"/>
      <c r="DZ85" s="1238"/>
      <c r="EA85" s="1238"/>
      <c r="EB85" s="1238"/>
      <c r="EC85" s="1238"/>
      <c r="ED85" s="1238"/>
      <c r="EE85" s="1238"/>
      <c r="EF85" s="1238"/>
      <c r="EG85" s="1238"/>
      <c r="EH85" s="1238"/>
      <c r="EI85" s="1238"/>
      <c r="EJ85" s="1238"/>
      <c r="EK85" s="1238"/>
      <c r="EL85" s="1238"/>
      <c r="EM85" s="1238"/>
      <c r="EN85" s="1238"/>
      <c r="EO85" s="1238"/>
      <c r="EP85" s="1238"/>
      <c r="EQ85" s="1238"/>
      <c r="ER85" s="1238"/>
      <c r="ES85" s="1238"/>
      <c r="ET85" s="1238"/>
      <c r="EU85" s="1165"/>
      <c r="EV85" s="1165"/>
      <c r="EW85" s="1165"/>
      <c r="EX85" s="1165"/>
      <c r="EY85" s="1165"/>
      <c r="EZ85" s="1165"/>
      <c r="FA85" s="1165"/>
      <c r="FB85" s="1165"/>
      <c r="FC85" s="1165"/>
      <c r="FD85" s="1165"/>
      <c r="FE85" s="1165"/>
      <c r="FF85" s="1165"/>
    </row>
    <row r="86" spans="1:162" s="1231" customFormat="1">
      <c r="A86" s="1203" t="s">
        <v>547</v>
      </c>
      <c r="B86" s="1230" t="s">
        <v>43</v>
      </c>
      <c r="M86" s="1231">
        <f t="shared" ca="1" si="126"/>
        <v>0</v>
      </c>
      <c r="N86" s="1231">
        <f t="shared" ca="1" si="126"/>
        <v>0</v>
      </c>
      <c r="O86" s="1231">
        <f t="shared" ca="1" si="126"/>
        <v>0</v>
      </c>
      <c r="P86" s="1231">
        <f t="shared" ca="1" si="126"/>
        <v>0</v>
      </c>
      <c r="Q86" s="1231">
        <f t="shared" ca="1" si="126"/>
        <v>0</v>
      </c>
      <c r="R86" s="1232">
        <f>R84-R85</f>
        <v>2351.862787</v>
      </c>
      <c r="S86" s="1232">
        <f t="shared" ref="S86:Y86" si="188">S84-S85</f>
        <v>2516.5779999999995</v>
      </c>
      <c r="T86" s="1232">
        <f t="shared" si="188"/>
        <v>2385.4350000000004</v>
      </c>
      <c r="U86" s="1232">
        <f t="shared" si="188"/>
        <v>2528.8339999999989</v>
      </c>
      <c r="V86" s="1232">
        <f t="shared" si="188"/>
        <v>2995.0859999999993</v>
      </c>
      <c r="W86" s="1232">
        <f t="shared" si="188"/>
        <v>3903.8179999999993</v>
      </c>
      <c r="X86" s="1232">
        <f t="shared" si="188"/>
        <v>5687.357</v>
      </c>
      <c r="Y86" s="1232">
        <f t="shared" si="188"/>
        <v>6523.4030000000002</v>
      </c>
      <c r="AG86" s="1231">
        <f t="shared" si="128"/>
        <v>0</v>
      </c>
      <c r="AH86" s="1231">
        <f t="shared" si="129"/>
        <v>0</v>
      </c>
      <c r="AI86" s="1231">
        <f t="shared" si="130"/>
        <v>0</v>
      </c>
      <c r="AJ86" s="1231">
        <f t="shared" si="131"/>
        <v>0</v>
      </c>
      <c r="AK86" s="1231">
        <f t="shared" si="132"/>
        <v>0</v>
      </c>
      <c r="AL86" s="1231">
        <f t="shared" si="133"/>
        <v>0</v>
      </c>
      <c r="AM86" s="1231">
        <f t="shared" si="134"/>
        <v>0</v>
      </c>
      <c r="AN86" s="1231">
        <f t="shared" si="135"/>
        <v>0</v>
      </c>
      <c r="AO86" s="1231">
        <f t="shared" si="136"/>
        <v>0</v>
      </c>
      <c r="AP86" s="1231">
        <f t="shared" si="137"/>
        <v>0</v>
      </c>
      <c r="AQ86" s="1231">
        <f t="shared" si="138"/>
        <v>0</v>
      </c>
      <c r="AR86" s="1231">
        <f t="shared" si="139"/>
        <v>0</v>
      </c>
      <c r="AS86" s="1231">
        <f t="shared" si="140"/>
        <v>0</v>
      </c>
      <c r="AT86" s="1231">
        <f t="shared" si="141"/>
        <v>0</v>
      </c>
      <c r="AU86" s="1231">
        <f t="shared" si="142"/>
        <v>0</v>
      </c>
      <c r="AV86" s="1231">
        <f t="shared" si="143"/>
        <v>0</v>
      </c>
      <c r="AW86" s="1231">
        <f t="shared" si="144"/>
        <v>0</v>
      </c>
      <c r="AX86" s="1231">
        <f t="shared" si="145"/>
        <v>0</v>
      </c>
      <c r="AY86" s="1231">
        <f t="shared" si="146"/>
        <v>0</v>
      </c>
      <c r="AZ86" s="1231">
        <f t="shared" si="147"/>
        <v>0</v>
      </c>
      <c r="BA86" s="1231">
        <f t="shared" si="148"/>
        <v>0</v>
      </c>
      <c r="BB86" s="1231">
        <f t="shared" si="149"/>
        <v>0</v>
      </c>
      <c r="BC86" s="1231">
        <f t="shared" si="150"/>
        <v>0</v>
      </c>
      <c r="BD86" s="1231">
        <f t="shared" si="151"/>
        <v>0</v>
      </c>
      <c r="BE86" s="1231">
        <f t="shared" si="152"/>
        <v>0</v>
      </c>
      <c r="BF86" s="1231">
        <f t="shared" si="153"/>
        <v>0</v>
      </c>
      <c r="BG86" s="1231">
        <f t="shared" si="154"/>
        <v>0</v>
      </c>
      <c r="BH86" s="1231">
        <f t="shared" si="155"/>
        <v>0</v>
      </c>
      <c r="BI86" s="1231">
        <f t="shared" si="156"/>
        <v>0</v>
      </c>
      <c r="BJ86" s="1231">
        <f t="shared" si="157"/>
        <v>0</v>
      </c>
      <c r="BK86" s="1231">
        <f t="shared" si="158"/>
        <v>0</v>
      </c>
      <c r="BL86" s="1231">
        <f t="shared" si="159"/>
        <v>0</v>
      </c>
      <c r="BM86" s="1231">
        <f t="shared" si="160"/>
        <v>0</v>
      </c>
      <c r="BN86" s="1231">
        <f t="shared" si="161"/>
        <v>0</v>
      </c>
      <c r="BO86" s="1231">
        <f t="shared" si="162"/>
        <v>0</v>
      </c>
      <c r="BP86" s="1231">
        <f t="shared" si="163"/>
        <v>0</v>
      </c>
      <c r="BQ86" s="1231">
        <f t="shared" si="164"/>
        <v>0</v>
      </c>
      <c r="BR86" s="1231">
        <f t="shared" si="165"/>
        <v>0</v>
      </c>
      <c r="BS86" s="1231">
        <f t="shared" si="166"/>
        <v>0</v>
      </c>
      <c r="BT86" s="1231">
        <f t="shared" si="167"/>
        <v>0</v>
      </c>
      <c r="BU86" s="1231">
        <f t="shared" si="168"/>
        <v>0</v>
      </c>
      <c r="BV86" s="1231">
        <f t="shared" si="169"/>
        <v>0</v>
      </c>
      <c r="BW86" s="1231">
        <f t="shared" si="170"/>
        <v>0</v>
      </c>
      <c r="BX86" s="1231">
        <f t="shared" si="171"/>
        <v>0</v>
      </c>
      <c r="BY86" s="1231">
        <f t="shared" si="172"/>
        <v>0</v>
      </c>
      <c r="BZ86" s="1231">
        <f t="shared" si="173"/>
        <v>0</v>
      </c>
      <c r="CA86" s="1231">
        <f t="shared" si="174"/>
        <v>0</v>
      </c>
      <c r="CB86" s="1231">
        <f t="shared" si="175"/>
        <v>0</v>
      </c>
      <c r="CC86" s="1231">
        <f t="shared" si="176"/>
        <v>0</v>
      </c>
      <c r="CD86" s="1231">
        <f t="shared" si="177"/>
        <v>0</v>
      </c>
      <c r="CE86" s="1231">
        <f t="shared" si="178"/>
        <v>0</v>
      </c>
      <c r="CF86" s="1231">
        <f t="shared" si="179"/>
        <v>0</v>
      </c>
      <c r="CG86" s="1231">
        <f t="shared" si="180"/>
        <v>0</v>
      </c>
      <c r="CH86" s="1231">
        <f t="shared" si="181"/>
        <v>0</v>
      </c>
      <c r="CI86" s="1231">
        <f t="shared" si="182"/>
        <v>0</v>
      </c>
      <c r="CJ86" s="1231">
        <f t="shared" si="183"/>
        <v>0</v>
      </c>
      <c r="CK86" s="1231">
        <f t="shared" si="184"/>
        <v>0</v>
      </c>
      <c r="CL86" s="1231">
        <f t="shared" si="185"/>
        <v>0</v>
      </c>
      <c r="CM86" s="1231">
        <f t="shared" si="186"/>
        <v>0</v>
      </c>
      <c r="CN86" s="1231">
        <f t="shared" si="187"/>
        <v>0</v>
      </c>
      <c r="CO86" s="1165"/>
      <c r="CP86" s="1165"/>
      <c r="CQ86" s="1165"/>
      <c r="CR86" s="1165"/>
      <c r="CS86" s="1165"/>
      <c r="CT86" s="1165"/>
      <c r="CU86" s="1165"/>
      <c r="CV86" s="1165"/>
      <c r="CW86" s="1165"/>
      <c r="CX86" s="1165"/>
      <c r="CY86" s="1165"/>
      <c r="CZ86" s="1165"/>
      <c r="DA86" s="1165"/>
      <c r="DB86" s="1165"/>
      <c r="DC86" s="1165"/>
      <c r="DD86" s="1165"/>
      <c r="DE86" s="1165"/>
      <c r="DF86" s="1165"/>
      <c r="DG86" s="1165"/>
      <c r="DH86" s="1165"/>
      <c r="DI86" s="1165"/>
      <c r="DJ86" s="1165"/>
      <c r="DK86" s="1232"/>
      <c r="DL86" s="1232"/>
      <c r="DM86" s="1232"/>
      <c r="DN86" s="1232"/>
      <c r="DO86" s="1232"/>
      <c r="DP86" s="1232"/>
      <c r="DQ86" s="1232"/>
      <c r="DR86" s="1232"/>
      <c r="DS86" s="1232"/>
      <c r="DT86" s="1232"/>
      <c r="DU86" s="1232"/>
      <c r="DV86" s="1232"/>
      <c r="DW86" s="1232"/>
      <c r="DX86" s="1232"/>
      <c r="DY86" s="1232"/>
      <c r="DZ86" s="1232"/>
      <c r="EA86" s="1232"/>
      <c r="EB86" s="1232"/>
      <c r="EC86" s="1232"/>
      <c r="ED86" s="1232"/>
      <c r="EE86" s="1232"/>
      <c r="EF86" s="1232"/>
      <c r="EG86" s="1232"/>
      <c r="EH86" s="1232"/>
      <c r="EI86" s="1232"/>
      <c r="EJ86" s="1232"/>
      <c r="EK86" s="1232"/>
      <c r="EL86" s="1232"/>
      <c r="EM86" s="1232"/>
      <c r="EN86" s="1232"/>
      <c r="EO86" s="1232"/>
      <c r="EP86" s="1232"/>
      <c r="EQ86" s="1232"/>
      <c r="ER86" s="1232"/>
      <c r="ES86" s="1232"/>
      <c r="ET86" s="1232"/>
      <c r="EU86" s="1165"/>
      <c r="EV86" s="1165"/>
      <c r="EW86" s="1165"/>
      <c r="EX86" s="1165"/>
      <c r="EY86" s="1165"/>
      <c r="EZ86" s="1165"/>
      <c r="FA86" s="1165"/>
      <c r="FB86" s="1165"/>
      <c r="FC86" s="1165"/>
      <c r="FD86" s="1165"/>
      <c r="FE86" s="1165"/>
      <c r="FF86" s="1165"/>
    </row>
    <row r="87" spans="1:162">
      <c r="A87" s="1224"/>
      <c r="CQ87" s="1165"/>
      <c r="CR87" s="1165"/>
      <c r="CS87" s="1165"/>
      <c r="CT87" s="1165"/>
      <c r="CU87" s="1165"/>
      <c r="CV87" s="1165"/>
      <c r="CW87" s="1165"/>
      <c r="CX87" s="1165"/>
      <c r="CY87" s="1165"/>
      <c r="CZ87" s="1165"/>
      <c r="DA87" s="1165"/>
      <c r="DB87" s="1165"/>
      <c r="DC87" s="1165"/>
      <c r="DD87" s="1165"/>
      <c r="DE87" s="1165"/>
      <c r="DF87" s="1165"/>
      <c r="DG87" s="1165"/>
      <c r="DH87" s="1165"/>
      <c r="DI87" s="1165"/>
      <c r="DJ87" s="1165"/>
      <c r="DK87" s="1165"/>
      <c r="DL87" s="1165"/>
      <c r="DM87" s="1165"/>
      <c r="DN87" s="1165"/>
      <c r="DO87" s="1165"/>
      <c r="DP87" s="1165"/>
      <c r="DQ87" s="1165"/>
      <c r="DR87" s="1165"/>
      <c r="DS87" s="1165"/>
      <c r="DT87" s="1165"/>
      <c r="DU87" s="1165"/>
      <c r="DV87" s="1165"/>
      <c r="DW87" s="1165"/>
      <c r="DX87" s="1165"/>
      <c r="DY87" s="1165"/>
      <c r="DZ87" s="1165"/>
      <c r="EA87" s="1165"/>
      <c r="EB87" s="1165"/>
      <c r="EC87" s="1165"/>
      <c r="ED87" s="1165"/>
      <c r="EE87" s="1165"/>
      <c r="EF87" s="1165"/>
      <c r="EG87" s="1165"/>
      <c r="EH87" s="1165"/>
      <c r="EI87" s="1165"/>
      <c r="EJ87" s="1165"/>
      <c r="EK87" s="1165"/>
      <c r="EL87" s="1165"/>
      <c r="EM87" s="1165"/>
      <c r="EN87" s="1165"/>
      <c r="EO87" s="1165"/>
      <c r="EP87" s="1165"/>
      <c r="EQ87" s="1165"/>
      <c r="ER87" s="1165"/>
      <c r="ES87" s="1165"/>
      <c r="ET87" s="1165"/>
      <c r="EU87" s="1165"/>
      <c r="EV87" s="1165"/>
      <c r="EW87" s="1165"/>
      <c r="EX87" s="1165"/>
      <c r="EY87" s="1165"/>
      <c r="EZ87" s="1165"/>
      <c r="FA87" s="1165"/>
      <c r="FB87" s="1165"/>
      <c r="FC87" s="1165"/>
      <c r="FD87" s="1165"/>
      <c r="FE87" s="1165"/>
      <c r="FF87" s="1165"/>
    </row>
    <row r="88" spans="1:162" s="1231" customFormat="1">
      <c r="A88" s="1224"/>
      <c r="B88" s="1230" t="s">
        <v>85</v>
      </c>
      <c r="M88" s="1231">
        <f t="shared" ref="M88:Q96" ca="1" si="189">OFFSET($CT88,0,M$7)</f>
        <v>0</v>
      </c>
      <c r="N88" s="1231">
        <f t="shared" ca="1" si="189"/>
        <v>0</v>
      </c>
      <c r="O88" s="1231">
        <f t="shared" ca="1" si="189"/>
        <v>0</v>
      </c>
      <c r="P88" s="1231">
        <f t="shared" ca="1" si="189"/>
        <v>0</v>
      </c>
      <c r="Q88" s="1231">
        <f t="shared" ca="1" si="189"/>
        <v>0</v>
      </c>
      <c r="R88" s="1231">
        <f>R96-R95</f>
        <v>173.820851</v>
      </c>
      <c r="S88" s="1231">
        <f t="shared" ref="S88:X88" si="190">S96-S95</f>
        <v>179.279</v>
      </c>
      <c r="T88" s="1231">
        <f t="shared" si="190"/>
        <v>235.37799999999999</v>
      </c>
      <c r="U88" s="1231">
        <f>U96-U95</f>
        <v>215.26499999999999</v>
      </c>
      <c r="V88" s="1231">
        <f t="shared" si="190"/>
        <v>207.822</v>
      </c>
      <c r="W88" s="1231">
        <f t="shared" si="190"/>
        <v>224.279</v>
      </c>
      <c r="X88" s="1231">
        <f t="shared" si="190"/>
        <v>248.58099999999999</v>
      </c>
      <c r="Y88" s="1231">
        <f>Y96-Y95</f>
        <v>219.94399999999999</v>
      </c>
      <c r="AG88" s="1231">
        <f t="shared" si="128"/>
        <v>0</v>
      </c>
      <c r="AH88" s="1231">
        <f t="shared" si="129"/>
        <v>0</v>
      </c>
      <c r="AI88" s="1231">
        <f t="shared" si="130"/>
        <v>0</v>
      </c>
      <c r="AJ88" s="1231">
        <f t="shared" si="131"/>
        <v>0</v>
      </c>
      <c r="AK88" s="1231">
        <f t="shared" si="132"/>
        <v>0</v>
      </c>
      <c r="AL88" s="1231">
        <f t="shared" si="133"/>
        <v>0</v>
      </c>
      <c r="AM88" s="1231">
        <f t="shared" si="134"/>
        <v>0</v>
      </c>
      <c r="AN88" s="1231">
        <f t="shared" si="135"/>
        <v>0</v>
      </c>
      <c r="AO88" s="1231">
        <f t="shared" si="136"/>
        <v>0</v>
      </c>
      <c r="AP88" s="1231">
        <f t="shared" si="137"/>
        <v>0</v>
      </c>
      <c r="AQ88" s="1231">
        <f t="shared" si="138"/>
        <v>0</v>
      </c>
      <c r="AR88" s="1231">
        <f t="shared" si="139"/>
        <v>0</v>
      </c>
      <c r="AS88" s="1231">
        <f t="shared" si="140"/>
        <v>0</v>
      </c>
      <c r="AT88" s="1231">
        <f t="shared" si="141"/>
        <v>0</v>
      </c>
      <c r="AU88" s="1231">
        <f t="shared" si="142"/>
        <v>0</v>
      </c>
      <c r="AV88" s="1231">
        <f t="shared" si="143"/>
        <v>0</v>
      </c>
      <c r="AW88" s="1231">
        <f t="shared" si="144"/>
        <v>0</v>
      </c>
      <c r="AX88" s="1231">
        <f t="shared" si="145"/>
        <v>0</v>
      </c>
      <c r="AY88" s="1231">
        <f t="shared" si="146"/>
        <v>0</v>
      </c>
      <c r="AZ88" s="1231">
        <f t="shared" si="147"/>
        <v>0</v>
      </c>
      <c r="BA88" s="1231">
        <f t="shared" si="148"/>
        <v>0</v>
      </c>
      <c r="BB88" s="1231">
        <f t="shared" si="149"/>
        <v>0</v>
      </c>
      <c r="BC88" s="1231">
        <f t="shared" si="150"/>
        <v>0</v>
      </c>
      <c r="BD88" s="1231">
        <f t="shared" si="151"/>
        <v>0</v>
      </c>
      <c r="BE88" s="1231">
        <f t="shared" si="152"/>
        <v>0</v>
      </c>
      <c r="BF88" s="1231">
        <f t="shared" si="153"/>
        <v>0</v>
      </c>
      <c r="BG88" s="1231">
        <f t="shared" si="154"/>
        <v>0</v>
      </c>
      <c r="BH88" s="1231">
        <f t="shared" si="155"/>
        <v>0</v>
      </c>
      <c r="BI88" s="1231">
        <f t="shared" si="156"/>
        <v>0</v>
      </c>
      <c r="BJ88" s="1231">
        <f t="shared" si="157"/>
        <v>0</v>
      </c>
      <c r="BK88" s="1231">
        <f t="shared" si="158"/>
        <v>0</v>
      </c>
      <c r="BL88" s="1231">
        <f t="shared" si="159"/>
        <v>0</v>
      </c>
      <c r="BM88" s="1231">
        <f t="shared" si="160"/>
        <v>0</v>
      </c>
      <c r="BN88" s="1231">
        <f t="shared" si="161"/>
        <v>0</v>
      </c>
      <c r="BO88" s="1231">
        <f t="shared" si="162"/>
        <v>0</v>
      </c>
      <c r="BP88" s="1231">
        <f t="shared" si="163"/>
        <v>0</v>
      </c>
      <c r="BQ88" s="1231">
        <f t="shared" si="164"/>
        <v>0</v>
      </c>
      <c r="BR88" s="1231">
        <f t="shared" si="165"/>
        <v>0</v>
      </c>
      <c r="BS88" s="1231">
        <f t="shared" si="166"/>
        <v>0</v>
      </c>
      <c r="BT88" s="1231">
        <f t="shared" si="167"/>
        <v>0</v>
      </c>
      <c r="BU88" s="1231">
        <f t="shared" si="168"/>
        <v>0</v>
      </c>
      <c r="BV88" s="1231">
        <f t="shared" si="169"/>
        <v>0</v>
      </c>
      <c r="BW88" s="1231">
        <f t="shared" si="170"/>
        <v>0</v>
      </c>
      <c r="BX88" s="1231">
        <f t="shared" si="171"/>
        <v>0</v>
      </c>
      <c r="BY88" s="1231">
        <f t="shared" si="172"/>
        <v>0</v>
      </c>
      <c r="BZ88" s="1231">
        <f t="shared" si="173"/>
        <v>0</v>
      </c>
      <c r="CA88" s="1231">
        <f t="shared" si="174"/>
        <v>0</v>
      </c>
      <c r="CB88" s="1231">
        <f t="shared" si="175"/>
        <v>0</v>
      </c>
      <c r="CC88" s="1231">
        <f t="shared" si="176"/>
        <v>0</v>
      </c>
      <c r="CD88" s="1231">
        <f t="shared" si="177"/>
        <v>0</v>
      </c>
      <c r="CE88" s="1231">
        <f t="shared" si="178"/>
        <v>0</v>
      </c>
      <c r="CF88" s="1231">
        <f t="shared" si="179"/>
        <v>0</v>
      </c>
      <c r="CG88" s="1231">
        <f t="shared" si="180"/>
        <v>0</v>
      </c>
      <c r="CH88" s="1231">
        <f t="shared" si="181"/>
        <v>0</v>
      </c>
      <c r="CI88" s="1231">
        <f t="shared" si="182"/>
        <v>0</v>
      </c>
      <c r="CJ88" s="1231">
        <f t="shared" si="183"/>
        <v>0</v>
      </c>
      <c r="CK88" s="1231">
        <f t="shared" si="184"/>
        <v>0</v>
      </c>
      <c r="CL88" s="1231">
        <f t="shared" si="185"/>
        <v>0</v>
      </c>
      <c r="CM88" s="1231">
        <f t="shared" si="186"/>
        <v>0</v>
      </c>
      <c r="CN88" s="1231">
        <f t="shared" si="187"/>
        <v>0</v>
      </c>
      <c r="CQ88" s="1165"/>
      <c r="CR88" s="1165"/>
      <c r="CS88" s="1165"/>
      <c r="CT88" s="1165"/>
      <c r="CU88" s="1165"/>
      <c r="CV88" s="1165"/>
      <c r="CW88" s="1165"/>
      <c r="CX88" s="1165"/>
      <c r="CY88" s="1165"/>
      <c r="CZ88" s="1165"/>
      <c r="DA88" s="1165"/>
      <c r="DB88" s="1165"/>
      <c r="DC88" s="1165"/>
      <c r="DD88" s="1165"/>
      <c r="DE88" s="1165"/>
      <c r="DF88" s="1165"/>
      <c r="DG88" s="1165"/>
      <c r="DH88" s="1165"/>
      <c r="DI88" s="1165"/>
      <c r="DJ88" s="1165"/>
      <c r="EU88" s="1165"/>
      <c r="EV88" s="1165"/>
      <c r="EW88" s="1165"/>
      <c r="EX88" s="1165"/>
      <c r="EY88" s="1165"/>
      <c r="EZ88" s="1165"/>
      <c r="FA88" s="1165"/>
      <c r="FB88" s="1165"/>
      <c r="FC88" s="1165"/>
      <c r="FD88" s="1165"/>
      <c r="FE88" s="1165"/>
      <c r="FF88" s="1165"/>
    </row>
    <row r="89" spans="1:162">
      <c r="A89" s="1224"/>
      <c r="B89" s="1237" t="s">
        <v>152</v>
      </c>
      <c r="M89" s="1236">
        <f t="shared" ca="1" si="189"/>
        <v>0</v>
      </c>
      <c r="N89" s="1236">
        <f t="shared" ca="1" si="189"/>
        <v>0</v>
      </c>
      <c r="O89" s="1236">
        <f t="shared" ca="1" si="189"/>
        <v>0</v>
      </c>
      <c r="P89" s="1236">
        <f t="shared" ca="1" si="189"/>
        <v>0</v>
      </c>
      <c r="Q89" s="1236">
        <f t="shared" ca="1" si="189"/>
        <v>0</v>
      </c>
      <c r="AG89" s="1236">
        <f t="shared" si="128"/>
        <v>0</v>
      </c>
      <c r="AH89" s="1236">
        <f t="shared" si="129"/>
        <v>0</v>
      </c>
      <c r="AI89" s="1236">
        <f t="shared" si="130"/>
        <v>0</v>
      </c>
      <c r="AJ89" s="1236">
        <f t="shared" si="131"/>
        <v>0</v>
      </c>
      <c r="AK89" s="1236">
        <f t="shared" si="132"/>
        <v>0</v>
      </c>
      <c r="AL89" s="1236">
        <f t="shared" si="133"/>
        <v>0</v>
      </c>
      <c r="AM89" s="1236">
        <f t="shared" si="134"/>
        <v>0</v>
      </c>
      <c r="AN89" s="1236">
        <f t="shared" si="135"/>
        <v>0</v>
      </c>
      <c r="AO89" s="1236">
        <f t="shared" si="136"/>
        <v>0</v>
      </c>
      <c r="AP89" s="1236">
        <f t="shared" si="137"/>
        <v>0</v>
      </c>
      <c r="AQ89" s="1236">
        <f t="shared" si="138"/>
        <v>0</v>
      </c>
      <c r="AR89" s="1236">
        <f t="shared" si="139"/>
        <v>0</v>
      </c>
      <c r="AS89" s="1236">
        <f t="shared" si="140"/>
        <v>0</v>
      </c>
      <c r="AT89" s="1236">
        <f t="shared" si="141"/>
        <v>0</v>
      </c>
      <c r="AU89" s="1236">
        <f t="shared" si="142"/>
        <v>0</v>
      </c>
      <c r="AV89" s="1236">
        <f t="shared" si="143"/>
        <v>0</v>
      </c>
      <c r="AW89" s="1236">
        <f t="shared" si="144"/>
        <v>0</v>
      </c>
      <c r="AX89" s="1236">
        <f t="shared" si="145"/>
        <v>0</v>
      </c>
      <c r="AY89" s="1236">
        <f t="shared" si="146"/>
        <v>0</v>
      </c>
      <c r="AZ89" s="1236">
        <f t="shared" si="147"/>
        <v>0</v>
      </c>
      <c r="BA89" s="1236">
        <f t="shared" si="148"/>
        <v>0</v>
      </c>
      <c r="BB89" s="1236">
        <f t="shared" si="149"/>
        <v>0</v>
      </c>
      <c r="BC89" s="1236">
        <f t="shared" si="150"/>
        <v>0</v>
      </c>
      <c r="BD89" s="1236">
        <f t="shared" si="151"/>
        <v>0</v>
      </c>
      <c r="BE89" s="1236">
        <f t="shared" si="152"/>
        <v>0</v>
      </c>
      <c r="BF89" s="1236">
        <f t="shared" si="153"/>
        <v>0</v>
      </c>
      <c r="BG89" s="1236">
        <f t="shared" si="154"/>
        <v>0</v>
      </c>
      <c r="BH89" s="1236">
        <f t="shared" si="155"/>
        <v>0</v>
      </c>
      <c r="BI89" s="1236">
        <f t="shared" si="156"/>
        <v>0</v>
      </c>
      <c r="BJ89" s="1236">
        <f t="shared" si="157"/>
        <v>0</v>
      </c>
      <c r="BK89" s="1236">
        <f t="shared" si="158"/>
        <v>0</v>
      </c>
      <c r="BL89" s="1236">
        <f t="shared" si="159"/>
        <v>0</v>
      </c>
      <c r="BM89" s="1236">
        <f t="shared" si="160"/>
        <v>0</v>
      </c>
      <c r="BN89" s="1236">
        <f t="shared" si="161"/>
        <v>0</v>
      </c>
      <c r="BO89" s="1236">
        <f t="shared" si="162"/>
        <v>0</v>
      </c>
      <c r="BP89" s="1236">
        <f t="shared" si="163"/>
        <v>0</v>
      </c>
      <c r="BQ89" s="1236">
        <f t="shared" si="164"/>
        <v>0</v>
      </c>
      <c r="BR89" s="1236">
        <f t="shared" si="165"/>
        <v>0</v>
      </c>
      <c r="BS89" s="1236">
        <f t="shared" si="166"/>
        <v>0</v>
      </c>
      <c r="BT89" s="1236">
        <f t="shared" si="167"/>
        <v>0</v>
      </c>
      <c r="BU89" s="1236">
        <f t="shared" si="168"/>
        <v>0</v>
      </c>
      <c r="BV89" s="1236">
        <f t="shared" si="169"/>
        <v>0</v>
      </c>
      <c r="BW89" s="1236">
        <f t="shared" si="170"/>
        <v>0</v>
      </c>
      <c r="BX89" s="1236">
        <f t="shared" si="171"/>
        <v>0</v>
      </c>
      <c r="BY89" s="1236">
        <f t="shared" si="172"/>
        <v>0</v>
      </c>
      <c r="BZ89" s="1236">
        <f t="shared" si="173"/>
        <v>0</v>
      </c>
      <c r="CA89" s="1236">
        <f t="shared" si="174"/>
        <v>0</v>
      </c>
      <c r="CB89" s="1236">
        <f t="shared" si="175"/>
        <v>0</v>
      </c>
      <c r="CC89" s="1236">
        <f t="shared" si="176"/>
        <v>0</v>
      </c>
      <c r="CD89" s="1236">
        <f t="shared" si="177"/>
        <v>0</v>
      </c>
      <c r="CE89" s="1236">
        <f t="shared" si="178"/>
        <v>0</v>
      </c>
      <c r="CF89" s="1236">
        <f t="shared" si="179"/>
        <v>0</v>
      </c>
      <c r="CG89" s="1236">
        <f t="shared" si="180"/>
        <v>0</v>
      </c>
      <c r="CH89" s="1236">
        <f t="shared" si="181"/>
        <v>0</v>
      </c>
      <c r="CI89" s="1236">
        <f t="shared" si="182"/>
        <v>0</v>
      </c>
      <c r="CJ89" s="1236">
        <f t="shared" si="183"/>
        <v>0</v>
      </c>
      <c r="CK89" s="1236">
        <f t="shared" si="184"/>
        <v>0</v>
      </c>
      <c r="CL89" s="1236">
        <f t="shared" si="185"/>
        <v>0</v>
      </c>
      <c r="CM89" s="1236">
        <f t="shared" si="186"/>
        <v>0</v>
      </c>
      <c r="CN89" s="1236">
        <f t="shared" si="187"/>
        <v>0</v>
      </c>
      <c r="CQ89" s="1165"/>
      <c r="CR89" s="1165"/>
      <c r="CS89" s="1165"/>
      <c r="CT89" s="1165"/>
      <c r="CU89" s="1165"/>
      <c r="CV89" s="1165"/>
      <c r="CW89" s="1165"/>
      <c r="CX89" s="1165"/>
      <c r="CY89" s="1165"/>
      <c r="CZ89" s="1165"/>
      <c r="DA89" s="1165"/>
      <c r="DB89" s="1165"/>
      <c r="DC89" s="1165"/>
      <c r="DD89" s="1165"/>
      <c r="DE89" s="1165"/>
      <c r="DF89" s="1165"/>
      <c r="DG89" s="1165"/>
      <c r="DH89" s="1165"/>
      <c r="DI89" s="1165"/>
      <c r="DJ89" s="1165"/>
      <c r="DK89" s="1165"/>
      <c r="DL89" s="1165"/>
      <c r="DM89" s="1165"/>
      <c r="DN89" s="1165"/>
      <c r="DO89" s="1165"/>
      <c r="DP89" s="1165"/>
      <c r="DQ89" s="1165"/>
      <c r="DR89" s="1165"/>
      <c r="DS89" s="1165"/>
      <c r="DT89" s="1165"/>
      <c r="DU89" s="1165"/>
      <c r="DV89" s="1165"/>
      <c r="DW89" s="1165"/>
      <c r="DX89" s="1165"/>
      <c r="DY89" s="1165"/>
      <c r="DZ89" s="1165"/>
      <c r="EA89" s="1165"/>
      <c r="EB89" s="1165"/>
      <c r="EC89" s="1165"/>
      <c r="ED89" s="1165"/>
      <c r="EE89" s="1165"/>
      <c r="EF89" s="1165"/>
      <c r="EG89" s="1165"/>
      <c r="EH89" s="1165"/>
      <c r="EI89" s="1165"/>
      <c r="EJ89" s="1165"/>
      <c r="EK89" s="1165"/>
      <c r="EL89" s="1165"/>
      <c r="EM89" s="1165"/>
      <c r="EN89" s="1165"/>
      <c r="EO89" s="1165"/>
      <c r="EP89" s="1165"/>
      <c r="EQ89" s="1165"/>
      <c r="ER89" s="1165"/>
      <c r="ES89" s="1165"/>
      <c r="ET89" s="1165"/>
      <c r="EU89" s="1165"/>
      <c r="EV89" s="1165"/>
      <c r="EW89" s="1165"/>
      <c r="EX89" s="1165"/>
      <c r="EY89" s="1165"/>
      <c r="EZ89" s="1165"/>
      <c r="FA89" s="1165"/>
      <c r="FB89" s="1165"/>
      <c r="FC89" s="1165"/>
      <c r="FD89" s="1165"/>
      <c r="FE89" s="1165"/>
      <c r="FF89" s="1165"/>
    </row>
    <row r="90" spans="1:162">
      <c r="A90" s="1224"/>
      <c r="B90" s="1237" t="s">
        <v>159</v>
      </c>
      <c r="M90" s="1236">
        <f t="shared" ca="1" si="189"/>
        <v>0</v>
      </c>
      <c r="N90" s="1236">
        <f t="shared" ca="1" si="189"/>
        <v>0</v>
      </c>
      <c r="O90" s="1236">
        <f t="shared" ca="1" si="189"/>
        <v>0</v>
      </c>
      <c r="P90" s="1236">
        <f t="shared" ca="1" si="189"/>
        <v>0</v>
      </c>
      <c r="Q90" s="1236">
        <f t="shared" ca="1" si="189"/>
        <v>0</v>
      </c>
      <c r="AG90" s="1236">
        <f t="shared" si="128"/>
        <v>0</v>
      </c>
      <c r="AH90" s="1236">
        <f t="shared" si="129"/>
        <v>0</v>
      </c>
      <c r="AI90" s="1236">
        <f t="shared" si="130"/>
        <v>0</v>
      </c>
      <c r="AJ90" s="1236">
        <f t="shared" si="131"/>
        <v>0</v>
      </c>
      <c r="AK90" s="1236">
        <f t="shared" si="132"/>
        <v>0</v>
      </c>
      <c r="AL90" s="1236">
        <f t="shared" si="133"/>
        <v>0</v>
      </c>
      <c r="AM90" s="1236">
        <f t="shared" si="134"/>
        <v>0</v>
      </c>
      <c r="AN90" s="1236">
        <f t="shared" si="135"/>
        <v>0</v>
      </c>
      <c r="AO90" s="1236">
        <f t="shared" si="136"/>
        <v>0</v>
      </c>
      <c r="AP90" s="1236">
        <f t="shared" si="137"/>
        <v>0</v>
      </c>
      <c r="AQ90" s="1236">
        <f t="shared" si="138"/>
        <v>0</v>
      </c>
      <c r="AR90" s="1236">
        <f t="shared" si="139"/>
        <v>0</v>
      </c>
      <c r="AS90" s="1236">
        <f t="shared" si="140"/>
        <v>0</v>
      </c>
      <c r="AT90" s="1236">
        <f t="shared" si="141"/>
        <v>0</v>
      </c>
      <c r="AU90" s="1236">
        <f t="shared" si="142"/>
        <v>0</v>
      </c>
      <c r="AV90" s="1236">
        <f t="shared" si="143"/>
        <v>0</v>
      </c>
      <c r="AW90" s="1236">
        <f t="shared" si="144"/>
        <v>0</v>
      </c>
      <c r="AX90" s="1236">
        <f t="shared" si="145"/>
        <v>0</v>
      </c>
      <c r="AY90" s="1236">
        <f t="shared" si="146"/>
        <v>0</v>
      </c>
      <c r="AZ90" s="1236">
        <f t="shared" si="147"/>
        <v>0</v>
      </c>
      <c r="BA90" s="1236">
        <f t="shared" si="148"/>
        <v>0</v>
      </c>
      <c r="BB90" s="1236">
        <f t="shared" si="149"/>
        <v>0</v>
      </c>
      <c r="BC90" s="1236">
        <f t="shared" si="150"/>
        <v>0</v>
      </c>
      <c r="BD90" s="1236">
        <f t="shared" si="151"/>
        <v>0</v>
      </c>
      <c r="BE90" s="1236">
        <f t="shared" si="152"/>
        <v>0</v>
      </c>
      <c r="BF90" s="1236">
        <f t="shared" si="153"/>
        <v>0</v>
      </c>
      <c r="BG90" s="1236">
        <f t="shared" si="154"/>
        <v>0</v>
      </c>
      <c r="BH90" s="1236">
        <f t="shared" si="155"/>
        <v>0</v>
      </c>
      <c r="BI90" s="1236">
        <f t="shared" si="156"/>
        <v>0</v>
      </c>
      <c r="BJ90" s="1236">
        <f t="shared" si="157"/>
        <v>0</v>
      </c>
      <c r="BK90" s="1236">
        <f t="shared" si="158"/>
        <v>0</v>
      </c>
      <c r="BL90" s="1236">
        <f t="shared" si="159"/>
        <v>0</v>
      </c>
      <c r="BM90" s="1236">
        <f t="shared" si="160"/>
        <v>0</v>
      </c>
      <c r="BN90" s="1236">
        <f t="shared" si="161"/>
        <v>0</v>
      </c>
      <c r="BO90" s="1236">
        <f t="shared" si="162"/>
        <v>0</v>
      </c>
      <c r="BP90" s="1236">
        <f t="shared" si="163"/>
        <v>0</v>
      </c>
      <c r="BQ90" s="1236">
        <f t="shared" si="164"/>
        <v>0</v>
      </c>
      <c r="BR90" s="1236">
        <f t="shared" si="165"/>
        <v>0</v>
      </c>
      <c r="BS90" s="1236">
        <f t="shared" si="166"/>
        <v>0</v>
      </c>
      <c r="BT90" s="1236">
        <f t="shared" si="167"/>
        <v>0</v>
      </c>
      <c r="BU90" s="1236">
        <f t="shared" si="168"/>
        <v>0</v>
      </c>
      <c r="BV90" s="1236">
        <f t="shared" si="169"/>
        <v>0</v>
      </c>
      <c r="BW90" s="1236">
        <f t="shared" si="170"/>
        <v>0</v>
      </c>
      <c r="BX90" s="1236">
        <f t="shared" si="171"/>
        <v>0</v>
      </c>
      <c r="BY90" s="1236">
        <f t="shared" si="172"/>
        <v>0</v>
      </c>
      <c r="BZ90" s="1236">
        <f t="shared" si="173"/>
        <v>0</v>
      </c>
      <c r="CA90" s="1236">
        <f t="shared" si="174"/>
        <v>0</v>
      </c>
      <c r="CB90" s="1236">
        <f t="shared" si="175"/>
        <v>0</v>
      </c>
      <c r="CC90" s="1236">
        <f t="shared" si="176"/>
        <v>0</v>
      </c>
      <c r="CD90" s="1236">
        <f t="shared" si="177"/>
        <v>0</v>
      </c>
      <c r="CE90" s="1236">
        <f t="shared" si="178"/>
        <v>0</v>
      </c>
      <c r="CF90" s="1236">
        <f t="shared" si="179"/>
        <v>0</v>
      </c>
      <c r="CG90" s="1236">
        <f t="shared" si="180"/>
        <v>0</v>
      </c>
      <c r="CH90" s="1236">
        <f t="shared" si="181"/>
        <v>0</v>
      </c>
      <c r="CI90" s="1236">
        <f t="shared" si="182"/>
        <v>0</v>
      </c>
      <c r="CJ90" s="1236">
        <f t="shared" si="183"/>
        <v>0</v>
      </c>
      <c r="CK90" s="1236">
        <f t="shared" si="184"/>
        <v>0</v>
      </c>
      <c r="CL90" s="1236">
        <f t="shared" si="185"/>
        <v>0</v>
      </c>
      <c r="CM90" s="1236">
        <f t="shared" si="186"/>
        <v>0</v>
      </c>
      <c r="CN90" s="1236">
        <f t="shared" si="187"/>
        <v>0</v>
      </c>
      <c r="CQ90" s="1165"/>
      <c r="CR90" s="1165"/>
      <c r="CS90" s="1165"/>
      <c r="CT90" s="1165"/>
      <c r="CU90" s="1165"/>
      <c r="CV90" s="1165"/>
      <c r="CW90" s="1165"/>
      <c r="CX90" s="1165"/>
      <c r="CY90" s="1165"/>
      <c r="CZ90" s="1165"/>
      <c r="DA90" s="1165"/>
      <c r="DB90" s="1165"/>
      <c r="DC90" s="1165"/>
      <c r="DD90" s="1165"/>
      <c r="DE90" s="1165"/>
      <c r="DF90" s="1165"/>
      <c r="DG90" s="1165"/>
      <c r="DH90" s="1165"/>
      <c r="DI90" s="1165"/>
      <c r="DJ90" s="1165"/>
      <c r="DK90" s="1165"/>
      <c r="DL90" s="1165"/>
      <c r="DM90" s="1165"/>
      <c r="DN90" s="1165"/>
      <c r="DO90" s="1165"/>
      <c r="DP90" s="1165"/>
      <c r="DQ90" s="1165"/>
      <c r="DR90" s="1165"/>
      <c r="DS90" s="1165"/>
      <c r="DT90" s="1165"/>
      <c r="DU90" s="1165"/>
      <c r="DV90" s="1165"/>
      <c r="DW90" s="1165"/>
      <c r="DX90" s="1165"/>
      <c r="DY90" s="1165"/>
      <c r="DZ90" s="1165"/>
      <c r="EA90" s="1165"/>
      <c r="EB90" s="1165"/>
      <c r="EC90" s="1165"/>
      <c r="ED90" s="1165"/>
      <c r="EE90" s="1165"/>
      <c r="EF90" s="1165"/>
      <c r="EG90" s="1165"/>
      <c r="EH90" s="1165"/>
      <c r="EI90" s="1165"/>
      <c r="EJ90" s="1165"/>
      <c r="EK90" s="1165"/>
      <c r="EL90" s="1165"/>
      <c r="EM90" s="1165"/>
      <c r="EN90" s="1165"/>
      <c r="EO90" s="1165"/>
      <c r="EP90" s="1165"/>
      <c r="EQ90" s="1165"/>
      <c r="ER90" s="1165"/>
      <c r="ES90" s="1165"/>
      <c r="ET90" s="1165"/>
      <c r="EU90" s="1165"/>
      <c r="EV90" s="1165"/>
      <c r="EW90" s="1165"/>
      <c r="EX90" s="1165"/>
      <c r="EY90" s="1165"/>
      <c r="EZ90" s="1165"/>
      <c r="FA90" s="1165"/>
      <c r="FB90" s="1165"/>
      <c r="FC90" s="1165"/>
      <c r="FD90" s="1165"/>
      <c r="FE90" s="1165"/>
      <c r="FF90" s="1165"/>
    </row>
    <row r="91" spans="1:162">
      <c r="A91" s="1224"/>
      <c r="B91" s="1237" t="s">
        <v>233</v>
      </c>
      <c r="M91" s="1236">
        <f t="shared" ca="1" si="189"/>
        <v>0</v>
      </c>
      <c r="N91" s="1236">
        <f t="shared" ca="1" si="189"/>
        <v>0</v>
      </c>
      <c r="O91" s="1236">
        <f t="shared" ca="1" si="189"/>
        <v>0</v>
      </c>
      <c r="P91" s="1236">
        <f t="shared" ca="1" si="189"/>
        <v>0</v>
      </c>
      <c r="Q91" s="1236">
        <f t="shared" ca="1" si="189"/>
        <v>0</v>
      </c>
      <c r="AG91" s="1236">
        <f t="shared" si="128"/>
        <v>0</v>
      </c>
      <c r="AH91" s="1236">
        <f t="shared" si="129"/>
        <v>0</v>
      </c>
      <c r="AI91" s="1236">
        <f t="shared" si="130"/>
        <v>0</v>
      </c>
      <c r="AJ91" s="1236">
        <f t="shared" si="131"/>
        <v>0</v>
      </c>
      <c r="AK91" s="1236">
        <f t="shared" si="132"/>
        <v>0</v>
      </c>
      <c r="AL91" s="1236">
        <f t="shared" si="133"/>
        <v>0</v>
      </c>
      <c r="AM91" s="1236">
        <f t="shared" si="134"/>
        <v>0</v>
      </c>
      <c r="AN91" s="1236">
        <f t="shared" si="135"/>
        <v>0</v>
      </c>
      <c r="AO91" s="1236">
        <f t="shared" si="136"/>
        <v>0</v>
      </c>
      <c r="AP91" s="1236">
        <f t="shared" si="137"/>
        <v>0</v>
      </c>
      <c r="AQ91" s="1236">
        <f t="shared" si="138"/>
        <v>0</v>
      </c>
      <c r="AR91" s="1236">
        <f t="shared" si="139"/>
        <v>0</v>
      </c>
      <c r="AS91" s="1236">
        <f t="shared" si="140"/>
        <v>0</v>
      </c>
      <c r="AT91" s="1236">
        <f t="shared" si="141"/>
        <v>0</v>
      </c>
      <c r="AU91" s="1236">
        <f t="shared" si="142"/>
        <v>0</v>
      </c>
      <c r="AV91" s="1236">
        <f t="shared" si="143"/>
        <v>0</v>
      </c>
      <c r="AW91" s="1236">
        <f t="shared" si="144"/>
        <v>0</v>
      </c>
      <c r="AX91" s="1236">
        <f t="shared" si="145"/>
        <v>0</v>
      </c>
      <c r="AY91" s="1236">
        <f t="shared" si="146"/>
        <v>0</v>
      </c>
      <c r="AZ91" s="1236">
        <f t="shared" si="147"/>
        <v>0</v>
      </c>
      <c r="BA91" s="1236">
        <f t="shared" si="148"/>
        <v>0</v>
      </c>
      <c r="BB91" s="1236">
        <f t="shared" si="149"/>
        <v>0</v>
      </c>
      <c r="BC91" s="1236">
        <f t="shared" si="150"/>
        <v>0</v>
      </c>
      <c r="BD91" s="1236">
        <f t="shared" si="151"/>
        <v>0</v>
      </c>
      <c r="BE91" s="1236">
        <f t="shared" si="152"/>
        <v>0</v>
      </c>
      <c r="BF91" s="1236">
        <f t="shared" si="153"/>
        <v>0</v>
      </c>
      <c r="BG91" s="1236">
        <f t="shared" si="154"/>
        <v>0</v>
      </c>
      <c r="BH91" s="1236">
        <f t="shared" si="155"/>
        <v>0</v>
      </c>
      <c r="BI91" s="1236">
        <f t="shared" si="156"/>
        <v>0</v>
      </c>
      <c r="BJ91" s="1236">
        <f t="shared" si="157"/>
        <v>0</v>
      </c>
      <c r="BK91" s="1236">
        <f t="shared" si="158"/>
        <v>0</v>
      </c>
      <c r="BL91" s="1236">
        <f t="shared" si="159"/>
        <v>0</v>
      </c>
      <c r="BM91" s="1236">
        <f t="shared" si="160"/>
        <v>0</v>
      </c>
      <c r="BN91" s="1236">
        <f t="shared" si="161"/>
        <v>0</v>
      </c>
      <c r="BO91" s="1236">
        <f t="shared" si="162"/>
        <v>0</v>
      </c>
      <c r="BP91" s="1236">
        <f t="shared" si="163"/>
        <v>0</v>
      </c>
      <c r="BQ91" s="1236">
        <f t="shared" si="164"/>
        <v>0</v>
      </c>
      <c r="BR91" s="1236">
        <f t="shared" si="165"/>
        <v>0</v>
      </c>
      <c r="BS91" s="1236">
        <f t="shared" si="166"/>
        <v>0</v>
      </c>
      <c r="BT91" s="1236">
        <f t="shared" si="167"/>
        <v>0</v>
      </c>
      <c r="BU91" s="1236">
        <f t="shared" si="168"/>
        <v>0</v>
      </c>
      <c r="BV91" s="1236">
        <f t="shared" si="169"/>
        <v>0</v>
      </c>
      <c r="BW91" s="1236">
        <f t="shared" si="170"/>
        <v>0</v>
      </c>
      <c r="BX91" s="1236">
        <f t="shared" si="171"/>
        <v>0</v>
      </c>
      <c r="BY91" s="1236">
        <f t="shared" si="172"/>
        <v>0</v>
      </c>
      <c r="BZ91" s="1236">
        <f t="shared" si="173"/>
        <v>0</v>
      </c>
      <c r="CA91" s="1236">
        <f t="shared" si="174"/>
        <v>0</v>
      </c>
      <c r="CB91" s="1236">
        <f t="shared" si="175"/>
        <v>0</v>
      </c>
      <c r="CC91" s="1236">
        <f t="shared" si="176"/>
        <v>0</v>
      </c>
      <c r="CD91" s="1236">
        <f t="shared" si="177"/>
        <v>0</v>
      </c>
      <c r="CE91" s="1236">
        <f t="shared" si="178"/>
        <v>0</v>
      </c>
      <c r="CF91" s="1236">
        <f t="shared" si="179"/>
        <v>0</v>
      </c>
      <c r="CG91" s="1236">
        <f t="shared" si="180"/>
        <v>0</v>
      </c>
      <c r="CH91" s="1236">
        <f t="shared" si="181"/>
        <v>0</v>
      </c>
      <c r="CI91" s="1236">
        <f t="shared" si="182"/>
        <v>0</v>
      </c>
      <c r="CJ91" s="1236">
        <f t="shared" si="183"/>
        <v>0</v>
      </c>
      <c r="CK91" s="1236">
        <f t="shared" si="184"/>
        <v>0</v>
      </c>
      <c r="CL91" s="1236">
        <f t="shared" si="185"/>
        <v>0</v>
      </c>
      <c r="CM91" s="1236">
        <f t="shared" si="186"/>
        <v>0</v>
      </c>
      <c r="CN91" s="1236">
        <f t="shared" si="187"/>
        <v>0</v>
      </c>
      <c r="CQ91" s="1165"/>
      <c r="CR91" s="1165"/>
      <c r="CS91" s="1165"/>
      <c r="CT91" s="1165"/>
      <c r="CU91" s="1165"/>
      <c r="CV91" s="1165"/>
      <c r="CW91" s="1165"/>
      <c r="CX91" s="1165"/>
      <c r="CY91" s="1165"/>
      <c r="CZ91" s="1165"/>
      <c r="DA91" s="1165"/>
      <c r="DB91" s="1165"/>
      <c r="DC91" s="1165"/>
      <c r="DD91" s="1165"/>
      <c r="DE91" s="1165"/>
      <c r="DF91" s="1165"/>
      <c r="DG91" s="1165"/>
      <c r="DH91" s="1165"/>
      <c r="DI91" s="1165"/>
      <c r="DJ91" s="1165"/>
      <c r="DK91" s="1165"/>
      <c r="DL91" s="1165"/>
      <c r="DM91" s="1165"/>
      <c r="DN91" s="1165"/>
      <c r="DO91" s="1165"/>
      <c r="DP91" s="1165"/>
      <c r="DQ91" s="1165"/>
      <c r="DR91" s="1165"/>
      <c r="DS91" s="1165"/>
      <c r="DT91" s="1165"/>
      <c r="DU91" s="1165"/>
      <c r="DV91" s="1165"/>
      <c r="DW91" s="1165"/>
      <c r="DX91" s="1165"/>
      <c r="DY91" s="1165"/>
      <c r="DZ91" s="1165"/>
      <c r="EA91" s="1165"/>
      <c r="EB91" s="1165"/>
      <c r="EC91" s="1165"/>
      <c r="ED91" s="1165"/>
      <c r="EE91" s="1165"/>
      <c r="EF91" s="1165"/>
      <c r="EG91" s="1165"/>
      <c r="EH91" s="1165"/>
      <c r="EI91" s="1165"/>
      <c r="EJ91" s="1165"/>
      <c r="EK91" s="1165"/>
      <c r="EL91" s="1165"/>
      <c r="EM91" s="1165"/>
      <c r="EN91" s="1165"/>
      <c r="EO91" s="1165"/>
      <c r="EP91" s="1165"/>
      <c r="EQ91" s="1165"/>
      <c r="ER91" s="1165"/>
      <c r="ES91" s="1165"/>
      <c r="ET91" s="1165"/>
      <c r="EU91" s="1165"/>
      <c r="EV91" s="1165"/>
      <c r="EW91" s="1165"/>
      <c r="EX91" s="1165"/>
      <c r="EY91" s="1165"/>
      <c r="EZ91" s="1165"/>
      <c r="FA91" s="1165"/>
      <c r="FB91" s="1165"/>
      <c r="FC91" s="1165"/>
      <c r="FD91" s="1165"/>
      <c r="FE91" s="1165"/>
      <c r="FF91" s="1165"/>
    </row>
    <row r="92" spans="1:162">
      <c r="A92" s="1224"/>
      <c r="B92" s="1237" t="s">
        <v>197</v>
      </c>
      <c r="M92" s="1236">
        <f t="shared" ca="1" si="189"/>
        <v>0</v>
      </c>
      <c r="N92" s="1236">
        <f t="shared" ca="1" si="189"/>
        <v>0</v>
      </c>
      <c r="O92" s="1236">
        <f t="shared" ca="1" si="189"/>
        <v>0</v>
      </c>
      <c r="P92" s="1236">
        <f t="shared" ca="1" si="189"/>
        <v>0</v>
      </c>
      <c r="Q92" s="1236">
        <f t="shared" ca="1" si="189"/>
        <v>0</v>
      </c>
      <c r="AG92" s="1236">
        <f t="shared" si="128"/>
        <v>0</v>
      </c>
      <c r="AH92" s="1236">
        <f t="shared" si="129"/>
        <v>0</v>
      </c>
      <c r="AI92" s="1236">
        <f t="shared" si="130"/>
        <v>0</v>
      </c>
      <c r="AJ92" s="1236">
        <f t="shared" si="131"/>
        <v>0</v>
      </c>
      <c r="AK92" s="1236">
        <f t="shared" si="132"/>
        <v>0</v>
      </c>
      <c r="AL92" s="1236">
        <f t="shared" si="133"/>
        <v>0</v>
      </c>
      <c r="AM92" s="1236">
        <f t="shared" si="134"/>
        <v>0</v>
      </c>
      <c r="AN92" s="1236">
        <f t="shared" si="135"/>
        <v>0</v>
      </c>
      <c r="AO92" s="1236">
        <f t="shared" si="136"/>
        <v>0</v>
      </c>
      <c r="AP92" s="1236">
        <f t="shared" si="137"/>
        <v>0</v>
      </c>
      <c r="AQ92" s="1236">
        <f t="shared" si="138"/>
        <v>0</v>
      </c>
      <c r="AR92" s="1236">
        <f t="shared" si="139"/>
        <v>0</v>
      </c>
      <c r="AS92" s="1236">
        <f t="shared" si="140"/>
        <v>0</v>
      </c>
      <c r="AT92" s="1236">
        <f t="shared" si="141"/>
        <v>0</v>
      </c>
      <c r="AU92" s="1236">
        <f t="shared" si="142"/>
        <v>0</v>
      </c>
      <c r="AV92" s="1236">
        <f t="shared" si="143"/>
        <v>0</v>
      </c>
      <c r="AW92" s="1236">
        <f t="shared" si="144"/>
        <v>0</v>
      </c>
      <c r="AX92" s="1236">
        <f t="shared" si="145"/>
        <v>0</v>
      </c>
      <c r="AY92" s="1236">
        <f t="shared" si="146"/>
        <v>0</v>
      </c>
      <c r="AZ92" s="1236">
        <f t="shared" si="147"/>
        <v>0</v>
      </c>
      <c r="BA92" s="1236">
        <f t="shared" si="148"/>
        <v>0</v>
      </c>
      <c r="BB92" s="1236">
        <f t="shared" si="149"/>
        <v>0</v>
      </c>
      <c r="BC92" s="1236">
        <f t="shared" si="150"/>
        <v>0</v>
      </c>
      <c r="BD92" s="1236">
        <f t="shared" si="151"/>
        <v>0</v>
      </c>
      <c r="BE92" s="1236">
        <f t="shared" si="152"/>
        <v>0</v>
      </c>
      <c r="BF92" s="1236">
        <f t="shared" si="153"/>
        <v>0</v>
      </c>
      <c r="BG92" s="1236">
        <f t="shared" si="154"/>
        <v>0</v>
      </c>
      <c r="BH92" s="1236">
        <f t="shared" si="155"/>
        <v>0</v>
      </c>
      <c r="BI92" s="1236">
        <f t="shared" si="156"/>
        <v>0</v>
      </c>
      <c r="BJ92" s="1236">
        <f t="shared" si="157"/>
        <v>0</v>
      </c>
      <c r="BK92" s="1236">
        <f t="shared" si="158"/>
        <v>0</v>
      </c>
      <c r="BL92" s="1236">
        <f t="shared" si="159"/>
        <v>0</v>
      </c>
      <c r="BM92" s="1236">
        <f t="shared" si="160"/>
        <v>0</v>
      </c>
      <c r="BN92" s="1236">
        <f t="shared" si="161"/>
        <v>0</v>
      </c>
      <c r="BO92" s="1236">
        <f t="shared" si="162"/>
        <v>0</v>
      </c>
      <c r="BP92" s="1236">
        <f t="shared" si="163"/>
        <v>0</v>
      </c>
      <c r="BQ92" s="1236">
        <f t="shared" si="164"/>
        <v>0</v>
      </c>
      <c r="BR92" s="1236">
        <f t="shared" si="165"/>
        <v>0</v>
      </c>
      <c r="BS92" s="1236">
        <f t="shared" si="166"/>
        <v>0</v>
      </c>
      <c r="BT92" s="1236">
        <f t="shared" si="167"/>
        <v>0</v>
      </c>
      <c r="BU92" s="1236">
        <f t="shared" si="168"/>
        <v>0</v>
      </c>
      <c r="BV92" s="1236">
        <f t="shared" si="169"/>
        <v>0</v>
      </c>
      <c r="BW92" s="1236">
        <f t="shared" si="170"/>
        <v>0</v>
      </c>
      <c r="BX92" s="1236">
        <f t="shared" si="171"/>
        <v>0</v>
      </c>
      <c r="BY92" s="1236">
        <f t="shared" si="172"/>
        <v>0</v>
      </c>
      <c r="BZ92" s="1236">
        <f t="shared" si="173"/>
        <v>0</v>
      </c>
      <c r="CA92" s="1236">
        <f t="shared" si="174"/>
        <v>0</v>
      </c>
      <c r="CB92" s="1236">
        <f t="shared" si="175"/>
        <v>0</v>
      </c>
      <c r="CC92" s="1236">
        <f t="shared" si="176"/>
        <v>0</v>
      </c>
      <c r="CD92" s="1236">
        <f t="shared" si="177"/>
        <v>0</v>
      </c>
      <c r="CE92" s="1236">
        <f t="shared" si="178"/>
        <v>0</v>
      </c>
      <c r="CF92" s="1236">
        <f t="shared" si="179"/>
        <v>0</v>
      </c>
      <c r="CG92" s="1236">
        <f t="shared" si="180"/>
        <v>0</v>
      </c>
      <c r="CH92" s="1236">
        <f t="shared" si="181"/>
        <v>0</v>
      </c>
      <c r="CI92" s="1236">
        <f t="shared" si="182"/>
        <v>0</v>
      </c>
      <c r="CJ92" s="1236">
        <f t="shared" si="183"/>
        <v>0</v>
      </c>
      <c r="CK92" s="1236">
        <f t="shared" si="184"/>
        <v>0</v>
      </c>
      <c r="CL92" s="1236">
        <f t="shared" si="185"/>
        <v>0</v>
      </c>
      <c r="CM92" s="1236">
        <f t="shared" si="186"/>
        <v>0</v>
      </c>
      <c r="CN92" s="1236">
        <f t="shared" si="187"/>
        <v>0</v>
      </c>
      <c r="CQ92" s="1165"/>
      <c r="CR92" s="1165"/>
      <c r="CS92" s="1165"/>
      <c r="CT92" s="1165"/>
      <c r="CU92" s="1165"/>
      <c r="CV92" s="1165"/>
      <c r="CW92" s="1165"/>
      <c r="CX92" s="1165"/>
      <c r="CY92" s="1165"/>
      <c r="CZ92" s="1165"/>
      <c r="DA92" s="1165"/>
      <c r="DB92" s="1165"/>
      <c r="DC92" s="1165"/>
      <c r="DD92" s="1165"/>
      <c r="DE92" s="1165"/>
      <c r="DF92" s="1165"/>
      <c r="DG92" s="1165"/>
      <c r="DH92" s="1165"/>
      <c r="DI92" s="1165"/>
      <c r="DJ92" s="1165"/>
      <c r="DK92" s="1165"/>
      <c r="DL92" s="1165"/>
      <c r="DM92" s="1165"/>
      <c r="DN92" s="1165"/>
      <c r="DO92" s="1165"/>
      <c r="DP92" s="1165"/>
      <c r="DQ92" s="1165"/>
      <c r="DR92" s="1165"/>
      <c r="DS92" s="1165"/>
      <c r="DT92" s="1165"/>
      <c r="DU92" s="1165"/>
      <c r="DV92" s="1165"/>
      <c r="DW92" s="1165"/>
      <c r="DX92" s="1165"/>
      <c r="DY92" s="1165"/>
      <c r="DZ92" s="1165"/>
      <c r="EA92" s="1165"/>
      <c r="EB92" s="1165"/>
      <c r="EC92" s="1165"/>
      <c r="ED92" s="1165"/>
      <c r="EE92" s="1165"/>
      <c r="EF92" s="1165"/>
      <c r="EG92" s="1165"/>
      <c r="EH92" s="1165"/>
      <c r="EI92" s="1165"/>
      <c r="EJ92" s="1165"/>
      <c r="EK92" s="1165"/>
      <c r="EL92" s="1165"/>
      <c r="EM92" s="1165"/>
      <c r="EN92" s="1165"/>
      <c r="EO92" s="1165"/>
      <c r="EP92" s="1165"/>
      <c r="EQ92" s="1165"/>
      <c r="ER92" s="1165"/>
      <c r="ES92" s="1165"/>
      <c r="ET92" s="1165"/>
      <c r="EU92" s="1165"/>
      <c r="EV92" s="1165"/>
      <c r="EW92" s="1165"/>
      <c r="EX92" s="1165"/>
      <c r="EY92" s="1165"/>
      <c r="EZ92" s="1165"/>
      <c r="FA92" s="1165"/>
      <c r="FB92" s="1165"/>
      <c r="FC92" s="1165"/>
      <c r="FD92" s="1165"/>
      <c r="FE92" s="1165"/>
      <c r="FF92" s="1165"/>
    </row>
    <row r="93" spans="1:162">
      <c r="A93" s="1224"/>
      <c r="B93" s="1237" t="s">
        <v>198</v>
      </c>
      <c r="M93" s="1236">
        <f t="shared" ca="1" si="189"/>
        <v>0</v>
      </c>
      <c r="N93" s="1236">
        <f t="shared" ca="1" si="189"/>
        <v>0</v>
      </c>
      <c r="O93" s="1236">
        <f t="shared" ca="1" si="189"/>
        <v>0</v>
      </c>
      <c r="P93" s="1236">
        <f t="shared" ca="1" si="189"/>
        <v>0</v>
      </c>
      <c r="Q93" s="1236">
        <f t="shared" ca="1" si="189"/>
        <v>0</v>
      </c>
      <c r="AG93" s="1236">
        <f t="shared" si="128"/>
        <v>0</v>
      </c>
      <c r="AH93" s="1236">
        <f t="shared" si="129"/>
        <v>0</v>
      </c>
      <c r="AI93" s="1236">
        <f t="shared" si="130"/>
        <v>0</v>
      </c>
      <c r="AJ93" s="1236">
        <f t="shared" si="131"/>
        <v>0</v>
      </c>
      <c r="AK93" s="1236">
        <f t="shared" si="132"/>
        <v>0</v>
      </c>
      <c r="AL93" s="1236">
        <f t="shared" si="133"/>
        <v>0</v>
      </c>
      <c r="AM93" s="1236">
        <f t="shared" si="134"/>
        <v>0</v>
      </c>
      <c r="AN93" s="1236">
        <f t="shared" si="135"/>
        <v>0</v>
      </c>
      <c r="AO93" s="1236">
        <f t="shared" si="136"/>
        <v>0</v>
      </c>
      <c r="AP93" s="1236">
        <f t="shared" si="137"/>
        <v>0</v>
      </c>
      <c r="AQ93" s="1236">
        <f t="shared" si="138"/>
        <v>0</v>
      </c>
      <c r="AR93" s="1236">
        <f t="shared" si="139"/>
        <v>0</v>
      </c>
      <c r="AS93" s="1236">
        <f t="shared" si="140"/>
        <v>0</v>
      </c>
      <c r="AT93" s="1236">
        <f t="shared" si="141"/>
        <v>0</v>
      </c>
      <c r="AU93" s="1236">
        <f t="shared" si="142"/>
        <v>0</v>
      </c>
      <c r="AV93" s="1236">
        <f t="shared" si="143"/>
        <v>0</v>
      </c>
      <c r="AW93" s="1236">
        <f t="shared" si="144"/>
        <v>0</v>
      </c>
      <c r="AX93" s="1236">
        <f t="shared" si="145"/>
        <v>0</v>
      </c>
      <c r="AY93" s="1236">
        <f t="shared" si="146"/>
        <v>0</v>
      </c>
      <c r="AZ93" s="1236">
        <f t="shared" si="147"/>
        <v>0</v>
      </c>
      <c r="BA93" s="1236">
        <f t="shared" si="148"/>
        <v>0</v>
      </c>
      <c r="BB93" s="1236">
        <f t="shared" si="149"/>
        <v>0</v>
      </c>
      <c r="BC93" s="1236">
        <f t="shared" si="150"/>
        <v>0</v>
      </c>
      <c r="BD93" s="1236">
        <f t="shared" si="151"/>
        <v>0</v>
      </c>
      <c r="BE93" s="1236">
        <f t="shared" si="152"/>
        <v>0</v>
      </c>
      <c r="BF93" s="1236">
        <f t="shared" si="153"/>
        <v>0</v>
      </c>
      <c r="BG93" s="1236">
        <f t="shared" si="154"/>
        <v>0</v>
      </c>
      <c r="BH93" s="1236">
        <f t="shared" si="155"/>
        <v>0</v>
      </c>
      <c r="BI93" s="1236">
        <f t="shared" si="156"/>
        <v>0</v>
      </c>
      <c r="BJ93" s="1236">
        <f t="shared" si="157"/>
        <v>0</v>
      </c>
      <c r="BK93" s="1236">
        <f t="shared" si="158"/>
        <v>0</v>
      </c>
      <c r="BL93" s="1236">
        <f t="shared" si="159"/>
        <v>0</v>
      </c>
      <c r="BM93" s="1236">
        <f t="shared" si="160"/>
        <v>0</v>
      </c>
      <c r="BN93" s="1236">
        <f t="shared" si="161"/>
        <v>0</v>
      </c>
      <c r="BO93" s="1236">
        <f t="shared" si="162"/>
        <v>0</v>
      </c>
      <c r="BP93" s="1236">
        <f t="shared" si="163"/>
        <v>0</v>
      </c>
      <c r="BQ93" s="1236">
        <f t="shared" si="164"/>
        <v>0</v>
      </c>
      <c r="BR93" s="1236">
        <f t="shared" si="165"/>
        <v>0</v>
      </c>
      <c r="BS93" s="1236">
        <f t="shared" si="166"/>
        <v>0</v>
      </c>
      <c r="BT93" s="1236">
        <f t="shared" si="167"/>
        <v>0</v>
      </c>
      <c r="BU93" s="1236">
        <f t="shared" si="168"/>
        <v>0</v>
      </c>
      <c r="BV93" s="1236">
        <f t="shared" si="169"/>
        <v>0</v>
      </c>
      <c r="BW93" s="1236">
        <f t="shared" si="170"/>
        <v>0</v>
      </c>
      <c r="BX93" s="1236">
        <f t="shared" si="171"/>
        <v>0</v>
      </c>
      <c r="BY93" s="1236">
        <f t="shared" si="172"/>
        <v>0</v>
      </c>
      <c r="BZ93" s="1236">
        <f t="shared" si="173"/>
        <v>0</v>
      </c>
      <c r="CA93" s="1236">
        <f t="shared" si="174"/>
        <v>0</v>
      </c>
      <c r="CB93" s="1236">
        <f t="shared" si="175"/>
        <v>0</v>
      </c>
      <c r="CC93" s="1236">
        <f t="shared" si="176"/>
        <v>0</v>
      </c>
      <c r="CD93" s="1236">
        <f t="shared" si="177"/>
        <v>0</v>
      </c>
      <c r="CE93" s="1236">
        <f t="shared" si="178"/>
        <v>0</v>
      </c>
      <c r="CF93" s="1236">
        <f t="shared" si="179"/>
        <v>0</v>
      </c>
      <c r="CG93" s="1236">
        <f t="shared" si="180"/>
        <v>0</v>
      </c>
      <c r="CH93" s="1236">
        <f t="shared" si="181"/>
        <v>0</v>
      </c>
      <c r="CI93" s="1236">
        <f t="shared" si="182"/>
        <v>0</v>
      </c>
      <c r="CJ93" s="1236">
        <f t="shared" si="183"/>
        <v>0</v>
      </c>
      <c r="CK93" s="1236">
        <f t="shared" si="184"/>
        <v>0</v>
      </c>
      <c r="CL93" s="1236">
        <f t="shared" si="185"/>
        <v>0</v>
      </c>
      <c r="CM93" s="1236">
        <f t="shared" si="186"/>
        <v>0</v>
      </c>
      <c r="CN93" s="1236">
        <f t="shared" si="187"/>
        <v>0</v>
      </c>
      <c r="CQ93" s="1165"/>
      <c r="CR93" s="1165"/>
      <c r="CS93" s="1165"/>
      <c r="CT93" s="1165"/>
      <c r="CU93" s="1165"/>
      <c r="CV93" s="1165"/>
      <c r="CW93" s="1165"/>
      <c r="CX93" s="1165"/>
      <c r="CY93" s="1165"/>
      <c r="CZ93" s="1165"/>
      <c r="DA93" s="1165"/>
      <c r="DB93" s="1165"/>
      <c r="DC93" s="1165"/>
      <c r="DD93" s="1165"/>
      <c r="DE93" s="1165"/>
      <c r="DF93" s="1165"/>
      <c r="DG93" s="1165"/>
      <c r="DH93" s="1165"/>
      <c r="DI93" s="1165"/>
      <c r="DJ93" s="1165"/>
      <c r="DK93" s="1165"/>
      <c r="DL93" s="1165"/>
      <c r="DM93" s="1165"/>
      <c r="DN93" s="1165"/>
      <c r="DO93" s="1165"/>
      <c r="DP93" s="1165"/>
      <c r="DQ93" s="1165"/>
      <c r="DR93" s="1165"/>
      <c r="DS93" s="1165"/>
      <c r="DT93" s="1165"/>
      <c r="DU93" s="1165"/>
      <c r="DV93" s="1165"/>
      <c r="DW93" s="1165"/>
      <c r="DX93" s="1165"/>
      <c r="DY93" s="1165"/>
      <c r="DZ93" s="1165"/>
      <c r="EA93" s="1165"/>
      <c r="EB93" s="1165"/>
      <c r="EC93" s="1165"/>
      <c r="ED93" s="1165"/>
      <c r="EE93" s="1165"/>
      <c r="EF93" s="1165"/>
      <c r="EG93" s="1165"/>
      <c r="EH93" s="1165"/>
      <c r="EI93" s="1165"/>
      <c r="EJ93" s="1165"/>
      <c r="EK93" s="1165"/>
      <c r="EL93" s="1165"/>
      <c r="EM93" s="1165"/>
      <c r="EN93" s="1165"/>
      <c r="EO93" s="1165"/>
      <c r="EP93" s="1165"/>
      <c r="EQ93" s="1165"/>
      <c r="ER93" s="1165"/>
      <c r="ES93" s="1165"/>
      <c r="ET93" s="1165"/>
      <c r="EU93" s="1165"/>
      <c r="EV93" s="1165"/>
      <c r="EW93" s="1165"/>
      <c r="EX93" s="1165"/>
      <c r="EY93" s="1165"/>
      <c r="EZ93" s="1165"/>
      <c r="FA93" s="1165"/>
      <c r="FB93" s="1165"/>
      <c r="FC93" s="1165"/>
      <c r="FD93" s="1165"/>
      <c r="FE93" s="1165"/>
      <c r="FF93" s="1165"/>
    </row>
    <row r="94" spans="1:162">
      <c r="A94" s="1224"/>
      <c r="B94" s="1237" t="s">
        <v>118</v>
      </c>
      <c r="M94" s="1236">
        <f t="shared" ca="1" si="189"/>
        <v>0</v>
      </c>
      <c r="N94" s="1236">
        <f t="shared" ca="1" si="189"/>
        <v>0</v>
      </c>
      <c r="O94" s="1236">
        <f t="shared" ca="1" si="189"/>
        <v>0</v>
      </c>
      <c r="P94" s="1236">
        <f t="shared" ca="1" si="189"/>
        <v>0</v>
      </c>
      <c r="Q94" s="1236">
        <f t="shared" ca="1" si="189"/>
        <v>0</v>
      </c>
      <c r="AG94" s="1236">
        <f t="shared" si="128"/>
        <v>0</v>
      </c>
      <c r="AH94" s="1236">
        <f t="shared" si="129"/>
        <v>0</v>
      </c>
      <c r="AI94" s="1236">
        <f t="shared" si="130"/>
        <v>0</v>
      </c>
      <c r="AJ94" s="1236">
        <f t="shared" si="131"/>
        <v>0</v>
      </c>
      <c r="AK94" s="1236">
        <f t="shared" si="132"/>
        <v>0</v>
      </c>
      <c r="AL94" s="1236">
        <f t="shared" si="133"/>
        <v>0</v>
      </c>
      <c r="AM94" s="1236">
        <f t="shared" si="134"/>
        <v>0</v>
      </c>
      <c r="AN94" s="1236">
        <f t="shared" si="135"/>
        <v>0</v>
      </c>
      <c r="AO94" s="1236">
        <f t="shared" si="136"/>
        <v>0</v>
      </c>
      <c r="AP94" s="1236">
        <f t="shared" si="137"/>
        <v>0</v>
      </c>
      <c r="AQ94" s="1236">
        <f t="shared" si="138"/>
        <v>0</v>
      </c>
      <c r="AR94" s="1236">
        <f t="shared" si="139"/>
        <v>0</v>
      </c>
      <c r="AS94" s="1236">
        <f t="shared" si="140"/>
        <v>0</v>
      </c>
      <c r="AT94" s="1236">
        <f t="shared" si="141"/>
        <v>0</v>
      </c>
      <c r="AU94" s="1236">
        <f t="shared" si="142"/>
        <v>0</v>
      </c>
      <c r="AV94" s="1236">
        <f t="shared" si="143"/>
        <v>0</v>
      </c>
      <c r="AW94" s="1236">
        <f t="shared" si="144"/>
        <v>0</v>
      </c>
      <c r="AX94" s="1236">
        <f t="shared" si="145"/>
        <v>0</v>
      </c>
      <c r="AY94" s="1236">
        <f t="shared" si="146"/>
        <v>0</v>
      </c>
      <c r="AZ94" s="1236">
        <f t="shared" si="147"/>
        <v>0</v>
      </c>
      <c r="BA94" s="1236">
        <f t="shared" si="148"/>
        <v>0</v>
      </c>
      <c r="BB94" s="1236">
        <f t="shared" si="149"/>
        <v>0</v>
      </c>
      <c r="BC94" s="1236">
        <f t="shared" si="150"/>
        <v>0</v>
      </c>
      <c r="BD94" s="1236">
        <f t="shared" si="151"/>
        <v>0</v>
      </c>
      <c r="BE94" s="1236">
        <f t="shared" si="152"/>
        <v>0</v>
      </c>
      <c r="BF94" s="1236">
        <f t="shared" si="153"/>
        <v>0</v>
      </c>
      <c r="BG94" s="1236">
        <f t="shared" si="154"/>
        <v>0</v>
      </c>
      <c r="BH94" s="1236">
        <f t="shared" si="155"/>
        <v>0</v>
      </c>
      <c r="BI94" s="1236">
        <f t="shared" si="156"/>
        <v>0</v>
      </c>
      <c r="BJ94" s="1236">
        <f t="shared" si="157"/>
        <v>0</v>
      </c>
      <c r="BK94" s="1236">
        <f t="shared" si="158"/>
        <v>0</v>
      </c>
      <c r="BL94" s="1236">
        <f t="shared" si="159"/>
        <v>0</v>
      </c>
      <c r="BM94" s="1236">
        <f t="shared" si="160"/>
        <v>0</v>
      </c>
      <c r="BN94" s="1236">
        <f t="shared" si="161"/>
        <v>0</v>
      </c>
      <c r="BO94" s="1236">
        <f t="shared" si="162"/>
        <v>0</v>
      </c>
      <c r="BP94" s="1236">
        <f t="shared" si="163"/>
        <v>0</v>
      </c>
      <c r="BQ94" s="1236">
        <f t="shared" si="164"/>
        <v>0</v>
      </c>
      <c r="BR94" s="1236">
        <f t="shared" si="165"/>
        <v>0</v>
      </c>
      <c r="BS94" s="1236">
        <f t="shared" si="166"/>
        <v>0</v>
      </c>
      <c r="BT94" s="1236">
        <f t="shared" si="167"/>
        <v>0</v>
      </c>
      <c r="BU94" s="1236">
        <f t="shared" si="168"/>
        <v>0</v>
      </c>
      <c r="BV94" s="1236">
        <f t="shared" si="169"/>
        <v>0</v>
      </c>
      <c r="BW94" s="1236">
        <f t="shared" si="170"/>
        <v>0</v>
      </c>
      <c r="BX94" s="1236">
        <f t="shared" si="171"/>
        <v>0</v>
      </c>
      <c r="BY94" s="1236">
        <f t="shared" si="172"/>
        <v>0</v>
      </c>
      <c r="BZ94" s="1236">
        <f t="shared" si="173"/>
        <v>0</v>
      </c>
      <c r="CA94" s="1236">
        <f t="shared" si="174"/>
        <v>0</v>
      </c>
      <c r="CB94" s="1236">
        <f t="shared" si="175"/>
        <v>0</v>
      </c>
      <c r="CC94" s="1236">
        <f t="shared" si="176"/>
        <v>0</v>
      </c>
      <c r="CD94" s="1236">
        <f t="shared" si="177"/>
        <v>0</v>
      </c>
      <c r="CE94" s="1236">
        <f t="shared" si="178"/>
        <v>0</v>
      </c>
      <c r="CF94" s="1236">
        <f t="shared" si="179"/>
        <v>0</v>
      </c>
      <c r="CG94" s="1236">
        <f t="shared" si="180"/>
        <v>0</v>
      </c>
      <c r="CH94" s="1236">
        <f t="shared" si="181"/>
        <v>0</v>
      </c>
      <c r="CI94" s="1236">
        <f t="shared" si="182"/>
        <v>0</v>
      </c>
      <c r="CJ94" s="1236">
        <f t="shared" si="183"/>
        <v>0</v>
      </c>
      <c r="CK94" s="1236">
        <f t="shared" si="184"/>
        <v>0</v>
      </c>
      <c r="CL94" s="1236">
        <f t="shared" si="185"/>
        <v>0</v>
      </c>
      <c r="CM94" s="1236">
        <f t="shared" si="186"/>
        <v>0</v>
      </c>
      <c r="CN94" s="1236">
        <f t="shared" si="187"/>
        <v>0</v>
      </c>
      <c r="CQ94" s="1165"/>
      <c r="CR94" s="1165"/>
      <c r="CS94" s="1165"/>
      <c r="CT94" s="1165"/>
      <c r="CU94" s="1165"/>
      <c r="CV94" s="1165"/>
      <c r="CW94" s="1165"/>
      <c r="CX94" s="1165"/>
      <c r="CY94" s="1165"/>
      <c r="CZ94" s="1165"/>
      <c r="DA94" s="1165"/>
      <c r="DB94" s="1165"/>
      <c r="DC94" s="1165"/>
      <c r="DD94" s="1165"/>
      <c r="DE94" s="1165"/>
      <c r="DF94" s="1165"/>
      <c r="DG94" s="1165"/>
      <c r="DH94" s="1165"/>
      <c r="DI94" s="1165"/>
      <c r="DJ94" s="1165"/>
      <c r="DK94" s="1165"/>
      <c r="DL94" s="1165"/>
      <c r="DM94" s="1165"/>
      <c r="DN94" s="1165"/>
      <c r="DO94" s="1165"/>
      <c r="DP94" s="1165"/>
      <c r="DQ94" s="1165"/>
      <c r="DR94" s="1165"/>
      <c r="DS94" s="1165"/>
      <c r="DT94" s="1165"/>
      <c r="DU94" s="1165"/>
      <c r="DV94" s="1165"/>
      <c r="DW94" s="1165"/>
      <c r="DX94" s="1165"/>
      <c r="DY94" s="1165"/>
      <c r="DZ94" s="1165"/>
      <c r="EA94" s="1165"/>
      <c r="EB94" s="1165"/>
      <c r="EC94" s="1165"/>
      <c r="ED94" s="1165"/>
      <c r="EE94" s="1165"/>
      <c r="EF94" s="1165"/>
      <c r="EG94" s="1165"/>
      <c r="EH94" s="1165"/>
      <c r="EI94" s="1165"/>
      <c r="EJ94" s="1165"/>
      <c r="EK94" s="1165"/>
      <c r="EL94" s="1165"/>
      <c r="EM94" s="1165"/>
      <c r="EN94" s="1165"/>
      <c r="EO94" s="1165"/>
      <c r="EP94" s="1165"/>
      <c r="EQ94" s="1165"/>
      <c r="ER94" s="1165"/>
      <c r="ES94" s="1165"/>
      <c r="ET94" s="1165"/>
      <c r="EU94" s="1165"/>
      <c r="EV94" s="1165"/>
      <c r="EW94" s="1165"/>
      <c r="EX94" s="1165"/>
      <c r="EY94" s="1165"/>
      <c r="EZ94" s="1165"/>
      <c r="FA94" s="1165"/>
      <c r="FB94" s="1165"/>
      <c r="FC94" s="1165"/>
      <c r="FD94" s="1165"/>
      <c r="FE94" s="1165"/>
      <c r="FF94" s="1165"/>
    </row>
    <row r="95" spans="1:162" s="1231" customFormat="1">
      <c r="A95" s="1206" t="s">
        <v>556</v>
      </c>
      <c r="B95" s="1230" t="s">
        <v>148</v>
      </c>
      <c r="M95" s="1231">
        <f t="shared" ca="1" si="189"/>
        <v>0</v>
      </c>
      <c r="N95" s="1231">
        <f t="shared" ca="1" si="189"/>
        <v>0</v>
      </c>
      <c r="O95" s="1231">
        <f t="shared" ca="1" si="189"/>
        <v>0</v>
      </c>
      <c r="P95" s="1231">
        <f t="shared" ca="1" si="189"/>
        <v>0</v>
      </c>
      <c r="Q95" s="1231">
        <f t="shared" ca="1" si="189"/>
        <v>0</v>
      </c>
      <c r="AG95" s="1231">
        <f t="shared" si="128"/>
        <v>0</v>
      </c>
      <c r="AH95" s="1231">
        <f t="shared" si="129"/>
        <v>0</v>
      </c>
      <c r="AI95" s="1231">
        <f t="shared" si="130"/>
        <v>0</v>
      </c>
      <c r="AJ95" s="1231">
        <f t="shared" si="131"/>
        <v>0</v>
      </c>
      <c r="AK95" s="1231">
        <f t="shared" si="132"/>
        <v>0</v>
      </c>
      <c r="AL95" s="1231">
        <f t="shared" si="133"/>
        <v>0</v>
      </c>
      <c r="AM95" s="1231">
        <f t="shared" si="134"/>
        <v>0</v>
      </c>
      <c r="AN95" s="1231">
        <f t="shared" si="135"/>
        <v>0</v>
      </c>
      <c r="AO95" s="1231">
        <f t="shared" si="136"/>
        <v>0</v>
      </c>
      <c r="AP95" s="1231">
        <f t="shared" si="137"/>
        <v>0</v>
      </c>
      <c r="AQ95" s="1231">
        <f t="shared" si="138"/>
        <v>0</v>
      </c>
      <c r="AR95" s="1231">
        <f t="shared" si="139"/>
        <v>0</v>
      </c>
      <c r="AS95" s="1231">
        <f t="shared" si="140"/>
        <v>0</v>
      </c>
      <c r="AT95" s="1231">
        <f t="shared" si="141"/>
        <v>0</v>
      </c>
      <c r="AU95" s="1231">
        <f t="shared" si="142"/>
        <v>0</v>
      </c>
      <c r="AV95" s="1231">
        <f t="shared" si="143"/>
        <v>0</v>
      </c>
      <c r="AW95" s="1231">
        <f t="shared" si="144"/>
        <v>0</v>
      </c>
      <c r="AX95" s="1231">
        <f t="shared" si="145"/>
        <v>0</v>
      </c>
      <c r="AY95" s="1231">
        <f t="shared" si="146"/>
        <v>0</v>
      </c>
      <c r="AZ95" s="1231">
        <f t="shared" si="147"/>
        <v>0</v>
      </c>
      <c r="BA95" s="1231">
        <f t="shared" si="148"/>
        <v>0</v>
      </c>
      <c r="BB95" s="1231">
        <f t="shared" si="149"/>
        <v>0</v>
      </c>
      <c r="BC95" s="1231">
        <f t="shared" si="150"/>
        <v>0</v>
      </c>
      <c r="BD95" s="1231">
        <f t="shared" si="151"/>
        <v>0</v>
      </c>
      <c r="BE95" s="1231">
        <f t="shared" si="152"/>
        <v>0</v>
      </c>
      <c r="BF95" s="1231">
        <f t="shared" si="153"/>
        <v>0</v>
      </c>
      <c r="BG95" s="1231">
        <f t="shared" si="154"/>
        <v>0</v>
      </c>
      <c r="BH95" s="1231">
        <f t="shared" si="155"/>
        <v>0</v>
      </c>
      <c r="BI95" s="1231">
        <f t="shared" si="156"/>
        <v>0</v>
      </c>
      <c r="BJ95" s="1231">
        <f t="shared" si="157"/>
        <v>0</v>
      </c>
      <c r="BK95" s="1231">
        <f t="shared" si="158"/>
        <v>0</v>
      </c>
      <c r="BL95" s="1231">
        <f t="shared" si="159"/>
        <v>0</v>
      </c>
      <c r="BM95" s="1231">
        <f t="shared" si="160"/>
        <v>0</v>
      </c>
      <c r="BN95" s="1231">
        <f t="shared" si="161"/>
        <v>0</v>
      </c>
      <c r="BO95" s="1231">
        <f t="shared" si="162"/>
        <v>0</v>
      </c>
      <c r="BP95" s="1231">
        <f t="shared" si="163"/>
        <v>0</v>
      </c>
      <c r="BQ95" s="1231">
        <f t="shared" si="164"/>
        <v>0</v>
      </c>
      <c r="BR95" s="1231">
        <f t="shared" si="165"/>
        <v>0</v>
      </c>
      <c r="BS95" s="1231">
        <f t="shared" si="166"/>
        <v>0</v>
      </c>
      <c r="BT95" s="1231">
        <f t="shared" si="167"/>
        <v>0</v>
      </c>
      <c r="BU95" s="1231">
        <f t="shared" si="168"/>
        <v>0</v>
      </c>
      <c r="BV95" s="1231">
        <f t="shared" si="169"/>
        <v>0</v>
      </c>
      <c r="BW95" s="1231">
        <f t="shared" si="170"/>
        <v>0</v>
      </c>
      <c r="BX95" s="1231">
        <f t="shared" si="171"/>
        <v>0</v>
      </c>
      <c r="BY95" s="1231">
        <f t="shared" si="172"/>
        <v>0</v>
      </c>
      <c r="BZ95" s="1231">
        <f t="shared" si="173"/>
        <v>0</v>
      </c>
      <c r="CA95" s="1231">
        <f t="shared" si="174"/>
        <v>0</v>
      </c>
      <c r="CB95" s="1231">
        <f t="shared" si="175"/>
        <v>0</v>
      </c>
      <c r="CC95" s="1231">
        <f t="shared" si="176"/>
        <v>0</v>
      </c>
      <c r="CD95" s="1231">
        <f t="shared" si="177"/>
        <v>0</v>
      </c>
      <c r="CE95" s="1231">
        <f t="shared" si="178"/>
        <v>0</v>
      </c>
      <c r="CF95" s="1231">
        <f t="shared" si="179"/>
        <v>0</v>
      </c>
      <c r="CG95" s="1231">
        <f t="shared" si="180"/>
        <v>0</v>
      </c>
      <c r="CH95" s="1231">
        <f t="shared" si="181"/>
        <v>0</v>
      </c>
      <c r="CI95" s="1231">
        <f t="shared" si="182"/>
        <v>0</v>
      </c>
      <c r="CJ95" s="1231">
        <f t="shared" si="183"/>
        <v>0</v>
      </c>
      <c r="CK95" s="1231">
        <f t="shared" si="184"/>
        <v>0</v>
      </c>
      <c r="CL95" s="1231">
        <f t="shared" si="185"/>
        <v>0</v>
      </c>
      <c r="CM95" s="1231">
        <f t="shared" si="186"/>
        <v>0</v>
      </c>
      <c r="CN95" s="1231">
        <f t="shared" si="187"/>
        <v>0</v>
      </c>
      <c r="CO95" s="1165"/>
      <c r="CP95" s="1165"/>
      <c r="CQ95" s="1165"/>
      <c r="CR95" s="1165"/>
      <c r="CS95" s="1165"/>
      <c r="CT95" s="1165"/>
      <c r="CU95" s="1165"/>
      <c r="CV95" s="1165"/>
      <c r="CW95" s="1165"/>
      <c r="CX95" s="1165"/>
      <c r="CY95" s="1165"/>
      <c r="CZ95" s="1165"/>
      <c r="DA95" s="1165"/>
      <c r="DB95" s="1165"/>
      <c r="DC95" s="1165"/>
      <c r="DD95" s="1165"/>
      <c r="DE95" s="1165"/>
      <c r="DF95" s="1165"/>
      <c r="DG95" s="1165"/>
      <c r="DH95" s="1165"/>
      <c r="DI95" s="1165"/>
      <c r="DJ95" s="1165"/>
      <c r="DK95" s="1165"/>
      <c r="DL95" s="1165"/>
      <c r="DM95" s="1165"/>
      <c r="DN95" s="1165"/>
      <c r="DO95" s="1165"/>
      <c r="DP95" s="1165"/>
      <c r="DQ95" s="1165"/>
      <c r="DR95" s="1165"/>
      <c r="DS95" s="1185"/>
      <c r="DT95" s="1185"/>
      <c r="DU95" s="1185"/>
      <c r="DV95" s="1185"/>
      <c r="DW95" s="1258"/>
      <c r="DX95" s="1258"/>
      <c r="DY95" s="1258"/>
      <c r="DZ95" s="1258"/>
      <c r="EA95" s="1258"/>
      <c r="EB95" s="1258"/>
      <c r="EC95" s="1258"/>
      <c r="ED95" s="1258"/>
      <c r="EE95" s="1258"/>
      <c r="EF95" s="1258"/>
      <c r="EG95" s="1258"/>
      <c r="EH95" s="1258"/>
      <c r="EI95" s="1258"/>
      <c r="EJ95" s="1258"/>
      <c r="EK95" s="1258"/>
      <c r="EL95" s="1258"/>
      <c r="EM95" s="1258"/>
      <c r="EN95" s="1258"/>
      <c r="EO95" s="1258"/>
      <c r="EP95" s="1258"/>
      <c r="EQ95" s="1258"/>
      <c r="ER95" s="1258"/>
      <c r="ES95" s="1258"/>
      <c r="ET95" s="1258"/>
      <c r="EU95" s="1165"/>
      <c r="EV95" s="1165"/>
      <c r="EW95" s="1165"/>
      <c r="EX95" s="1165"/>
      <c r="EY95" s="1165"/>
      <c r="EZ95" s="1165"/>
      <c r="FA95" s="1165"/>
      <c r="FB95" s="1165"/>
      <c r="FC95" s="1165"/>
      <c r="FD95" s="1165"/>
      <c r="FE95" s="1165"/>
      <c r="FF95" s="1165"/>
    </row>
    <row r="96" spans="1:162" s="1231" customFormat="1">
      <c r="A96" s="1206" t="s">
        <v>553</v>
      </c>
      <c r="B96" s="1230" t="s">
        <v>86</v>
      </c>
      <c r="M96" s="1231">
        <f t="shared" ca="1" si="189"/>
        <v>0</v>
      </c>
      <c r="N96" s="1231">
        <f t="shared" ca="1" si="189"/>
        <v>0</v>
      </c>
      <c r="O96" s="1231">
        <f t="shared" ca="1" si="189"/>
        <v>0</v>
      </c>
      <c r="P96" s="1231">
        <f t="shared" ca="1" si="189"/>
        <v>0</v>
      </c>
      <c r="Q96" s="1231">
        <f t="shared" ca="1" si="189"/>
        <v>0</v>
      </c>
      <c r="R96" s="1229">
        <v>173.820851</v>
      </c>
      <c r="S96" s="1229">
        <v>179.279</v>
      </c>
      <c r="T96" s="1229">
        <v>235.37799999999999</v>
      </c>
      <c r="U96" s="1229">
        <v>215.26499999999999</v>
      </c>
      <c r="V96" s="1229">
        <v>207.822</v>
      </c>
      <c r="W96" s="1229">
        <v>224.279</v>
      </c>
      <c r="X96" s="1229">
        <v>248.58099999999999</v>
      </c>
      <c r="Y96" s="1229">
        <v>219.94399999999999</v>
      </c>
      <c r="Z96" s="1229">
        <v>122.854</v>
      </c>
      <c r="AG96" s="1231">
        <f t="shared" si="128"/>
        <v>0</v>
      </c>
      <c r="AH96" s="1231">
        <f t="shared" si="129"/>
        <v>0</v>
      </c>
      <c r="AI96" s="1231">
        <f t="shared" si="130"/>
        <v>0</v>
      </c>
      <c r="AJ96" s="1231">
        <f t="shared" si="131"/>
        <v>0</v>
      </c>
      <c r="AK96" s="1231">
        <f t="shared" si="132"/>
        <v>0</v>
      </c>
      <c r="AL96" s="1231">
        <f t="shared" si="133"/>
        <v>0</v>
      </c>
      <c r="AM96" s="1231">
        <f t="shared" si="134"/>
        <v>0</v>
      </c>
      <c r="AN96" s="1231">
        <f t="shared" si="135"/>
        <v>0</v>
      </c>
      <c r="AO96" s="1231">
        <f t="shared" si="136"/>
        <v>0</v>
      </c>
      <c r="AP96" s="1231">
        <f t="shared" si="137"/>
        <v>0</v>
      </c>
      <c r="AQ96" s="1231">
        <f t="shared" si="138"/>
        <v>0</v>
      </c>
      <c r="AR96" s="1231">
        <f t="shared" si="139"/>
        <v>0</v>
      </c>
      <c r="AS96" s="1231">
        <f t="shared" si="140"/>
        <v>0</v>
      </c>
      <c r="AT96" s="1231">
        <f t="shared" si="141"/>
        <v>0</v>
      </c>
      <c r="AU96" s="1231">
        <f t="shared" si="142"/>
        <v>0</v>
      </c>
      <c r="AV96" s="1231">
        <f t="shared" si="143"/>
        <v>0</v>
      </c>
      <c r="AW96" s="1231">
        <f t="shared" si="144"/>
        <v>0</v>
      </c>
      <c r="AX96" s="1231">
        <f t="shared" si="145"/>
        <v>0</v>
      </c>
      <c r="AY96" s="1231">
        <f t="shared" si="146"/>
        <v>0</v>
      </c>
      <c r="AZ96" s="1231">
        <f t="shared" si="147"/>
        <v>0</v>
      </c>
      <c r="BA96" s="1231">
        <f t="shared" si="148"/>
        <v>0</v>
      </c>
      <c r="BB96" s="1231">
        <f t="shared" si="149"/>
        <v>0</v>
      </c>
      <c r="BC96" s="1231">
        <f t="shared" si="150"/>
        <v>0</v>
      </c>
      <c r="BD96" s="1231">
        <f t="shared" si="151"/>
        <v>0</v>
      </c>
      <c r="BE96" s="1231">
        <f t="shared" si="152"/>
        <v>0</v>
      </c>
      <c r="BF96" s="1231">
        <f t="shared" si="153"/>
        <v>0</v>
      </c>
      <c r="BG96" s="1231">
        <f t="shared" si="154"/>
        <v>0</v>
      </c>
      <c r="BH96" s="1231">
        <f t="shared" si="155"/>
        <v>0</v>
      </c>
      <c r="BI96" s="1231">
        <f t="shared" si="156"/>
        <v>0</v>
      </c>
      <c r="BJ96" s="1231">
        <f t="shared" si="157"/>
        <v>0</v>
      </c>
      <c r="BK96" s="1231">
        <f t="shared" si="158"/>
        <v>0</v>
      </c>
      <c r="BL96" s="1231">
        <f t="shared" si="159"/>
        <v>0</v>
      </c>
      <c r="BM96" s="1231">
        <f t="shared" si="160"/>
        <v>0</v>
      </c>
      <c r="BN96" s="1231">
        <f t="shared" si="161"/>
        <v>0</v>
      </c>
      <c r="BO96" s="1231">
        <f t="shared" si="162"/>
        <v>0</v>
      </c>
      <c r="BP96" s="1231">
        <f t="shared" si="163"/>
        <v>0</v>
      </c>
      <c r="BQ96" s="1231">
        <f t="shared" si="164"/>
        <v>0</v>
      </c>
      <c r="BR96" s="1231">
        <f t="shared" si="165"/>
        <v>0</v>
      </c>
      <c r="BS96" s="1231">
        <f t="shared" si="166"/>
        <v>0</v>
      </c>
      <c r="BT96" s="1231">
        <f t="shared" si="167"/>
        <v>0</v>
      </c>
      <c r="BU96" s="1231">
        <f t="shared" si="168"/>
        <v>0</v>
      </c>
      <c r="BV96" s="1231">
        <f t="shared" si="169"/>
        <v>0</v>
      </c>
      <c r="BW96" s="1231">
        <f t="shared" si="170"/>
        <v>0</v>
      </c>
      <c r="BX96" s="1231">
        <f t="shared" si="171"/>
        <v>0</v>
      </c>
      <c r="BY96" s="1231">
        <f t="shared" si="172"/>
        <v>0</v>
      </c>
      <c r="BZ96" s="1231">
        <f t="shared" si="173"/>
        <v>0</v>
      </c>
      <c r="CA96" s="1231">
        <f t="shared" si="174"/>
        <v>0</v>
      </c>
      <c r="CB96" s="1231">
        <f t="shared" si="175"/>
        <v>0</v>
      </c>
      <c r="CC96" s="1231">
        <f t="shared" si="176"/>
        <v>0</v>
      </c>
      <c r="CD96" s="1231">
        <f t="shared" si="177"/>
        <v>0</v>
      </c>
      <c r="CE96" s="1231">
        <f t="shared" si="178"/>
        <v>0</v>
      </c>
      <c r="CF96" s="1231">
        <f t="shared" si="179"/>
        <v>0</v>
      </c>
      <c r="CG96" s="1231">
        <f t="shared" si="180"/>
        <v>0</v>
      </c>
      <c r="CH96" s="1231">
        <f t="shared" si="181"/>
        <v>0</v>
      </c>
      <c r="CI96" s="1231">
        <f t="shared" si="182"/>
        <v>0</v>
      </c>
      <c r="CJ96" s="1231">
        <f t="shared" si="183"/>
        <v>0</v>
      </c>
      <c r="CK96" s="1231">
        <f t="shared" si="184"/>
        <v>0</v>
      </c>
      <c r="CL96" s="1231">
        <f t="shared" si="185"/>
        <v>0</v>
      </c>
      <c r="CM96" s="1231">
        <f t="shared" si="186"/>
        <v>0</v>
      </c>
      <c r="CN96" s="1231">
        <f t="shared" si="187"/>
        <v>0</v>
      </c>
      <c r="CO96" s="1165"/>
      <c r="CP96" s="1165"/>
      <c r="CQ96" s="1165"/>
      <c r="CR96" s="1165"/>
      <c r="CS96" s="1165"/>
      <c r="CT96" s="1165"/>
      <c r="CU96" s="1165"/>
      <c r="CV96" s="1165"/>
      <c r="CW96" s="1165"/>
      <c r="CX96" s="1165"/>
      <c r="CY96" s="1165"/>
      <c r="CZ96" s="1165"/>
      <c r="DA96" s="1165"/>
      <c r="DB96" s="1165"/>
      <c r="DC96" s="1165"/>
      <c r="DD96" s="1165"/>
      <c r="DE96" s="1165"/>
      <c r="DF96" s="1165"/>
      <c r="DG96" s="1165"/>
      <c r="DH96" s="1165"/>
      <c r="DI96" s="1165"/>
      <c r="DJ96" s="1165"/>
      <c r="DK96" s="1232"/>
      <c r="DL96" s="1232"/>
      <c r="DM96" s="1232"/>
      <c r="DN96" s="1232"/>
      <c r="DO96" s="1232"/>
      <c r="DP96" s="1232"/>
      <c r="DQ96" s="1232"/>
      <c r="DR96" s="1232"/>
      <c r="DS96" s="1232"/>
      <c r="DT96" s="1232"/>
      <c r="DU96" s="1232"/>
      <c r="DV96" s="1232"/>
      <c r="DW96" s="1232"/>
      <c r="DX96" s="1232"/>
      <c r="DY96" s="1232"/>
      <c r="DZ96" s="1232"/>
      <c r="EA96" s="1232"/>
      <c r="EB96" s="1232"/>
      <c r="EC96" s="1232"/>
      <c r="ED96" s="1232"/>
      <c r="EE96" s="1232"/>
      <c r="EF96" s="1232"/>
      <c r="EG96" s="1232"/>
      <c r="EH96" s="1232"/>
      <c r="EI96" s="1232"/>
      <c r="EJ96" s="1232"/>
      <c r="EK96" s="1232"/>
      <c r="EL96" s="1232"/>
      <c r="EM96" s="1232"/>
      <c r="EN96" s="1232"/>
      <c r="EO96" s="1232"/>
      <c r="EP96" s="1232"/>
      <c r="EQ96" s="1232"/>
      <c r="ER96" s="1232"/>
      <c r="ES96" s="1232"/>
      <c r="ET96" s="1232"/>
      <c r="EU96" s="1165"/>
      <c r="EV96" s="1165"/>
      <c r="EW96" s="1165"/>
      <c r="EX96" s="1165"/>
      <c r="EY96" s="1165"/>
      <c r="EZ96" s="1165"/>
      <c r="FA96" s="1165"/>
      <c r="FB96" s="1165"/>
      <c r="FC96" s="1165"/>
      <c r="FD96" s="1165"/>
      <c r="FE96" s="1165"/>
      <c r="FF96" s="1165"/>
    </row>
    <row r="97" spans="1:162">
      <c r="A97" s="1224"/>
      <c r="CQ97" s="1165"/>
      <c r="CR97" s="1165"/>
      <c r="CS97" s="1165"/>
      <c r="CT97" s="1165"/>
      <c r="CU97" s="1165"/>
      <c r="CV97" s="1165"/>
      <c r="CW97" s="1165"/>
      <c r="CX97" s="1165"/>
      <c r="CY97" s="1165"/>
      <c r="CZ97" s="1165"/>
      <c r="DA97" s="1165"/>
      <c r="DB97" s="1165"/>
      <c r="DC97" s="1165"/>
      <c r="DD97" s="1165"/>
      <c r="DE97" s="1165"/>
      <c r="DF97" s="1165"/>
      <c r="DG97" s="1165"/>
      <c r="DH97" s="1165"/>
      <c r="DI97" s="1165"/>
      <c r="DJ97" s="1165"/>
      <c r="DK97" s="1165"/>
      <c r="DL97" s="1165"/>
      <c r="DM97" s="1165"/>
      <c r="DN97" s="1165"/>
      <c r="DO97" s="1165"/>
      <c r="DP97" s="1165"/>
      <c r="DQ97" s="1165"/>
      <c r="DR97" s="1165"/>
      <c r="DS97" s="1165"/>
      <c r="DT97" s="1165"/>
      <c r="DU97" s="1165"/>
      <c r="DV97" s="1165"/>
      <c r="DW97" s="1165"/>
      <c r="DX97" s="1165"/>
      <c r="DY97" s="1165"/>
      <c r="DZ97" s="1165"/>
      <c r="EA97" s="1165"/>
      <c r="EB97" s="1165"/>
      <c r="EC97" s="1165"/>
      <c r="ED97" s="1165"/>
      <c r="EE97" s="1165"/>
      <c r="EF97" s="1165"/>
      <c r="EG97" s="1165"/>
      <c r="EH97" s="1165"/>
      <c r="EI97" s="1165"/>
      <c r="EJ97" s="1165"/>
      <c r="EK97" s="1165"/>
      <c r="EL97" s="1165"/>
      <c r="EM97" s="1165"/>
      <c r="EN97" s="1165"/>
      <c r="EO97" s="1165"/>
      <c r="EP97" s="1165"/>
      <c r="EQ97" s="1165"/>
      <c r="ER97" s="1165"/>
      <c r="ES97" s="1165"/>
      <c r="ET97" s="1165"/>
      <c r="EU97" s="1165"/>
      <c r="EV97" s="1165"/>
      <c r="EW97" s="1165"/>
      <c r="EX97" s="1165"/>
      <c r="EY97" s="1165"/>
      <c r="EZ97" s="1165"/>
      <c r="FA97" s="1165"/>
      <c r="FB97" s="1165"/>
      <c r="FC97" s="1165"/>
      <c r="FD97" s="1165"/>
      <c r="FE97" s="1165"/>
      <c r="FF97" s="1165"/>
    </row>
    <row r="98" spans="1:162">
      <c r="A98" s="1224"/>
      <c r="B98" s="1237"/>
      <c r="AG98" s="1236">
        <f t="shared" si="128"/>
        <v>0</v>
      </c>
      <c r="AH98" s="1236">
        <f t="shared" si="129"/>
        <v>0</v>
      </c>
      <c r="AI98" s="1236">
        <f t="shared" si="130"/>
        <v>0</v>
      </c>
      <c r="AJ98" s="1236">
        <f t="shared" si="131"/>
        <v>0</v>
      </c>
      <c r="AK98" s="1236">
        <f t="shared" si="132"/>
        <v>0</v>
      </c>
      <c r="AL98" s="1236">
        <f t="shared" si="133"/>
        <v>0</v>
      </c>
      <c r="AM98" s="1236">
        <f t="shared" si="134"/>
        <v>0</v>
      </c>
      <c r="AN98" s="1236">
        <f t="shared" si="135"/>
        <v>0</v>
      </c>
      <c r="AO98" s="1236">
        <f t="shared" si="136"/>
        <v>0</v>
      </c>
      <c r="AP98" s="1236">
        <f t="shared" si="137"/>
        <v>0</v>
      </c>
      <c r="AQ98" s="1236">
        <f t="shared" si="138"/>
        <v>0</v>
      </c>
      <c r="AR98" s="1236">
        <f t="shared" si="139"/>
        <v>0</v>
      </c>
      <c r="AS98" s="1236">
        <f t="shared" si="140"/>
        <v>0</v>
      </c>
      <c r="AT98" s="1236">
        <f t="shared" si="141"/>
        <v>0</v>
      </c>
      <c r="AU98" s="1236">
        <f t="shared" si="142"/>
        <v>0</v>
      </c>
      <c r="AV98" s="1236">
        <f t="shared" si="143"/>
        <v>0</v>
      </c>
      <c r="AW98" s="1236">
        <f t="shared" si="144"/>
        <v>0</v>
      </c>
      <c r="AX98" s="1236">
        <f t="shared" si="145"/>
        <v>0</v>
      </c>
      <c r="AY98" s="1236">
        <f t="shared" si="146"/>
        <v>0</v>
      </c>
      <c r="AZ98" s="1236">
        <f t="shared" si="147"/>
        <v>0</v>
      </c>
      <c r="BA98" s="1236">
        <f t="shared" si="148"/>
        <v>0</v>
      </c>
      <c r="BB98" s="1236">
        <f t="shared" si="149"/>
        <v>0</v>
      </c>
      <c r="BC98" s="1236">
        <f t="shared" si="150"/>
        <v>0</v>
      </c>
      <c r="BD98" s="1236">
        <f t="shared" si="151"/>
        <v>0</v>
      </c>
      <c r="BE98" s="1236">
        <f t="shared" si="152"/>
        <v>0</v>
      </c>
      <c r="BF98" s="1236">
        <f t="shared" si="153"/>
        <v>0</v>
      </c>
      <c r="BG98" s="1236">
        <f t="shared" si="154"/>
        <v>0</v>
      </c>
      <c r="BH98" s="1236">
        <f t="shared" si="155"/>
        <v>0</v>
      </c>
      <c r="BI98" s="1236">
        <f t="shared" si="156"/>
        <v>0</v>
      </c>
      <c r="BJ98" s="1236">
        <f t="shared" si="157"/>
        <v>0</v>
      </c>
      <c r="BK98" s="1236">
        <f t="shared" si="158"/>
        <v>0</v>
      </c>
      <c r="BL98" s="1236">
        <f t="shared" si="159"/>
        <v>0</v>
      </c>
      <c r="BM98" s="1236">
        <f t="shared" si="160"/>
        <v>0</v>
      </c>
      <c r="BN98" s="1236">
        <f t="shared" si="161"/>
        <v>0</v>
      </c>
      <c r="BO98" s="1236">
        <f t="shared" si="162"/>
        <v>0</v>
      </c>
      <c r="BP98" s="1236">
        <f t="shared" si="163"/>
        <v>0</v>
      </c>
      <c r="BQ98" s="1236">
        <f t="shared" si="164"/>
        <v>0</v>
      </c>
      <c r="BR98" s="1236">
        <f t="shared" si="165"/>
        <v>0</v>
      </c>
      <c r="BS98" s="1236">
        <f t="shared" si="166"/>
        <v>0</v>
      </c>
      <c r="BT98" s="1236">
        <f t="shared" si="167"/>
        <v>0</v>
      </c>
      <c r="BU98" s="1236">
        <f t="shared" si="168"/>
        <v>0</v>
      </c>
      <c r="BV98" s="1236">
        <f t="shared" si="169"/>
        <v>0</v>
      </c>
      <c r="BW98" s="1236">
        <f t="shared" si="170"/>
        <v>0</v>
      </c>
      <c r="BX98" s="1236">
        <f t="shared" si="171"/>
        <v>0</v>
      </c>
      <c r="BY98" s="1236">
        <f t="shared" si="172"/>
        <v>0</v>
      </c>
      <c r="BZ98" s="1236">
        <f t="shared" si="173"/>
        <v>0</v>
      </c>
      <c r="CA98" s="1236">
        <f t="shared" si="174"/>
        <v>0</v>
      </c>
      <c r="CB98" s="1236">
        <f t="shared" si="175"/>
        <v>0</v>
      </c>
      <c r="CC98" s="1236">
        <f t="shared" si="176"/>
        <v>0</v>
      </c>
      <c r="CD98" s="1236">
        <f t="shared" si="177"/>
        <v>0</v>
      </c>
      <c r="CE98" s="1236">
        <f t="shared" si="178"/>
        <v>0</v>
      </c>
      <c r="CF98" s="1236">
        <f t="shared" si="179"/>
        <v>0</v>
      </c>
      <c r="CG98" s="1236">
        <f t="shared" si="180"/>
        <v>0</v>
      </c>
      <c r="CH98" s="1236">
        <f t="shared" si="181"/>
        <v>0</v>
      </c>
      <c r="CI98" s="1236">
        <f t="shared" si="182"/>
        <v>0</v>
      </c>
      <c r="CJ98" s="1236">
        <f t="shared" si="183"/>
        <v>0</v>
      </c>
      <c r="CK98" s="1236">
        <f t="shared" si="184"/>
        <v>0</v>
      </c>
      <c r="CL98" s="1236">
        <f t="shared" si="185"/>
        <v>0</v>
      </c>
      <c r="CM98" s="1236">
        <f t="shared" si="186"/>
        <v>0</v>
      </c>
      <c r="CN98" s="1236">
        <f t="shared" si="187"/>
        <v>0</v>
      </c>
      <c r="CQ98" s="1165"/>
      <c r="CR98" s="1165"/>
      <c r="CS98" s="1165"/>
      <c r="CT98" s="1165"/>
      <c r="CU98" s="1165"/>
      <c r="CV98" s="1165"/>
      <c r="CW98" s="1165"/>
      <c r="CX98" s="1165"/>
      <c r="CY98" s="1165"/>
      <c r="CZ98" s="1165"/>
      <c r="DA98" s="1165"/>
      <c r="DB98" s="1165"/>
      <c r="DC98" s="1165"/>
      <c r="DD98" s="1165"/>
      <c r="DE98" s="1165"/>
      <c r="DF98" s="1165"/>
      <c r="DG98" s="1165"/>
      <c r="DH98" s="1165"/>
      <c r="DI98" s="1165"/>
      <c r="DJ98" s="1165"/>
      <c r="DK98" s="1238"/>
      <c r="DL98" s="1238"/>
      <c r="DM98" s="1238"/>
      <c r="DN98" s="1238"/>
      <c r="DO98" s="1238"/>
      <c r="DP98" s="1238"/>
      <c r="DQ98" s="1238"/>
      <c r="DR98" s="1238"/>
      <c r="DS98" s="1238"/>
      <c r="DT98" s="1238"/>
      <c r="DU98" s="1238"/>
      <c r="DV98" s="1238"/>
      <c r="DW98" s="1238"/>
      <c r="DX98" s="1238"/>
      <c r="DY98" s="1238"/>
      <c r="DZ98" s="1238"/>
      <c r="EA98" s="1238"/>
      <c r="EB98" s="1238"/>
      <c r="EC98" s="1238"/>
      <c r="ED98" s="1238"/>
      <c r="EE98" s="1238"/>
      <c r="EF98" s="1238"/>
      <c r="EG98" s="1238"/>
      <c r="EH98" s="1238"/>
      <c r="EI98" s="1238"/>
      <c r="EJ98" s="1238"/>
      <c r="EK98" s="1238"/>
      <c r="EL98" s="1238"/>
      <c r="EM98" s="1238"/>
      <c r="EN98" s="1238"/>
      <c r="EO98" s="1238"/>
      <c r="EP98" s="1238"/>
      <c r="EQ98" s="1238"/>
      <c r="ER98" s="1238"/>
      <c r="ES98" s="1238"/>
      <c r="ET98" s="1238"/>
      <c r="EU98" s="1165"/>
      <c r="EV98" s="1165"/>
      <c r="EW98" s="1165"/>
      <c r="EX98" s="1165"/>
      <c r="EY98" s="1165"/>
      <c r="EZ98" s="1165"/>
      <c r="FA98" s="1165"/>
      <c r="FB98" s="1165"/>
      <c r="FC98" s="1165"/>
      <c r="FD98" s="1165"/>
      <c r="FE98" s="1165"/>
      <c r="FF98" s="1165"/>
    </row>
    <row r="99" spans="1:162">
      <c r="A99" s="1224"/>
      <c r="B99" s="1237"/>
      <c r="AG99" s="1236">
        <f t="shared" si="128"/>
        <v>0</v>
      </c>
      <c r="AH99" s="1236">
        <f t="shared" si="129"/>
        <v>0</v>
      </c>
      <c r="AI99" s="1236">
        <f t="shared" si="130"/>
        <v>0</v>
      </c>
      <c r="AJ99" s="1236">
        <f t="shared" si="131"/>
        <v>0</v>
      </c>
      <c r="AK99" s="1236">
        <f t="shared" si="132"/>
        <v>0</v>
      </c>
      <c r="AL99" s="1236">
        <f t="shared" si="133"/>
        <v>0</v>
      </c>
      <c r="AM99" s="1236">
        <f t="shared" si="134"/>
        <v>0</v>
      </c>
      <c r="AN99" s="1236">
        <f t="shared" si="135"/>
        <v>0</v>
      </c>
      <c r="AO99" s="1236">
        <f t="shared" si="136"/>
        <v>0</v>
      </c>
      <c r="AP99" s="1236">
        <f t="shared" si="137"/>
        <v>0</v>
      </c>
      <c r="AQ99" s="1236">
        <f t="shared" si="138"/>
        <v>0</v>
      </c>
      <c r="AR99" s="1236">
        <f t="shared" si="139"/>
        <v>0</v>
      </c>
      <c r="AS99" s="1236">
        <f t="shared" si="140"/>
        <v>0</v>
      </c>
      <c r="AT99" s="1236">
        <f t="shared" si="141"/>
        <v>0</v>
      </c>
      <c r="AU99" s="1236">
        <f t="shared" si="142"/>
        <v>0</v>
      </c>
      <c r="AV99" s="1236">
        <f t="shared" si="143"/>
        <v>0</v>
      </c>
      <c r="AW99" s="1236">
        <f t="shared" si="144"/>
        <v>0</v>
      </c>
      <c r="AX99" s="1236">
        <f t="shared" si="145"/>
        <v>0</v>
      </c>
      <c r="AY99" s="1236">
        <f t="shared" si="146"/>
        <v>0</v>
      </c>
      <c r="AZ99" s="1236">
        <f t="shared" si="147"/>
        <v>0</v>
      </c>
      <c r="BA99" s="1236">
        <f t="shared" si="148"/>
        <v>0</v>
      </c>
      <c r="BB99" s="1236">
        <f t="shared" si="149"/>
        <v>0</v>
      </c>
      <c r="BC99" s="1236">
        <f t="shared" si="150"/>
        <v>0</v>
      </c>
      <c r="BD99" s="1236">
        <f t="shared" si="151"/>
        <v>0</v>
      </c>
      <c r="BE99" s="1236">
        <f t="shared" si="152"/>
        <v>0</v>
      </c>
      <c r="BF99" s="1236">
        <f t="shared" si="153"/>
        <v>0</v>
      </c>
      <c r="BG99" s="1236">
        <f t="shared" si="154"/>
        <v>0</v>
      </c>
      <c r="BH99" s="1236">
        <f t="shared" si="155"/>
        <v>0</v>
      </c>
      <c r="BI99" s="1236">
        <f t="shared" si="156"/>
        <v>0</v>
      </c>
      <c r="BJ99" s="1236">
        <f t="shared" si="157"/>
        <v>0</v>
      </c>
      <c r="BK99" s="1236">
        <f t="shared" si="158"/>
        <v>0</v>
      </c>
      <c r="BL99" s="1236">
        <f t="shared" si="159"/>
        <v>0</v>
      </c>
      <c r="BM99" s="1236">
        <f t="shared" si="160"/>
        <v>0</v>
      </c>
      <c r="BN99" s="1236">
        <f t="shared" si="161"/>
        <v>0</v>
      </c>
      <c r="BO99" s="1236">
        <f t="shared" si="162"/>
        <v>0</v>
      </c>
      <c r="BP99" s="1236">
        <f t="shared" si="163"/>
        <v>0</v>
      </c>
      <c r="BQ99" s="1236">
        <f t="shared" si="164"/>
        <v>0</v>
      </c>
      <c r="BR99" s="1236">
        <f t="shared" si="165"/>
        <v>0</v>
      </c>
      <c r="BS99" s="1236">
        <f t="shared" si="166"/>
        <v>0</v>
      </c>
      <c r="BT99" s="1236">
        <f t="shared" si="167"/>
        <v>0</v>
      </c>
      <c r="BU99" s="1236">
        <f t="shared" si="168"/>
        <v>0</v>
      </c>
      <c r="BV99" s="1236">
        <f t="shared" si="169"/>
        <v>0</v>
      </c>
      <c r="BW99" s="1236">
        <f t="shared" si="170"/>
        <v>0</v>
      </c>
      <c r="BX99" s="1236">
        <f t="shared" si="171"/>
        <v>0</v>
      </c>
      <c r="BY99" s="1236">
        <f t="shared" si="172"/>
        <v>0</v>
      </c>
      <c r="BZ99" s="1236">
        <f t="shared" si="173"/>
        <v>0</v>
      </c>
      <c r="CA99" s="1236">
        <f t="shared" si="174"/>
        <v>0</v>
      </c>
      <c r="CB99" s="1236">
        <f t="shared" si="175"/>
        <v>0</v>
      </c>
      <c r="CC99" s="1236">
        <f t="shared" si="176"/>
        <v>0</v>
      </c>
      <c r="CD99" s="1236">
        <f t="shared" si="177"/>
        <v>0</v>
      </c>
      <c r="CE99" s="1236">
        <f t="shared" si="178"/>
        <v>0</v>
      </c>
      <c r="CF99" s="1236">
        <f t="shared" si="179"/>
        <v>0</v>
      </c>
      <c r="CG99" s="1236">
        <f t="shared" si="180"/>
        <v>0</v>
      </c>
      <c r="CH99" s="1236">
        <f t="shared" si="181"/>
        <v>0</v>
      </c>
      <c r="CI99" s="1236">
        <f t="shared" si="182"/>
        <v>0</v>
      </c>
      <c r="CJ99" s="1236">
        <f t="shared" si="183"/>
        <v>0</v>
      </c>
      <c r="CK99" s="1236">
        <f t="shared" si="184"/>
        <v>0</v>
      </c>
      <c r="CL99" s="1236">
        <f t="shared" si="185"/>
        <v>0</v>
      </c>
      <c r="CM99" s="1236">
        <f t="shared" si="186"/>
        <v>0</v>
      </c>
      <c r="CN99" s="1236">
        <f t="shared" si="187"/>
        <v>0</v>
      </c>
      <c r="CQ99" s="1165"/>
      <c r="CR99" s="1165"/>
      <c r="CS99" s="1165"/>
      <c r="CT99" s="1165"/>
      <c r="CU99" s="1165"/>
      <c r="CV99" s="1165"/>
      <c r="CW99" s="1165"/>
      <c r="CX99" s="1165"/>
      <c r="CY99" s="1165"/>
      <c r="CZ99" s="1165"/>
      <c r="DA99" s="1165"/>
      <c r="DB99" s="1165"/>
      <c r="DC99" s="1165"/>
      <c r="DD99" s="1165"/>
      <c r="DE99" s="1165"/>
      <c r="DF99" s="1165"/>
      <c r="DG99" s="1165"/>
      <c r="DH99" s="1165"/>
      <c r="DI99" s="1165"/>
      <c r="DJ99" s="1165"/>
      <c r="DK99" s="1238"/>
      <c r="DL99" s="1238"/>
      <c r="DM99" s="1238"/>
      <c r="DN99" s="1238"/>
      <c r="DO99" s="1238"/>
      <c r="DP99" s="1238"/>
      <c r="DQ99" s="1238"/>
      <c r="DR99" s="1238"/>
      <c r="DS99" s="1238"/>
      <c r="DT99" s="1238"/>
      <c r="DU99" s="1238"/>
      <c r="DV99" s="1238"/>
      <c r="DW99" s="1238"/>
      <c r="DX99" s="1238"/>
      <c r="DY99" s="1238"/>
      <c r="DZ99" s="1238"/>
      <c r="EA99" s="1238"/>
      <c r="EB99" s="1238"/>
      <c r="EC99" s="1238"/>
      <c r="ED99" s="1238"/>
      <c r="EE99" s="1238"/>
      <c r="EF99" s="1238"/>
      <c r="EG99" s="1238"/>
      <c r="EH99" s="1238"/>
      <c r="EI99" s="1238"/>
      <c r="EJ99" s="1238"/>
      <c r="EK99" s="1238"/>
      <c r="EL99" s="1238"/>
      <c r="EM99" s="1238"/>
      <c r="EN99" s="1238"/>
      <c r="EO99" s="1238"/>
      <c r="EP99" s="1238"/>
      <c r="EQ99" s="1238"/>
      <c r="ER99" s="1238"/>
      <c r="ES99" s="1238"/>
      <c r="ET99" s="1238"/>
      <c r="EU99" s="1165"/>
      <c r="EV99" s="1165"/>
      <c r="EW99" s="1165"/>
      <c r="EX99" s="1165"/>
      <c r="EY99" s="1165"/>
      <c r="EZ99" s="1165"/>
      <c r="FA99" s="1165"/>
      <c r="FB99" s="1165"/>
      <c r="FC99" s="1165"/>
      <c r="FD99" s="1165"/>
      <c r="FE99" s="1165"/>
      <c r="FF99" s="1165"/>
    </row>
    <row r="100" spans="1:162" s="1231" customFormat="1">
      <c r="A100" s="1224"/>
      <c r="B100" s="1237"/>
      <c r="M100" s="1236"/>
      <c r="N100" s="1236"/>
      <c r="O100" s="1236"/>
      <c r="P100" s="1236"/>
      <c r="Q100" s="1236"/>
      <c r="R100" s="1236"/>
      <c r="S100" s="1236"/>
      <c r="T100" s="1236"/>
      <c r="U100" s="1236"/>
      <c r="V100" s="1236"/>
      <c r="W100" s="1236"/>
      <c r="X100" s="1236"/>
      <c r="Y100" s="1236"/>
      <c r="Z100" s="1236"/>
      <c r="AA100" s="1236"/>
      <c r="AB100" s="1236"/>
      <c r="AC100" s="1236"/>
      <c r="AD100" s="1236"/>
      <c r="AE100" s="1236"/>
      <c r="AG100" s="1236">
        <f t="shared" si="128"/>
        <v>0</v>
      </c>
      <c r="AH100" s="1236">
        <f t="shared" si="129"/>
        <v>0</v>
      </c>
      <c r="AI100" s="1236">
        <f t="shared" si="130"/>
        <v>0</v>
      </c>
      <c r="AJ100" s="1236">
        <f t="shared" si="131"/>
        <v>0</v>
      </c>
      <c r="AK100" s="1236">
        <f t="shared" si="132"/>
        <v>0</v>
      </c>
      <c r="AL100" s="1236">
        <f t="shared" si="133"/>
        <v>0</v>
      </c>
      <c r="AM100" s="1236">
        <f t="shared" si="134"/>
        <v>0</v>
      </c>
      <c r="AN100" s="1236">
        <f t="shared" si="135"/>
        <v>0</v>
      </c>
      <c r="AO100" s="1236">
        <f t="shared" si="136"/>
        <v>0</v>
      </c>
      <c r="AP100" s="1236">
        <f t="shared" si="137"/>
        <v>0</v>
      </c>
      <c r="AQ100" s="1236">
        <f t="shared" si="138"/>
        <v>0</v>
      </c>
      <c r="AR100" s="1236">
        <f t="shared" si="139"/>
        <v>0</v>
      </c>
      <c r="AS100" s="1236">
        <f t="shared" si="140"/>
        <v>0</v>
      </c>
      <c r="AT100" s="1236">
        <f t="shared" si="141"/>
        <v>0</v>
      </c>
      <c r="AU100" s="1236">
        <f t="shared" si="142"/>
        <v>0</v>
      </c>
      <c r="AV100" s="1236">
        <f t="shared" si="143"/>
        <v>0</v>
      </c>
      <c r="AW100" s="1236">
        <f t="shared" si="144"/>
        <v>0</v>
      </c>
      <c r="AX100" s="1236">
        <f t="shared" si="145"/>
        <v>0</v>
      </c>
      <c r="AY100" s="1236">
        <f t="shared" si="146"/>
        <v>0</v>
      </c>
      <c r="AZ100" s="1236">
        <f t="shared" si="147"/>
        <v>0</v>
      </c>
      <c r="BA100" s="1236">
        <f t="shared" si="148"/>
        <v>0</v>
      </c>
      <c r="BB100" s="1236">
        <f t="shared" si="149"/>
        <v>0</v>
      </c>
      <c r="BC100" s="1236">
        <f t="shared" si="150"/>
        <v>0</v>
      </c>
      <c r="BD100" s="1236">
        <f t="shared" si="151"/>
        <v>0</v>
      </c>
      <c r="BE100" s="1236">
        <f t="shared" si="152"/>
        <v>0</v>
      </c>
      <c r="BF100" s="1236">
        <f t="shared" si="153"/>
        <v>0</v>
      </c>
      <c r="BG100" s="1236">
        <f t="shared" si="154"/>
        <v>0</v>
      </c>
      <c r="BH100" s="1236">
        <f t="shared" si="155"/>
        <v>0</v>
      </c>
      <c r="BI100" s="1236">
        <f t="shared" si="156"/>
        <v>0</v>
      </c>
      <c r="BJ100" s="1236">
        <f t="shared" si="157"/>
        <v>0</v>
      </c>
      <c r="BK100" s="1236">
        <f t="shared" si="158"/>
        <v>0</v>
      </c>
      <c r="BL100" s="1236">
        <f t="shared" si="159"/>
        <v>0</v>
      </c>
      <c r="BM100" s="1236">
        <f t="shared" si="160"/>
        <v>0</v>
      </c>
      <c r="BN100" s="1236">
        <f t="shared" si="161"/>
        <v>0</v>
      </c>
      <c r="BO100" s="1236">
        <f t="shared" si="162"/>
        <v>0</v>
      </c>
      <c r="BP100" s="1236">
        <f t="shared" si="163"/>
        <v>0</v>
      </c>
      <c r="BQ100" s="1236">
        <f t="shared" si="164"/>
        <v>0</v>
      </c>
      <c r="BR100" s="1236">
        <f t="shared" si="165"/>
        <v>0</v>
      </c>
      <c r="BS100" s="1236">
        <f t="shared" si="166"/>
        <v>0</v>
      </c>
      <c r="BT100" s="1236">
        <f t="shared" si="167"/>
        <v>0</v>
      </c>
      <c r="BU100" s="1236">
        <f t="shared" si="168"/>
        <v>0</v>
      </c>
      <c r="BV100" s="1236">
        <f t="shared" si="169"/>
        <v>0</v>
      </c>
      <c r="BW100" s="1236">
        <f t="shared" si="170"/>
        <v>0</v>
      </c>
      <c r="BX100" s="1236">
        <f t="shared" si="171"/>
        <v>0</v>
      </c>
      <c r="BY100" s="1236">
        <f t="shared" si="172"/>
        <v>0</v>
      </c>
      <c r="BZ100" s="1236">
        <f t="shared" si="173"/>
        <v>0</v>
      </c>
      <c r="CA100" s="1236">
        <f t="shared" si="174"/>
        <v>0</v>
      </c>
      <c r="CB100" s="1236">
        <f t="shared" si="175"/>
        <v>0</v>
      </c>
      <c r="CC100" s="1236">
        <f t="shared" si="176"/>
        <v>0</v>
      </c>
      <c r="CD100" s="1236">
        <f t="shared" si="177"/>
        <v>0</v>
      </c>
      <c r="CE100" s="1236">
        <f t="shared" si="178"/>
        <v>0</v>
      </c>
      <c r="CF100" s="1236">
        <f t="shared" si="179"/>
        <v>0</v>
      </c>
      <c r="CG100" s="1236">
        <f t="shared" si="180"/>
        <v>0</v>
      </c>
      <c r="CH100" s="1236">
        <f t="shared" si="181"/>
        <v>0</v>
      </c>
      <c r="CI100" s="1236">
        <f t="shared" si="182"/>
        <v>0</v>
      </c>
      <c r="CJ100" s="1236">
        <f t="shared" si="183"/>
        <v>0</v>
      </c>
      <c r="CK100" s="1236">
        <f t="shared" si="184"/>
        <v>0</v>
      </c>
      <c r="CL100" s="1236">
        <f t="shared" si="185"/>
        <v>0</v>
      </c>
      <c r="CM100" s="1236">
        <f t="shared" si="186"/>
        <v>0</v>
      </c>
      <c r="CN100" s="1236">
        <f t="shared" si="187"/>
        <v>0</v>
      </c>
      <c r="CQ100" s="1165"/>
      <c r="CR100" s="1165"/>
      <c r="CS100" s="1165"/>
      <c r="CT100" s="1165"/>
      <c r="CU100" s="1165"/>
      <c r="CV100" s="1165"/>
      <c r="CW100" s="1165"/>
      <c r="CX100" s="1165"/>
      <c r="CY100" s="1165"/>
      <c r="CZ100" s="1165"/>
      <c r="DA100" s="1165"/>
      <c r="DB100" s="1165"/>
      <c r="DC100" s="1165"/>
      <c r="DD100" s="1165"/>
      <c r="DE100" s="1165"/>
      <c r="DF100" s="1165"/>
      <c r="DG100" s="1165"/>
      <c r="DH100" s="1165"/>
      <c r="DI100" s="1165"/>
      <c r="DJ100" s="1165"/>
      <c r="DK100" s="1238"/>
      <c r="DL100" s="1238"/>
      <c r="DM100" s="1238"/>
      <c r="DN100" s="1238"/>
      <c r="DO100" s="1238"/>
      <c r="DP100" s="1238"/>
      <c r="DQ100" s="1238"/>
      <c r="DR100" s="1238"/>
      <c r="DS100" s="1238"/>
      <c r="DT100" s="1238"/>
      <c r="DU100" s="1238"/>
      <c r="DV100" s="1238"/>
      <c r="DW100" s="1238"/>
      <c r="DX100" s="1238"/>
      <c r="DY100" s="1238"/>
      <c r="DZ100" s="1238"/>
      <c r="EA100" s="1238"/>
      <c r="EB100" s="1238"/>
      <c r="EC100" s="1238"/>
      <c r="ED100" s="1238"/>
      <c r="EE100" s="1238"/>
      <c r="EF100" s="1238"/>
      <c r="EG100" s="1238"/>
      <c r="EH100" s="1238"/>
      <c r="EI100" s="1238"/>
      <c r="EJ100" s="1238"/>
      <c r="EK100" s="1238"/>
      <c r="EL100" s="1238"/>
      <c r="EM100" s="1238"/>
      <c r="EN100" s="1238"/>
      <c r="EO100" s="1238"/>
      <c r="EP100" s="1238"/>
      <c r="EQ100" s="1238"/>
      <c r="ER100" s="1238"/>
      <c r="ES100" s="1238"/>
      <c r="ET100" s="1238"/>
      <c r="EU100" s="1165"/>
      <c r="EV100" s="1165"/>
      <c r="EW100" s="1165"/>
      <c r="EX100" s="1165"/>
      <c r="EY100" s="1165"/>
      <c r="EZ100" s="1165"/>
      <c r="FA100" s="1165"/>
      <c r="FB100" s="1165"/>
      <c r="FC100" s="1165"/>
      <c r="FD100" s="1165"/>
      <c r="FE100" s="1165"/>
      <c r="FF100" s="1165"/>
    </row>
    <row r="101" spans="1:162">
      <c r="A101" s="1224"/>
      <c r="B101" s="1237"/>
      <c r="AG101" s="1236">
        <f t="shared" si="128"/>
        <v>0</v>
      </c>
      <c r="AH101" s="1236">
        <f t="shared" si="129"/>
        <v>0</v>
      </c>
      <c r="AI101" s="1236">
        <f t="shared" si="130"/>
        <v>0</v>
      </c>
      <c r="AJ101" s="1236">
        <f t="shared" si="131"/>
        <v>0</v>
      </c>
      <c r="AK101" s="1236">
        <f t="shared" si="132"/>
        <v>0</v>
      </c>
      <c r="AL101" s="1236">
        <f t="shared" si="133"/>
        <v>0</v>
      </c>
      <c r="AM101" s="1236">
        <f t="shared" si="134"/>
        <v>0</v>
      </c>
      <c r="AN101" s="1236">
        <f t="shared" si="135"/>
        <v>0</v>
      </c>
      <c r="AO101" s="1236">
        <f t="shared" si="136"/>
        <v>0</v>
      </c>
      <c r="AP101" s="1236">
        <f t="shared" si="137"/>
        <v>0</v>
      </c>
      <c r="AQ101" s="1236">
        <f t="shared" si="138"/>
        <v>0</v>
      </c>
      <c r="AR101" s="1236">
        <f t="shared" si="139"/>
        <v>0</v>
      </c>
      <c r="AS101" s="1236">
        <f t="shared" si="140"/>
        <v>0</v>
      </c>
      <c r="AT101" s="1236">
        <f t="shared" si="141"/>
        <v>0</v>
      </c>
      <c r="AU101" s="1236">
        <f t="shared" si="142"/>
        <v>0</v>
      </c>
      <c r="AV101" s="1236">
        <f t="shared" si="143"/>
        <v>0</v>
      </c>
      <c r="AW101" s="1236">
        <f t="shared" si="144"/>
        <v>0</v>
      </c>
      <c r="AX101" s="1236">
        <f t="shared" si="145"/>
        <v>0</v>
      </c>
      <c r="AY101" s="1236">
        <f t="shared" si="146"/>
        <v>0</v>
      </c>
      <c r="AZ101" s="1236">
        <f t="shared" si="147"/>
        <v>0</v>
      </c>
      <c r="BA101" s="1236">
        <f t="shared" si="148"/>
        <v>0</v>
      </c>
      <c r="BB101" s="1236">
        <f t="shared" si="149"/>
        <v>0</v>
      </c>
      <c r="BC101" s="1236">
        <f t="shared" si="150"/>
        <v>0</v>
      </c>
      <c r="BD101" s="1236">
        <f t="shared" si="151"/>
        <v>0</v>
      </c>
      <c r="BE101" s="1236">
        <f t="shared" si="152"/>
        <v>0</v>
      </c>
      <c r="BF101" s="1236">
        <f t="shared" si="153"/>
        <v>0</v>
      </c>
      <c r="BG101" s="1236">
        <f t="shared" si="154"/>
        <v>0</v>
      </c>
      <c r="BH101" s="1236">
        <f t="shared" si="155"/>
        <v>0</v>
      </c>
      <c r="BI101" s="1236">
        <f t="shared" si="156"/>
        <v>0</v>
      </c>
      <c r="BJ101" s="1236">
        <f t="shared" si="157"/>
        <v>0</v>
      </c>
      <c r="BK101" s="1236">
        <f t="shared" si="158"/>
        <v>0</v>
      </c>
      <c r="BL101" s="1236">
        <f t="shared" si="159"/>
        <v>0</v>
      </c>
      <c r="BM101" s="1236">
        <f t="shared" si="160"/>
        <v>0</v>
      </c>
      <c r="BN101" s="1236">
        <f t="shared" si="161"/>
        <v>0</v>
      </c>
      <c r="BO101" s="1236">
        <f t="shared" si="162"/>
        <v>0</v>
      </c>
      <c r="BP101" s="1236">
        <f t="shared" si="163"/>
        <v>0</v>
      </c>
      <c r="BQ101" s="1236">
        <f t="shared" si="164"/>
        <v>0</v>
      </c>
      <c r="BR101" s="1236">
        <f t="shared" si="165"/>
        <v>0</v>
      </c>
      <c r="BS101" s="1236">
        <f t="shared" si="166"/>
        <v>0</v>
      </c>
      <c r="BT101" s="1236">
        <f t="shared" si="167"/>
        <v>0</v>
      </c>
      <c r="BU101" s="1236">
        <f t="shared" si="168"/>
        <v>0</v>
      </c>
      <c r="BV101" s="1236">
        <f t="shared" si="169"/>
        <v>0</v>
      </c>
      <c r="BW101" s="1236">
        <f t="shared" si="170"/>
        <v>0</v>
      </c>
      <c r="BX101" s="1236">
        <f t="shared" si="171"/>
        <v>0</v>
      </c>
      <c r="BY101" s="1236">
        <f t="shared" si="172"/>
        <v>0</v>
      </c>
      <c r="BZ101" s="1236">
        <f t="shared" si="173"/>
        <v>0</v>
      </c>
      <c r="CA101" s="1236">
        <f t="shared" si="174"/>
        <v>0</v>
      </c>
      <c r="CB101" s="1236">
        <f t="shared" si="175"/>
        <v>0</v>
      </c>
      <c r="CC101" s="1236">
        <f t="shared" si="176"/>
        <v>0</v>
      </c>
      <c r="CD101" s="1236">
        <f t="shared" si="177"/>
        <v>0</v>
      </c>
      <c r="CE101" s="1236">
        <f t="shared" si="178"/>
        <v>0</v>
      </c>
      <c r="CF101" s="1236">
        <f t="shared" si="179"/>
        <v>0</v>
      </c>
      <c r="CG101" s="1236">
        <f t="shared" si="180"/>
        <v>0</v>
      </c>
      <c r="CH101" s="1236">
        <f t="shared" si="181"/>
        <v>0</v>
      </c>
      <c r="CI101" s="1236">
        <f t="shared" si="182"/>
        <v>0</v>
      </c>
      <c r="CJ101" s="1236">
        <f t="shared" si="183"/>
        <v>0</v>
      </c>
      <c r="CK101" s="1236">
        <f t="shared" si="184"/>
        <v>0</v>
      </c>
      <c r="CL101" s="1236">
        <f t="shared" si="185"/>
        <v>0</v>
      </c>
      <c r="CM101" s="1236">
        <f t="shared" si="186"/>
        <v>0</v>
      </c>
      <c r="CN101" s="1236">
        <f t="shared" si="187"/>
        <v>0</v>
      </c>
      <c r="CQ101" s="1165"/>
      <c r="CR101" s="1165"/>
      <c r="CS101" s="1165"/>
      <c r="CT101" s="1165"/>
      <c r="CU101" s="1165"/>
      <c r="CV101" s="1165"/>
      <c r="CW101" s="1165"/>
      <c r="CX101" s="1165"/>
      <c r="CY101" s="1165"/>
      <c r="CZ101" s="1165"/>
      <c r="DA101" s="1165"/>
      <c r="DB101" s="1165"/>
      <c r="DC101" s="1165"/>
      <c r="DD101" s="1165"/>
      <c r="DE101" s="1165"/>
      <c r="DF101" s="1165"/>
      <c r="DG101" s="1165"/>
      <c r="DH101" s="1165"/>
      <c r="DI101" s="1165"/>
      <c r="DJ101" s="1165"/>
      <c r="DK101" s="1238"/>
      <c r="DL101" s="1238"/>
      <c r="DM101" s="1238"/>
      <c r="DN101" s="1238"/>
      <c r="DO101" s="1238"/>
      <c r="DP101" s="1238"/>
      <c r="DQ101" s="1238"/>
      <c r="DR101" s="1238"/>
      <c r="DS101" s="1238"/>
      <c r="DT101" s="1238"/>
      <c r="DU101" s="1238"/>
      <c r="DV101" s="1238"/>
      <c r="DW101" s="1238"/>
      <c r="DX101" s="1238"/>
      <c r="DY101" s="1238"/>
      <c r="DZ101" s="1238"/>
      <c r="EA101" s="1238"/>
      <c r="EB101" s="1238"/>
      <c r="EC101" s="1238"/>
      <c r="ED101" s="1238"/>
      <c r="EE101" s="1238"/>
      <c r="EF101" s="1238"/>
      <c r="EG101" s="1238"/>
      <c r="EH101" s="1238"/>
      <c r="EI101" s="1238"/>
      <c r="EJ101" s="1238"/>
      <c r="EK101" s="1238"/>
      <c r="EL101" s="1238"/>
      <c r="EM101" s="1238"/>
      <c r="EN101" s="1238"/>
      <c r="EO101" s="1238"/>
      <c r="EP101" s="1238"/>
      <c r="EQ101" s="1238"/>
      <c r="ER101" s="1238"/>
      <c r="ES101" s="1238"/>
      <c r="ET101" s="1238"/>
      <c r="EU101" s="1165"/>
      <c r="EV101" s="1165"/>
      <c r="EW101" s="1165"/>
      <c r="EX101" s="1165"/>
      <c r="EY101" s="1165"/>
      <c r="EZ101" s="1165"/>
      <c r="FA101" s="1165"/>
      <c r="FB101" s="1165"/>
      <c r="FC101" s="1165"/>
      <c r="FD101" s="1165"/>
      <c r="FE101" s="1165"/>
      <c r="FF101" s="1165"/>
    </row>
    <row r="102" spans="1:162" s="1231" customFormat="1">
      <c r="A102" s="1206" t="s">
        <v>559</v>
      </c>
      <c r="B102" s="1230" t="s">
        <v>87</v>
      </c>
      <c r="M102" s="1231">
        <f ca="1">OFFSET($CT102,0,M$7)</f>
        <v>0</v>
      </c>
      <c r="N102" s="1231">
        <f ca="1">OFFSET($CT102,0,N$7)</f>
        <v>0</v>
      </c>
      <c r="O102" s="1231">
        <f ca="1">OFFSET($CT102,0,O$7)</f>
        <v>0</v>
      </c>
      <c r="P102" s="1231">
        <f ca="1">OFFSET($CT102,0,P$7)</f>
        <v>0</v>
      </c>
      <c r="Q102" s="1231">
        <f ca="1">OFFSET($CT102,0,Q$7)</f>
        <v>0</v>
      </c>
      <c r="R102" s="1232">
        <f>INDEX('Basic Data TR'!$A$1:$AMJ$9673,MATCH($A102,'Basic Data TR'!$A$1:$A$9673,0),MATCH(R$6,'Basic Data TR'!$A$1:$AMJ$1,0))</f>
        <v>0</v>
      </c>
      <c r="S102" s="1232">
        <f>INDEX('Basic Data TR'!$A$1:$AMJ$9673,MATCH($A102,'Basic Data TR'!$A$1:$A$9673,0),MATCH(S$6,'Basic Data TR'!$A$1:$AMJ$1,0))</f>
        <v>0</v>
      </c>
      <c r="T102" s="1232">
        <f>INDEX('Basic Data TR'!$A$1:$AMJ$9673,MATCH($A102,'Basic Data TR'!$A$1:$A$9673,0),MATCH(T$6,'Basic Data TR'!$A$1:$AMJ$1,0))</f>
        <v>0</v>
      </c>
      <c r="U102" s="1232">
        <f>INDEX('Basic Data TR'!$A$1:$AMJ$9673,MATCH($A102,'Basic Data TR'!$A$1:$A$9673,0),MATCH(U$6,'Basic Data TR'!$A$1:$AMJ$1,0))</f>
        <v>0</v>
      </c>
      <c r="V102" s="1232">
        <f>INDEX('Basic Data TR'!$A$1:$AMJ$9673,MATCH($A102,'Basic Data TR'!$A$1:$A$9673,0),MATCH(V$6,'Basic Data TR'!$A$1:$AMJ$1,0))</f>
        <v>0</v>
      </c>
      <c r="W102" s="1232">
        <f>INDEX('Basic Data TR'!$A$1:$AMJ$9673,MATCH($A102,'Basic Data TR'!$A$1:$A$9673,0),MATCH(W$6,'Basic Data TR'!$A$1:$AMJ$1,0))</f>
        <v>0</v>
      </c>
      <c r="X102" s="1232">
        <f>INDEX('Basic Data TR'!$A$1:$AMJ$9673,MATCH($A102,'Basic Data TR'!$A$1:$A$9673,0),MATCH(X$6,'Basic Data TR'!$A$1:$AMJ$1,0))</f>
        <v>0</v>
      </c>
      <c r="Y102" s="1232">
        <f>INDEX('Basic Data TR'!$A$1:$AMJ$9673,MATCH($A102,'Basic Data TR'!$A$1:$A$9673,0),MATCH(Y$6,'Basic Data TR'!$A$1:$AMJ$1,0))</f>
        <v>0</v>
      </c>
      <c r="AG102" s="1231">
        <f t="shared" si="128"/>
        <v>0</v>
      </c>
      <c r="AH102" s="1231">
        <f t="shared" si="129"/>
        <v>0</v>
      </c>
      <c r="AI102" s="1231">
        <f t="shared" si="130"/>
        <v>0</v>
      </c>
      <c r="AJ102" s="1231">
        <f t="shared" si="131"/>
        <v>0</v>
      </c>
      <c r="AK102" s="1231">
        <f t="shared" si="132"/>
        <v>0</v>
      </c>
      <c r="AL102" s="1231">
        <f t="shared" si="133"/>
        <v>0</v>
      </c>
      <c r="AM102" s="1231">
        <f t="shared" si="134"/>
        <v>0</v>
      </c>
      <c r="AN102" s="1231">
        <f t="shared" si="135"/>
        <v>0</v>
      </c>
      <c r="AO102" s="1231">
        <f t="shared" si="136"/>
        <v>0</v>
      </c>
      <c r="AP102" s="1231">
        <f t="shared" si="137"/>
        <v>0</v>
      </c>
      <c r="AQ102" s="1231">
        <f t="shared" si="138"/>
        <v>0</v>
      </c>
      <c r="AR102" s="1231">
        <f t="shared" si="139"/>
        <v>0</v>
      </c>
      <c r="AS102" s="1231">
        <f t="shared" si="140"/>
        <v>0</v>
      </c>
      <c r="AT102" s="1231">
        <f t="shared" si="141"/>
        <v>0</v>
      </c>
      <c r="AU102" s="1231">
        <f t="shared" si="142"/>
        <v>0</v>
      </c>
      <c r="AV102" s="1231">
        <f t="shared" si="143"/>
        <v>0</v>
      </c>
      <c r="AW102" s="1231">
        <f t="shared" si="144"/>
        <v>0</v>
      </c>
      <c r="AX102" s="1231">
        <f t="shared" si="145"/>
        <v>0</v>
      </c>
      <c r="AY102" s="1231">
        <f t="shared" si="146"/>
        <v>0</v>
      </c>
      <c r="AZ102" s="1231">
        <f t="shared" si="147"/>
        <v>0</v>
      </c>
      <c r="BA102" s="1231">
        <f t="shared" si="148"/>
        <v>0</v>
      </c>
      <c r="BB102" s="1231">
        <f t="shared" si="149"/>
        <v>0</v>
      </c>
      <c r="BC102" s="1231">
        <f t="shared" si="150"/>
        <v>0</v>
      </c>
      <c r="BD102" s="1231">
        <f t="shared" si="151"/>
        <v>0</v>
      </c>
      <c r="BE102" s="1231">
        <f t="shared" si="152"/>
        <v>0</v>
      </c>
      <c r="BF102" s="1231">
        <f t="shared" si="153"/>
        <v>0</v>
      </c>
      <c r="BG102" s="1231">
        <f t="shared" si="154"/>
        <v>0</v>
      </c>
      <c r="BH102" s="1231">
        <f t="shared" si="155"/>
        <v>0</v>
      </c>
      <c r="BI102" s="1231">
        <f t="shared" si="156"/>
        <v>0</v>
      </c>
      <c r="BJ102" s="1231">
        <f t="shared" si="157"/>
        <v>0</v>
      </c>
      <c r="BK102" s="1231">
        <f t="shared" si="158"/>
        <v>0</v>
      </c>
      <c r="BL102" s="1231">
        <f t="shared" si="159"/>
        <v>0</v>
      </c>
      <c r="BM102" s="1231">
        <f t="shared" si="160"/>
        <v>0</v>
      </c>
      <c r="BN102" s="1231">
        <f t="shared" si="161"/>
        <v>0</v>
      </c>
      <c r="BO102" s="1231">
        <f t="shared" si="162"/>
        <v>0</v>
      </c>
      <c r="BP102" s="1231">
        <f t="shared" si="163"/>
        <v>0</v>
      </c>
      <c r="BQ102" s="1231">
        <f t="shared" si="164"/>
        <v>0</v>
      </c>
      <c r="BR102" s="1231">
        <f t="shared" si="165"/>
        <v>0</v>
      </c>
      <c r="BS102" s="1231">
        <f t="shared" si="166"/>
        <v>0</v>
      </c>
      <c r="BT102" s="1231">
        <f t="shared" si="167"/>
        <v>0</v>
      </c>
      <c r="BU102" s="1231">
        <f t="shared" si="168"/>
        <v>0</v>
      </c>
      <c r="BV102" s="1231">
        <f t="shared" si="169"/>
        <v>0</v>
      </c>
      <c r="BW102" s="1231">
        <f t="shared" si="170"/>
        <v>0</v>
      </c>
      <c r="BX102" s="1231">
        <f t="shared" si="171"/>
        <v>0</v>
      </c>
      <c r="BY102" s="1231">
        <f t="shared" si="172"/>
        <v>0</v>
      </c>
      <c r="BZ102" s="1231">
        <f t="shared" si="173"/>
        <v>0</v>
      </c>
      <c r="CA102" s="1231">
        <f t="shared" si="174"/>
        <v>0</v>
      </c>
      <c r="CB102" s="1231">
        <f t="shared" si="175"/>
        <v>0</v>
      </c>
      <c r="CC102" s="1231">
        <f t="shared" si="176"/>
        <v>0</v>
      </c>
      <c r="CD102" s="1231">
        <f t="shared" si="177"/>
        <v>0</v>
      </c>
      <c r="CE102" s="1231">
        <f t="shared" si="178"/>
        <v>0</v>
      </c>
      <c r="CF102" s="1231">
        <f t="shared" si="179"/>
        <v>0</v>
      </c>
      <c r="CG102" s="1231">
        <f t="shared" si="180"/>
        <v>0</v>
      </c>
      <c r="CH102" s="1231">
        <f t="shared" si="181"/>
        <v>0</v>
      </c>
      <c r="CI102" s="1231">
        <f t="shared" si="182"/>
        <v>0</v>
      </c>
      <c r="CJ102" s="1231">
        <f t="shared" si="183"/>
        <v>0</v>
      </c>
      <c r="CK102" s="1231">
        <f t="shared" si="184"/>
        <v>0</v>
      </c>
      <c r="CL102" s="1231">
        <f t="shared" si="185"/>
        <v>0</v>
      </c>
      <c r="CM102" s="1231">
        <f t="shared" si="186"/>
        <v>0</v>
      </c>
      <c r="CN102" s="1231">
        <f t="shared" si="187"/>
        <v>0</v>
      </c>
      <c r="CQ102" s="1165"/>
      <c r="CR102" s="1165"/>
      <c r="CS102" s="1165"/>
      <c r="CT102" s="1165"/>
      <c r="CU102" s="1165"/>
      <c r="CV102" s="1165"/>
      <c r="CW102" s="1165"/>
      <c r="CX102" s="1165"/>
      <c r="CY102" s="1165"/>
      <c r="CZ102" s="1165"/>
      <c r="DA102" s="1165"/>
      <c r="DB102" s="1165"/>
      <c r="DC102" s="1165"/>
      <c r="DD102" s="1165"/>
      <c r="DE102" s="1165"/>
      <c r="DF102" s="1165"/>
      <c r="DG102" s="1165"/>
      <c r="DH102" s="1165"/>
      <c r="DI102" s="1165"/>
      <c r="DJ102" s="1165"/>
      <c r="EU102" s="1165"/>
      <c r="EV102" s="1165"/>
      <c r="EW102" s="1165"/>
      <c r="EX102" s="1165"/>
      <c r="EY102" s="1165"/>
      <c r="EZ102" s="1165"/>
      <c r="FA102" s="1165"/>
      <c r="FB102" s="1165"/>
      <c r="FC102" s="1165"/>
      <c r="FD102" s="1165"/>
      <c r="FE102" s="1165"/>
      <c r="FF102" s="1165"/>
    </row>
    <row r="103" spans="1:162">
      <c r="A103" s="1224"/>
      <c r="CQ103" s="1165"/>
      <c r="CR103" s="1165"/>
      <c r="CS103" s="1165"/>
      <c r="CT103" s="1165"/>
      <c r="CU103" s="1165"/>
      <c r="CV103" s="1165"/>
      <c r="CW103" s="1165"/>
      <c r="CX103" s="1165"/>
      <c r="CY103" s="1165"/>
      <c r="CZ103" s="1165"/>
      <c r="DA103" s="1165"/>
      <c r="DB103" s="1165"/>
      <c r="DC103" s="1165"/>
      <c r="DD103" s="1165"/>
      <c r="DE103" s="1165"/>
      <c r="DF103" s="1165"/>
      <c r="DG103" s="1165"/>
      <c r="DH103" s="1165"/>
      <c r="DI103" s="1165"/>
      <c r="DJ103" s="1165"/>
      <c r="DK103" s="1165"/>
      <c r="DL103" s="1165"/>
      <c r="DM103" s="1165"/>
      <c r="DN103" s="1165"/>
      <c r="DO103" s="1165"/>
      <c r="DP103" s="1165"/>
      <c r="DQ103" s="1165"/>
      <c r="DR103" s="1165"/>
      <c r="DS103" s="1165"/>
      <c r="DT103" s="1165"/>
      <c r="DU103" s="1165"/>
      <c r="DV103" s="1165"/>
      <c r="DW103" s="1165"/>
      <c r="DX103" s="1165"/>
      <c r="DY103" s="1165"/>
      <c r="DZ103" s="1165"/>
      <c r="EA103" s="1165"/>
      <c r="EB103" s="1165"/>
      <c r="EC103" s="1165"/>
      <c r="ED103" s="1165"/>
      <c r="EE103" s="1165"/>
      <c r="EF103" s="1165"/>
      <c r="EG103" s="1165"/>
      <c r="EH103" s="1165"/>
      <c r="EI103" s="1165"/>
      <c r="EJ103" s="1165"/>
      <c r="EK103" s="1165"/>
      <c r="EL103" s="1165"/>
      <c r="EM103" s="1165"/>
      <c r="EN103" s="1165"/>
      <c r="EO103" s="1165"/>
      <c r="EP103" s="1165"/>
      <c r="EQ103" s="1165"/>
      <c r="ER103" s="1165"/>
      <c r="ES103" s="1165"/>
      <c r="ET103" s="1165"/>
      <c r="EU103" s="1165"/>
      <c r="EV103" s="1165"/>
      <c r="EW103" s="1165"/>
      <c r="EX103" s="1165"/>
      <c r="EY103" s="1165"/>
      <c r="EZ103" s="1165"/>
      <c r="FA103" s="1165"/>
      <c r="FB103" s="1165"/>
      <c r="FC103" s="1165"/>
      <c r="FD103" s="1165"/>
      <c r="FE103" s="1165"/>
      <c r="FF103" s="1165"/>
    </row>
    <row r="104" spans="1:162">
      <c r="A104" s="1224"/>
      <c r="B104" s="1237" t="s">
        <v>154</v>
      </c>
      <c r="M104" s="1236">
        <f t="shared" ref="M104:V112" ca="1" si="191">OFFSET($CT104,0,M$7)</f>
        <v>0</v>
      </c>
      <c r="N104" s="1236">
        <f t="shared" ca="1" si="191"/>
        <v>0</v>
      </c>
      <c r="O104" s="1236">
        <f t="shared" ca="1" si="191"/>
        <v>0</v>
      </c>
      <c r="P104" s="1236">
        <f t="shared" ca="1" si="191"/>
        <v>0</v>
      </c>
      <c r="Q104" s="1236">
        <f t="shared" ca="1" si="191"/>
        <v>0</v>
      </c>
      <c r="R104" s="1236">
        <f t="shared" ca="1" si="191"/>
        <v>0</v>
      </c>
      <c r="S104" s="1236">
        <f t="shared" ca="1" si="191"/>
        <v>0</v>
      </c>
      <c r="T104" s="1236">
        <f t="shared" ca="1" si="191"/>
        <v>0</v>
      </c>
      <c r="U104" s="1236">
        <f t="shared" ca="1" si="191"/>
        <v>0</v>
      </c>
      <c r="V104" s="1236">
        <f t="shared" ca="1" si="191"/>
        <v>0</v>
      </c>
      <c r="W104" s="1236">
        <f t="shared" ref="W104:Y111" ca="1" si="192">OFFSET($CT104,0,W$7)</f>
        <v>0</v>
      </c>
      <c r="X104" s="1236">
        <f t="shared" ca="1" si="192"/>
        <v>0</v>
      </c>
      <c r="Y104" s="1236">
        <f t="shared" ca="1" si="192"/>
        <v>0</v>
      </c>
      <c r="AG104" s="1236">
        <f t="shared" si="128"/>
        <v>0</v>
      </c>
      <c r="AH104" s="1236">
        <f t="shared" si="129"/>
        <v>0</v>
      </c>
      <c r="AI104" s="1236">
        <f t="shared" si="130"/>
        <v>0</v>
      </c>
      <c r="AJ104" s="1236">
        <f t="shared" si="131"/>
        <v>0</v>
      </c>
      <c r="AK104" s="1236">
        <f t="shared" si="132"/>
        <v>0</v>
      </c>
      <c r="AL104" s="1236">
        <f t="shared" si="133"/>
        <v>0</v>
      </c>
      <c r="AM104" s="1236">
        <f t="shared" si="134"/>
        <v>0</v>
      </c>
      <c r="AN104" s="1236">
        <f t="shared" si="135"/>
        <v>0</v>
      </c>
      <c r="AO104" s="1236">
        <f t="shared" si="136"/>
        <v>0</v>
      </c>
      <c r="AP104" s="1236">
        <f t="shared" si="137"/>
        <v>0</v>
      </c>
      <c r="AQ104" s="1236">
        <f t="shared" si="138"/>
        <v>0</v>
      </c>
      <c r="AR104" s="1236">
        <f t="shared" si="139"/>
        <v>0</v>
      </c>
      <c r="AS104" s="1236">
        <f t="shared" si="140"/>
        <v>0</v>
      </c>
      <c r="AT104" s="1236">
        <f t="shared" si="141"/>
        <v>0</v>
      </c>
      <c r="AU104" s="1236">
        <f t="shared" si="142"/>
        <v>0</v>
      </c>
      <c r="AV104" s="1236">
        <f t="shared" si="143"/>
        <v>0</v>
      </c>
      <c r="AW104" s="1236">
        <f t="shared" si="144"/>
        <v>0</v>
      </c>
      <c r="AX104" s="1236">
        <f t="shared" si="145"/>
        <v>0</v>
      </c>
      <c r="AY104" s="1236">
        <f t="shared" si="146"/>
        <v>0</v>
      </c>
      <c r="AZ104" s="1236">
        <f t="shared" si="147"/>
        <v>0</v>
      </c>
      <c r="BA104" s="1236">
        <f t="shared" si="148"/>
        <v>0</v>
      </c>
      <c r="BB104" s="1236">
        <f t="shared" si="149"/>
        <v>0</v>
      </c>
      <c r="BC104" s="1236">
        <f t="shared" si="150"/>
        <v>0</v>
      </c>
      <c r="BD104" s="1236">
        <f t="shared" si="151"/>
        <v>0</v>
      </c>
      <c r="BE104" s="1236">
        <f t="shared" si="152"/>
        <v>0</v>
      </c>
      <c r="BF104" s="1236">
        <f t="shared" si="153"/>
        <v>0</v>
      </c>
      <c r="BG104" s="1236">
        <f t="shared" si="154"/>
        <v>0</v>
      </c>
      <c r="BH104" s="1236">
        <f t="shared" si="155"/>
        <v>0</v>
      </c>
      <c r="BI104" s="1236">
        <f t="shared" si="156"/>
        <v>0</v>
      </c>
      <c r="BJ104" s="1236">
        <f t="shared" si="157"/>
        <v>0</v>
      </c>
      <c r="BK104" s="1236">
        <f t="shared" si="158"/>
        <v>0</v>
      </c>
      <c r="BL104" s="1236">
        <f t="shared" si="159"/>
        <v>0</v>
      </c>
      <c r="BM104" s="1236">
        <f t="shared" si="160"/>
        <v>0</v>
      </c>
      <c r="BN104" s="1236">
        <f t="shared" si="161"/>
        <v>0</v>
      </c>
      <c r="BO104" s="1236">
        <f t="shared" si="162"/>
        <v>0</v>
      </c>
      <c r="BP104" s="1236">
        <f t="shared" si="163"/>
        <v>0</v>
      </c>
      <c r="BQ104" s="1236">
        <f t="shared" si="164"/>
        <v>0</v>
      </c>
      <c r="BR104" s="1236">
        <f t="shared" si="165"/>
        <v>0</v>
      </c>
      <c r="BS104" s="1236">
        <f t="shared" si="166"/>
        <v>0</v>
      </c>
      <c r="BT104" s="1236">
        <f t="shared" si="167"/>
        <v>0</v>
      </c>
      <c r="BU104" s="1236">
        <f t="shared" si="168"/>
        <v>0</v>
      </c>
      <c r="BV104" s="1236">
        <f t="shared" si="169"/>
        <v>0</v>
      </c>
      <c r="BW104" s="1236">
        <f t="shared" si="170"/>
        <v>0</v>
      </c>
      <c r="BX104" s="1236">
        <f t="shared" si="171"/>
        <v>0</v>
      </c>
      <c r="BY104" s="1236">
        <f t="shared" si="172"/>
        <v>0</v>
      </c>
      <c r="BZ104" s="1236">
        <f t="shared" si="173"/>
        <v>0</v>
      </c>
      <c r="CA104" s="1236">
        <f t="shared" si="174"/>
        <v>0</v>
      </c>
      <c r="CB104" s="1236">
        <f t="shared" si="175"/>
        <v>0</v>
      </c>
      <c r="CC104" s="1236">
        <f t="shared" si="176"/>
        <v>0</v>
      </c>
      <c r="CD104" s="1236">
        <f t="shared" si="177"/>
        <v>0</v>
      </c>
      <c r="CE104" s="1236">
        <f t="shared" si="178"/>
        <v>0</v>
      </c>
      <c r="CF104" s="1236">
        <f t="shared" si="179"/>
        <v>0</v>
      </c>
      <c r="CG104" s="1236">
        <f t="shared" si="180"/>
        <v>0</v>
      </c>
      <c r="CH104" s="1236">
        <f t="shared" si="181"/>
        <v>0</v>
      </c>
      <c r="CI104" s="1236">
        <f t="shared" si="182"/>
        <v>0</v>
      </c>
      <c r="CJ104" s="1236">
        <f t="shared" si="183"/>
        <v>0</v>
      </c>
      <c r="CK104" s="1236">
        <f t="shared" si="184"/>
        <v>0</v>
      </c>
      <c r="CL104" s="1236">
        <f t="shared" si="185"/>
        <v>0</v>
      </c>
      <c r="CM104" s="1236">
        <f t="shared" si="186"/>
        <v>0</v>
      </c>
      <c r="CN104" s="1236">
        <f t="shared" si="187"/>
        <v>0</v>
      </c>
      <c r="CQ104" s="1165"/>
      <c r="CR104" s="1165"/>
      <c r="CS104" s="1165"/>
      <c r="CT104" s="1165"/>
      <c r="CU104" s="1165"/>
      <c r="CV104" s="1165"/>
      <c r="CW104" s="1165"/>
      <c r="CX104" s="1165"/>
      <c r="CY104" s="1165"/>
      <c r="CZ104" s="1165"/>
      <c r="DA104" s="1165"/>
      <c r="DB104" s="1165"/>
      <c r="DC104" s="1165"/>
      <c r="DD104" s="1165"/>
      <c r="DE104" s="1165"/>
      <c r="DF104" s="1165"/>
      <c r="DG104" s="1165"/>
      <c r="DH104" s="1165"/>
      <c r="DI104" s="1165"/>
      <c r="DJ104" s="1165"/>
      <c r="DK104" s="1165"/>
      <c r="DL104" s="1165"/>
      <c r="DM104" s="1165"/>
      <c r="DN104" s="1165"/>
      <c r="DO104" s="1165"/>
      <c r="DP104" s="1165"/>
      <c r="DQ104" s="1165"/>
      <c r="DR104" s="1165"/>
      <c r="DS104" s="1165"/>
      <c r="DT104" s="1165"/>
      <c r="DU104" s="1165"/>
      <c r="DV104" s="1165"/>
      <c r="DW104" s="1165"/>
      <c r="DX104" s="1165"/>
      <c r="DY104" s="1165"/>
      <c r="DZ104" s="1165"/>
      <c r="EA104" s="1165"/>
      <c r="EB104" s="1165"/>
      <c r="EC104" s="1165"/>
      <c r="ED104" s="1165"/>
      <c r="EE104" s="1165"/>
      <c r="EF104" s="1165"/>
      <c r="EG104" s="1165"/>
      <c r="EH104" s="1165"/>
      <c r="EI104" s="1165"/>
      <c r="EJ104" s="1165"/>
      <c r="EK104" s="1165"/>
      <c r="EL104" s="1165"/>
      <c r="EM104" s="1165"/>
      <c r="EN104" s="1165"/>
      <c r="EO104" s="1165"/>
      <c r="EP104" s="1165"/>
      <c r="EQ104" s="1165"/>
      <c r="ER104" s="1165"/>
      <c r="ES104" s="1165"/>
      <c r="ET104" s="1165"/>
      <c r="EU104" s="1165"/>
      <c r="EV104" s="1165"/>
      <c r="EW104" s="1165"/>
      <c r="EX104" s="1165"/>
      <c r="EY104" s="1165"/>
      <c r="EZ104" s="1165"/>
      <c r="FA104" s="1165"/>
      <c r="FB104" s="1165"/>
      <c r="FC104" s="1165"/>
      <c r="FD104" s="1165"/>
      <c r="FE104" s="1165"/>
      <c r="FF104" s="1165"/>
    </row>
    <row r="105" spans="1:162">
      <c r="A105" s="1224"/>
      <c r="B105" s="1237" t="s">
        <v>199</v>
      </c>
      <c r="M105" s="1236">
        <f t="shared" ca="1" si="191"/>
        <v>0</v>
      </c>
      <c r="N105" s="1236">
        <f t="shared" ca="1" si="191"/>
        <v>0</v>
      </c>
      <c r="O105" s="1236">
        <f t="shared" ca="1" si="191"/>
        <v>0</v>
      </c>
      <c r="P105" s="1236">
        <f t="shared" ca="1" si="191"/>
        <v>0</v>
      </c>
      <c r="Q105" s="1236">
        <f t="shared" ca="1" si="191"/>
        <v>0</v>
      </c>
      <c r="R105" s="1236">
        <f t="shared" ca="1" si="191"/>
        <v>0</v>
      </c>
      <c r="S105" s="1236">
        <f t="shared" ca="1" si="191"/>
        <v>0</v>
      </c>
      <c r="T105" s="1236">
        <f t="shared" ca="1" si="191"/>
        <v>0</v>
      </c>
      <c r="U105" s="1236">
        <f t="shared" ca="1" si="191"/>
        <v>0</v>
      </c>
      <c r="V105" s="1236">
        <f t="shared" ca="1" si="191"/>
        <v>0</v>
      </c>
      <c r="W105" s="1236">
        <f t="shared" ca="1" si="192"/>
        <v>0</v>
      </c>
      <c r="X105" s="1236">
        <f t="shared" ca="1" si="192"/>
        <v>0</v>
      </c>
      <c r="Y105" s="1236">
        <f t="shared" ca="1" si="192"/>
        <v>0</v>
      </c>
      <c r="AG105" s="1236">
        <f t="shared" si="128"/>
        <v>0</v>
      </c>
      <c r="AH105" s="1236">
        <f t="shared" si="129"/>
        <v>0</v>
      </c>
      <c r="AI105" s="1236">
        <f t="shared" si="130"/>
        <v>0</v>
      </c>
      <c r="AJ105" s="1236">
        <f t="shared" si="131"/>
        <v>0</v>
      </c>
      <c r="AK105" s="1236">
        <f t="shared" si="132"/>
        <v>0</v>
      </c>
      <c r="AL105" s="1236">
        <f t="shared" si="133"/>
        <v>0</v>
      </c>
      <c r="AM105" s="1236">
        <f t="shared" si="134"/>
        <v>0</v>
      </c>
      <c r="AN105" s="1236">
        <f t="shared" si="135"/>
        <v>0</v>
      </c>
      <c r="AO105" s="1236">
        <f t="shared" si="136"/>
        <v>0</v>
      </c>
      <c r="AP105" s="1236">
        <f t="shared" si="137"/>
        <v>0</v>
      </c>
      <c r="AQ105" s="1236">
        <f t="shared" si="138"/>
        <v>0</v>
      </c>
      <c r="AR105" s="1236">
        <f t="shared" si="139"/>
        <v>0</v>
      </c>
      <c r="AS105" s="1236">
        <f t="shared" si="140"/>
        <v>0</v>
      </c>
      <c r="AT105" s="1236">
        <f t="shared" si="141"/>
        <v>0</v>
      </c>
      <c r="AU105" s="1236">
        <f t="shared" si="142"/>
        <v>0</v>
      </c>
      <c r="AV105" s="1236">
        <f t="shared" si="143"/>
        <v>0</v>
      </c>
      <c r="AW105" s="1236">
        <f t="shared" si="144"/>
        <v>0</v>
      </c>
      <c r="AX105" s="1236">
        <f t="shared" si="145"/>
        <v>0</v>
      </c>
      <c r="AY105" s="1236">
        <f t="shared" si="146"/>
        <v>0</v>
      </c>
      <c r="AZ105" s="1236">
        <f t="shared" si="147"/>
        <v>0</v>
      </c>
      <c r="BA105" s="1236">
        <f t="shared" si="148"/>
        <v>0</v>
      </c>
      <c r="BB105" s="1236">
        <f t="shared" si="149"/>
        <v>0</v>
      </c>
      <c r="BC105" s="1236">
        <f t="shared" si="150"/>
        <v>0</v>
      </c>
      <c r="BD105" s="1236">
        <f t="shared" si="151"/>
        <v>0</v>
      </c>
      <c r="BE105" s="1236">
        <f t="shared" si="152"/>
        <v>0</v>
      </c>
      <c r="BF105" s="1236">
        <f t="shared" si="153"/>
        <v>0</v>
      </c>
      <c r="BG105" s="1236">
        <f t="shared" si="154"/>
        <v>0</v>
      </c>
      <c r="BH105" s="1236">
        <f t="shared" si="155"/>
        <v>0</v>
      </c>
      <c r="BI105" s="1236">
        <f t="shared" si="156"/>
        <v>0</v>
      </c>
      <c r="BJ105" s="1236">
        <f t="shared" si="157"/>
        <v>0</v>
      </c>
      <c r="BK105" s="1236">
        <f t="shared" si="158"/>
        <v>0</v>
      </c>
      <c r="BL105" s="1236">
        <f t="shared" si="159"/>
        <v>0</v>
      </c>
      <c r="BM105" s="1236">
        <f t="shared" si="160"/>
        <v>0</v>
      </c>
      <c r="BN105" s="1236">
        <f t="shared" si="161"/>
        <v>0</v>
      </c>
      <c r="BO105" s="1236">
        <f t="shared" si="162"/>
        <v>0</v>
      </c>
      <c r="BP105" s="1236">
        <f t="shared" si="163"/>
        <v>0</v>
      </c>
      <c r="BQ105" s="1236">
        <f t="shared" si="164"/>
        <v>0</v>
      </c>
      <c r="BR105" s="1236">
        <f t="shared" si="165"/>
        <v>0</v>
      </c>
      <c r="BS105" s="1236">
        <f t="shared" si="166"/>
        <v>0</v>
      </c>
      <c r="BT105" s="1236">
        <f t="shared" si="167"/>
        <v>0</v>
      </c>
      <c r="BU105" s="1236">
        <f t="shared" si="168"/>
        <v>0</v>
      </c>
      <c r="BV105" s="1236">
        <f t="shared" si="169"/>
        <v>0</v>
      </c>
      <c r="BW105" s="1236">
        <f t="shared" si="170"/>
        <v>0</v>
      </c>
      <c r="BX105" s="1236">
        <f t="shared" si="171"/>
        <v>0</v>
      </c>
      <c r="BY105" s="1236">
        <f t="shared" si="172"/>
        <v>0</v>
      </c>
      <c r="BZ105" s="1236">
        <f t="shared" si="173"/>
        <v>0</v>
      </c>
      <c r="CA105" s="1236">
        <f t="shared" si="174"/>
        <v>0</v>
      </c>
      <c r="CB105" s="1236">
        <f t="shared" si="175"/>
        <v>0</v>
      </c>
      <c r="CC105" s="1236">
        <f t="shared" si="176"/>
        <v>0</v>
      </c>
      <c r="CD105" s="1236">
        <f t="shared" si="177"/>
        <v>0</v>
      </c>
      <c r="CE105" s="1236">
        <f t="shared" si="178"/>
        <v>0</v>
      </c>
      <c r="CF105" s="1236">
        <f t="shared" si="179"/>
        <v>0</v>
      </c>
      <c r="CG105" s="1236">
        <f t="shared" si="180"/>
        <v>0</v>
      </c>
      <c r="CH105" s="1236">
        <f t="shared" si="181"/>
        <v>0</v>
      </c>
      <c r="CI105" s="1236">
        <f t="shared" si="182"/>
        <v>0</v>
      </c>
      <c r="CJ105" s="1236">
        <f t="shared" si="183"/>
        <v>0</v>
      </c>
      <c r="CK105" s="1236">
        <f t="shared" si="184"/>
        <v>0</v>
      </c>
      <c r="CL105" s="1236">
        <f t="shared" si="185"/>
        <v>0</v>
      </c>
      <c r="CM105" s="1236">
        <f t="shared" si="186"/>
        <v>0</v>
      </c>
      <c r="CN105" s="1236">
        <f t="shared" si="187"/>
        <v>0</v>
      </c>
      <c r="CQ105" s="1165"/>
      <c r="CR105" s="1165"/>
      <c r="CS105" s="1165"/>
      <c r="CT105" s="1165"/>
      <c r="CU105" s="1165"/>
      <c r="CV105" s="1165"/>
      <c r="CW105" s="1165"/>
      <c r="CX105" s="1165"/>
      <c r="CY105" s="1165"/>
      <c r="CZ105" s="1165"/>
      <c r="DA105" s="1165"/>
      <c r="DB105" s="1165"/>
      <c r="DC105" s="1165"/>
      <c r="DD105" s="1165"/>
      <c r="DE105" s="1165"/>
      <c r="DF105" s="1165"/>
      <c r="DG105" s="1165"/>
      <c r="DH105" s="1165"/>
      <c r="DI105" s="1165"/>
      <c r="DJ105" s="1165"/>
      <c r="DK105" s="1165"/>
      <c r="DL105" s="1165"/>
      <c r="DM105" s="1165"/>
      <c r="DN105" s="1165"/>
      <c r="DO105" s="1165"/>
      <c r="DP105" s="1165"/>
      <c r="DQ105" s="1165"/>
      <c r="DR105" s="1165"/>
      <c r="DS105" s="1165"/>
      <c r="DT105" s="1165"/>
      <c r="DU105" s="1165"/>
      <c r="DV105" s="1165"/>
      <c r="DW105" s="1165"/>
      <c r="DX105" s="1165"/>
      <c r="DY105" s="1165"/>
      <c r="DZ105" s="1165"/>
      <c r="EA105" s="1165"/>
      <c r="EB105" s="1165"/>
      <c r="EC105" s="1165"/>
      <c r="ED105" s="1165"/>
      <c r="EE105" s="1165"/>
      <c r="EF105" s="1165"/>
      <c r="EG105" s="1165"/>
      <c r="EH105" s="1165"/>
      <c r="EI105" s="1165"/>
      <c r="EJ105" s="1165"/>
      <c r="EK105" s="1165"/>
      <c r="EL105" s="1165"/>
      <c r="EM105" s="1165"/>
      <c r="EN105" s="1165"/>
      <c r="EO105" s="1165"/>
      <c r="EP105" s="1165"/>
      <c r="EQ105" s="1165"/>
      <c r="ER105" s="1165"/>
      <c r="ES105" s="1165"/>
      <c r="ET105" s="1165"/>
      <c r="EU105" s="1165"/>
      <c r="EV105" s="1165"/>
      <c r="EW105" s="1165"/>
      <c r="EX105" s="1165"/>
      <c r="EY105" s="1165"/>
      <c r="EZ105" s="1165"/>
      <c r="FA105" s="1165"/>
      <c r="FB105" s="1165"/>
      <c r="FC105" s="1165"/>
      <c r="FD105" s="1165"/>
      <c r="FE105" s="1165"/>
      <c r="FF105" s="1165"/>
    </row>
    <row r="106" spans="1:162">
      <c r="A106" s="1224"/>
      <c r="B106" s="1237" t="s">
        <v>200</v>
      </c>
      <c r="M106" s="1236">
        <f t="shared" ca="1" si="191"/>
        <v>0</v>
      </c>
      <c r="N106" s="1236">
        <f t="shared" ca="1" si="191"/>
        <v>0</v>
      </c>
      <c r="O106" s="1236">
        <f t="shared" ca="1" si="191"/>
        <v>0</v>
      </c>
      <c r="P106" s="1236">
        <f t="shared" ca="1" si="191"/>
        <v>0</v>
      </c>
      <c r="Q106" s="1236">
        <f t="shared" ca="1" si="191"/>
        <v>0</v>
      </c>
      <c r="R106" s="1236">
        <f t="shared" ca="1" si="191"/>
        <v>0</v>
      </c>
      <c r="S106" s="1236">
        <f t="shared" ca="1" si="191"/>
        <v>0</v>
      </c>
      <c r="T106" s="1236">
        <f t="shared" ca="1" si="191"/>
        <v>0</v>
      </c>
      <c r="U106" s="1236">
        <f t="shared" ca="1" si="191"/>
        <v>0</v>
      </c>
      <c r="V106" s="1236">
        <f t="shared" ca="1" si="191"/>
        <v>0</v>
      </c>
      <c r="W106" s="1236">
        <f t="shared" ca="1" si="192"/>
        <v>0</v>
      </c>
      <c r="X106" s="1236">
        <f t="shared" ca="1" si="192"/>
        <v>0</v>
      </c>
      <c r="Y106" s="1236">
        <f t="shared" ca="1" si="192"/>
        <v>0</v>
      </c>
      <c r="AG106" s="1236">
        <f t="shared" si="128"/>
        <v>0</v>
      </c>
      <c r="AH106" s="1236">
        <f t="shared" si="129"/>
        <v>0</v>
      </c>
      <c r="AI106" s="1236">
        <f t="shared" si="130"/>
        <v>0</v>
      </c>
      <c r="AJ106" s="1236">
        <f t="shared" si="131"/>
        <v>0</v>
      </c>
      <c r="AK106" s="1236">
        <f t="shared" si="132"/>
        <v>0</v>
      </c>
      <c r="AL106" s="1236">
        <f t="shared" si="133"/>
        <v>0</v>
      </c>
      <c r="AM106" s="1236">
        <f t="shared" si="134"/>
        <v>0</v>
      </c>
      <c r="AN106" s="1236">
        <f t="shared" si="135"/>
        <v>0</v>
      </c>
      <c r="AO106" s="1236">
        <f t="shared" si="136"/>
        <v>0</v>
      </c>
      <c r="AP106" s="1236">
        <f t="shared" si="137"/>
        <v>0</v>
      </c>
      <c r="AQ106" s="1236">
        <f t="shared" si="138"/>
        <v>0</v>
      </c>
      <c r="AR106" s="1236">
        <f t="shared" si="139"/>
        <v>0</v>
      </c>
      <c r="AS106" s="1236">
        <f t="shared" si="140"/>
        <v>0</v>
      </c>
      <c r="AT106" s="1236">
        <f t="shared" si="141"/>
        <v>0</v>
      </c>
      <c r="AU106" s="1236">
        <f t="shared" si="142"/>
        <v>0</v>
      </c>
      <c r="AV106" s="1236">
        <f t="shared" si="143"/>
        <v>0</v>
      </c>
      <c r="AW106" s="1236">
        <f t="shared" si="144"/>
        <v>0</v>
      </c>
      <c r="AX106" s="1236">
        <f t="shared" si="145"/>
        <v>0</v>
      </c>
      <c r="AY106" s="1236">
        <f t="shared" si="146"/>
        <v>0</v>
      </c>
      <c r="AZ106" s="1236">
        <f t="shared" si="147"/>
        <v>0</v>
      </c>
      <c r="BA106" s="1236">
        <f t="shared" si="148"/>
        <v>0</v>
      </c>
      <c r="BB106" s="1236">
        <f t="shared" si="149"/>
        <v>0</v>
      </c>
      <c r="BC106" s="1236">
        <f t="shared" si="150"/>
        <v>0</v>
      </c>
      <c r="BD106" s="1236">
        <f t="shared" si="151"/>
        <v>0</v>
      </c>
      <c r="BE106" s="1236">
        <f t="shared" si="152"/>
        <v>0</v>
      </c>
      <c r="BF106" s="1236">
        <f t="shared" si="153"/>
        <v>0</v>
      </c>
      <c r="BG106" s="1236">
        <f t="shared" si="154"/>
        <v>0</v>
      </c>
      <c r="BH106" s="1236">
        <f t="shared" si="155"/>
        <v>0</v>
      </c>
      <c r="BI106" s="1236">
        <f t="shared" si="156"/>
        <v>0</v>
      </c>
      <c r="BJ106" s="1236">
        <f t="shared" si="157"/>
        <v>0</v>
      </c>
      <c r="BK106" s="1236">
        <f t="shared" si="158"/>
        <v>0</v>
      </c>
      <c r="BL106" s="1236">
        <f t="shared" si="159"/>
        <v>0</v>
      </c>
      <c r="BM106" s="1236">
        <f t="shared" si="160"/>
        <v>0</v>
      </c>
      <c r="BN106" s="1236">
        <f t="shared" si="161"/>
        <v>0</v>
      </c>
      <c r="BO106" s="1236">
        <f t="shared" si="162"/>
        <v>0</v>
      </c>
      <c r="BP106" s="1236">
        <f t="shared" si="163"/>
        <v>0</v>
      </c>
      <c r="BQ106" s="1236">
        <f t="shared" si="164"/>
        <v>0</v>
      </c>
      <c r="BR106" s="1236">
        <f t="shared" si="165"/>
        <v>0</v>
      </c>
      <c r="BS106" s="1236">
        <f t="shared" si="166"/>
        <v>0</v>
      </c>
      <c r="BT106" s="1236">
        <f t="shared" si="167"/>
        <v>0</v>
      </c>
      <c r="BU106" s="1236">
        <f t="shared" si="168"/>
        <v>0</v>
      </c>
      <c r="BV106" s="1236">
        <f t="shared" si="169"/>
        <v>0</v>
      </c>
      <c r="BW106" s="1236">
        <f t="shared" si="170"/>
        <v>0</v>
      </c>
      <c r="BX106" s="1236">
        <f t="shared" si="171"/>
        <v>0</v>
      </c>
      <c r="BY106" s="1236">
        <f t="shared" si="172"/>
        <v>0</v>
      </c>
      <c r="BZ106" s="1236">
        <f t="shared" si="173"/>
        <v>0</v>
      </c>
      <c r="CA106" s="1236">
        <f t="shared" si="174"/>
        <v>0</v>
      </c>
      <c r="CB106" s="1236">
        <f t="shared" si="175"/>
        <v>0</v>
      </c>
      <c r="CC106" s="1236">
        <f t="shared" si="176"/>
        <v>0</v>
      </c>
      <c r="CD106" s="1236">
        <f t="shared" si="177"/>
        <v>0</v>
      </c>
      <c r="CE106" s="1236">
        <f t="shared" si="178"/>
        <v>0</v>
      </c>
      <c r="CF106" s="1236">
        <f t="shared" si="179"/>
        <v>0</v>
      </c>
      <c r="CG106" s="1236">
        <f t="shared" si="180"/>
        <v>0</v>
      </c>
      <c r="CH106" s="1236">
        <f t="shared" si="181"/>
        <v>0</v>
      </c>
      <c r="CI106" s="1236">
        <f t="shared" si="182"/>
        <v>0</v>
      </c>
      <c r="CJ106" s="1236">
        <f t="shared" si="183"/>
        <v>0</v>
      </c>
      <c r="CK106" s="1236">
        <f t="shared" si="184"/>
        <v>0</v>
      </c>
      <c r="CL106" s="1236">
        <f t="shared" si="185"/>
        <v>0</v>
      </c>
      <c r="CM106" s="1236">
        <f t="shared" si="186"/>
        <v>0</v>
      </c>
      <c r="CN106" s="1236">
        <f t="shared" si="187"/>
        <v>0</v>
      </c>
      <c r="CQ106" s="1165"/>
      <c r="CR106" s="1165"/>
      <c r="CS106" s="1165"/>
      <c r="CT106" s="1165"/>
      <c r="CU106" s="1165"/>
      <c r="CV106" s="1165"/>
      <c r="CW106" s="1165"/>
      <c r="CX106" s="1165"/>
      <c r="CY106" s="1165"/>
      <c r="CZ106" s="1165"/>
      <c r="DA106" s="1165"/>
      <c r="DB106" s="1165"/>
      <c r="DC106" s="1165"/>
      <c r="DD106" s="1165"/>
      <c r="DE106" s="1165"/>
      <c r="DF106" s="1165"/>
      <c r="DG106" s="1165"/>
      <c r="DH106" s="1165"/>
      <c r="DI106" s="1165"/>
      <c r="DJ106" s="1165"/>
      <c r="DK106" s="1165"/>
      <c r="DL106" s="1165"/>
      <c r="DM106" s="1165"/>
      <c r="DN106" s="1165"/>
      <c r="DO106" s="1165"/>
      <c r="DP106" s="1165"/>
      <c r="DQ106" s="1165"/>
      <c r="DR106" s="1165"/>
      <c r="DS106" s="1165"/>
      <c r="DT106" s="1165"/>
      <c r="DU106" s="1165"/>
      <c r="DV106" s="1165"/>
      <c r="DW106" s="1165"/>
      <c r="DX106" s="1165"/>
      <c r="DY106" s="1165"/>
      <c r="DZ106" s="1165"/>
      <c r="EA106" s="1165"/>
      <c r="EB106" s="1165"/>
      <c r="EC106" s="1165"/>
      <c r="ED106" s="1165"/>
      <c r="EE106" s="1165"/>
      <c r="EF106" s="1165"/>
      <c r="EG106" s="1165"/>
      <c r="EH106" s="1165"/>
      <c r="EI106" s="1165"/>
      <c r="EJ106" s="1165"/>
      <c r="EK106" s="1165"/>
      <c r="EL106" s="1165"/>
      <c r="EM106" s="1165"/>
      <c r="EN106" s="1165"/>
      <c r="EO106" s="1165"/>
      <c r="EP106" s="1165"/>
      <c r="EQ106" s="1165"/>
      <c r="ER106" s="1165"/>
      <c r="ES106" s="1165"/>
      <c r="ET106" s="1165"/>
      <c r="EU106" s="1165"/>
      <c r="EV106" s="1165"/>
      <c r="EW106" s="1165"/>
      <c r="EX106" s="1165"/>
      <c r="EY106" s="1165"/>
      <c r="EZ106" s="1165"/>
      <c r="FA106" s="1165"/>
      <c r="FB106" s="1165"/>
      <c r="FC106" s="1165"/>
      <c r="FD106" s="1165"/>
      <c r="FE106" s="1165"/>
      <c r="FF106" s="1165"/>
    </row>
    <row r="107" spans="1:162">
      <c r="A107" s="1224"/>
      <c r="B107" s="1237" t="s">
        <v>201</v>
      </c>
      <c r="M107" s="1236">
        <f t="shared" ca="1" si="191"/>
        <v>0</v>
      </c>
      <c r="N107" s="1236">
        <f t="shared" ca="1" si="191"/>
        <v>0</v>
      </c>
      <c r="O107" s="1236">
        <f t="shared" ca="1" si="191"/>
        <v>0</v>
      </c>
      <c r="P107" s="1236">
        <f t="shared" ca="1" si="191"/>
        <v>0</v>
      </c>
      <c r="Q107" s="1236">
        <f t="shared" ca="1" si="191"/>
        <v>0</v>
      </c>
      <c r="R107" s="1236">
        <f t="shared" ca="1" si="191"/>
        <v>0</v>
      </c>
      <c r="S107" s="1236">
        <f t="shared" ca="1" si="191"/>
        <v>0</v>
      </c>
      <c r="T107" s="1236">
        <f t="shared" ca="1" si="191"/>
        <v>0</v>
      </c>
      <c r="U107" s="1236">
        <f t="shared" ca="1" si="191"/>
        <v>0</v>
      </c>
      <c r="V107" s="1236">
        <f t="shared" ca="1" si="191"/>
        <v>0</v>
      </c>
      <c r="W107" s="1236">
        <f t="shared" ca="1" si="192"/>
        <v>0</v>
      </c>
      <c r="X107" s="1236">
        <f t="shared" ca="1" si="192"/>
        <v>0</v>
      </c>
      <c r="Y107" s="1236">
        <f t="shared" ca="1" si="192"/>
        <v>0</v>
      </c>
      <c r="AG107" s="1236">
        <f t="shared" si="128"/>
        <v>0</v>
      </c>
      <c r="AH107" s="1236">
        <f t="shared" si="129"/>
        <v>0</v>
      </c>
      <c r="AI107" s="1236">
        <f t="shared" si="130"/>
        <v>0</v>
      </c>
      <c r="AJ107" s="1236">
        <f t="shared" si="131"/>
        <v>0</v>
      </c>
      <c r="AK107" s="1236">
        <f t="shared" si="132"/>
        <v>0</v>
      </c>
      <c r="AL107" s="1236">
        <f t="shared" si="133"/>
        <v>0</v>
      </c>
      <c r="AM107" s="1236">
        <f t="shared" si="134"/>
        <v>0</v>
      </c>
      <c r="AN107" s="1236">
        <f t="shared" si="135"/>
        <v>0</v>
      </c>
      <c r="AO107" s="1236">
        <f t="shared" si="136"/>
        <v>0</v>
      </c>
      <c r="AP107" s="1236">
        <f t="shared" si="137"/>
        <v>0</v>
      </c>
      <c r="AQ107" s="1236">
        <f t="shared" si="138"/>
        <v>0</v>
      </c>
      <c r="AR107" s="1236">
        <f t="shared" si="139"/>
        <v>0</v>
      </c>
      <c r="AS107" s="1236">
        <f t="shared" si="140"/>
        <v>0</v>
      </c>
      <c r="AT107" s="1236">
        <f t="shared" si="141"/>
        <v>0</v>
      </c>
      <c r="AU107" s="1236">
        <f t="shared" si="142"/>
        <v>0</v>
      </c>
      <c r="AV107" s="1236">
        <f t="shared" si="143"/>
        <v>0</v>
      </c>
      <c r="AW107" s="1236">
        <f t="shared" si="144"/>
        <v>0</v>
      </c>
      <c r="AX107" s="1236">
        <f t="shared" si="145"/>
        <v>0</v>
      </c>
      <c r="AY107" s="1236">
        <f t="shared" si="146"/>
        <v>0</v>
      </c>
      <c r="AZ107" s="1236">
        <f t="shared" si="147"/>
        <v>0</v>
      </c>
      <c r="BA107" s="1236">
        <f t="shared" si="148"/>
        <v>0</v>
      </c>
      <c r="BB107" s="1236">
        <f t="shared" si="149"/>
        <v>0</v>
      </c>
      <c r="BC107" s="1236">
        <f t="shared" si="150"/>
        <v>0</v>
      </c>
      <c r="BD107" s="1236">
        <f t="shared" si="151"/>
        <v>0</v>
      </c>
      <c r="BE107" s="1236">
        <f t="shared" si="152"/>
        <v>0</v>
      </c>
      <c r="BF107" s="1236">
        <f t="shared" si="153"/>
        <v>0</v>
      </c>
      <c r="BG107" s="1236">
        <f t="shared" si="154"/>
        <v>0</v>
      </c>
      <c r="BH107" s="1236">
        <f t="shared" si="155"/>
        <v>0</v>
      </c>
      <c r="BI107" s="1236">
        <f t="shared" si="156"/>
        <v>0</v>
      </c>
      <c r="BJ107" s="1236">
        <f t="shared" si="157"/>
        <v>0</v>
      </c>
      <c r="BK107" s="1236">
        <f t="shared" si="158"/>
        <v>0</v>
      </c>
      <c r="BL107" s="1236">
        <f t="shared" si="159"/>
        <v>0</v>
      </c>
      <c r="BM107" s="1236">
        <f t="shared" si="160"/>
        <v>0</v>
      </c>
      <c r="BN107" s="1236">
        <f t="shared" si="161"/>
        <v>0</v>
      </c>
      <c r="BO107" s="1236">
        <f t="shared" si="162"/>
        <v>0</v>
      </c>
      <c r="BP107" s="1236">
        <f t="shared" si="163"/>
        <v>0</v>
      </c>
      <c r="BQ107" s="1236">
        <f t="shared" si="164"/>
        <v>0</v>
      </c>
      <c r="BR107" s="1236">
        <f t="shared" si="165"/>
        <v>0</v>
      </c>
      <c r="BS107" s="1236">
        <f t="shared" si="166"/>
        <v>0</v>
      </c>
      <c r="BT107" s="1236">
        <f t="shared" si="167"/>
        <v>0</v>
      </c>
      <c r="BU107" s="1236">
        <f t="shared" si="168"/>
        <v>0</v>
      </c>
      <c r="BV107" s="1236">
        <f t="shared" si="169"/>
        <v>0</v>
      </c>
      <c r="BW107" s="1236">
        <f t="shared" si="170"/>
        <v>0</v>
      </c>
      <c r="BX107" s="1236">
        <f t="shared" si="171"/>
        <v>0</v>
      </c>
      <c r="BY107" s="1236">
        <f t="shared" si="172"/>
        <v>0</v>
      </c>
      <c r="BZ107" s="1236">
        <f t="shared" si="173"/>
        <v>0</v>
      </c>
      <c r="CA107" s="1236">
        <f t="shared" si="174"/>
        <v>0</v>
      </c>
      <c r="CB107" s="1236">
        <f t="shared" si="175"/>
        <v>0</v>
      </c>
      <c r="CC107" s="1236">
        <f t="shared" si="176"/>
        <v>0</v>
      </c>
      <c r="CD107" s="1236">
        <f t="shared" si="177"/>
        <v>0</v>
      </c>
      <c r="CE107" s="1236">
        <f t="shared" si="178"/>
        <v>0</v>
      </c>
      <c r="CF107" s="1236">
        <f t="shared" si="179"/>
        <v>0</v>
      </c>
      <c r="CG107" s="1236">
        <f t="shared" si="180"/>
        <v>0</v>
      </c>
      <c r="CH107" s="1236">
        <f t="shared" si="181"/>
        <v>0</v>
      </c>
      <c r="CI107" s="1236">
        <f t="shared" si="182"/>
        <v>0</v>
      </c>
      <c r="CJ107" s="1236">
        <f t="shared" si="183"/>
        <v>0</v>
      </c>
      <c r="CK107" s="1236">
        <f t="shared" si="184"/>
        <v>0</v>
      </c>
      <c r="CL107" s="1236">
        <f t="shared" si="185"/>
        <v>0</v>
      </c>
      <c r="CM107" s="1236">
        <f t="shared" si="186"/>
        <v>0</v>
      </c>
      <c r="CN107" s="1236">
        <f t="shared" si="187"/>
        <v>0</v>
      </c>
      <c r="CQ107" s="1165"/>
      <c r="CR107" s="1165"/>
      <c r="CS107" s="1165"/>
      <c r="CT107" s="1165"/>
      <c r="CU107" s="1165"/>
      <c r="CV107" s="1165"/>
      <c r="CW107" s="1165"/>
      <c r="CX107" s="1165"/>
      <c r="CY107" s="1165"/>
      <c r="CZ107" s="1165"/>
      <c r="DA107" s="1165"/>
      <c r="DB107" s="1165"/>
      <c r="DC107" s="1165"/>
      <c r="DD107" s="1165"/>
      <c r="DE107" s="1165"/>
      <c r="DF107" s="1165"/>
      <c r="DG107" s="1165"/>
      <c r="DH107" s="1165"/>
      <c r="DI107" s="1165"/>
      <c r="DJ107" s="1165"/>
      <c r="DK107" s="1165"/>
      <c r="DL107" s="1165"/>
      <c r="DM107" s="1165"/>
      <c r="DN107" s="1165"/>
      <c r="DO107" s="1165"/>
      <c r="DP107" s="1165"/>
      <c r="DQ107" s="1165"/>
      <c r="DR107" s="1165"/>
      <c r="DS107" s="1165"/>
      <c r="DT107" s="1165"/>
      <c r="DU107" s="1165"/>
      <c r="DV107" s="1165"/>
      <c r="DW107" s="1165"/>
      <c r="DX107" s="1165"/>
      <c r="DY107" s="1165"/>
      <c r="DZ107" s="1165"/>
      <c r="EA107" s="1165"/>
      <c r="EB107" s="1165"/>
      <c r="EC107" s="1165"/>
      <c r="ED107" s="1165"/>
      <c r="EE107" s="1165"/>
      <c r="EF107" s="1165"/>
      <c r="EG107" s="1165"/>
      <c r="EH107" s="1165"/>
      <c r="EI107" s="1165"/>
      <c r="EJ107" s="1165"/>
      <c r="EK107" s="1165"/>
      <c r="EL107" s="1165"/>
      <c r="EM107" s="1165"/>
      <c r="EN107" s="1165"/>
      <c r="EO107" s="1165"/>
      <c r="EP107" s="1165"/>
      <c r="EQ107" s="1165"/>
      <c r="ER107" s="1165"/>
      <c r="ES107" s="1165"/>
      <c r="ET107" s="1165"/>
      <c r="EU107" s="1165"/>
      <c r="EV107" s="1165"/>
      <c r="EW107" s="1165"/>
      <c r="EX107" s="1165"/>
      <c r="EY107" s="1165"/>
      <c r="EZ107" s="1165"/>
      <c r="FA107" s="1165"/>
      <c r="FB107" s="1165"/>
      <c r="FC107" s="1165"/>
      <c r="FD107" s="1165"/>
      <c r="FE107" s="1165"/>
      <c r="FF107" s="1165"/>
    </row>
    <row r="108" spans="1:162">
      <c r="A108" s="1224"/>
      <c r="B108" s="1237" t="s">
        <v>202</v>
      </c>
      <c r="M108" s="1236">
        <f t="shared" ca="1" si="191"/>
        <v>0</v>
      </c>
      <c r="N108" s="1236">
        <f t="shared" ca="1" si="191"/>
        <v>0</v>
      </c>
      <c r="O108" s="1236">
        <f t="shared" ca="1" si="191"/>
        <v>0</v>
      </c>
      <c r="P108" s="1236">
        <f t="shared" ca="1" si="191"/>
        <v>0</v>
      </c>
      <c r="Q108" s="1236">
        <f t="shared" ca="1" si="191"/>
        <v>0</v>
      </c>
      <c r="R108" s="1236">
        <f t="shared" ca="1" si="191"/>
        <v>0</v>
      </c>
      <c r="S108" s="1236">
        <f t="shared" ca="1" si="191"/>
        <v>0</v>
      </c>
      <c r="T108" s="1236">
        <f t="shared" ca="1" si="191"/>
        <v>0</v>
      </c>
      <c r="U108" s="1236">
        <f t="shared" ca="1" si="191"/>
        <v>0</v>
      </c>
      <c r="V108" s="1236">
        <f t="shared" ca="1" si="191"/>
        <v>0</v>
      </c>
      <c r="W108" s="1236">
        <f t="shared" ca="1" si="192"/>
        <v>0</v>
      </c>
      <c r="X108" s="1236">
        <f t="shared" ca="1" si="192"/>
        <v>0</v>
      </c>
      <c r="Y108" s="1236">
        <f t="shared" ca="1" si="192"/>
        <v>0</v>
      </c>
      <c r="AG108" s="1236">
        <f t="shared" si="128"/>
        <v>0</v>
      </c>
      <c r="AH108" s="1236">
        <f t="shared" si="129"/>
        <v>0</v>
      </c>
      <c r="AI108" s="1236">
        <f t="shared" si="130"/>
        <v>0</v>
      </c>
      <c r="AJ108" s="1236">
        <f t="shared" si="131"/>
        <v>0</v>
      </c>
      <c r="AK108" s="1236">
        <f t="shared" si="132"/>
        <v>0</v>
      </c>
      <c r="AL108" s="1236">
        <f t="shared" si="133"/>
        <v>0</v>
      </c>
      <c r="AM108" s="1236">
        <f t="shared" si="134"/>
        <v>0</v>
      </c>
      <c r="AN108" s="1236">
        <f t="shared" si="135"/>
        <v>0</v>
      </c>
      <c r="AO108" s="1236">
        <f t="shared" si="136"/>
        <v>0</v>
      </c>
      <c r="AP108" s="1236">
        <f t="shared" si="137"/>
        <v>0</v>
      </c>
      <c r="AQ108" s="1236">
        <f t="shared" si="138"/>
        <v>0</v>
      </c>
      <c r="AR108" s="1236">
        <f t="shared" si="139"/>
        <v>0</v>
      </c>
      <c r="AS108" s="1236">
        <f t="shared" si="140"/>
        <v>0</v>
      </c>
      <c r="AT108" s="1236">
        <f t="shared" si="141"/>
        <v>0</v>
      </c>
      <c r="AU108" s="1236">
        <f t="shared" si="142"/>
        <v>0</v>
      </c>
      <c r="AV108" s="1236">
        <f t="shared" si="143"/>
        <v>0</v>
      </c>
      <c r="AW108" s="1236">
        <f t="shared" si="144"/>
        <v>0</v>
      </c>
      <c r="AX108" s="1236">
        <f t="shared" si="145"/>
        <v>0</v>
      </c>
      <c r="AY108" s="1236">
        <f t="shared" si="146"/>
        <v>0</v>
      </c>
      <c r="AZ108" s="1236">
        <f t="shared" si="147"/>
        <v>0</v>
      </c>
      <c r="BA108" s="1236">
        <f t="shared" si="148"/>
        <v>0</v>
      </c>
      <c r="BB108" s="1236">
        <f t="shared" si="149"/>
        <v>0</v>
      </c>
      <c r="BC108" s="1236">
        <f t="shared" si="150"/>
        <v>0</v>
      </c>
      <c r="BD108" s="1236">
        <f t="shared" si="151"/>
        <v>0</v>
      </c>
      <c r="BE108" s="1236">
        <f t="shared" si="152"/>
        <v>0</v>
      </c>
      <c r="BF108" s="1236">
        <f t="shared" si="153"/>
        <v>0</v>
      </c>
      <c r="BG108" s="1236">
        <f t="shared" si="154"/>
        <v>0</v>
      </c>
      <c r="BH108" s="1236">
        <f t="shared" si="155"/>
        <v>0</v>
      </c>
      <c r="BI108" s="1236">
        <f t="shared" si="156"/>
        <v>0</v>
      </c>
      <c r="BJ108" s="1236">
        <f t="shared" si="157"/>
        <v>0</v>
      </c>
      <c r="BK108" s="1236">
        <f t="shared" si="158"/>
        <v>0</v>
      </c>
      <c r="BL108" s="1236">
        <f t="shared" si="159"/>
        <v>0</v>
      </c>
      <c r="BM108" s="1236">
        <f t="shared" si="160"/>
        <v>0</v>
      </c>
      <c r="BN108" s="1236">
        <f t="shared" si="161"/>
        <v>0</v>
      </c>
      <c r="BO108" s="1236">
        <f t="shared" si="162"/>
        <v>0</v>
      </c>
      <c r="BP108" s="1236">
        <f t="shared" si="163"/>
        <v>0</v>
      </c>
      <c r="BQ108" s="1236">
        <f t="shared" si="164"/>
        <v>0</v>
      </c>
      <c r="BR108" s="1236">
        <f t="shared" si="165"/>
        <v>0</v>
      </c>
      <c r="BS108" s="1236">
        <f t="shared" si="166"/>
        <v>0</v>
      </c>
      <c r="BT108" s="1236">
        <f t="shared" si="167"/>
        <v>0</v>
      </c>
      <c r="BU108" s="1236">
        <f t="shared" si="168"/>
        <v>0</v>
      </c>
      <c r="BV108" s="1236">
        <f t="shared" si="169"/>
        <v>0</v>
      </c>
      <c r="BW108" s="1236">
        <f t="shared" si="170"/>
        <v>0</v>
      </c>
      <c r="BX108" s="1236">
        <f t="shared" si="171"/>
        <v>0</v>
      </c>
      <c r="BY108" s="1236">
        <f t="shared" si="172"/>
        <v>0</v>
      </c>
      <c r="BZ108" s="1236">
        <f t="shared" si="173"/>
        <v>0</v>
      </c>
      <c r="CA108" s="1236">
        <f t="shared" si="174"/>
        <v>0</v>
      </c>
      <c r="CB108" s="1236">
        <f t="shared" si="175"/>
        <v>0</v>
      </c>
      <c r="CC108" s="1236">
        <f t="shared" si="176"/>
        <v>0</v>
      </c>
      <c r="CD108" s="1236">
        <f t="shared" si="177"/>
        <v>0</v>
      </c>
      <c r="CE108" s="1236">
        <f t="shared" si="178"/>
        <v>0</v>
      </c>
      <c r="CF108" s="1236">
        <f t="shared" si="179"/>
        <v>0</v>
      </c>
      <c r="CG108" s="1236">
        <f t="shared" si="180"/>
        <v>0</v>
      </c>
      <c r="CH108" s="1236">
        <f t="shared" si="181"/>
        <v>0</v>
      </c>
      <c r="CI108" s="1236">
        <f t="shared" si="182"/>
        <v>0</v>
      </c>
      <c r="CJ108" s="1236">
        <f t="shared" si="183"/>
        <v>0</v>
      </c>
      <c r="CK108" s="1236">
        <f t="shared" si="184"/>
        <v>0</v>
      </c>
      <c r="CL108" s="1236">
        <f t="shared" si="185"/>
        <v>0</v>
      </c>
      <c r="CM108" s="1236">
        <f t="shared" si="186"/>
        <v>0</v>
      </c>
      <c r="CN108" s="1236">
        <f t="shared" si="187"/>
        <v>0</v>
      </c>
      <c r="CQ108" s="1165"/>
      <c r="CR108" s="1165"/>
      <c r="CS108" s="1165"/>
      <c r="CT108" s="1165"/>
      <c r="CU108" s="1165"/>
      <c r="CV108" s="1165"/>
      <c r="CW108" s="1165"/>
      <c r="CX108" s="1165"/>
      <c r="CY108" s="1165"/>
      <c r="CZ108" s="1165"/>
      <c r="DA108" s="1165"/>
      <c r="DB108" s="1165"/>
      <c r="DC108" s="1165"/>
      <c r="DD108" s="1165"/>
      <c r="DE108" s="1165"/>
      <c r="DF108" s="1165"/>
      <c r="DG108" s="1165"/>
      <c r="DH108" s="1165"/>
      <c r="DI108" s="1165"/>
      <c r="DJ108" s="1165"/>
      <c r="DK108" s="1165"/>
      <c r="DL108" s="1165"/>
      <c r="DM108" s="1165"/>
      <c r="DN108" s="1165"/>
      <c r="DO108" s="1165"/>
      <c r="DP108" s="1165"/>
      <c r="DQ108" s="1165"/>
      <c r="DR108" s="1165"/>
      <c r="DS108" s="1165"/>
      <c r="DT108" s="1165"/>
      <c r="DU108" s="1165"/>
      <c r="DV108" s="1165"/>
      <c r="DW108" s="1165"/>
      <c r="DX108" s="1165"/>
      <c r="DY108" s="1165"/>
      <c r="DZ108" s="1165"/>
      <c r="EA108" s="1165"/>
      <c r="EB108" s="1165"/>
      <c r="EC108" s="1165"/>
      <c r="ED108" s="1165"/>
      <c r="EE108" s="1165"/>
      <c r="EF108" s="1165"/>
      <c r="EG108" s="1165"/>
      <c r="EH108" s="1165"/>
      <c r="EI108" s="1165"/>
      <c r="EJ108" s="1165"/>
      <c r="EK108" s="1165"/>
      <c r="EL108" s="1165"/>
      <c r="EM108" s="1165"/>
      <c r="EN108" s="1165"/>
      <c r="EO108" s="1165"/>
      <c r="EP108" s="1165"/>
      <c r="EQ108" s="1165"/>
      <c r="ER108" s="1165"/>
      <c r="ES108" s="1165"/>
      <c r="ET108" s="1165"/>
      <c r="EU108" s="1165"/>
      <c r="EV108" s="1165"/>
      <c r="EW108" s="1165"/>
      <c r="EX108" s="1165"/>
      <c r="EY108" s="1165"/>
      <c r="EZ108" s="1165"/>
      <c r="FA108" s="1165"/>
      <c r="FB108" s="1165"/>
      <c r="FC108" s="1165"/>
      <c r="FD108" s="1165"/>
      <c r="FE108" s="1165"/>
      <c r="FF108" s="1165"/>
    </row>
    <row r="109" spans="1:162">
      <c r="A109" s="1224"/>
      <c r="B109" s="1237" t="s">
        <v>203</v>
      </c>
      <c r="M109" s="1236">
        <f t="shared" ca="1" si="191"/>
        <v>0</v>
      </c>
      <c r="N109" s="1236">
        <f t="shared" ca="1" si="191"/>
        <v>0</v>
      </c>
      <c r="O109" s="1236">
        <f t="shared" ca="1" si="191"/>
        <v>0</v>
      </c>
      <c r="P109" s="1236">
        <f t="shared" ca="1" si="191"/>
        <v>0</v>
      </c>
      <c r="Q109" s="1236">
        <f t="shared" ca="1" si="191"/>
        <v>0</v>
      </c>
      <c r="R109" s="1236">
        <f t="shared" ca="1" si="191"/>
        <v>0</v>
      </c>
      <c r="S109" s="1236">
        <f t="shared" ca="1" si="191"/>
        <v>0</v>
      </c>
      <c r="T109" s="1236">
        <f t="shared" ca="1" si="191"/>
        <v>0</v>
      </c>
      <c r="U109" s="1236">
        <f t="shared" ca="1" si="191"/>
        <v>0</v>
      </c>
      <c r="V109" s="1236">
        <f t="shared" ca="1" si="191"/>
        <v>0</v>
      </c>
      <c r="W109" s="1236">
        <f t="shared" ca="1" si="192"/>
        <v>0</v>
      </c>
      <c r="X109" s="1236">
        <f t="shared" ca="1" si="192"/>
        <v>0</v>
      </c>
      <c r="Y109" s="1236">
        <f t="shared" ca="1" si="192"/>
        <v>0</v>
      </c>
      <c r="AG109" s="1236">
        <f t="shared" si="128"/>
        <v>0</v>
      </c>
      <c r="AH109" s="1236">
        <f t="shared" si="129"/>
        <v>0</v>
      </c>
      <c r="AI109" s="1236">
        <f t="shared" si="130"/>
        <v>0</v>
      </c>
      <c r="AJ109" s="1236">
        <f t="shared" si="131"/>
        <v>0</v>
      </c>
      <c r="AK109" s="1236">
        <f t="shared" si="132"/>
        <v>0</v>
      </c>
      <c r="AL109" s="1236">
        <f t="shared" si="133"/>
        <v>0</v>
      </c>
      <c r="AM109" s="1236">
        <f t="shared" si="134"/>
        <v>0</v>
      </c>
      <c r="AN109" s="1236">
        <f t="shared" si="135"/>
        <v>0</v>
      </c>
      <c r="AO109" s="1236">
        <f t="shared" si="136"/>
        <v>0</v>
      </c>
      <c r="AP109" s="1236">
        <f t="shared" si="137"/>
        <v>0</v>
      </c>
      <c r="AQ109" s="1236">
        <f t="shared" si="138"/>
        <v>0</v>
      </c>
      <c r="AR109" s="1236">
        <f t="shared" si="139"/>
        <v>0</v>
      </c>
      <c r="AS109" s="1236">
        <f t="shared" si="140"/>
        <v>0</v>
      </c>
      <c r="AT109" s="1236">
        <f t="shared" si="141"/>
        <v>0</v>
      </c>
      <c r="AU109" s="1236">
        <f t="shared" si="142"/>
        <v>0</v>
      </c>
      <c r="AV109" s="1236">
        <f t="shared" si="143"/>
        <v>0</v>
      </c>
      <c r="AW109" s="1236">
        <f t="shared" si="144"/>
        <v>0</v>
      </c>
      <c r="AX109" s="1236">
        <f t="shared" si="145"/>
        <v>0</v>
      </c>
      <c r="AY109" s="1236">
        <f t="shared" si="146"/>
        <v>0</v>
      </c>
      <c r="AZ109" s="1236">
        <f t="shared" si="147"/>
        <v>0</v>
      </c>
      <c r="BA109" s="1236">
        <f t="shared" si="148"/>
        <v>0</v>
      </c>
      <c r="BB109" s="1236">
        <f t="shared" si="149"/>
        <v>0</v>
      </c>
      <c r="BC109" s="1236">
        <f t="shared" si="150"/>
        <v>0</v>
      </c>
      <c r="BD109" s="1236">
        <f t="shared" si="151"/>
        <v>0</v>
      </c>
      <c r="BE109" s="1236">
        <f t="shared" si="152"/>
        <v>0</v>
      </c>
      <c r="BF109" s="1236">
        <f t="shared" si="153"/>
        <v>0</v>
      </c>
      <c r="BG109" s="1236">
        <f t="shared" si="154"/>
        <v>0</v>
      </c>
      <c r="BH109" s="1236">
        <f t="shared" si="155"/>
        <v>0</v>
      </c>
      <c r="BI109" s="1236">
        <f t="shared" si="156"/>
        <v>0</v>
      </c>
      <c r="BJ109" s="1236">
        <f t="shared" si="157"/>
        <v>0</v>
      </c>
      <c r="BK109" s="1236">
        <f t="shared" si="158"/>
        <v>0</v>
      </c>
      <c r="BL109" s="1236">
        <f t="shared" si="159"/>
        <v>0</v>
      </c>
      <c r="BM109" s="1236">
        <f t="shared" si="160"/>
        <v>0</v>
      </c>
      <c r="BN109" s="1236">
        <f t="shared" si="161"/>
        <v>0</v>
      </c>
      <c r="BO109" s="1236">
        <f t="shared" si="162"/>
        <v>0</v>
      </c>
      <c r="BP109" s="1236">
        <f t="shared" si="163"/>
        <v>0</v>
      </c>
      <c r="BQ109" s="1236">
        <f t="shared" si="164"/>
        <v>0</v>
      </c>
      <c r="BR109" s="1236">
        <f t="shared" si="165"/>
        <v>0</v>
      </c>
      <c r="BS109" s="1236">
        <f t="shared" si="166"/>
        <v>0</v>
      </c>
      <c r="BT109" s="1236">
        <f t="shared" si="167"/>
        <v>0</v>
      </c>
      <c r="BU109" s="1236">
        <f t="shared" si="168"/>
        <v>0</v>
      </c>
      <c r="BV109" s="1236">
        <f t="shared" si="169"/>
        <v>0</v>
      </c>
      <c r="BW109" s="1236">
        <f t="shared" si="170"/>
        <v>0</v>
      </c>
      <c r="BX109" s="1236">
        <f t="shared" si="171"/>
        <v>0</v>
      </c>
      <c r="BY109" s="1236">
        <f t="shared" si="172"/>
        <v>0</v>
      </c>
      <c r="BZ109" s="1236">
        <f t="shared" si="173"/>
        <v>0</v>
      </c>
      <c r="CA109" s="1236">
        <f t="shared" si="174"/>
        <v>0</v>
      </c>
      <c r="CB109" s="1236">
        <f t="shared" si="175"/>
        <v>0</v>
      </c>
      <c r="CC109" s="1236">
        <f t="shared" si="176"/>
        <v>0</v>
      </c>
      <c r="CD109" s="1236">
        <f t="shared" si="177"/>
        <v>0</v>
      </c>
      <c r="CE109" s="1236">
        <f t="shared" si="178"/>
        <v>0</v>
      </c>
      <c r="CF109" s="1236">
        <f t="shared" si="179"/>
        <v>0</v>
      </c>
      <c r="CG109" s="1236">
        <f t="shared" si="180"/>
        <v>0</v>
      </c>
      <c r="CH109" s="1236">
        <f t="shared" si="181"/>
        <v>0</v>
      </c>
      <c r="CI109" s="1236">
        <f t="shared" si="182"/>
        <v>0</v>
      </c>
      <c r="CJ109" s="1236">
        <f t="shared" si="183"/>
        <v>0</v>
      </c>
      <c r="CK109" s="1236">
        <f t="shared" si="184"/>
        <v>0</v>
      </c>
      <c r="CL109" s="1236">
        <f t="shared" si="185"/>
        <v>0</v>
      </c>
      <c r="CM109" s="1236">
        <f t="shared" si="186"/>
        <v>0</v>
      </c>
      <c r="CN109" s="1236">
        <f t="shared" si="187"/>
        <v>0</v>
      </c>
      <c r="CQ109" s="1165"/>
      <c r="CR109" s="1165"/>
      <c r="CS109" s="1165"/>
      <c r="CT109" s="1165"/>
      <c r="CU109" s="1165"/>
      <c r="CV109" s="1165"/>
      <c r="CW109" s="1165"/>
      <c r="CX109" s="1165"/>
      <c r="CY109" s="1165"/>
      <c r="CZ109" s="1165"/>
      <c r="DA109" s="1165"/>
      <c r="DB109" s="1165"/>
      <c r="DC109" s="1165"/>
      <c r="DD109" s="1165"/>
      <c r="DE109" s="1165"/>
      <c r="DF109" s="1165"/>
      <c r="DG109" s="1165"/>
      <c r="DH109" s="1165"/>
      <c r="DI109" s="1165"/>
      <c r="DJ109" s="1165"/>
      <c r="DK109" s="1165"/>
      <c r="DL109" s="1165"/>
      <c r="DM109" s="1165"/>
      <c r="DN109" s="1165"/>
      <c r="DO109" s="1165"/>
      <c r="DP109" s="1165"/>
      <c r="DQ109" s="1165"/>
      <c r="DR109" s="1165"/>
      <c r="DS109" s="1165"/>
      <c r="DT109" s="1165"/>
      <c r="DU109" s="1165"/>
      <c r="DV109" s="1165"/>
      <c r="DW109" s="1165"/>
      <c r="DX109" s="1165"/>
      <c r="DY109" s="1165"/>
      <c r="DZ109" s="1165"/>
      <c r="EA109" s="1165"/>
      <c r="EB109" s="1165"/>
      <c r="EC109" s="1165"/>
      <c r="ED109" s="1165"/>
      <c r="EE109" s="1165"/>
      <c r="EF109" s="1165"/>
      <c r="EG109" s="1165"/>
      <c r="EH109" s="1165"/>
      <c r="EI109" s="1165"/>
      <c r="EJ109" s="1165"/>
      <c r="EK109" s="1165"/>
      <c r="EL109" s="1165"/>
      <c r="EM109" s="1165"/>
      <c r="EN109" s="1165"/>
      <c r="EO109" s="1165"/>
      <c r="EP109" s="1165"/>
      <c r="EQ109" s="1165"/>
      <c r="ER109" s="1165"/>
      <c r="ES109" s="1165"/>
      <c r="ET109" s="1165"/>
      <c r="EU109" s="1165"/>
      <c r="EV109" s="1165"/>
      <c r="EW109" s="1165"/>
      <c r="EX109" s="1165"/>
      <c r="EY109" s="1165"/>
      <c r="EZ109" s="1165"/>
      <c r="FA109" s="1165"/>
      <c r="FB109" s="1165"/>
      <c r="FC109" s="1165"/>
      <c r="FD109" s="1165"/>
      <c r="FE109" s="1165"/>
      <c r="FF109" s="1165"/>
    </row>
    <row r="110" spans="1:162">
      <c r="A110" s="1224"/>
      <c r="B110" s="1237" t="s">
        <v>44</v>
      </c>
      <c r="M110" s="1236">
        <f t="shared" ca="1" si="191"/>
        <v>0</v>
      </c>
      <c r="N110" s="1236">
        <f t="shared" ca="1" si="191"/>
        <v>0</v>
      </c>
      <c r="O110" s="1236">
        <f t="shared" ca="1" si="191"/>
        <v>0</v>
      </c>
      <c r="P110" s="1236">
        <f t="shared" ca="1" si="191"/>
        <v>0</v>
      </c>
      <c r="Q110" s="1236">
        <f t="shared" ca="1" si="191"/>
        <v>0</v>
      </c>
      <c r="R110" s="1236">
        <f t="shared" ca="1" si="191"/>
        <v>0</v>
      </c>
      <c r="S110" s="1236">
        <f t="shared" ca="1" si="191"/>
        <v>0</v>
      </c>
      <c r="T110" s="1236">
        <f t="shared" ca="1" si="191"/>
        <v>0</v>
      </c>
      <c r="U110" s="1236">
        <f t="shared" ca="1" si="191"/>
        <v>0</v>
      </c>
      <c r="V110" s="1236">
        <f t="shared" ca="1" si="191"/>
        <v>0</v>
      </c>
      <c r="W110" s="1236">
        <f t="shared" ca="1" si="192"/>
        <v>0</v>
      </c>
      <c r="X110" s="1236">
        <f t="shared" ca="1" si="192"/>
        <v>0</v>
      </c>
      <c r="Y110" s="1236">
        <f t="shared" ca="1" si="192"/>
        <v>0</v>
      </c>
      <c r="AG110" s="1236">
        <f t="shared" si="128"/>
        <v>0</v>
      </c>
      <c r="AH110" s="1236">
        <f t="shared" si="129"/>
        <v>0</v>
      </c>
      <c r="AI110" s="1236">
        <f t="shared" si="130"/>
        <v>0</v>
      </c>
      <c r="AJ110" s="1236">
        <f t="shared" si="131"/>
        <v>0</v>
      </c>
      <c r="AK110" s="1236">
        <f t="shared" si="132"/>
        <v>0</v>
      </c>
      <c r="AL110" s="1236">
        <f t="shared" si="133"/>
        <v>0</v>
      </c>
      <c r="AM110" s="1236">
        <f t="shared" si="134"/>
        <v>0</v>
      </c>
      <c r="AN110" s="1236">
        <f t="shared" si="135"/>
        <v>0</v>
      </c>
      <c r="AO110" s="1236">
        <f t="shared" si="136"/>
        <v>0</v>
      </c>
      <c r="AP110" s="1236">
        <f t="shared" si="137"/>
        <v>0</v>
      </c>
      <c r="AQ110" s="1236">
        <f t="shared" si="138"/>
        <v>0</v>
      </c>
      <c r="AR110" s="1236">
        <f t="shared" si="139"/>
        <v>0</v>
      </c>
      <c r="AS110" s="1236">
        <f t="shared" si="140"/>
        <v>0</v>
      </c>
      <c r="AT110" s="1236">
        <f t="shared" si="141"/>
        <v>0</v>
      </c>
      <c r="AU110" s="1236">
        <f t="shared" si="142"/>
        <v>0</v>
      </c>
      <c r="AV110" s="1236">
        <f t="shared" si="143"/>
        <v>0</v>
      </c>
      <c r="AW110" s="1236">
        <f t="shared" si="144"/>
        <v>0</v>
      </c>
      <c r="AX110" s="1236">
        <f t="shared" si="145"/>
        <v>0</v>
      </c>
      <c r="AY110" s="1236">
        <f t="shared" si="146"/>
        <v>0</v>
      </c>
      <c r="AZ110" s="1236">
        <f t="shared" si="147"/>
        <v>0</v>
      </c>
      <c r="BA110" s="1236">
        <f t="shared" si="148"/>
        <v>0</v>
      </c>
      <c r="BB110" s="1236">
        <f t="shared" si="149"/>
        <v>0</v>
      </c>
      <c r="BC110" s="1236">
        <f t="shared" si="150"/>
        <v>0</v>
      </c>
      <c r="BD110" s="1236">
        <f t="shared" si="151"/>
        <v>0</v>
      </c>
      <c r="BE110" s="1236">
        <f t="shared" si="152"/>
        <v>0</v>
      </c>
      <c r="BF110" s="1236">
        <f t="shared" si="153"/>
        <v>0</v>
      </c>
      <c r="BG110" s="1236">
        <f t="shared" si="154"/>
        <v>0</v>
      </c>
      <c r="BH110" s="1236">
        <f t="shared" si="155"/>
        <v>0</v>
      </c>
      <c r="BI110" s="1236">
        <f t="shared" si="156"/>
        <v>0</v>
      </c>
      <c r="BJ110" s="1236">
        <f t="shared" si="157"/>
        <v>0</v>
      </c>
      <c r="BK110" s="1236">
        <f t="shared" si="158"/>
        <v>0</v>
      </c>
      <c r="BL110" s="1236">
        <f t="shared" si="159"/>
        <v>0</v>
      </c>
      <c r="BM110" s="1236">
        <f t="shared" si="160"/>
        <v>0</v>
      </c>
      <c r="BN110" s="1236">
        <f t="shared" si="161"/>
        <v>0</v>
      </c>
      <c r="BO110" s="1236">
        <f t="shared" si="162"/>
        <v>0</v>
      </c>
      <c r="BP110" s="1236">
        <f t="shared" si="163"/>
        <v>0</v>
      </c>
      <c r="BQ110" s="1236">
        <f t="shared" si="164"/>
        <v>0</v>
      </c>
      <c r="BR110" s="1236">
        <f t="shared" si="165"/>
        <v>0</v>
      </c>
      <c r="BS110" s="1236">
        <f t="shared" si="166"/>
        <v>0</v>
      </c>
      <c r="BT110" s="1236">
        <f t="shared" si="167"/>
        <v>0</v>
      </c>
      <c r="BU110" s="1236">
        <f t="shared" si="168"/>
        <v>0</v>
      </c>
      <c r="BV110" s="1236">
        <f t="shared" si="169"/>
        <v>0</v>
      </c>
      <c r="BW110" s="1236">
        <f t="shared" si="170"/>
        <v>0</v>
      </c>
      <c r="BX110" s="1236">
        <f t="shared" si="171"/>
        <v>0</v>
      </c>
      <c r="BY110" s="1236">
        <f t="shared" si="172"/>
        <v>0</v>
      </c>
      <c r="BZ110" s="1236">
        <f t="shared" si="173"/>
        <v>0</v>
      </c>
      <c r="CA110" s="1236">
        <f t="shared" si="174"/>
        <v>0</v>
      </c>
      <c r="CB110" s="1236">
        <f t="shared" si="175"/>
        <v>0</v>
      </c>
      <c r="CC110" s="1236">
        <f t="shared" si="176"/>
        <v>0</v>
      </c>
      <c r="CD110" s="1236">
        <f t="shared" si="177"/>
        <v>0</v>
      </c>
      <c r="CE110" s="1236">
        <f t="shared" si="178"/>
        <v>0</v>
      </c>
      <c r="CF110" s="1236">
        <f t="shared" si="179"/>
        <v>0</v>
      </c>
      <c r="CG110" s="1236">
        <f t="shared" si="180"/>
        <v>0</v>
      </c>
      <c r="CH110" s="1236">
        <f t="shared" si="181"/>
        <v>0</v>
      </c>
      <c r="CI110" s="1236">
        <f t="shared" si="182"/>
        <v>0</v>
      </c>
      <c r="CJ110" s="1236">
        <f t="shared" si="183"/>
        <v>0</v>
      </c>
      <c r="CK110" s="1236">
        <f t="shared" si="184"/>
        <v>0</v>
      </c>
      <c r="CL110" s="1236">
        <f t="shared" si="185"/>
        <v>0</v>
      </c>
      <c r="CM110" s="1236">
        <f t="shared" si="186"/>
        <v>0</v>
      </c>
      <c r="CN110" s="1236">
        <f t="shared" si="187"/>
        <v>0</v>
      </c>
      <c r="CQ110" s="1165"/>
      <c r="CR110" s="1165"/>
      <c r="CS110" s="1165"/>
      <c r="CT110" s="1165"/>
      <c r="CU110" s="1165"/>
      <c r="CV110" s="1165"/>
      <c r="CW110" s="1165"/>
      <c r="CX110" s="1165"/>
      <c r="CY110" s="1165"/>
      <c r="CZ110" s="1165"/>
      <c r="DA110" s="1165"/>
      <c r="DB110" s="1165"/>
      <c r="DC110" s="1165"/>
      <c r="DD110" s="1165"/>
      <c r="DE110" s="1165"/>
      <c r="DF110" s="1165"/>
      <c r="DG110" s="1165"/>
      <c r="DH110" s="1165"/>
      <c r="DI110" s="1165"/>
      <c r="DJ110" s="1165"/>
      <c r="DK110" s="1165"/>
      <c r="DL110" s="1165"/>
      <c r="DM110" s="1165"/>
      <c r="DN110" s="1165"/>
      <c r="DO110" s="1165"/>
      <c r="DP110" s="1165"/>
      <c r="DQ110" s="1165"/>
      <c r="DR110" s="1165"/>
      <c r="DS110" s="1165"/>
      <c r="DT110" s="1165"/>
      <c r="DU110" s="1165"/>
      <c r="DV110" s="1165"/>
      <c r="DW110" s="1165"/>
      <c r="DX110" s="1165"/>
      <c r="DY110" s="1165"/>
      <c r="DZ110" s="1165"/>
      <c r="EA110" s="1165"/>
      <c r="EB110" s="1165"/>
      <c r="EC110" s="1165"/>
      <c r="ED110" s="1165"/>
      <c r="EE110" s="1165"/>
      <c r="EF110" s="1165"/>
      <c r="EG110" s="1165"/>
      <c r="EH110" s="1165"/>
      <c r="EI110" s="1165"/>
      <c r="EJ110" s="1165"/>
      <c r="EK110" s="1165"/>
      <c r="EL110" s="1165"/>
      <c r="EM110" s="1165"/>
      <c r="EN110" s="1165"/>
      <c r="EO110" s="1165"/>
      <c r="EP110" s="1165"/>
      <c r="EQ110" s="1165"/>
      <c r="ER110" s="1165"/>
      <c r="ES110" s="1165"/>
      <c r="ET110" s="1165"/>
      <c r="EU110" s="1165"/>
      <c r="EV110" s="1165"/>
      <c r="EW110" s="1165"/>
      <c r="EX110" s="1165"/>
      <c r="EY110" s="1165"/>
      <c r="EZ110" s="1165"/>
      <c r="FA110" s="1165"/>
      <c r="FB110" s="1165"/>
      <c r="FC110" s="1165"/>
      <c r="FD110" s="1165"/>
      <c r="FE110" s="1165"/>
      <c r="FF110" s="1165"/>
    </row>
    <row r="111" spans="1:162">
      <c r="A111" s="1224"/>
      <c r="B111" s="1237" t="s">
        <v>118</v>
      </c>
      <c r="M111" s="1236">
        <f t="shared" ca="1" si="191"/>
        <v>0</v>
      </c>
      <c r="N111" s="1236">
        <f t="shared" ca="1" si="191"/>
        <v>0</v>
      </c>
      <c r="O111" s="1236">
        <f t="shared" ca="1" si="191"/>
        <v>0</v>
      </c>
      <c r="P111" s="1236">
        <f t="shared" ca="1" si="191"/>
        <v>0</v>
      </c>
      <c r="Q111" s="1236">
        <f t="shared" ca="1" si="191"/>
        <v>0</v>
      </c>
      <c r="R111" s="1236">
        <f t="shared" ca="1" si="191"/>
        <v>0</v>
      </c>
      <c r="S111" s="1236">
        <f t="shared" ca="1" si="191"/>
        <v>0</v>
      </c>
      <c r="T111" s="1236">
        <f t="shared" ca="1" si="191"/>
        <v>0</v>
      </c>
      <c r="U111" s="1236">
        <f t="shared" ca="1" si="191"/>
        <v>0</v>
      </c>
      <c r="V111" s="1236">
        <f t="shared" ca="1" si="191"/>
        <v>0</v>
      </c>
      <c r="W111" s="1236">
        <f t="shared" ca="1" si="192"/>
        <v>0</v>
      </c>
      <c r="X111" s="1236">
        <f t="shared" ca="1" si="192"/>
        <v>0</v>
      </c>
      <c r="Y111" s="1236">
        <f t="shared" ca="1" si="192"/>
        <v>0</v>
      </c>
      <c r="AG111" s="1236">
        <f t="shared" si="128"/>
        <v>0</v>
      </c>
      <c r="AH111" s="1236">
        <f t="shared" si="129"/>
        <v>0</v>
      </c>
      <c r="AI111" s="1236">
        <f t="shared" si="130"/>
        <v>0</v>
      </c>
      <c r="AJ111" s="1236">
        <f t="shared" si="131"/>
        <v>0</v>
      </c>
      <c r="AK111" s="1236">
        <f t="shared" si="132"/>
        <v>0</v>
      </c>
      <c r="AL111" s="1236">
        <f t="shared" si="133"/>
        <v>0</v>
      </c>
      <c r="AM111" s="1236">
        <f t="shared" si="134"/>
        <v>0</v>
      </c>
      <c r="AN111" s="1236">
        <f t="shared" si="135"/>
        <v>0</v>
      </c>
      <c r="AO111" s="1236">
        <f t="shared" si="136"/>
        <v>0</v>
      </c>
      <c r="AP111" s="1236">
        <f t="shared" si="137"/>
        <v>0</v>
      </c>
      <c r="AQ111" s="1236">
        <f t="shared" si="138"/>
        <v>0</v>
      </c>
      <c r="AR111" s="1236">
        <f t="shared" si="139"/>
        <v>0</v>
      </c>
      <c r="AS111" s="1236">
        <f t="shared" si="140"/>
        <v>0</v>
      </c>
      <c r="AT111" s="1236">
        <f t="shared" si="141"/>
        <v>0</v>
      </c>
      <c r="AU111" s="1236">
        <f t="shared" si="142"/>
        <v>0</v>
      </c>
      <c r="AV111" s="1236">
        <f t="shared" si="143"/>
        <v>0</v>
      </c>
      <c r="AW111" s="1236">
        <f t="shared" si="144"/>
        <v>0</v>
      </c>
      <c r="AX111" s="1236">
        <f t="shared" si="145"/>
        <v>0</v>
      </c>
      <c r="AY111" s="1236">
        <f t="shared" si="146"/>
        <v>0</v>
      </c>
      <c r="AZ111" s="1236">
        <f t="shared" si="147"/>
        <v>0</v>
      </c>
      <c r="BA111" s="1236">
        <f t="shared" si="148"/>
        <v>0</v>
      </c>
      <c r="BB111" s="1236">
        <f t="shared" si="149"/>
        <v>0</v>
      </c>
      <c r="BC111" s="1236">
        <f t="shared" si="150"/>
        <v>0</v>
      </c>
      <c r="BD111" s="1236">
        <f t="shared" si="151"/>
        <v>0</v>
      </c>
      <c r="BE111" s="1236">
        <f t="shared" si="152"/>
        <v>0</v>
      </c>
      <c r="BF111" s="1236">
        <f t="shared" si="153"/>
        <v>0</v>
      </c>
      <c r="BG111" s="1236">
        <f t="shared" si="154"/>
        <v>0</v>
      </c>
      <c r="BH111" s="1236">
        <f t="shared" si="155"/>
        <v>0</v>
      </c>
      <c r="BI111" s="1236">
        <f t="shared" si="156"/>
        <v>0</v>
      </c>
      <c r="BJ111" s="1236">
        <f t="shared" si="157"/>
        <v>0</v>
      </c>
      <c r="BK111" s="1236">
        <f t="shared" si="158"/>
        <v>0</v>
      </c>
      <c r="BL111" s="1236">
        <f t="shared" si="159"/>
        <v>0</v>
      </c>
      <c r="BM111" s="1236">
        <f t="shared" si="160"/>
        <v>0</v>
      </c>
      <c r="BN111" s="1236">
        <f t="shared" si="161"/>
        <v>0</v>
      </c>
      <c r="BO111" s="1236">
        <f t="shared" si="162"/>
        <v>0</v>
      </c>
      <c r="BP111" s="1236">
        <f t="shared" si="163"/>
        <v>0</v>
      </c>
      <c r="BQ111" s="1236">
        <f t="shared" si="164"/>
        <v>0</v>
      </c>
      <c r="BR111" s="1236">
        <f t="shared" si="165"/>
        <v>0</v>
      </c>
      <c r="BS111" s="1236">
        <f t="shared" si="166"/>
        <v>0</v>
      </c>
      <c r="BT111" s="1236">
        <f t="shared" si="167"/>
        <v>0</v>
      </c>
      <c r="BU111" s="1236">
        <f t="shared" si="168"/>
        <v>0</v>
      </c>
      <c r="BV111" s="1236">
        <f t="shared" si="169"/>
        <v>0</v>
      </c>
      <c r="BW111" s="1236">
        <f t="shared" si="170"/>
        <v>0</v>
      </c>
      <c r="BX111" s="1236">
        <f t="shared" si="171"/>
        <v>0</v>
      </c>
      <c r="BY111" s="1236">
        <f t="shared" si="172"/>
        <v>0</v>
      </c>
      <c r="BZ111" s="1236">
        <f t="shared" si="173"/>
        <v>0</v>
      </c>
      <c r="CA111" s="1236">
        <f t="shared" si="174"/>
        <v>0</v>
      </c>
      <c r="CB111" s="1236">
        <f t="shared" si="175"/>
        <v>0</v>
      </c>
      <c r="CC111" s="1236">
        <f t="shared" si="176"/>
        <v>0</v>
      </c>
      <c r="CD111" s="1236">
        <f t="shared" si="177"/>
        <v>0</v>
      </c>
      <c r="CE111" s="1236">
        <f t="shared" si="178"/>
        <v>0</v>
      </c>
      <c r="CF111" s="1236">
        <f t="shared" si="179"/>
        <v>0</v>
      </c>
      <c r="CG111" s="1236">
        <f t="shared" si="180"/>
        <v>0</v>
      </c>
      <c r="CH111" s="1236">
        <f t="shared" si="181"/>
        <v>0</v>
      </c>
      <c r="CI111" s="1236">
        <f t="shared" si="182"/>
        <v>0</v>
      </c>
      <c r="CJ111" s="1236">
        <f t="shared" si="183"/>
        <v>0</v>
      </c>
      <c r="CK111" s="1236">
        <f t="shared" si="184"/>
        <v>0</v>
      </c>
      <c r="CL111" s="1236">
        <f t="shared" si="185"/>
        <v>0</v>
      </c>
      <c r="CM111" s="1236">
        <f t="shared" si="186"/>
        <v>0</v>
      </c>
      <c r="CN111" s="1236">
        <f t="shared" si="187"/>
        <v>0</v>
      </c>
      <c r="CO111" s="1165"/>
      <c r="CP111" s="1165"/>
      <c r="CQ111" s="1165"/>
      <c r="CR111" s="1165"/>
      <c r="CS111" s="1165"/>
      <c r="CT111" s="1165"/>
      <c r="CU111" s="1165"/>
      <c r="CV111" s="1165"/>
      <c r="CW111" s="1165"/>
      <c r="CX111" s="1165"/>
      <c r="CY111" s="1165"/>
      <c r="CZ111" s="1165"/>
      <c r="DA111" s="1165"/>
      <c r="DB111" s="1165"/>
      <c r="DC111" s="1165"/>
      <c r="DD111" s="1165"/>
      <c r="DE111" s="1165"/>
      <c r="DF111" s="1165"/>
      <c r="DG111" s="1165"/>
      <c r="DH111" s="1165"/>
      <c r="DI111" s="1165"/>
      <c r="DJ111" s="1165"/>
      <c r="DK111" s="1165"/>
      <c r="DL111" s="1165"/>
      <c r="DM111" s="1165"/>
      <c r="DN111" s="1165"/>
      <c r="DO111" s="1165"/>
      <c r="DP111" s="1165"/>
      <c r="DQ111" s="1165"/>
      <c r="DR111" s="1165"/>
      <c r="DS111" s="1165"/>
      <c r="DT111" s="1165"/>
      <c r="DU111" s="1165"/>
      <c r="DV111" s="1165"/>
      <c r="DW111" s="1165"/>
      <c r="DX111" s="1165"/>
      <c r="DY111" s="1165"/>
      <c r="DZ111" s="1165"/>
      <c r="EA111" s="1165"/>
      <c r="EB111" s="1165"/>
      <c r="EC111" s="1165"/>
      <c r="ED111" s="1165"/>
      <c r="EE111" s="1165"/>
      <c r="EF111" s="1165"/>
      <c r="EG111" s="1165"/>
      <c r="EH111" s="1165"/>
      <c r="EI111" s="1165"/>
      <c r="EJ111" s="1165"/>
      <c r="EK111" s="1165"/>
      <c r="EL111" s="1165"/>
      <c r="EM111" s="1165"/>
      <c r="EN111" s="1165"/>
      <c r="EO111" s="1165"/>
      <c r="EP111" s="1165"/>
      <c r="EQ111" s="1165"/>
      <c r="ER111" s="1165"/>
      <c r="ES111" s="1165"/>
      <c r="ET111" s="1165"/>
      <c r="EU111" s="1165"/>
      <c r="EV111" s="1165"/>
      <c r="EW111" s="1165"/>
      <c r="EX111" s="1165"/>
      <c r="EY111" s="1165"/>
      <c r="EZ111" s="1165"/>
      <c r="FA111" s="1165"/>
      <c r="FB111" s="1165"/>
      <c r="FC111" s="1165"/>
      <c r="FD111" s="1165"/>
      <c r="FE111" s="1165"/>
      <c r="FF111" s="1165"/>
    </row>
    <row r="112" spans="1:162" s="1231" customFormat="1">
      <c r="A112" s="1229"/>
      <c r="B112" s="1230" t="s">
        <v>44</v>
      </c>
      <c r="M112" s="1231">
        <f t="shared" ca="1" si="191"/>
        <v>0</v>
      </c>
      <c r="N112" s="1231">
        <f t="shared" ca="1" si="191"/>
        <v>0</v>
      </c>
      <c r="O112" s="1231">
        <f t="shared" ca="1" si="191"/>
        <v>0</v>
      </c>
      <c r="P112" s="1231">
        <f t="shared" ca="1" si="191"/>
        <v>0</v>
      </c>
      <c r="Q112" s="1231">
        <f t="shared" ca="1" si="191"/>
        <v>0</v>
      </c>
      <c r="R112" s="1231">
        <f t="shared" ref="R112:Y112" si="193">R114-R86-R96-R102</f>
        <v>197.90707600000036</v>
      </c>
      <c r="S112" s="1231">
        <f t="shared" si="193"/>
        <v>170.55900000000065</v>
      </c>
      <c r="T112" s="1231">
        <f t="shared" si="193"/>
        <v>182.35799999999944</v>
      </c>
      <c r="U112" s="1231">
        <f t="shared" si="193"/>
        <v>216.05200000000093</v>
      </c>
      <c r="V112" s="1231">
        <f t="shared" si="193"/>
        <v>268.21200000000056</v>
      </c>
      <c r="W112" s="1231">
        <f t="shared" si="193"/>
        <v>397.20000000000027</v>
      </c>
      <c r="X112" s="1231">
        <f t="shared" si="193"/>
        <v>495.58699999999965</v>
      </c>
      <c r="Y112" s="1231">
        <f t="shared" si="193"/>
        <v>1006.1199999999985</v>
      </c>
      <c r="AG112" s="1231">
        <f t="shared" si="128"/>
        <v>0</v>
      </c>
      <c r="AH112" s="1231">
        <f t="shared" si="129"/>
        <v>0</v>
      </c>
      <c r="AI112" s="1231">
        <f t="shared" si="130"/>
        <v>0</v>
      </c>
      <c r="AJ112" s="1231">
        <f t="shared" si="131"/>
        <v>0</v>
      </c>
      <c r="AK112" s="1231">
        <f t="shared" si="132"/>
        <v>0</v>
      </c>
      <c r="AL112" s="1231">
        <f t="shared" si="133"/>
        <v>0</v>
      </c>
      <c r="AM112" s="1231">
        <f t="shared" si="134"/>
        <v>0</v>
      </c>
      <c r="AN112" s="1231">
        <f t="shared" si="135"/>
        <v>0</v>
      </c>
      <c r="AO112" s="1231">
        <f t="shared" si="136"/>
        <v>0</v>
      </c>
      <c r="AP112" s="1231">
        <f t="shared" si="137"/>
        <v>0</v>
      </c>
      <c r="AQ112" s="1231">
        <f t="shared" si="138"/>
        <v>0</v>
      </c>
      <c r="AR112" s="1231">
        <f t="shared" si="139"/>
        <v>0</v>
      </c>
      <c r="AS112" s="1231">
        <f t="shared" si="140"/>
        <v>0</v>
      </c>
      <c r="AT112" s="1231">
        <f t="shared" si="141"/>
        <v>0</v>
      </c>
      <c r="AU112" s="1231">
        <f t="shared" si="142"/>
        <v>0</v>
      </c>
      <c r="AV112" s="1231">
        <f t="shared" si="143"/>
        <v>0</v>
      </c>
      <c r="AW112" s="1231">
        <f t="shared" si="144"/>
        <v>0</v>
      </c>
      <c r="AX112" s="1231">
        <f t="shared" si="145"/>
        <v>0</v>
      </c>
      <c r="AY112" s="1231">
        <f t="shared" si="146"/>
        <v>0</v>
      </c>
      <c r="AZ112" s="1231">
        <f t="shared" si="147"/>
        <v>0</v>
      </c>
      <c r="BA112" s="1231">
        <f t="shared" si="148"/>
        <v>0</v>
      </c>
      <c r="BB112" s="1231">
        <f t="shared" si="149"/>
        <v>0</v>
      </c>
      <c r="BC112" s="1231">
        <f t="shared" si="150"/>
        <v>0</v>
      </c>
      <c r="BD112" s="1231">
        <f t="shared" si="151"/>
        <v>0</v>
      </c>
      <c r="BE112" s="1231">
        <f t="shared" si="152"/>
        <v>0</v>
      </c>
      <c r="BF112" s="1231">
        <f t="shared" si="153"/>
        <v>0</v>
      </c>
      <c r="BG112" s="1231">
        <f t="shared" si="154"/>
        <v>0</v>
      </c>
      <c r="BH112" s="1231">
        <f t="shared" si="155"/>
        <v>0</v>
      </c>
      <c r="BI112" s="1231">
        <f t="shared" si="156"/>
        <v>0</v>
      </c>
      <c r="BJ112" s="1231">
        <f t="shared" si="157"/>
        <v>0</v>
      </c>
      <c r="BK112" s="1231">
        <f t="shared" si="158"/>
        <v>0</v>
      </c>
      <c r="BL112" s="1231">
        <f t="shared" si="159"/>
        <v>0</v>
      </c>
      <c r="BM112" s="1231">
        <f t="shared" si="160"/>
        <v>0</v>
      </c>
      <c r="BN112" s="1231">
        <f t="shared" si="161"/>
        <v>0</v>
      </c>
      <c r="BO112" s="1231">
        <f t="shared" si="162"/>
        <v>0</v>
      </c>
      <c r="BP112" s="1231">
        <f t="shared" si="163"/>
        <v>0</v>
      </c>
      <c r="BQ112" s="1231">
        <f t="shared" si="164"/>
        <v>0</v>
      </c>
      <c r="BR112" s="1231">
        <f t="shared" si="165"/>
        <v>0</v>
      </c>
      <c r="BS112" s="1231">
        <f t="shared" si="166"/>
        <v>0</v>
      </c>
      <c r="BT112" s="1231">
        <f t="shared" si="167"/>
        <v>0</v>
      </c>
      <c r="BU112" s="1231">
        <f t="shared" si="168"/>
        <v>0</v>
      </c>
      <c r="BV112" s="1231">
        <f t="shared" si="169"/>
        <v>0</v>
      </c>
      <c r="BW112" s="1231">
        <f t="shared" si="170"/>
        <v>0</v>
      </c>
      <c r="BX112" s="1231">
        <f t="shared" si="171"/>
        <v>0</v>
      </c>
      <c r="BY112" s="1231">
        <f t="shared" si="172"/>
        <v>0</v>
      </c>
      <c r="BZ112" s="1231">
        <f t="shared" si="173"/>
        <v>0</v>
      </c>
      <c r="CA112" s="1231">
        <f t="shared" si="174"/>
        <v>0</v>
      </c>
      <c r="CB112" s="1231">
        <f t="shared" si="175"/>
        <v>0</v>
      </c>
      <c r="CC112" s="1231">
        <f t="shared" si="176"/>
        <v>0</v>
      </c>
      <c r="CD112" s="1231">
        <f t="shared" si="177"/>
        <v>0</v>
      </c>
      <c r="CE112" s="1231">
        <f t="shared" si="178"/>
        <v>0</v>
      </c>
      <c r="CF112" s="1231">
        <f t="shared" si="179"/>
        <v>0</v>
      </c>
      <c r="CG112" s="1231">
        <f t="shared" si="180"/>
        <v>0</v>
      </c>
      <c r="CH112" s="1231">
        <f t="shared" si="181"/>
        <v>0</v>
      </c>
      <c r="CI112" s="1231">
        <f t="shared" si="182"/>
        <v>0</v>
      </c>
      <c r="CJ112" s="1231">
        <f t="shared" si="183"/>
        <v>0</v>
      </c>
      <c r="CK112" s="1231">
        <f t="shared" si="184"/>
        <v>0</v>
      </c>
      <c r="CL112" s="1231">
        <f t="shared" si="185"/>
        <v>0</v>
      </c>
      <c r="CM112" s="1231">
        <f t="shared" si="186"/>
        <v>0</v>
      </c>
      <c r="CN112" s="1231">
        <f t="shared" si="187"/>
        <v>0</v>
      </c>
      <c r="CQ112" s="1230"/>
      <c r="CR112" s="1230"/>
      <c r="CS112" s="1230"/>
      <c r="CT112" s="1230"/>
      <c r="CU112" s="1230"/>
      <c r="CV112" s="1230"/>
      <c r="CW112" s="1230"/>
      <c r="CX112" s="1230"/>
      <c r="CY112" s="1230"/>
      <c r="CZ112" s="1230"/>
      <c r="DA112" s="1230"/>
      <c r="DB112" s="1230"/>
      <c r="DC112" s="1230"/>
      <c r="DD112" s="1230"/>
      <c r="DE112" s="1230"/>
      <c r="DF112" s="1230"/>
      <c r="DG112" s="1230"/>
      <c r="DH112" s="1230"/>
      <c r="DI112" s="1230"/>
      <c r="DJ112" s="1230"/>
      <c r="EU112" s="1230"/>
      <c r="EV112" s="1230"/>
      <c r="EW112" s="1230"/>
      <c r="EX112" s="1230"/>
      <c r="EY112" s="1230"/>
      <c r="EZ112" s="1230"/>
      <c r="FA112" s="1230"/>
      <c r="FB112" s="1230"/>
      <c r="FC112" s="1230"/>
      <c r="FD112" s="1230"/>
      <c r="FE112" s="1230"/>
      <c r="FF112" s="1230"/>
    </row>
    <row r="113" spans="1:162" s="1231" customFormat="1">
      <c r="A113" s="1229"/>
      <c r="B113" s="1230"/>
      <c r="AG113" s="1231">
        <f t="shared" si="128"/>
        <v>0</v>
      </c>
      <c r="AH113" s="1231">
        <f t="shared" si="129"/>
        <v>0</v>
      </c>
      <c r="AI113" s="1231">
        <f t="shared" si="130"/>
        <v>0</v>
      </c>
      <c r="AJ113" s="1231">
        <f t="shared" si="131"/>
        <v>0</v>
      </c>
      <c r="AK113" s="1231">
        <f t="shared" si="132"/>
        <v>0</v>
      </c>
      <c r="AL113" s="1231">
        <f t="shared" si="133"/>
        <v>0</v>
      </c>
      <c r="AM113" s="1231">
        <f t="shared" si="134"/>
        <v>0</v>
      </c>
      <c r="AN113" s="1231">
        <f t="shared" si="135"/>
        <v>0</v>
      </c>
      <c r="AO113" s="1231">
        <f t="shared" si="136"/>
        <v>0</v>
      </c>
      <c r="AP113" s="1231">
        <f t="shared" si="137"/>
        <v>0</v>
      </c>
      <c r="AQ113" s="1231">
        <f t="shared" si="138"/>
        <v>0</v>
      </c>
      <c r="AR113" s="1231">
        <f t="shared" si="139"/>
        <v>0</v>
      </c>
      <c r="AS113" s="1231">
        <f t="shared" si="140"/>
        <v>0</v>
      </c>
      <c r="AT113" s="1231">
        <f t="shared" si="141"/>
        <v>0</v>
      </c>
      <c r="AU113" s="1231">
        <f t="shared" si="142"/>
        <v>0</v>
      </c>
      <c r="AV113" s="1231">
        <f t="shared" si="143"/>
        <v>0</v>
      </c>
      <c r="AW113" s="1231">
        <f t="shared" si="144"/>
        <v>0</v>
      </c>
      <c r="AX113" s="1231">
        <f t="shared" si="145"/>
        <v>0</v>
      </c>
      <c r="AY113" s="1231">
        <f t="shared" si="146"/>
        <v>0</v>
      </c>
      <c r="AZ113" s="1231">
        <f t="shared" si="147"/>
        <v>0</v>
      </c>
      <c r="BA113" s="1231">
        <f t="shared" si="148"/>
        <v>0</v>
      </c>
      <c r="BB113" s="1231">
        <f t="shared" si="149"/>
        <v>0</v>
      </c>
      <c r="BC113" s="1231">
        <f t="shared" si="150"/>
        <v>0</v>
      </c>
      <c r="BD113" s="1231">
        <f t="shared" si="151"/>
        <v>0</v>
      </c>
      <c r="BE113" s="1231">
        <f t="shared" si="152"/>
        <v>0</v>
      </c>
      <c r="BF113" s="1231">
        <f t="shared" si="153"/>
        <v>0</v>
      </c>
      <c r="BG113" s="1231">
        <f t="shared" si="154"/>
        <v>0</v>
      </c>
      <c r="BH113" s="1231">
        <f t="shared" si="155"/>
        <v>0</v>
      </c>
      <c r="BI113" s="1231">
        <f t="shared" si="156"/>
        <v>0</v>
      </c>
      <c r="BJ113" s="1231">
        <f t="shared" si="157"/>
        <v>0</v>
      </c>
      <c r="BK113" s="1231">
        <f t="shared" si="158"/>
        <v>0</v>
      </c>
      <c r="BL113" s="1231">
        <f t="shared" si="159"/>
        <v>0</v>
      </c>
      <c r="BM113" s="1231">
        <f t="shared" si="160"/>
        <v>0</v>
      </c>
      <c r="BN113" s="1231">
        <f t="shared" si="161"/>
        <v>0</v>
      </c>
      <c r="BO113" s="1231">
        <f t="shared" si="162"/>
        <v>0</v>
      </c>
      <c r="BP113" s="1231">
        <f t="shared" si="163"/>
        <v>0</v>
      </c>
      <c r="BQ113" s="1231">
        <f t="shared" si="164"/>
        <v>0</v>
      </c>
      <c r="BR113" s="1231">
        <f t="shared" si="165"/>
        <v>0</v>
      </c>
      <c r="BS113" s="1231">
        <f t="shared" si="166"/>
        <v>0</v>
      </c>
      <c r="BT113" s="1231">
        <f t="shared" si="167"/>
        <v>0</v>
      </c>
      <c r="BU113" s="1231">
        <f t="shared" si="168"/>
        <v>0</v>
      </c>
      <c r="BV113" s="1231">
        <f t="shared" si="169"/>
        <v>0</v>
      </c>
      <c r="BW113" s="1231">
        <f t="shared" si="170"/>
        <v>0</v>
      </c>
      <c r="BX113" s="1231">
        <f t="shared" si="171"/>
        <v>0</v>
      </c>
      <c r="BY113" s="1231">
        <f t="shared" si="172"/>
        <v>0</v>
      </c>
      <c r="BZ113" s="1231">
        <f t="shared" si="173"/>
        <v>0</v>
      </c>
      <c r="CA113" s="1231">
        <f t="shared" si="174"/>
        <v>0</v>
      </c>
      <c r="CB113" s="1231">
        <f t="shared" si="175"/>
        <v>0</v>
      </c>
      <c r="CC113" s="1231">
        <f t="shared" si="176"/>
        <v>0</v>
      </c>
      <c r="CD113" s="1231">
        <f t="shared" si="177"/>
        <v>0</v>
      </c>
      <c r="CE113" s="1231">
        <f t="shared" si="178"/>
        <v>0</v>
      </c>
      <c r="CF113" s="1231">
        <f t="shared" si="179"/>
        <v>0</v>
      </c>
      <c r="CG113" s="1231">
        <f t="shared" si="180"/>
        <v>0</v>
      </c>
      <c r="CH113" s="1231">
        <f t="shared" si="181"/>
        <v>0</v>
      </c>
      <c r="CI113" s="1231">
        <f t="shared" si="182"/>
        <v>0</v>
      </c>
      <c r="CJ113" s="1231">
        <f t="shared" si="183"/>
        <v>0</v>
      </c>
      <c r="CK113" s="1231">
        <f t="shared" si="184"/>
        <v>0</v>
      </c>
      <c r="CL113" s="1231">
        <f t="shared" si="185"/>
        <v>0</v>
      </c>
      <c r="CM113" s="1231">
        <f t="shared" si="186"/>
        <v>0</v>
      </c>
      <c r="CN113" s="1231">
        <f t="shared" si="187"/>
        <v>0</v>
      </c>
      <c r="CQ113" s="1230"/>
      <c r="CR113" s="1230"/>
      <c r="CS113" s="1230"/>
      <c r="CT113" s="1230"/>
      <c r="CU113" s="1230"/>
      <c r="CV113" s="1230"/>
      <c r="CW113" s="1230"/>
      <c r="CX113" s="1230"/>
      <c r="CY113" s="1230"/>
      <c r="CZ113" s="1230"/>
      <c r="DA113" s="1230"/>
      <c r="DB113" s="1230"/>
      <c r="DC113" s="1230"/>
      <c r="DD113" s="1230"/>
      <c r="DE113" s="1230"/>
      <c r="DF113" s="1230"/>
      <c r="DG113" s="1230"/>
      <c r="DH113" s="1230"/>
      <c r="DI113" s="1230"/>
      <c r="DJ113" s="1230"/>
      <c r="DK113" s="1230"/>
      <c r="DL113" s="1230"/>
      <c r="DM113" s="1230"/>
      <c r="DN113" s="1230"/>
      <c r="DO113" s="1230"/>
      <c r="DP113" s="1230"/>
      <c r="DQ113" s="1230"/>
      <c r="DR113" s="1230"/>
      <c r="DS113" s="1230"/>
      <c r="DT113" s="1230"/>
      <c r="DU113" s="1230"/>
      <c r="DV113" s="1230"/>
      <c r="DW113" s="1230"/>
      <c r="DX113" s="1230"/>
      <c r="DY113" s="1230"/>
      <c r="DZ113" s="1230"/>
      <c r="EA113" s="1230"/>
      <c r="EB113" s="1230"/>
      <c r="EC113" s="1230"/>
      <c r="ED113" s="1230"/>
      <c r="EE113" s="1230"/>
      <c r="EF113" s="1230"/>
      <c r="EG113" s="1230"/>
      <c r="EH113" s="1230"/>
      <c r="EI113" s="1230"/>
      <c r="EJ113" s="1230"/>
      <c r="EK113" s="1230"/>
      <c r="EL113" s="1230"/>
      <c r="EM113" s="1230"/>
      <c r="EN113" s="1230"/>
      <c r="EO113" s="1230"/>
      <c r="EP113" s="1230"/>
      <c r="EQ113" s="1230"/>
      <c r="ER113" s="1230"/>
      <c r="ES113" s="1230"/>
      <c r="ET113" s="1230"/>
      <c r="EU113" s="1230"/>
      <c r="EV113" s="1230"/>
      <c r="EW113" s="1230"/>
      <c r="EX113" s="1230"/>
      <c r="EY113" s="1230"/>
      <c r="EZ113" s="1230"/>
      <c r="FA113" s="1230"/>
      <c r="FB113" s="1230"/>
      <c r="FC113" s="1230"/>
      <c r="FD113" s="1230"/>
      <c r="FE113" s="1230"/>
      <c r="FF113" s="1230"/>
    </row>
    <row r="114" spans="1:162" s="1231" customFormat="1">
      <c r="A114" s="1229"/>
      <c r="B114" s="1230" t="s">
        <v>342</v>
      </c>
      <c r="M114" s="1231">
        <f ca="1">OFFSET($CT114,0,M$7)</f>
        <v>0</v>
      </c>
      <c r="N114" s="1231">
        <f ca="1">OFFSET($CT114,0,N$7)</f>
        <v>0</v>
      </c>
      <c r="O114" s="1231">
        <f ca="1">OFFSET($CT114,0,O$7)</f>
        <v>0</v>
      </c>
      <c r="P114" s="1231">
        <f ca="1">OFFSET($CT114,0,P$7)</f>
        <v>0</v>
      </c>
      <c r="Q114" s="1231">
        <f ca="1">OFFSET($CT114,0,Q$7)</f>
        <v>0</v>
      </c>
      <c r="R114" s="1231">
        <f>R141-R139</f>
        <v>2723.5907140000004</v>
      </c>
      <c r="S114" s="1231">
        <f t="shared" ref="S114:Y114" si="194">S141-S139</f>
        <v>2866.4160000000002</v>
      </c>
      <c r="T114" s="1231">
        <f t="shared" si="194"/>
        <v>2803.1709999999998</v>
      </c>
      <c r="U114" s="1231">
        <f t="shared" si="194"/>
        <v>2960.1509999999998</v>
      </c>
      <c r="V114" s="1231">
        <f t="shared" si="194"/>
        <v>3471.12</v>
      </c>
      <c r="W114" s="1231">
        <f t="shared" si="194"/>
        <v>4525.2969999999996</v>
      </c>
      <c r="X114" s="1231">
        <f t="shared" si="194"/>
        <v>6431.5249999999996</v>
      </c>
      <c r="Y114" s="1231">
        <f t="shared" si="194"/>
        <v>7749.4669999999987</v>
      </c>
      <c r="AG114" s="1231">
        <f t="shared" si="128"/>
        <v>0</v>
      </c>
      <c r="AH114" s="1231">
        <f t="shared" si="129"/>
        <v>0</v>
      </c>
      <c r="AI114" s="1231">
        <f t="shared" si="130"/>
        <v>0</v>
      </c>
      <c r="AJ114" s="1231">
        <f t="shared" si="131"/>
        <v>0</v>
      </c>
      <c r="AK114" s="1231">
        <f t="shared" si="132"/>
        <v>0</v>
      </c>
      <c r="AL114" s="1231">
        <f t="shared" si="133"/>
        <v>0</v>
      </c>
      <c r="AM114" s="1231">
        <f t="shared" si="134"/>
        <v>0</v>
      </c>
      <c r="AN114" s="1231">
        <f t="shared" si="135"/>
        <v>0</v>
      </c>
      <c r="AO114" s="1231">
        <f t="shared" si="136"/>
        <v>0</v>
      </c>
      <c r="AP114" s="1231">
        <f t="shared" si="137"/>
        <v>0</v>
      </c>
      <c r="AQ114" s="1231">
        <f t="shared" si="138"/>
        <v>0</v>
      </c>
      <c r="AR114" s="1231">
        <f t="shared" si="139"/>
        <v>0</v>
      </c>
      <c r="AS114" s="1231">
        <f t="shared" si="140"/>
        <v>0</v>
      </c>
      <c r="AT114" s="1231">
        <f t="shared" si="141"/>
        <v>0</v>
      </c>
      <c r="AU114" s="1231">
        <f t="shared" si="142"/>
        <v>0</v>
      </c>
      <c r="AV114" s="1231">
        <f t="shared" si="143"/>
        <v>0</v>
      </c>
      <c r="AW114" s="1231">
        <f t="shared" si="144"/>
        <v>0</v>
      </c>
      <c r="AX114" s="1231">
        <f t="shared" si="145"/>
        <v>0</v>
      </c>
      <c r="AY114" s="1231">
        <f t="shared" si="146"/>
        <v>0</v>
      </c>
      <c r="AZ114" s="1231">
        <f t="shared" si="147"/>
        <v>0</v>
      </c>
      <c r="BA114" s="1231">
        <f t="shared" si="148"/>
        <v>0</v>
      </c>
      <c r="BB114" s="1231">
        <f t="shared" si="149"/>
        <v>0</v>
      </c>
      <c r="BC114" s="1231">
        <f t="shared" si="150"/>
        <v>0</v>
      </c>
      <c r="BD114" s="1231">
        <f t="shared" si="151"/>
        <v>0</v>
      </c>
      <c r="BE114" s="1231">
        <f t="shared" si="152"/>
        <v>0</v>
      </c>
      <c r="BF114" s="1231">
        <f t="shared" si="153"/>
        <v>0</v>
      </c>
      <c r="BG114" s="1231">
        <f t="shared" si="154"/>
        <v>0</v>
      </c>
      <c r="BH114" s="1231">
        <f t="shared" si="155"/>
        <v>0</v>
      </c>
      <c r="BI114" s="1231">
        <f t="shared" si="156"/>
        <v>0</v>
      </c>
      <c r="BJ114" s="1231">
        <f t="shared" si="157"/>
        <v>0</v>
      </c>
      <c r="BK114" s="1231">
        <f t="shared" si="158"/>
        <v>0</v>
      </c>
      <c r="BL114" s="1231">
        <f t="shared" si="159"/>
        <v>0</v>
      </c>
      <c r="BM114" s="1231">
        <f t="shared" si="160"/>
        <v>0</v>
      </c>
      <c r="BN114" s="1231">
        <f t="shared" si="161"/>
        <v>0</v>
      </c>
      <c r="BO114" s="1231">
        <f t="shared" si="162"/>
        <v>0</v>
      </c>
      <c r="BP114" s="1231">
        <f t="shared" si="163"/>
        <v>0</v>
      </c>
      <c r="BQ114" s="1231">
        <f t="shared" si="164"/>
        <v>0</v>
      </c>
      <c r="BR114" s="1231">
        <f t="shared" si="165"/>
        <v>0</v>
      </c>
      <c r="BS114" s="1231">
        <f t="shared" si="166"/>
        <v>0</v>
      </c>
      <c r="BT114" s="1231">
        <f t="shared" si="167"/>
        <v>0</v>
      </c>
      <c r="BU114" s="1231">
        <f t="shared" si="168"/>
        <v>0</v>
      </c>
      <c r="BV114" s="1231">
        <f t="shared" si="169"/>
        <v>0</v>
      </c>
      <c r="BW114" s="1231">
        <f t="shared" si="170"/>
        <v>0</v>
      </c>
      <c r="BX114" s="1231">
        <f t="shared" si="171"/>
        <v>0</v>
      </c>
      <c r="BY114" s="1231">
        <f t="shared" si="172"/>
        <v>0</v>
      </c>
      <c r="BZ114" s="1231">
        <f t="shared" si="173"/>
        <v>0</v>
      </c>
      <c r="CA114" s="1231">
        <f t="shared" si="174"/>
        <v>0</v>
      </c>
      <c r="CB114" s="1231">
        <f t="shared" si="175"/>
        <v>0</v>
      </c>
      <c r="CC114" s="1231">
        <f t="shared" si="176"/>
        <v>0</v>
      </c>
      <c r="CD114" s="1231">
        <f t="shared" si="177"/>
        <v>0</v>
      </c>
      <c r="CE114" s="1231">
        <f t="shared" si="178"/>
        <v>0</v>
      </c>
      <c r="CF114" s="1231">
        <f t="shared" si="179"/>
        <v>0</v>
      </c>
      <c r="CG114" s="1231">
        <f t="shared" si="180"/>
        <v>0</v>
      </c>
      <c r="CH114" s="1231">
        <f t="shared" si="181"/>
        <v>0</v>
      </c>
      <c r="CI114" s="1231">
        <f t="shared" si="182"/>
        <v>0</v>
      </c>
      <c r="CJ114" s="1231">
        <f t="shared" si="183"/>
        <v>0</v>
      </c>
      <c r="CK114" s="1231">
        <f t="shared" si="184"/>
        <v>0</v>
      </c>
      <c r="CL114" s="1231">
        <f t="shared" si="185"/>
        <v>0</v>
      </c>
      <c r="CM114" s="1231">
        <f t="shared" si="186"/>
        <v>0</v>
      </c>
      <c r="CN114" s="1231">
        <f t="shared" si="187"/>
        <v>0</v>
      </c>
      <c r="CQ114" s="1230"/>
      <c r="CR114" s="1230"/>
      <c r="CS114" s="1230"/>
      <c r="CT114" s="1230"/>
      <c r="CU114" s="1230"/>
      <c r="CV114" s="1230"/>
      <c r="CW114" s="1230"/>
      <c r="CX114" s="1230"/>
      <c r="CY114" s="1230"/>
      <c r="CZ114" s="1230"/>
      <c r="DA114" s="1230"/>
      <c r="DB114" s="1230"/>
      <c r="DC114" s="1230"/>
      <c r="DD114" s="1230"/>
      <c r="DE114" s="1230"/>
      <c r="DF114" s="1230"/>
      <c r="DG114" s="1230"/>
      <c r="DH114" s="1230"/>
      <c r="DI114" s="1230"/>
      <c r="DJ114" s="1230"/>
      <c r="EU114" s="1230"/>
      <c r="EV114" s="1230"/>
      <c r="EW114" s="1230"/>
      <c r="EX114" s="1230"/>
      <c r="EY114" s="1230"/>
      <c r="EZ114" s="1230"/>
      <c r="FA114" s="1230"/>
      <c r="FB114" s="1230"/>
      <c r="FC114" s="1230"/>
      <c r="FD114" s="1230"/>
      <c r="FE114" s="1230"/>
      <c r="FF114" s="1230"/>
    </row>
    <row r="115" spans="1:162">
      <c r="A115" s="1224"/>
      <c r="B115" s="1224"/>
      <c r="CQ115" s="1165"/>
      <c r="CR115" s="1165"/>
      <c r="CS115" s="1165"/>
      <c r="CT115" s="1165"/>
      <c r="CU115" s="1165"/>
      <c r="CV115" s="1165"/>
      <c r="CW115" s="1165"/>
      <c r="CX115" s="1165"/>
      <c r="CY115" s="1165"/>
      <c r="CZ115" s="1165"/>
      <c r="DA115" s="1165"/>
      <c r="DB115" s="1165"/>
      <c r="DC115" s="1165"/>
      <c r="DD115" s="1165"/>
      <c r="DE115" s="1165"/>
      <c r="DF115" s="1165"/>
      <c r="DG115" s="1165"/>
      <c r="DH115" s="1165"/>
      <c r="DI115" s="1165"/>
      <c r="DJ115" s="1165"/>
      <c r="DK115" s="1165"/>
      <c r="DL115" s="1165"/>
      <c r="DM115" s="1165"/>
      <c r="DN115" s="1165"/>
      <c r="DO115" s="1165"/>
      <c r="DP115" s="1165"/>
      <c r="DQ115" s="1165"/>
      <c r="DR115" s="1165"/>
      <c r="DS115" s="1165"/>
      <c r="DT115" s="1165"/>
      <c r="DU115" s="1165"/>
      <c r="DV115" s="1165"/>
      <c r="DW115" s="1165"/>
      <c r="DX115" s="1165"/>
      <c r="DY115" s="1165"/>
      <c r="DZ115" s="1165"/>
      <c r="EA115" s="1165"/>
      <c r="EB115" s="1165"/>
      <c r="EC115" s="1165"/>
      <c r="ED115" s="1165"/>
      <c r="EE115" s="1165"/>
      <c r="EF115" s="1165"/>
      <c r="EG115" s="1165"/>
      <c r="EH115" s="1165"/>
      <c r="EI115" s="1165"/>
      <c r="EJ115" s="1165"/>
      <c r="EK115" s="1165"/>
      <c r="EL115" s="1165"/>
      <c r="EM115" s="1165"/>
      <c r="EN115" s="1165"/>
      <c r="EO115" s="1165"/>
      <c r="EP115" s="1165"/>
      <c r="EQ115" s="1165"/>
      <c r="ER115" s="1165"/>
      <c r="ES115" s="1165"/>
      <c r="ET115" s="1165"/>
      <c r="EU115" s="1165"/>
      <c r="EV115" s="1165"/>
      <c r="EW115" s="1165"/>
      <c r="EX115" s="1165"/>
      <c r="EY115" s="1165"/>
      <c r="EZ115" s="1165"/>
      <c r="FA115" s="1165"/>
      <c r="FB115" s="1165"/>
      <c r="FC115" s="1165"/>
      <c r="FD115" s="1165"/>
      <c r="FE115" s="1165"/>
      <c r="FF115" s="1165"/>
    </row>
    <row r="116" spans="1:162">
      <c r="B116" s="1250" t="s">
        <v>144</v>
      </c>
      <c r="CQ116" s="1165"/>
      <c r="CR116" s="1165"/>
      <c r="CS116" s="1165"/>
      <c r="CT116" s="1165"/>
      <c r="CU116" s="1165"/>
      <c r="CV116" s="1165"/>
      <c r="CW116" s="1165"/>
      <c r="CX116" s="1165"/>
      <c r="CY116" s="1165"/>
      <c r="CZ116" s="1165"/>
      <c r="DA116" s="1165"/>
      <c r="DB116" s="1165"/>
      <c r="DC116" s="1165"/>
      <c r="DD116" s="1165"/>
      <c r="DE116" s="1165"/>
      <c r="DF116" s="1165"/>
      <c r="DG116" s="1165"/>
      <c r="DH116" s="1165"/>
      <c r="DI116" s="1165"/>
      <c r="DJ116" s="1165"/>
      <c r="DK116" s="1165"/>
      <c r="DL116" s="1165"/>
      <c r="DM116" s="1165"/>
      <c r="DN116" s="1165"/>
      <c r="DO116" s="1165"/>
      <c r="DP116" s="1165"/>
      <c r="DQ116" s="1165"/>
      <c r="DR116" s="1165"/>
      <c r="DS116" s="1165"/>
      <c r="DT116" s="1165"/>
      <c r="DU116" s="1165"/>
      <c r="DV116" s="1165"/>
      <c r="DW116" s="1165"/>
      <c r="DX116" s="1165"/>
      <c r="DY116" s="1165"/>
      <c r="DZ116" s="1165"/>
      <c r="EA116" s="1165"/>
      <c r="EB116" s="1165"/>
      <c r="EC116" s="1165"/>
      <c r="ED116" s="1165"/>
      <c r="EE116" s="1165"/>
      <c r="EF116" s="1165"/>
      <c r="EG116" s="1165"/>
      <c r="EH116" s="1165"/>
      <c r="EI116" s="1165"/>
      <c r="EJ116" s="1165"/>
      <c r="EK116" s="1165"/>
      <c r="EL116" s="1165"/>
      <c r="EM116" s="1165"/>
      <c r="EN116" s="1165"/>
      <c r="EO116" s="1165"/>
      <c r="EP116" s="1165"/>
      <c r="EQ116" s="1165"/>
      <c r="ER116" s="1165"/>
      <c r="ES116" s="1165"/>
      <c r="ET116" s="1165"/>
      <c r="EU116" s="1165"/>
      <c r="EV116" s="1165"/>
      <c r="EW116" s="1165"/>
      <c r="EX116" s="1165"/>
      <c r="EY116" s="1165"/>
      <c r="EZ116" s="1165"/>
      <c r="FA116" s="1165"/>
      <c r="FB116" s="1165"/>
      <c r="FC116" s="1165"/>
      <c r="FD116" s="1165"/>
      <c r="FE116" s="1165"/>
      <c r="FF116" s="1165"/>
    </row>
    <row r="117" spans="1:162">
      <c r="A117" s="1203" t="s">
        <v>518</v>
      </c>
      <c r="B117" s="1237" t="s">
        <v>49</v>
      </c>
      <c r="M117" s="1236">
        <f t="shared" ref="M117:Q120" ca="1" si="195">OFFSET($CT117,0,M$7)</f>
        <v>0</v>
      </c>
      <c r="N117" s="1236">
        <f t="shared" ca="1" si="195"/>
        <v>0</v>
      </c>
      <c r="O117" s="1253">
        <f t="shared" ca="1" si="195"/>
        <v>0</v>
      </c>
      <c r="P117" s="1236">
        <f t="shared" ca="1" si="195"/>
        <v>0</v>
      </c>
      <c r="Q117" s="1236">
        <f t="shared" ca="1" si="195"/>
        <v>0</v>
      </c>
      <c r="R117" s="1238">
        <f>INDEX('Basic Data TR'!$A$1:$AMJ$9673,MATCH($A117,'Basic Data TR'!$A$1:$A$9673,0),MATCH(R$6,'Basic Data TR'!$A$1:$AMJ$1,0))</f>
        <v>515.80832999999996</v>
      </c>
      <c r="S117" s="1238">
        <f>INDEX('Basic Data TR'!$A$1:$AMJ$9673,MATCH($A117,'Basic Data TR'!$A$1:$A$9673,0),MATCH(S$6,'Basic Data TR'!$A$1:$AMJ$1,0))</f>
        <v>261.61500000000001</v>
      </c>
      <c r="T117" s="1238">
        <f>INDEX('Basic Data TR'!$A$1:$AMJ$9673,MATCH($A117,'Basic Data TR'!$A$1:$A$9673,0),MATCH(T$6,'Basic Data TR'!$A$1:$AMJ$1,0))</f>
        <v>358.49</v>
      </c>
      <c r="U117" s="1238">
        <f>INDEX('Basic Data TR'!$A$1:$AMJ$9673,MATCH($A117,'Basic Data TR'!$A$1:$A$9673,0),MATCH(U$6,'Basic Data TR'!$A$1:$AMJ$1,0))</f>
        <v>462.483</v>
      </c>
      <c r="V117" s="1238">
        <f>INDEX('Basic Data TR'!$A$1:$AMJ$9673,MATCH($A117,'Basic Data TR'!$A$1:$A$9673,0),MATCH(V$6,'Basic Data TR'!$A$1:$AMJ$1,0))</f>
        <v>603.03599999999994</v>
      </c>
      <c r="W117" s="1238">
        <f>INDEX('Basic Data TR'!$A$1:$AMJ$9673,MATCH($A117,'Basic Data TR'!$A$1:$A$9673,0),MATCH(W$6,'Basic Data TR'!$A$1:$AMJ$1,0))</f>
        <v>1005.201</v>
      </c>
      <c r="X117" s="1238">
        <f>INDEX('Basic Data TR'!$A$1:$AMJ$9673,MATCH($A117,'Basic Data TR'!$A$1:$A$9673,0),MATCH(X$6,'Basic Data TR'!$A$1:$AMJ$1,0))</f>
        <v>2126.011</v>
      </c>
      <c r="Y117" s="1238">
        <f>INDEX('Basic Data TR'!$A$1:$AMJ$9673,MATCH($A117,'Basic Data TR'!$A$1:$A$9673,0),MATCH(Y$6,'Basic Data TR'!$A$1:$AMJ$1,0))</f>
        <v>1838.3</v>
      </c>
      <c r="Z117" s="1238">
        <f>INDEX('Basic Data TR'!$A$1:$AMJ$9673,MATCH($A117,'Basic Data TR'!$A$1:$A$9673,0),MATCH(Z$6,'Basic Data TR'!$A$1:$AMJ$1,0))</f>
        <v>1786.42</v>
      </c>
      <c r="AG117" s="1236">
        <f t="shared" si="128"/>
        <v>0</v>
      </c>
      <c r="AH117" s="1236">
        <f t="shared" si="129"/>
        <v>0</v>
      </c>
      <c r="AI117" s="1236">
        <f t="shared" si="130"/>
        <v>0</v>
      </c>
      <c r="AJ117" s="1236">
        <f t="shared" si="131"/>
        <v>0</v>
      </c>
      <c r="AK117" s="1236">
        <f t="shared" si="132"/>
        <v>0</v>
      </c>
      <c r="AL117" s="1236">
        <f t="shared" si="133"/>
        <v>0</v>
      </c>
      <c r="AM117" s="1236">
        <f t="shared" si="134"/>
        <v>0</v>
      </c>
      <c r="AN117" s="1236">
        <f t="shared" si="135"/>
        <v>0</v>
      </c>
      <c r="AO117" s="1236">
        <f t="shared" si="136"/>
        <v>0</v>
      </c>
      <c r="AP117" s="1236">
        <f t="shared" si="137"/>
        <v>0</v>
      </c>
      <c r="AQ117" s="1236">
        <f t="shared" si="138"/>
        <v>0</v>
      </c>
      <c r="AR117" s="1236">
        <f t="shared" si="139"/>
        <v>0</v>
      </c>
      <c r="AS117" s="1236">
        <f t="shared" si="140"/>
        <v>0</v>
      </c>
      <c r="AT117" s="1236">
        <f t="shared" si="141"/>
        <v>0</v>
      </c>
      <c r="AU117" s="1236">
        <f t="shared" si="142"/>
        <v>0</v>
      </c>
      <c r="AV117" s="1236">
        <f t="shared" si="143"/>
        <v>0</v>
      </c>
      <c r="AW117" s="1236">
        <f t="shared" si="144"/>
        <v>0</v>
      </c>
      <c r="AX117" s="1236">
        <f t="shared" si="145"/>
        <v>0</v>
      </c>
      <c r="AY117" s="1236">
        <f t="shared" si="146"/>
        <v>0</v>
      </c>
      <c r="AZ117" s="1236">
        <f t="shared" si="147"/>
        <v>0</v>
      </c>
      <c r="BA117" s="1236">
        <f t="shared" si="148"/>
        <v>0</v>
      </c>
      <c r="BB117" s="1236">
        <f t="shared" si="149"/>
        <v>0</v>
      </c>
      <c r="BC117" s="1236">
        <f t="shared" si="150"/>
        <v>0</v>
      </c>
      <c r="BD117" s="1236">
        <f t="shared" si="151"/>
        <v>0</v>
      </c>
      <c r="BE117" s="1236">
        <f t="shared" si="152"/>
        <v>0</v>
      </c>
      <c r="BF117" s="1236">
        <f t="shared" si="153"/>
        <v>0</v>
      </c>
      <c r="BG117" s="1236">
        <f t="shared" si="154"/>
        <v>0</v>
      </c>
      <c r="BH117" s="1236">
        <f t="shared" si="155"/>
        <v>0</v>
      </c>
      <c r="BI117" s="1236">
        <f t="shared" si="156"/>
        <v>0</v>
      </c>
      <c r="BJ117" s="1236">
        <f t="shared" si="157"/>
        <v>0</v>
      </c>
      <c r="BK117" s="1236">
        <f t="shared" si="158"/>
        <v>0</v>
      </c>
      <c r="BL117" s="1236">
        <f t="shared" si="159"/>
        <v>0</v>
      </c>
      <c r="BM117" s="1236">
        <f t="shared" si="160"/>
        <v>0</v>
      </c>
      <c r="BN117" s="1236">
        <f t="shared" si="161"/>
        <v>0</v>
      </c>
      <c r="BO117" s="1236">
        <f t="shared" si="162"/>
        <v>0</v>
      </c>
      <c r="BP117" s="1236">
        <f t="shared" si="163"/>
        <v>0</v>
      </c>
      <c r="BQ117" s="1236">
        <f t="shared" si="164"/>
        <v>0</v>
      </c>
      <c r="BR117" s="1236">
        <f t="shared" si="165"/>
        <v>0</v>
      </c>
      <c r="BS117" s="1236">
        <f t="shared" si="166"/>
        <v>0</v>
      </c>
      <c r="BT117" s="1236">
        <f t="shared" si="167"/>
        <v>0</v>
      </c>
      <c r="BU117" s="1236">
        <f t="shared" si="168"/>
        <v>0</v>
      </c>
      <c r="BV117" s="1236">
        <f t="shared" si="169"/>
        <v>0</v>
      </c>
      <c r="BW117" s="1236">
        <f t="shared" si="170"/>
        <v>0</v>
      </c>
      <c r="BX117" s="1236">
        <f t="shared" si="171"/>
        <v>0</v>
      </c>
      <c r="BY117" s="1236">
        <f t="shared" si="172"/>
        <v>0</v>
      </c>
      <c r="BZ117" s="1236">
        <f t="shared" si="173"/>
        <v>0</v>
      </c>
      <c r="CA117" s="1236">
        <f t="shared" si="174"/>
        <v>0</v>
      </c>
      <c r="CB117" s="1236">
        <f t="shared" si="175"/>
        <v>0</v>
      </c>
      <c r="CC117" s="1236">
        <f t="shared" si="176"/>
        <v>0</v>
      </c>
      <c r="CD117" s="1236">
        <f t="shared" si="177"/>
        <v>0</v>
      </c>
      <c r="CE117" s="1236">
        <f t="shared" si="178"/>
        <v>0</v>
      </c>
      <c r="CF117" s="1236">
        <f t="shared" si="179"/>
        <v>0</v>
      </c>
      <c r="CG117" s="1236">
        <f t="shared" si="180"/>
        <v>0</v>
      </c>
      <c r="CH117" s="1236">
        <f t="shared" si="181"/>
        <v>0</v>
      </c>
      <c r="CI117" s="1236">
        <f t="shared" si="182"/>
        <v>0</v>
      </c>
      <c r="CJ117" s="1236">
        <f t="shared" si="183"/>
        <v>0</v>
      </c>
      <c r="CK117" s="1236">
        <f t="shared" si="184"/>
        <v>0</v>
      </c>
      <c r="CL117" s="1236">
        <f t="shared" si="185"/>
        <v>0</v>
      </c>
      <c r="CM117" s="1236">
        <f t="shared" si="186"/>
        <v>0</v>
      </c>
      <c r="CN117" s="1236">
        <f t="shared" si="187"/>
        <v>0</v>
      </c>
      <c r="CQ117" s="1165"/>
      <c r="CR117" s="1165"/>
      <c r="CS117" s="1165"/>
      <c r="CT117" s="1165"/>
      <c r="CU117" s="1165"/>
      <c r="CV117" s="1165"/>
      <c r="CW117" s="1165"/>
      <c r="CX117" s="1165"/>
      <c r="CY117" s="1165"/>
      <c r="CZ117" s="1165"/>
      <c r="DA117" s="1165"/>
      <c r="DB117" s="1165"/>
      <c r="DC117" s="1165"/>
      <c r="DD117" s="1165"/>
      <c r="DE117" s="1165"/>
      <c r="DF117" s="1165"/>
      <c r="DG117" s="1165"/>
      <c r="DH117" s="1165"/>
      <c r="DI117" s="1165"/>
      <c r="DJ117" s="1165"/>
      <c r="DK117" s="1165"/>
      <c r="DL117" s="1165"/>
      <c r="DM117" s="1165"/>
      <c r="DN117" s="1165"/>
      <c r="DO117" s="1165"/>
      <c r="DP117" s="1165"/>
      <c r="DQ117" s="1165"/>
      <c r="DR117" s="1165"/>
      <c r="DS117" s="1165"/>
      <c r="DT117" s="1165"/>
      <c r="DU117" s="1165"/>
      <c r="DV117" s="1165"/>
      <c r="DW117" s="1165"/>
      <c r="DX117" s="1165"/>
      <c r="DY117" s="1165"/>
      <c r="DZ117" s="1165"/>
      <c r="EA117" s="1165"/>
      <c r="EB117" s="1165"/>
      <c r="EC117" s="1165"/>
      <c r="ED117" s="1165"/>
      <c r="EE117" s="1165"/>
      <c r="EF117" s="1165"/>
      <c r="EG117" s="1165"/>
      <c r="EH117" s="1165"/>
      <c r="EI117" s="1165"/>
      <c r="EJ117" s="1165"/>
      <c r="EK117" s="1165"/>
      <c r="EL117" s="1165"/>
      <c r="EM117" s="1165"/>
      <c r="EN117" s="1165"/>
      <c r="EO117" s="1165"/>
      <c r="EP117" s="1165"/>
      <c r="EQ117" s="1165"/>
      <c r="ER117" s="1165"/>
      <c r="ES117" s="1165"/>
      <c r="ET117" s="1165"/>
      <c r="EU117" s="1165"/>
      <c r="EV117" s="1165"/>
      <c r="EW117" s="1165"/>
      <c r="EX117" s="1165"/>
      <c r="EY117" s="1165"/>
      <c r="EZ117" s="1165"/>
      <c r="FA117" s="1165"/>
      <c r="FB117" s="1165"/>
      <c r="FC117" s="1165"/>
      <c r="FD117" s="1165"/>
      <c r="FE117" s="1165"/>
      <c r="FF117" s="1165"/>
    </row>
    <row r="118" spans="1:162">
      <c r="A118" s="1203" t="s">
        <v>519</v>
      </c>
      <c r="B118" s="1237" t="s">
        <v>50</v>
      </c>
      <c r="M118" s="1236">
        <f t="shared" ca="1" si="195"/>
        <v>0</v>
      </c>
      <c r="N118" s="1236">
        <f t="shared" ca="1" si="195"/>
        <v>0</v>
      </c>
      <c r="O118" s="1236">
        <f t="shared" ca="1" si="195"/>
        <v>0</v>
      </c>
      <c r="P118" s="1236">
        <f t="shared" ca="1" si="195"/>
        <v>0</v>
      </c>
      <c r="Q118" s="1236">
        <f t="shared" ca="1" si="195"/>
        <v>0</v>
      </c>
      <c r="R118" s="1238"/>
      <c r="S118" s="1238"/>
      <c r="T118" s="1238"/>
      <c r="U118" s="1238"/>
      <c r="V118" s="1238"/>
      <c r="W118" s="1238"/>
      <c r="X118" s="1238"/>
      <c r="Y118" s="1238"/>
      <c r="AG118" s="1236">
        <f t="shared" si="128"/>
        <v>0</v>
      </c>
      <c r="AH118" s="1236">
        <f t="shared" si="129"/>
        <v>0</v>
      </c>
      <c r="AI118" s="1236">
        <f t="shared" si="130"/>
        <v>0</v>
      </c>
      <c r="AJ118" s="1236">
        <f t="shared" si="131"/>
        <v>0</v>
      </c>
      <c r="AK118" s="1236">
        <f t="shared" si="132"/>
        <v>0</v>
      </c>
      <c r="AL118" s="1236">
        <f t="shared" si="133"/>
        <v>0</v>
      </c>
      <c r="AM118" s="1236">
        <f t="shared" si="134"/>
        <v>0</v>
      </c>
      <c r="AN118" s="1236">
        <f t="shared" si="135"/>
        <v>0</v>
      </c>
      <c r="AO118" s="1236">
        <f t="shared" si="136"/>
        <v>0</v>
      </c>
      <c r="AP118" s="1236">
        <f t="shared" si="137"/>
        <v>0</v>
      </c>
      <c r="AQ118" s="1236">
        <f t="shared" si="138"/>
        <v>0</v>
      </c>
      <c r="AR118" s="1236">
        <f t="shared" si="139"/>
        <v>0</v>
      </c>
      <c r="AS118" s="1236">
        <f t="shared" si="140"/>
        <v>0</v>
      </c>
      <c r="AT118" s="1236">
        <f t="shared" si="141"/>
        <v>0</v>
      </c>
      <c r="AU118" s="1236">
        <f t="shared" si="142"/>
        <v>0</v>
      </c>
      <c r="AV118" s="1236">
        <f t="shared" si="143"/>
        <v>0</v>
      </c>
      <c r="AW118" s="1236">
        <f t="shared" si="144"/>
        <v>0</v>
      </c>
      <c r="AX118" s="1236">
        <f t="shared" si="145"/>
        <v>0</v>
      </c>
      <c r="AY118" s="1236">
        <f t="shared" si="146"/>
        <v>0</v>
      </c>
      <c r="AZ118" s="1236">
        <f t="shared" si="147"/>
        <v>0</v>
      </c>
      <c r="BA118" s="1236">
        <f t="shared" si="148"/>
        <v>0</v>
      </c>
      <c r="BB118" s="1236">
        <f t="shared" si="149"/>
        <v>0</v>
      </c>
      <c r="BC118" s="1236">
        <f t="shared" si="150"/>
        <v>0</v>
      </c>
      <c r="BD118" s="1236">
        <f t="shared" si="151"/>
        <v>0</v>
      </c>
      <c r="BE118" s="1236">
        <f t="shared" si="152"/>
        <v>0</v>
      </c>
      <c r="BF118" s="1236">
        <f t="shared" si="153"/>
        <v>0</v>
      </c>
      <c r="BG118" s="1236">
        <f t="shared" si="154"/>
        <v>0</v>
      </c>
      <c r="BH118" s="1236">
        <f t="shared" si="155"/>
        <v>0</v>
      </c>
      <c r="BI118" s="1236">
        <f t="shared" si="156"/>
        <v>0</v>
      </c>
      <c r="BJ118" s="1236">
        <f t="shared" si="157"/>
        <v>0</v>
      </c>
      <c r="BK118" s="1236">
        <f t="shared" si="158"/>
        <v>0</v>
      </c>
      <c r="BL118" s="1236">
        <f t="shared" si="159"/>
        <v>0</v>
      </c>
      <c r="BM118" s="1236">
        <f t="shared" si="160"/>
        <v>0</v>
      </c>
      <c r="BN118" s="1236">
        <f t="shared" si="161"/>
        <v>0</v>
      </c>
      <c r="BO118" s="1236">
        <f t="shared" si="162"/>
        <v>0</v>
      </c>
      <c r="BP118" s="1236">
        <f t="shared" si="163"/>
        <v>0</v>
      </c>
      <c r="BQ118" s="1236">
        <f t="shared" si="164"/>
        <v>0</v>
      </c>
      <c r="BR118" s="1236">
        <f t="shared" si="165"/>
        <v>0</v>
      </c>
      <c r="BS118" s="1236">
        <f t="shared" si="166"/>
        <v>0</v>
      </c>
      <c r="BT118" s="1236">
        <f t="shared" si="167"/>
        <v>0</v>
      </c>
      <c r="BU118" s="1236">
        <f t="shared" si="168"/>
        <v>0</v>
      </c>
      <c r="BV118" s="1236">
        <f t="shared" si="169"/>
        <v>0</v>
      </c>
      <c r="BW118" s="1236">
        <f t="shared" si="170"/>
        <v>0</v>
      </c>
      <c r="BX118" s="1236">
        <f t="shared" si="171"/>
        <v>0</v>
      </c>
      <c r="BY118" s="1236">
        <f t="shared" si="172"/>
        <v>0</v>
      </c>
      <c r="BZ118" s="1236">
        <f t="shared" si="173"/>
        <v>0</v>
      </c>
      <c r="CA118" s="1236">
        <f t="shared" si="174"/>
        <v>0</v>
      </c>
      <c r="CB118" s="1236">
        <f t="shared" si="175"/>
        <v>0</v>
      </c>
      <c r="CC118" s="1236">
        <f t="shared" si="176"/>
        <v>0</v>
      </c>
      <c r="CD118" s="1236">
        <f t="shared" si="177"/>
        <v>0</v>
      </c>
      <c r="CE118" s="1236">
        <f t="shared" si="178"/>
        <v>0</v>
      </c>
      <c r="CF118" s="1236">
        <f t="shared" si="179"/>
        <v>0</v>
      </c>
      <c r="CG118" s="1236">
        <f t="shared" si="180"/>
        <v>0</v>
      </c>
      <c r="CH118" s="1236">
        <f t="shared" si="181"/>
        <v>0</v>
      </c>
      <c r="CI118" s="1236">
        <f t="shared" si="182"/>
        <v>0</v>
      </c>
      <c r="CJ118" s="1236">
        <f t="shared" si="183"/>
        <v>0</v>
      </c>
      <c r="CK118" s="1236">
        <f t="shared" si="184"/>
        <v>0</v>
      </c>
      <c r="CL118" s="1236">
        <f t="shared" si="185"/>
        <v>0</v>
      </c>
      <c r="CM118" s="1236">
        <f t="shared" si="186"/>
        <v>0</v>
      </c>
      <c r="CN118" s="1236">
        <f t="shared" si="187"/>
        <v>0</v>
      </c>
      <c r="CQ118" s="1165"/>
      <c r="CR118" s="1165"/>
      <c r="CS118" s="1165"/>
      <c r="CT118" s="1165"/>
      <c r="CU118" s="1165"/>
      <c r="CV118" s="1165"/>
      <c r="CW118" s="1165"/>
      <c r="CX118" s="1165"/>
      <c r="CY118" s="1165"/>
      <c r="CZ118" s="1165"/>
      <c r="DA118" s="1165"/>
      <c r="DB118" s="1165"/>
      <c r="DC118" s="1165"/>
      <c r="DD118" s="1165"/>
      <c r="DE118" s="1165"/>
      <c r="DF118" s="1165"/>
      <c r="DG118" s="1165"/>
      <c r="DH118" s="1165"/>
      <c r="DI118" s="1165"/>
      <c r="DJ118" s="1165"/>
      <c r="DK118" s="1165"/>
      <c r="DL118" s="1165"/>
      <c r="DM118" s="1165"/>
      <c r="DN118" s="1165"/>
      <c r="DO118" s="1165"/>
      <c r="DP118" s="1165"/>
      <c r="DQ118" s="1165"/>
      <c r="DR118" s="1165"/>
      <c r="DS118" s="1165"/>
      <c r="DT118" s="1165"/>
      <c r="DU118" s="1165"/>
      <c r="DV118" s="1165"/>
      <c r="DW118" s="1165"/>
      <c r="DX118" s="1165"/>
      <c r="DY118" s="1165"/>
      <c r="DZ118" s="1165"/>
      <c r="EA118" s="1165"/>
      <c r="EB118" s="1165"/>
      <c r="EC118" s="1165"/>
      <c r="ED118" s="1165"/>
      <c r="EE118" s="1165"/>
      <c r="EF118" s="1165"/>
      <c r="EG118" s="1165"/>
      <c r="EH118" s="1165"/>
      <c r="EI118" s="1165"/>
      <c r="EJ118" s="1165"/>
      <c r="EK118" s="1165"/>
      <c r="EL118" s="1165"/>
      <c r="EM118" s="1165"/>
      <c r="EN118" s="1165"/>
      <c r="EO118" s="1165"/>
      <c r="EP118" s="1165"/>
      <c r="EQ118" s="1165"/>
      <c r="ER118" s="1165"/>
      <c r="ES118" s="1165"/>
      <c r="ET118" s="1165"/>
      <c r="EU118" s="1165"/>
      <c r="EV118" s="1165"/>
      <c r="EW118" s="1165"/>
      <c r="EX118" s="1165"/>
      <c r="EY118" s="1165"/>
      <c r="EZ118" s="1165"/>
      <c r="FA118" s="1165"/>
      <c r="FB118" s="1165"/>
      <c r="FC118" s="1165"/>
      <c r="FD118" s="1165"/>
      <c r="FE118" s="1165"/>
      <c r="FF118" s="1165"/>
    </row>
    <row r="119" spans="1:162">
      <c r="A119" s="1224"/>
      <c r="B119" s="1237" t="s">
        <v>12</v>
      </c>
      <c r="M119" s="1236">
        <f t="shared" ca="1" si="195"/>
        <v>0</v>
      </c>
      <c r="N119" s="1236">
        <f t="shared" ca="1" si="195"/>
        <v>0</v>
      </c>
      <c r="O119" s="1236">
        <f t="shared" ca="1" si="195"/>
        <v>0</v>
      </c>
      <c r="P119" s="1236">
        <f t="shared" ca="1" si="195"/>
        <v>0</v>
      </c>
      <c r="Q119" s="1236">
        <f t="shared" ca="1" si="195"/>
        <v>0</v>
      </c>
      <c r="AG119" s="1236">
        <f t="shared" si="128"/>
        <v>0</v>
      </c>
      <c r="AH119" s="1236">
        <f t="shared" si="129"/>
        <v>0</v>
      </c>
      <c r="AI119" s="1236">
        <f t="shared" si="130"/>
        <v>0</v>
      </c>
      <c r="AJ119" s="1236">
        <f t="shared" si="131"/>
        <v>0</v>
      </c>
      <c r="AK119" s="1236">
        <f t="shared" si="132"/>
        <v>0</v>
      </c>
      <c r="AL119" s="1236">
        <f t="shared" si="133"/>
        <v>0</v>
      </c>
      <c r="AM119" s="1236">
        <f t="shared" si="134"/>
        <v>0</v>
      </c>
      <c r="AN119" s="1236">
        <f t="shared" si="135"/>
        <v>0</v>
      </c>
      <c r="AO119" s="1236">
        <f t="shared" si="136"/>
        <v>0</v>
      </c>
      <c r="AP119" s="1236">
        <f t="shared" si="137"/>
        <v>0</v>
      </c>
      <c r="AQ119" s="1236">
        <f t="shared" si="138"/>
        <v>0</v>
      </c>
      <c r="AR119" s="1236">
        <f t="shared" si="139"/>
        <v>0</v>
      </c>
      <c r="AS119" s="1236">
        <f t="shared" si="140"/>
        <v>0</v>
      </c>
      <c r="AT119" s="1236">
        <f t="shared" si="141"/>
        <v>0</v>
      </c>
      <c r="AU119" s="1236">
        <f t="shared" si="142"/>
        <v>0</v>
      </c>
      <c r="AV119" s="1236">
        <f t="shared" si="143"/>
        <v>0</v>
      </c>
      <c r="AW119" s="1236">
        <f t="shared" si="144"/>
        <v>0</v>
      </c>
      <c r="AX119" s="1236">
        <f t="shared" si="145"/>
        <v>0</v>
      </c>
      <c r="AY119" s="1236">
        <f t="shared" si="146"/>
        <v>0</v>
      </c>
      <c r="AZ119" s="1236">
        <f t="shared" si="147"/>
        <v>0</v>
      </c>
      <c r="BA119" s="1236">
        <f t="shared" si="148"/>
        <v>0</v>
      </c>
      <c r="BB119" s="1236">
        <f t="shared" si="149"/>
        <v>0</v>
      </c>
      <c r="BC119" s="1236">
        <f t="shared" si="150"/>
        <v>0</v>
      </c>
      <c r="BD119" s="1236">
        <f t="shared" si="151"/>
        <v>0</v>
      </c>
      <c r="BE119" s="1236">
        <f t="shared" si="152"/>
        <v>0</v>
      </c>
      <c r="BF119" s="1236">
        <f t="shared" si="153"/>
        <v>0</v>
      </c>
      <c r="BG119" s="1236">
        <f t="shared" si="154"/>
        <v>0</v>
      </c>
      <c r="BH119" s="1236">
        <f t="shared" si="155"/>
        <v>0</v>
      </c>
      <c r="BI119" s="1236">
        <f t="shared" si="156"/>
        <v>0</v>
      </c>
      <c r="BJ119" s="1236">
        <f t="shared" si="157"/>
        <v>0</v>
      </c>
      <c r="BK119" s="1236">
        <f t="shared" si="158"/>
        <v>0</v>
      </c>
      <c r="BL119" s="1236">
        <f t="shared" si="159"/>
        <v>0</v>
      </c>
      <c r="BM119" s="1236">
        <f t="shared" si="160"/>
        <v>0</v>
      </c>
      <c r="BN119" s="1236">
        <f t="shared" si="161"/>
        <v>0</v>
      </c>
      <c r="BO119" s="1236">
        <f t="shared" si="162"/>
        <v>0</v>
      </c>
      <c r="BP119" s="1236">
        <f t="shared" si="163"/>
        <v>0</v>
      </c>
      <c r="BQ119" s="1236">
        <f t="shared" si="164"/>
        <v>0</v>
      </c>
      <c r="BR119" s="1236">
        <f t="shared" si="165"/>
        <v>0</v>
      </c>
      <c r="BS119" s="1236">
        <f t="shared" si="166"/>
        <v>0</v>
      </c>
      <c r="BT119" s="1236">
        <f t="shared" si="167"/>
        <v>0</v>
      </c>
      <c r="BU119" s="1236">
        <f t="shared" si="168"/>
        <v>0</v>
      </c>
      <c r="BV119" s="1236">
        <f t="shared" si="169"/>
        <v>0</v>
      </c>
      <c r="BW119" s="1236">
        <f t="shared" si="170"/>
        <v>0</v>
      </c>
      <c r="BX119" s="1236">
        <f t="shared" si="171"/>
        <v>0</v>
      </c>
      <c r="BY119" s="1236">
        <f t="shared" si="172"/>
        <v>0</v>
      </c>
      <c r="BZ119" s="1236">
        <f t="shared" si="173"/>
        <v>0</v>
      </c>
      <c r="CA119" s="1236">
        <f t="shared" si="174"/>
        <v>0</v>
      </c>
      <c r="CB119" s="1236">
        <f t="shared" si="175"/>
        <v>0</v>
      </c>
      <c r="CC119" s="1236">
        <f t="shared" si="176"/>
        <v>0</v>
      </c>
      <c r="CD119" s="1236">
        <f t="shared" si="177"/>
        <v>0</v>
      </c>
      <c r="CE119" s="1236">
        <f t="shared" si="178"/>
        <v>0</v>
      </c>
      <c r="CF119" s="1236">
        <f t="shared" si="179"/>
        <v>0</v>
      </c>
      <c r="CG119" s="1236">
        <f t="shared" si="180"/>
        <v>0</v>
      </c>
      <c r="CH119" s="1236">
        <f t="shared" si="181"/>
        <v>0</v>
      </c>
      <c r="CI119" s="1236">
        <f t="shared" si="182"/>
        <v>0</v>
      </c>
      <c r="CJ119" s="1236">
        <f t="shared" si="183"/>
        <v>0</v>
      </c>
      <c r="CK119" s="1236">
        <f t="shared" si="184"/>
        <v>0</v>
      </c>
      <c r="CL119" s="1236">
        <f t="shared" si="185"/>
        <v>0</v>
      </c>
      <c r="CM119" s="1236">
        <f t="shared" si="186"/>
        <v>0</v>
      </c>
      <c r="CN119" s="1236">
        <f t="shared" si="187"/>
        <v>0</v>
      </c>
      <c r="CQ119" s="1165"/>
      <c r="CR119" s="1165"/>
      <c r="CS119" s="1165"/>
      <c r="CT119" s="1165"/>
      <c r="CU119" s="1165"/>
      <c r="CV119" s="1165"/>
      <c r="CW119" s="1165"/>
      <c r="CX119" s="1165"/>
      <c r="CY119" s="1165"/>
      <c r="CZ119" s="1165"/>
      <c r="DA119" s="1165"/>
      <c r="DB119" s="1165"/>
      <c r="DC119" s="1165"/>
      <c r="DD119" s="1165"/>
      <c r="DE119" s="1165"/>
      <c r="DF119" s="1165"/>
      <c r="DG119" s="1165"/>
      <c r="DH119" s="1165"/>
      <c r="DI119" s="1165"/>
      <c r="DJ119" s="1165"/>
      <c r="DK119" s="1165"/>
      <c r="DL119" s="1165"/>
      <c r="DM119" s="1165"/>
      <c r="DN119" s="1165"/>
      <c r="DO119" s="1165"/>
      <c r="DP119" s="1165"/>
      <c r="DQ119" s="1165"/>
      <c r="DR119" s="1165"/>
      <c r="DS119" s="1165"/>
      <c r="DT119" s="1165"/>
      <c r="DU119" s="1165"/>
      <c r="DV119" s="1165"/>
      <c r="DW119" s="1165"/>
      <c r="DX119" s="1165"/>
      <c r="DY119" s="1165"/>
      <c r="DZ119" s="1165"/>
      <c r="EA119" s="1165"/>
      <c r="EB119" s="1165"/>
      <c r="EC119" s="1165"/>
      <c r="ED119" s="1165"/>
      <c r="EE119" s="1165"/>
      <c r="EF119" s="1165"/>
      <c r="EG119" s="1165"/>
      <c r="EH119" s="1165"/>
      <c r="EI119" s="1165"/>
      <c r="EJ119" s="1165"/>
      <c r="EK119" s="1165"/>
      <c r="EL119" s="1165"/>
      <c r="EM119" s="1165"/>
      <c r="EN119" s="1165"/>
      <c r="EO119" s="1165"/>
      <c r="EP119" s="1165"/>
      <c r="EQ119" s="1165"/>
      <c r="ER119" s="1165"/>
      <c r="ES119" s="1165"/>
      <c r="ET119" s="1165"/>
      <c r="EU119" s="1165"/>
      <c r="EV119" s="1165"/>
      <c r="EW119" s="1165"/>
      <c r="EX119" s="1165"/>
      <c r="EY119" s="1165"/>
      <c r="EZ119" s="1165"/>
      <c r="FA119" s="1165"/>
      <c r="FB119" s="1165"/>
      <c r="FC119" s="1165"/>
      <c r="FD119" s="1165"/>
      <c r="FE119" s="1165"/>
      <c r="FF119" s="1165"/>
    </row>
    <row r="120" spans="1:162" s="1231" customFormat="1">
      <c r="A120" s="1205" t="s">
        <v>521</v>
      </c>
      <c r="B120" s="1230" t="s">
        <v>46</v>
      </c>
      <c r="M120" s="1231">
        <f t="shared" ca="1" si="195"/>
        <v>0</v>
      </c>
      <c r="N120" s="1231">
        <f t="shared" ca="1" si="195"/>
        <v>0</v>
      </c>
      <c r="O120" s="1231">
        <f t="shared" ca="1" si="195"/>
        <v>0</v>
      </c>
      <c r="P120" s="1231">
        <f t="shared" ca="1" si="195"/>
        <v>0</v>
      </c>
      <c r="Q120" s="1231">
        <f t="shared" ca="1" si="195"/>
        <v>0</v>
      </c>
      <c r="R120" s="1232">
        <f>SUM(R117:R119)</f>
        <v>515.80832999999996</v>
      </c>
      <c r="S120" s="1232">
        <f t="shared" ref="S120:Z120" si="196">SUM(S117:S119)</f>
        <v>261.61500000000001</v>
      </c>
      <c r="T120" s="1232">
        <f t="shared" si="196"/>
        <v>358.49</v>
      </c>
      <c r="U120" s="1232">
        <f t="shared" si="196"/>
        <v>462.483</v>
      </c>
      <c r="V120" s="1232">
        <f t="shared" si="196"/>
        <v>603.03599999999994</v>
      </c>
      <c r="W120" s="1232">
        <f t="shared" si="196"/>
        <v>1005.201</v>
      </c>
      <c r="X120" s="1232">
        <f t="shared" si="196"/>
        <v>2126.011</v>
      </c>
      <c r="Y120" s="1232">
        <f t="shared" si="196"/>
        <v>1838.3</v>
      </c>
      <c r="Z120" s="1232">
        <f t="shared" si="196"/>
        <v>1786.42</v>
      </c>
      <c r="AA120" s="1232"/>
      <c r="AB120" s="1232"/>
      <c r="AC120" s="1232"/>
      <c r="AG120" s="1231">
        <f t="shared" si="128"/>
        <v>0</v>
      </c>
      <c r="AH120" s="1231">
        <f t="shared" si="129"/>
        <v>0</v>
      </c>
      <c r="AI120" s="1231">
        <f t="shared" si="130"/>
        <v>0</v>
      </c>
      <c r="AJ120" s="1231">
        <f t="shared" si="131"/>
        <v>0</v>
      </c>
      <c r="AK120" s="1231">
        <f t="shared" si="132"/>
        <v>0</v>
      </c>
      <c r="AL120" s="1231">
        <f t="shared" si="133"/>
        <v>0</v>
      </c>
      <c r="AM120" s="1231">
        <f t="shared" si="134"/>
        <v>0</v>
      </c>
      <c r="AN120" s="1231">
        <f t="shared" si="135"/>
        <v>0</v>
      </c>
      <c r="AO120" s="1231">
        <f t="shared" si="136"/>
        <v>0</v>
      </c>
      <c r="AP120" s="1231">
        <f t="shared" si="137"/>
        <v>0</v>
      </c>
      <c r="AQ120" s="1231">
        <f t="shared" si="138"/>
        <v>0</v>
      </c>
      <c r="AR120" s="1231">
        <f t="shared" si="139"/>
        <v>0</v>
      </c>
      <c r="AS120" s="1231">
        <f t="shared" si="140"/>
        <v>0</v>
      </c>
      <c r="AT120" s="1231">
        <f t="shared" si="141"/>
        <v>0</v>
      </c>
      <c r="AU120" s="1231">
        <f t="shared" si="142"/>
        <v>0</v>
      </c>
      <c r="AV120" s="1231">
        <f t="shared" si="143"/>
        <v>0</v>
      </c>
      <c r="AW120" s="1231">
        <f t="shared" si="144"/>
        <v>0</v>
      </c>
      <c r="AX120" s="1231">
        <f t="shared" si="145"/>
        <v>0</v>
      </c>
      <c r="AY120" s="1231">
        <f t="shared" si="146"/>
        <v>0</v>
      </c>
      <c r="AZ120" s="1231">
        <f t="shared" si="147"/>
        <v>0</v>
      </c>
      <c r="BA120" s="1231">
        <f t="shared" si="148"/>
        <v>0</v>
      </c>
      <c r="BB120" s="1231">
        <f t="shared" si="149"/>
        <v>0</v>
      </c>
      <c r="BC120" s="1231">
        <f t="shared" si="150"/>
        <v>0</v>
      </c>
      <c r="BD120" s="1231">
        <f t="shared" si="151"/>
        <v>0</v>
      </c>
      <c r="BE120" s="1231">
        <f t="shared" si="152"/>
        <v>0</v>
      </c>
      <c r="BF120" s="1231">
        <f t="shared" si="153"/>
        <v>0</v>
      </c>
      <c r="BG120" s="1231">
        <f t="shared" si="154"/>
        <v>0</v>
      </c>
      <c r="BH120" s="1231">
        <f t="shared" si="155"/>
        <v>0</v>
      </c>
      <c r="BI120" s="1231">
        <f t="shared" si="156"/>
        <v>0</v>
      </c>
      <c r="BJ120" s="1231">
        <f t="shared" si="157"/>
        <v>0</v>
      </c>
      <c r="BK120" s="1231">
        <f t="shared" si="158"/>
        <v>0</v>
      </c>
      <c r="BL120" s="1231">
        <f t="shared" si="159"/>
        <v>0</v>
      </c>
      <c r="BM120" s="1231">
        <f t="shared" si="160"/>
        <v>0</v>
      </c>
      <c r="BN120" s="1231">
        <f t="shared" si="161"/>
        <v>0</v>
      </c>
      <c r="BO120" s="1231">
        <f t="shared" si="162"/>
        <v>0</v>
      </c>
      <c r="BP120" s="1231">
        <f t="shared" si="163"/>
        <v>0</v>
      </c>
      <c r="BQ120" s="1231">
        <f t="shared" si="164"/>
        <v>0</v>
      </c>
      <c r="BR120" s="1231">
        <f t="shared" si="165"/>
        <v>0</v>
      </c>
      <c r="BS120" s="1231">
        <f t="shared" si="166"/>
        <v>0</v>
      </c>
      <c r="BT120" s="1231">
        <f t="shared" si="167"/>
        <v>0</v>
      </c>
      <c r="BU120" s="1231">
        <f t="shared" si="168"/>
        <v>0</v>
      </c>
      <c r="BV120" s="1231">
        <f t="shared" si="169"/>
        <v>0</v>
      </c>
      <c r="BW120" s="1231">
        <f t="shared" si="170"/>
        <v>0</v>
      </c>
      <c r="BX120" s="1231">
        <f t="shared" si="171"/>
        <v>0</v>
      </c>
      <c r="BY120" s="1231">
        <f t="shared" si="172"/>
        <v>0</v>
      </c>
      <c r="BZ120" s="1231">
        <f t="shared" si="173"/>
        <v>0</v>
      </c>
      <c r="CA120" s="1231">
        <f t="shared" si="174"/>
        <v>0</v>
      </c>
      <c r="CB120" s="1231">
        <f t="shared" si="175"/>
        <v>0</v>
      </c>
      <c r="CC120" s="1231">
        <f t="shared" si="176"/>
        <v>0</v>
      </c>
      <c r="CD120" s="1231">
        <f t="shared" si="177"/>
        <v>0</v>
      </c>
      <c r="CE120" s="1231">
        <f t="shared" si="178"/>
        <v>0</v>
      </c>
      <c r="CF120" s="1231">
        <f t="shared" si="179"/>
        <v>0</v>
      </c>
      <c r="CG120" s="1231">
        <f t="shared" si="180"/>
        <v>0</v>
      </c>
      <c r="CH120" s="1231">
        <f t="shared" si="181"/>
        <v>0</v>
      </c>
      <c r="CI120" s="1231">
        <f t="shared" si="182"/>
        <v>0</v>
      </c>
      <c r="CJ120" s="1231">
        <f t="shared" si="183"/>
        <v>0</v>
      </c>
      <c r="CK120" s="1231">
        <f t="shared" si="184"/>
        <v>0</v>
      </c>
      <c r="CL120" s="1231">
        <f t="shared" si="185"/>
        <v>0</v>
      </c>
      <c r="CM120" s="1231">
        <f t="shared" si="186"/>
        <v>0</v>
      </c>
      <c r="CN120" s="1231">
        <f t="shared" si="187"/>
        <v>0</v>
      </c>
      <c r="CQ120" s="1165"/>
      <c r="CR120" s="1165"/>
      <c r="CS120" s="1165"/>
      <c r="CT120" s="1165"/>
      <c r="CU120" s="1165"/>
      <c r="CV120" s="1165"/>
      <c r="CW120" s="1165"/>
      <c r="CX120" s="1165"/>
      <c r="CY120" s="1165"/>
      <c r="CZ120" s="1165"/>
      <c r="DA120" s="1165"/>
      <c r="DB120" s="1165"/>
      <c r="DC120" s="1165"/>
      <c r="DD120" s="1165"/>
      <c r="DE120" s="1165"/>
      <c r="DF120" s="1165"/>
      <c r="DG120" s="1165"/>
      <c r="DH120" s="1165"/>
      <c r="DI120" s="1165"/>
      <c r="DJ120" s="1165"/>
      <c r="DK120" s="1232"/>
      <c r="DL120" s="1232"/>
      <c r="DM120" s="1232"/>
      <c r="DN120" s="1232"/>
      <c r="DO120" s="1232"/>
      <c r="DP120" s="1232"/>
      <c r="DQ120" s="1232"/>
      <c r="DR120" s="1232"/>
      <c r="DS120" s="1232"/>
      <c r="DT120" s="1232"/>
      <c r="DU120" s="1232"/>
      <c r="DV120" s="1232"/>
      <c r="DW120" s="1232"/>
      <c r="DX120" s="1232"/>
      <c r="DY120" s="1232"/>
      <c r="DZ120" s="1232"/>
      <c r="EA120" s="1232"/>
      <c r="EB120" s="1232"/>
      <c r="EC120" s="1232"/>
      <c r="ED120" s="1232"/>
      <c r="EE120" s="1232"/>
      <c r="EF120" s="1232"/>
      <c r="EG120" s="1232"/>
      <c r="EH120" s="1232"/>
      <c r="EI120" s="1232"/>
      <c r="EJ120" s="1232"/>
      <c r="EK120" s="1232"/>
      <c r="EL120" s="1232"/>
      <c r="EM120" s="1232"/>
      <c r="EN120" s="1232"/>
      <c r="EO120" s="1232"/>
      <c r="EP120" s="1232"/>
      <c r="EQ120" s="1232"/>
      <c r="ER120" s="1232"/>
      <c r="ES120" s="1232"/>
      <c r="ET120" s="1232"/>
      <c r="EU120" s="1165"/>
      <c r="EV120" s="1165"/>
      <c r="EW120" s="1165"/>
      <c r="EX120" s="1165"/>
      <c r="EY120" s="1165"/>
      <c r="EZ120" s="1165"/>
      <c r="FA120" s="1165"/>
      <c r="FB120" s="1165"/>
      <c r="FC120" s="1165"/>
      <c r="FD120" s="1165"/>
      <c r="FE120" s="1165"/>
      <c r="FF120" s="1165"/>
    </row>
    <row r="121" spans="1:162">
      <c r="A121" s="1224"/>
      <c r="CQ121" s="1165"/>
      <c r="CR121" s="1165"/>
      <c r="CS121" s="1165"/>
      <c r="CT121" s="1165"/>
      <c r="CU121" s="1165"/>
      <c r="CV121" s="1165"/>
      <c r="CW121" s="1165"/>
      <c r="CX121" s="1165"/>
      <c r="CY121" s="1165"/>
      <c r="CZ121" s="1165"/>
      <c r="DA121" s="1165"/>
      <c r="DB121" s="1165"/>
      <c r="DC121" s="1165"/>
      <c r="DD121" s="1165"/>
      <c r="DE121" s="1165"/>
      <c r="DF121" s="1165"/>
      <c r="DG121" s="1165"/>
      <c r="DH121" s="1165"/>
      <c r="DI121" s="1165"/>
      <c r="DJ121" s="1165"/>
      <c r="DK121" s="1165"/>
      <c r="DL121" s="1165"/>
      <c r="DM121" s="1165"/>
      <c r="DN121" s="1165"/>
      <c r="DO121" s="1165"/>
      <c r="DP121" s="1165"/>
      <c r="DQ121" s="1165"/>
      <c r="DR121" s="1165"/>
      <c r="DS121" s="1165"/>
      <c r="DT121" s="1165"/>
      <c r="DU121" s="1165"/>
      <c r="DV121" s="1165"/>
      <c r="DW121" s="1165"/>
      <c r="DX121" s="1165"/>
      <c r="DY121" s="1165"/>
      <c r="DZ121" s="1165"/>
      <c r="EA121" s="1165"/>
      <c r="EB121" s="1165"/>
      <c r="EC121" s="1165"/>
      <c r="ED121" s="1165"/>
      <c r="EE121" s="1165"/>
      <c r="EF121" s="1165"/>
      <c r="EG121" s="1165"/>
      <c r="EH121" s="1165"/>
      <c r="EI121" s="1165"/>
      <c r="EJ121" s="1165"/>
      <c r="EK121" s="1165"/>
      <c r="EL121" s="1165"/>
      <c r="EM121" s="1165"/>
      <c r="EN121" s="1165"/>
      <c r="EO121" s="1165"/>
      <c r="EP121" s="1165"/>
      <c r="EQ121" s="1165"/>
      <c r="ER121" s="1165"/>
      <c r="ES121" s="1165"/>
      <c r="ET121" s="1165"/>
      <c r="EU121" s="1165"/>
      <c r="EV121" s="1165"/>
      <c r="EW121" s="1165"/>
      <c r="EX121" s="1165"/>
      <c r="EY121" s="1165"/>
      <c r="EZ121" s="1165"/>
      <c r="FA121" s="1165"/>
      <c r="FB121" s="1165"/>
      <c r="FC121" s="1165"/>
      <c r="FD121" s="1165"/>
      <c r="FE121" s="1165"/>
      <c r="FF121" s="1165"/>
    </row>
    <row r="122" spans="1:162">
      <c r="A122" s="1224"/>
      <c r="B122" s="1237" t="s">
        <v>118</v>
      </c>
      <c r="AG122" s="1236">
        <f t="shared" si="128"/>
        <v>0</v>
      </c>
      <c r="AH122" s="1236">
        <f t="shared" si="129"/>
        <v>0</v>
      </c>
      <c r="AI122" s="1236">
        <f t="shared" si="130"/>
        <v>0</v>
      </c>
      <c r="AJ122" s="1236">
        <f t="shared" si="131"/>
        <v>0</v>
      </c>
      <c r="AK122" s="1236">
        <f t="shared" si="132"/>
        <v>0</v>
      </c>
      <c r="AL122" s="1236">
        <f t="shared" si="133"/>
        <v>0</v>
      </c>
      <c r="AM122" s="1236">
        <f t="shared" si="134"/>
        <v>0</v>
      </c>
      <c r="AN122" s="1236">
        <f t="shared" si="135"/>
        <v>0</v>
      </c>
      <c r="AO122" s="1236">
        <f t="shared" si="136"/>
        <v>0</v>
      </c>
      <c r="AP122" s="1236">
        <f t="shared" si="137"/>
        <v>0</v>
      </c>
      <c r="AQ122" s="1236">
        <f t="shared" si="138"/>
        <v>0</v>
      </c>
      <c r="AR122" s="1236">
        <f t="shared" si="139"/>
        <v>0</v>
      </c>
      <c r="AS122" s="1236">
        <f t="shared" si="140"/>
        <v>0</v>
      </c>
      <c r="AT122" s="1236">
        <f t="shared" si="141"/>
        <v>0</v>
      </c>
      <c r="AU122" s="1236">
        <f t="shared" si="142"/>
        <v>0</v>
      </c>
      <c r="AV122" s="1236">
        <f t="shared" si="143"/>
        <v>0</v>
      </c>
      <c r="AW122" s="1236">
        <f t="shared" si="144"/>
        <v>0</v>
      </c>
      <c r="AX122" s="1236">
        <f t="shared" si="145"/>
        <v>0</v>
      </c>
      <c r="AY122" s="1236">
        <f t="shared" si="146"/>
        <v>0</v>
      </c>
      <c r="AZ122" s="1236">
        <f t="shared" si="147"/>
        <v>0</v>
      </c>
      <c r="BA122" s="1236">
        <f t="shared" si="148"/>
        <v>0</v>
      </c>
      <c r="BB122" s="1236">
        <f t="shared" si="149"/>
        <v>0</v>
      </c>
      <c r="BC122" s="1236">
        <f t="shared" si="150"/>
        <v>0</v>
      </c>
      <c r="BD122" s="1236">
        <f t="shared" si="151"/>
        <v>0</v>
      </c>
      <c r="BE122" s="1236">
        <f t="shared" si="152"/>
        <v>0</v>
      </c>
      <c r="BF122" s="1236">
        <f t="shared" si="153"/>
        <v>0</v>
      </c>
      <c r="BG122" s="1236">
        <f t="shared" si="154"/>
        <v>0</v>
      </c>
      <c r="BH122" s="1236">
        <f t="shared" si="155"/>
        <v>0</v>
      </c>
      <c r="BI122" s="1236">
        <f t="shared" si="156"/>
        <v>0</v>
      </c>
      <c r="BJ122" s="1236">
        <f t="shared" si="157"/>
        <v>0</v>
      </c>
      <c r="BK122" s="1236">
        <f t="shared" si="158"/>
        <v>0</v>
      </c>
      <c r="BL122" s="1236">
        <f t="shared" si="159"/>
        <v>0</v>
      </c>
      <c r="BM122" s="1236">
        <f t="shared" si="160"/>
        <v>0</v>
      </c>
      <c r="BN122" s="1236">
        <f t="shared" si="161"/>
        <v>0</v>
      </c>
      <c r="BO122" s="1236">
        <f t="shared" si="162"/>
        <v>0</v>
      </c>
      <c r="BP122" s="1236">
        <f t="shared" si="163"/>
        <v>0</v>
      </c>
      <c r="BQ122" s="1236">
        <f t="shared" si="164"/>
        <v>0</v>
      </c>
      <c r="BR122" s="1236">
        <f t="shared" si="165"/>
        <v>0</v>
      </c>
      <c r="BS122" s="1236">
        <f t="shared" si="166"/>
        <v>0</v>
      </c>
      <c r="BT122" s="1236">
        <f t="shared" si="167"/>
        <v>0</v>
      </c>
      <c r="BU122" s="1236">
        <f t="shared" si="168"/>
        <v>0</v>
      </c>
      <c r="BV122" s="1236">
        <f t="shared" si="169"/>
        <v>0</v>
      </c>
      <c r="BW122" s="1236">
        <f t="shared" si="170"/>
        <v>0</v>
      </c>
      <c r="BX122" s="1236">
        <f t="shared" si="171"/>
        <v>0</v>
      </c>
      <c r="BY122" s="1236">
        <f t="shared" si="172"/>
        <v>0</v>
      </c>
      <c r="BZ122" s="1236">
        <f t="shared" si="173"/>
        <v>0</v>
      </c>
      <c r="CA122" s="1236">
        <f t="shared" si="174"/>
        <v>0</v>
      </c>
      <c r="CB122" s="1236">
        <f t="shared" si="175"/>
        <v>0</v>
      </c>
      <c r="CC122" s="1236">
        <f t="shared" si="176"/>
        <v>0</v>
      </c>
      <c r="CD122" s="1236">
        <f t="shared" si="177"/>
        <v>0</v>
      </c>
      <c r="CE122" s="1236">
        <f t="shared" si="178"/>
        <v>0</v>
      </c>
      <c r="CF122" s="1236">
        <f t="shared" si="179"/>
        <v>0</v>
      </c>
      <c r="CG122" s="1236">
        <f t="shared" si="180"/>
        <v>0</v>
      </c>
      <c r="CH122" s="1236">
        <f t="shared" si="181"/>
        <v>0</v>
      </c>
      <c r="CI122" s="1236">
        <f t="shared" si="182"/>
        <v>0</v>
      </c>
      <c r="CJ122" s="1236">
        <f t="shared" si="183"/>
        <v>0</v>
      </c>
      <c r="CK122" s="1236">
        <f t="shared" si="184"/>
        <v>0</v>
      </c>
      <c r="CL122" s="1236">
        <f t="shared" si="185"/>
        <v>0</v>
      </c>
      <c r="CM122" s="1236">
        <f t="shared" si="186"/>
        <v>0</v>
      </c>
      <c r="CN122" s="1236">
        <f t="shared" si="187"/>
        <v>0</v>
      </c>
      <c r="CQ122" s="1165"/>
      <c r="CR122" s="1165"/>
      <c r="CS122" s="1165"/>
      <c r="CT122" s="1165"/>
      <c r="CU122" s="1165"/>
      <c r="CV122" s="1165"/>
      <c r="CW122" s="1165"/>
      <c r="CX122" s="1165"/>
      <c r="CY122" s="1165"/>
      <c r="CZ122" s="1165"/>
      <c r="DA122" s="1165"/>
      <c r="DB122" s="1165"/>
      <c r="DC122" s="1165"/>
      <c r="DD122" s="1165"/>
      <c r="DE122" s="1165"/>
      <c r="DF122" s="1165"/>
      <c r="DG122" s="1165"/>
      <c r="DH122" s="1165"/>
      <c r="DI122" s="1165"/>
      <c r="DJ122" s="1165"/>
      <c r="DK122" s="1165"/>
      <c r="DL122" s="1165"/>
      <c r="DM122" s="1165"/>
      <c r="DN122" s="1165"/>
      <c r="DO122" s="1165"/>
      <c r="DP122" s="1165"/>
      <c r="DQ122" s="1165"/>
      <c r="DR122" s="1165"/>
      <c r="DS122" s="1165"/>
      <c r="DT122" s="1165"/>
      <c r="DU122" s="1165"/>
      <c r="DV122" s="1165"/>
      <c r="DW122" s="1165"/>
      <c r="DX122" s="1165"/>
      <c r="DY122" s="1165"/>
      <c r="DZ122" s="1165"/>
      <c r="EA122" s="1165"/>
      <c r="EB122" s="1165"/>
      <c r="EC122" s="1165"/>
      <c r="ED122" s="1165"/>
      <c r="EE122" s="1165"/>
      <c r="EF122" s="1165"/>
      <c r="EG122" s="1165"/>
      <c r="EH122" s="1165"/>
      <c r="EI122" s="1165"/>
      <c r="EJ122" s="1165"/>
      <c r="EK122" s="1165"/>
      <c r="EL122" s="1165"/>
      <c r="EM122" s="1165"/>
      <c r="EN122" s="1165"/>
      <c r="EO122" s="1165"/>
      <c r="EP122" s="1165"/>
      <c r="EQ122" s="1165"/>
      <c r="ER122" s="1165"/>
      <c r="ES122" s="1165"/>
      <c r="ET122" s="1165"/>
      <c r="EU122" s="1165"/>
      <c r="EV122" s="1165"/>
      <c r="EW122" s="1165"/>
      <c r="EX122" s="1165"/>
      <c r="EY122" s="1165"/>
      <c r="EZ122" s="1165"/>
      <c r="FA122" s="1165"/>
      <c r="FB122" s="1165"/>
      <c r="FC122" s="1165"/>
      <c r="FD122" s="1165"/>
      <c r="FE122" s="1165"/>
      <c r="FF122" s="1165"/>
    </row>
    <row r="123" spans="1:162" s="1231" customFormat="1">
      <c r="A123" s="1205" t="s">
        <v>533</v>
      </c>
      <c r="B123" s="1230" t="s">
        <v>45</v>
      </c>
      <c r="M123" s="1231">
        <f ca="1">OFFSET($CT123,0,M$7)</f>
        <v>0</v>
      </c>
      <c r="N123" s="1231">
        <f ca="1">OFFSET($CT123,0,N$7)</f>
        <v>0</v>
      </c>
      <c r="O123" s="1231">
        <f ca="1">OFFSET($CT123,0,O$7)</f>
        <v>0</v>
      </c>
      <c r="P123" s="1231">
        <f ca="1">OFFSET($CT123,0,P$7)</f>
        <v>0</v>
      </c>
      <c r="Q123" s="1231">
        <f ca="1">OFFSET($CT123,0,Q$7)</f>
        <v>0</v>
      </c>
      <c r="R123" s="1229">
        <v>213.40449900000002</v>
      </c>
      <c r="S123" s="1229">
        <v>207.30799999999999</v>
      </c>
      <c r="T123" s="1229">
        <v>295.72800000000001</v>
      </c>
      <c r="U123" s="1229">
        <v>286.25099999999998</v>
      </c>
      <c r="V123" s="1229">
        <v>316.041</v>
      </c>
      <c r="W123" s="1229">
        <v>387.32600000000002</v>
      </c>
      <c r="X123" s="1229">
        <v>464.21600000000001</v>
      </c>
      <c r="Y123" s="1229">
        <v>622.67899999999997</v>
      </c>
      <c r="Z123" s="1229">
        <v>593.00900000000001</v>
      </c>
      <c r="AG123" s="1231">
        <f t="shared" si="128"/>
        <v>0</v>
      </c>
      <c r="AH123" s="1231">
        <f t="shared" si="129"/>
        <v>0</v>
      </c>
      <c r="AI123" s="1231">
        <f t="shared" si="130"/>
        <v>0</v>
      </c>
      <c r="AJ123" s="1231">
        <f t="shared" si="131"/>
        <v>0</v>
      </c>
      <c r="AK123" s="1231">
        <f t="shared" si="132"/>
        <v>0</v>
      </c>
      <c r="AL123" s="1231">
        <f t="shared" si="133"/>
        <v>0</v>
      </c>
      <c r="AM123" s="1231">
        <f t="shared" si="134"/>
        <v>0</v>
      </c>
      <c r="AN123" s="1231">
        <f t="shared" si="135"/>
        <v>0</v>
      </c>
      <c r="AO123" s="1231">
        <f t="shared" si="136"/>
        <v>0</v>
      </c>
      <c r="AP123" s="1231">
        <f t="shared" si="137"/>
        <v>0</v>
      </c>
      <c r="AQ123" s="1231">
        <f t="shared" si="138"/>
        <v>0</v>
      </c>
      <c r="AR123" s="1231">
        <f t="shared" si="139"/>
        <v>0</v>
      </c>
      <c r="AS123" s="1231">
        <f t="shared" si="140"/>
        <v>0</v>
      </c>
      <c r="AT123" s="1231">
        <f t="shared" si="141"/>
        <v>0</v>
      </c>
      <c r="AU123" s="1231">
        <f t="shared" si="142"/>
        <v>0</v>
      </c>
      <c r="AV123" s="1231">
        <f t="shared" si="143"/>
        <v>0</v>
      </c>
      <c r="AW123" s="1231">
        <f t="shared" si="144"/>
        <v>0</v>
      </c>
      <c r="AX123" s="1231">
        <f t="shared" si="145"/>
        <v>0</v>
      </c>
      <c r="AY123" s="1231">
        <f t="shared" si="146"/>
        <v>0</v>
      </c>
      <c r="AZ123" s="1231">
        <f t="shared" si="147"/>
        <v>0</v>
      </c>
      <c r="BA123" s="1231">
        <f t="shared" si="148"/>
        <v>0</v>
      </c>
      <c r="BB123" s="1231">
        <f t="shared" si="149"/>
        <v>0</v>
      </c>
      <c r="BC123" s="1231">
        <f t="shared" si="150"/>
        <v>0</v>
      </c>
      <c r="BD123" s="1231">
        <f t="shared" si="151"/>
        <v>0</v>
      </c>
      <c r="BE123" s="1231">
        <f t="shared" si="152"/>
        <v>0</v>
      </c>
      <c r="BF123" s="1231">
        <f t="shared" si="153"/>
        <v>0</v>
      </c>
      <c r="BG123" s="1231">
        <f t="shared" si="154"/>
        <v>0</v>
      </c>
      <c r="BH123" s="1231">
        <f t="shared" si="155"/>
        <v>0</v>
      </c>
      <c r="BI123" s="1231">
        <f t="shared" si="156"/>
        <v>0</v>
      </c>
      <c r="BJ123" s="1231">
        <f t="shared" si="157"/>
        <v>0</v>
      </c>
      <c r="BK123" s="1231">
        <f t="shared" si="158"/>
        <v>0</v>
      </c>
      <c r="BL123" s="1231">
        <f t="shared" si="159"/>
        <v>0</v>
      </c>
      <c r="BM123" s="1231">
        <f t="shared" si="160"/>
        <v>0</v>
      </c>
      <c r="BN123" s="1231">
        <f t="shared" si="161"/>
        <v>0</v>
      </c>
      <c r="BO123" s="1231">
        <f t="shared" si="162"/>
        <v>0</v>
      </c>
      <c r="BP123" s="1231">
        <f t="shared" si="163"/>
        <v>0</v>
      </c>
      <c r="BQ123" s="1231">
        <f t="shared" si="164"/>
        <v>0</v>
      </c>
      <c r="BR123" s="1231">
        <f t="shared" si="165"/>
        <v>0</v>
      </c>
      <c r="BS123" s="1231">
        <f t="shared" si="166"/>
        <v>0</v>
      </c>
      <c r="BT123" s="1231">
        <f t="shared" si="167"/>
        <v>0</v>
      </c>
      <c r="BU123" s="1231">
        <f t="shared" si="168"/>
        <v>0</v>
      </c>
      <c r="BV123" s="1231">
        <f t="shared" si="169"/>
        <v>0</v>
      </c>
      <c r="BW123" s="1231">
        <f t="shared" si="170"/>
        <v>0</v>
      </c>
      <c r="BX123" s="1231">
        <f t="shared" si="171"/>
        <v>0</v>
      </c>
      <c r="BY123" s="1231">
        <f t="shared" si="172"/>
        <v>0</v>
      </c>
      <c r="BZ123" s="1231">
        <f t="shared" si="173"/>
        <v>0</v>
      </c>
      <c r="CA123" s="1231">
        <f t="shared" si="174"/>
        <v>0</v>
      </c>
      <c r="CB123" s="1231">
        <f t="shared" si="175"/>
        <v>0</v>
      </c>
      <c r="CC123" s="1231">
        <f t="shared" si="176"/>
        <v>0</v>
      </c>
      <c r="CD123" s="1231">
        <f t="shared" si="177"/>
        <v>0</v>
      </c>
      <c r="CE123" s="1231">
        <f t="shared" si="178"/>
        <v>0</v>
      </c>
      <c r="CF123" s="1231">
        <f t="shared" si="179"/>
        <v>0</v>
      </c>
      <c r="CG123" s="1231">
        <f t="shared" si="180"/>
        <v>0</v>
      </c>
      <c r="CH123" s="1231">
        <f t="shared" si="181"/>
        <v>0</v>
      </c>
      <c r="CI123" s="1231">
        <f t="shared" si="182"/>
        <v>0</v>
      </c>
      <c r="CJ123" s="1231">
        <f t="shared" si="183"/>
        <v>0</v>
      </c>
      <c r="CK123" s="1231">
        <f t="shared" si="184"/>
        <v>0</v>
      </c>
      <c r="CL123" s="1231">
        <f t="shared" si="185"/>
        <v>0</v>
      </c>
      <c r="CM123" s="1231">
        <f t="shared" si="186"/>
        <v>0</v>
      </c>
      <c r="CN123" s="1231">
        <f t="shared" si="187"/>
        <v>0</v>
      </c>
      <c r="CQ123" s="1165"/>
      <c r="CR123" s="1165"/>
      <c r="CS123" s="1165"/>
      <c r="CT123" s="1165"/>
      <c r="CU123" s="1165"/>
      <c r="CV123" s="1165"/>
      <c r="CW123" s="1165"/>
      <c r="CX123" s="1165"/>
      <c r="CY123" s="1165"/>
      <c r="CZ123" s="1165"/>
      <c r="DA123" s="1165"/>
      <c r="DB123" s="1165"/>
      <c r="DC123" s="1165"/>
      <c r="DD123" s="1165"/>
      <c r="DE123" s="1165"/>
      <c r="DF123" s="1165"/>
      <c r="DG123" s="1165"/>
      <c r="DH123" s="1165"/>
      <c r="DI123" s="1165"/>
      <c r="DJ123" s="1165"/>
      <c r="DK123" s="1232"/>
      <c r="DL123" s="1232"/>
      <c r="DM123" s="1232"/>
      <c r="DN123" s="1232"/>
      <c r="DO123" s="1232"/>
      <c r="DP123" s="1232"/>
      <c r="DQ123" s="1232"/>
      <c r="DR123" s="1232"/>
      <c r="DS123" s="1232"/>
      <c r="DT123" s="1232"/>
      <c r="DU123" s="1232"/>
      <c r="DV123" s="1232"/>
      <c r="DW123" s="1232"/>
      <c r="DX123" s="1232"/>
      <c r="DY123" s="1232"/>
      <c r="DZ123" s="1232"/>
      <c r="EA123" s="1232"/>
      <c r="EB123" s="1232"/>
      <c r="EC123" s="1232"/>
      <c r="ED123" s="1232"/>
      <c r="EE123" s="1232"/>
      <c r="EF123" s="1232"/>
      <c r="EG123" s="1232"/>
      <c r="EH123" s="1232"/>
      <c r="EI123" s="1232"/>
      <c r="EJ123" s="1232"/>
      <c r="EK123" s="1232"/>
      <c r="EL123" s="1232"/>
      <c r="EM123" s="1232"/>
      <c r="EN123" s="1232"/>
      <c r="EO123" s="1232"/>
      <c r="EP123" s="1232"/>
      <c r="EQ123" s="1232"/>
      <c r="ER123" s="1232"/>
      <c r="ES123" s="1232"/>
      <c r="ET123" s="1232"/>
      <c r="EU123" s="1165"/>
      <c r="EV123" s="1165"/>
      <c r="EW123" s="1165"/>
      <c r="EX123" s="1165"/>
      <c r="EY123" s="1165"/>
      <c r="EZ123" s="1165"/>
      <c r="FA123" s="1165"/>
      <c r="FB123" s="1165"/>
      <c r="FC123" s="1165"/>
      <c r="FD123" s="1165"/>
      <c r="FE123" s="1165"/>
      <c r="FF123" s="1165"/>
    </row>
    <row r="124" spans="1:162">
      <c r="A124" s="1224"/>
      <c r="AG124" s="1236">
        <f t="shared" si="128"/>
        <v>0</v>
      </c>
      <c r="AH124" s="1236">
        <f t="shared" si="129"/>
        <v>0</v>
      </c>
      <c r="AI124" s="1236">
        <f t="shared" si="130"/>
        <v>0</v>
      </c>
      <c r="AJ124" s="1236">
        <f t="shared" si="131"/>
        <v>0</v>
      </c>
      <c r="AK124" s="1236">
        <f t="shared" si="132"/>
        <v>0</v>
      </c>
      <c r="AL124" s="1236">
        <f t="shared" si="133"/>
        <v>0</v>
      </c>
      <c r="AM124" s="1236">
        <f t="shared" si="134"/>
        <v>0</v>
      </c>
      <c r="AN124" s="1236">
        <f t="shared" si="135"/>
        <v>0</v>
      </c>
      <c r="AO124" s="1236">
        <f t="shared" si="136"/>
        <v>0</v>
      </c>
      <c r="AP124" s="1236">
        <f t="shared" si="137"/>
        <v>0</v>
      </c>
      <c r="AQ124" s="1236">
        <f t="shared" si="138"/>
        <v>0</v>
      </c>
      <c r="AR124" s="1236">
        <f t="shared" si="139"/>
        <v>0</v>
      </c>
      <c r="AS124" s="1236">
        <f t="shared" si="140"/>
        <v>0</v>
      </c>
      <c r="AT124" s="1236">
        <f t="shared" si="141"/>
        <v>0</v>
      </c>
      <c r="AU124" s="1236">
        <f t="shared" si="142"/>
        <v>0</v>
      </c>
      <c r="AV124" s="1236">
        <f t="shared" si="143"/>
        <v>0</v>
      </c>
      <c r="AW124" s="1236">
        <f t="shared" si="144"/>
        <v>0</v>
      </c>
      <c r="AX124" s="1236">
        <f t="shared" si="145"/>
        <v>0</v>
      </c>
      <c r="AY124" s="1236">
        <f t="shared" si="146"/>
        <v>0</v>
      </c>
      <c r="AZ124" s="1236">
        <f t="shared" si="147"/>
        <v>0</v>
      </c>
      <c r="BA124" s="1236">
        <f t="shared" si="148"/>
        <v>0</v>
      </c>
      <c r="BB124" s="1236">
        <f t="shared" si="149"/>
        <v>0</v>
      </c>
      <c r="BC124" s="1236">
        <f t="shared" si="150"/>
        <v>0</v>
      </c>
      <c r="BD124" s="1236">
        <f t="shared" si="151"/>
        <v>0</v>
      </c>
      <c r="BE124" s="1236">
        <f t="shared" si="152"/>
        <v>0</v>
      </c>
      <c r="BF124" s="1236">
        <f t="shared" si="153"/>
        <v>0</v>
      </c>
      <c r="BG124" s="1236">
        <f t="shared" si="154"/>
        <v>0</v>
      </c>
      <c r="BH124" s="1236">
        <f t="shared" si="155"/>
        <v>0</v>
      </c>
      <c r="BI124" s="1236">
        <f t="shared" si="156"/>
        <v>0</v>
      </c>
      <c r="BJ124" s="1236">
        <f t="shared" si="157"/>
        <v>0</v>
      </c>
      <c r="BK124" s="1236">
        <f t="shared" si="158"/>
        <v>0</v>
      </c>
      <c r="BL124" s="1236">
        <f t="shared" si="159"/>
        <v>0</v>
      </c>
      <c r="BM124" s="1236">
        <f t="shared" si="160"/>
        <v>0</v>
      </c>
      <c r="BN124" s="1236">
        <f t="shared" si="161"/>
        <v>0</v>
      </c>
      <c r="BO124" s="1236">
        <f t="shared" si="162"/>
        <v>0</v>
      </c>
      <c r="BP124" s="1236">
        <f t="shared" si="163"/>
        <v>0</v>
      </c>
      <c r="BQ124" s="1236">
        <f t="shared" si="164"/>
        <v>0</v>
      </c>
      <c r="BR124" s="1236">
        <f t="shared" si="165"/>
        <v>0</v>
      </c>
      <c r="BS124" s="1236">
        <f t="shared" si="166"/>
        <v>0</v>
      </c>
      <c r="BT124" s="1236">
        <f t="shared" si="167"/>
        <v>0</v>
      </c>
      <c r="BU124" s="1236">
        <f t="shared" si="168"/>
        <v>0</v>
      </c>
      <c r="BV124" s="1236">
        <f t="shared" si="169"/>
        <v>0</v>
      </c>
      <c r="BW124" s="1236">
        <f t="shared" si="170"/>
        <v>0</v>
      </c>
      <c r="BX124" s="1236">
        <f t="shared" si="171"/>
        <v>0</v>
      </c>
      <c r="BY124" s="1236">
        <f t="shared" si="172"/>
        <v>0</v>
      </c>
      <c r="BZ124" s="1236">
        <f t="shared" si="173"/>
        <v>0</v>
      </c>
      <c r="CA124" s="1236">
        <f t="shared" si="174"/>
        <v>0</v>
      </c>
      <c r="CB124" s="1236">
        <f t="shared" si="175"/>
        <v>0</v>
      </c>
      <c r="CC124" s="1236">
        <f t="shared" si="176"/>
        <v>0</v>
      </c>
      <c r="CD124" s="1236">
        <f t="shared" si="177"/>
        <v>0</v>
      </c>
      <c r="CE124" s="1236">
        <f t="shared" si="178"/>
        <v>0</v>
      </c>
      <c r="CF124" s="1236">
        <f t="shared" si="179"/>
        <v>0</v>
      </c>
      <c r="CG124" s="1236">
        <f t="shared" si="180"/>
        <v>0</v>
      </c>
      <c r="CH124" s="1236">
        <f t="shared" si="181"/>
        <v>0</v>
      </c>
      <c r="CI124" s="1236">
        <f t="shared" si="182"/>
        <v>0</v>
      </c>
      <c r="CJ124" s="1236">
        <f t="shared" si="183"/>
        <v>0</v>
      </c>
      <c r="CK124" s="1236">
        <f t="shared" si="184"/>
        <v>0</v>
      </c>
      <c r="CL124" s="1236">
        <f t="shared" si="185"/>
        <v>0</v>
      </c>
      <c r="CM124" s="1236">
        <f t="shared" si="186"/>
        <v>0</v>
      </c>
      <c r="CN124" s="1236">
        <f t="shared" si="187"/>
        <v>0</v>
      </c>
      <c r="CQ124" s="1165"/>
      <c r="CR124" s="1165"/>
      <c r="CS124" s="1165"/>
      <c r="CT124" s="1165"/>
      <c r="CU124" s="1165"/>
      <c r="CV124" s="1165"/>
      <c r="CW124" s="1165"/>
      <c r="CX124" s="1165"/>
      <c r="CY124" s="1165"/>
      <c r="CZ124" s="1165"/>
      <c r="DA124" s="1165"/>
      <c r="DB124" s="1165"/>
      <c r="DC124" s="1165"/>
      <c r="DD124" s="1165"/>
      <c r="DE124" s="1165"/>
      <c r="DF124" s="1165"/>
      <c r="DG124" s="1165"/>
      <c r="DH124" s="1165"/>
      <c r="DI124" s="1165"/>
      <c r="DJ124" s="1165"/>
      <c r="DK124" s="1165"/>
      <c r="DL124" s="1165"/>
      <c r="DM124" s="1165"/>
      <c r="DN124" s="1165"/>
      <c r="DO124" s="1165"/>
      <c r="DP124" s="1165"/>
      <c r="DQ124" s="1165"/>
      <c r="DR124" s="1165"/>
      <c r="DS124" s="1165"/>
      <c r="DT124" s="1165"/>
      <c r="DU124" s="1165"/>
      <c r="DV124" s="1165"/>
      <c r="DW124" s="1165"/>
      <c r="DX124" s="1165"/>
      <c r="DY124" s="1165"/>
      <c r="DZ124" s="1165"/>
      <c r="EA124" s="1165"/>
      <c r="EB124" s="1165"/>
      <c r="EC124" s="1165"/>
      <c r="ED124" s="1165"/>
      <c r="EE124" s="1165"/>
      <c r="EF124" s="1165"/>
      <c r="EG124" s="1165"/>
      <c r="EH124" s="1165"/>
      <c r="EI124" s="1165"/>
      <c r="EJ124" s="1165"/>
      <c r="EK124" s="1165"/>
      <c r="EL124" s="1165"/>
      <c r="EM124" s="1165"/>
      <c r="EN124" s="1165"/>
      <c r="EO124" s="1165"/>
      <c r="EP124" s="1165"/>
      <c r="EQ124" s="1165"/>
      <c r="ER124" s="1165"/>
      <c r="ES124" s="1165"/>
      <c r="ET124" s="1165"/>
      <c r="EU124" s="1165"/>
      <c r="EV124" s="1165"/>
      <c r="EW124" s="1165"/>
      <c r="EX124" s="1165"/>
      <c r="EY124" s="1165"/>
      <c r="EZ124" s="1165"/>
      <c r="FA124" s="1165"/>
      <c r="FB124" s="1165"/>
      <c r="FC124" s="1165"/>
      <c r="FD124" s="1165"/>
      <c r="FE124" s="1165"/>
      <c r="FF124" s="1165"/>
    </row>
    <row r="125" spans="1:162">
      <c r="A125" s="1203" t="s">
        <v>524</v>
      </c>
      <c r="B125" s="1237" t="s">
        <v>864</v>
      </c>
      <c r="M125" s="1236">
        <f t="shared" ref="M125:Q130" ca="1" si="197">OFFSET($CT125,0,M$7)</f>
        <v>0</v>
      </c>
      <c r="N125" s="1236">
        <f t="shared" ca="1" si="197"/>
        <v>0</v>
      </c>
      <c r="O125" s="1236">
        <f t="shared" ca="1" si="197"/>
        <v>0</v>
      </c>
      <c r="P125" s="1236">
        <f t="shared" ca="1" si="197"/>
        <v>0</v>
      </c>
      <c r="Q125" s="1236">
        <f t="shared" ca="1" si="197"/>
        <v>0</v>
      </c>
      <c r="R125" s="1224">
        <v>206.62280000000001</v>
      </c>
      <c r="S125" s="1224">
        <v>165.23400000000001</v>
      </c>
      <c r="T125" s="1224">
        <v>278.11099999999999</v>
      </c>
      <c r="U125" s="1224">
        <v>308.22899999999998</v>
      </c>
      <c r="V125" s="1224">
        <v>382.64699999999999</v>
      </c>
      <c r="W125" s="1224">
        <v>357.22399999999999</v>
      </c>
      <c r="X125" s="1224">
        <v>489.52699999999999</v>
      </c>
      <c r="Y125" s="1224">
        <v>406.64</v>
      </c>
      <c r="Z125" s="1224">
        <v>409.89800000000002</v>
      </c>
      <c r="AG125" s="1236">
        <f t="shared" si="128"/>
        <v>0</v>
      </c>
      <c r="AH125" s="1236">
        <f t="shared" si="129"/>
        <v>0</v>
      </c>
      <c r="AI125" s="1236">
        <f t="shared" si="130"/>
        <v>0</v>
      </c>
      <c r="AJ125" s="1236">
        <f t="shared" si="131"/>
        <v>0</v>
      </c>
      <c r="AK125" s="1236">
        <f t="shared" si="132"/>
        <v>0</v>
      </c>
      <c r="AL125" s="1236">
        <f t="shared" si="133"/>
        <v>0</v>
      </c>
      <c r="AM125" s="1236">
        <f t="shared" si="134"/>
        <v>0</v>
      </c>
      <c r="AN125" s="1236">
        <f t="shared" si="135"/>
        <v>0</v>
      </c>
      <c r="AO125" s="1236">
        <f t="shared" si="136"/>
        <v>0</v>
      </c>
      <c r="AP125" s="1236">
        <f t="shared" si="137"/>
        <v>0</v>
      </c>
      <c r="AQ125" s="1236">
        <f t="shared" si="138"/>
        <v>0</v>
      </c>
      <c r="AR125" s="1236">
        <f t="shared" si="139"/>
        <v>0</v>
      </c>
      <c r="AS125" s="1236">
        <f t="shared" si="140"/>
        <v>0</v>
      </c>
      <c r="AT125" s="1236">
        <f t="shared" si="141"/>
        <v>0</v>
      </c>
      <c r="AU125" s="1236">
        <f t="shared" si="142"/>
        <v>0</v>
      </c>
      <c r="AV125" s="1236">
        <f t="shared" si="143"/>
        <v>0</v>
      </c>
      <c r="AW125" s="1236">
        <f t="shared" si="144"/>
        <v>0</v>
      </c>
      <c r="AX125" s="1236">
        <f t="shared" si="145"/>
        <v>0</v>
      </c>
      <c r="AY125" s="1236">
        <f t="shared" si="146"/>
        <v>0</v>
      </c>
      <c r="AZ125" s="1236">
        <f t="shared" si="147"/>
        <v>0</v>
      </c>
      <c r="BA125" s="1236">
        <f t="shared" si="148"/>
        <v>0</v>
      </c>
      <c r="BB125" s="1236">
        <f t="shared" si="149"/>
        <v>0</v>
      </c>
      <c r="BC125" s="1236">
        <f t="shared" si="150"/>
        <v>0</v>
      </c>
      <c r="BD125" s="1236">
        <f t="shared" si="151"/>
        <v>0</v>
      </c>
      <c r="BE125" s="1236">
        <f t="shared" si="152"/>
        <v>0</v>
      </c>
      <c r="BF125" s="1236">
        <f t="shared" si="153"/>
        <v>0</v>
      </c>
      <c r="BG125" s="1236">
        <f t="shared" si="154"/>
        <v>0</v>
      </c>
      <c r="BH125" s="1236">
        <f t="shared" si="155"/>
        <v>0</v>
      </c>
      <c r="BI125" s="1236">
        <f t="shared" si="156"/>
        <v>0</v>
      </c>
      <c r="BJ125" s="1236">
        <f t="shared" si="157"/>
        <v>0</v>
      </c>
      <c r="BK125" s="1236">
        <f t="shared" si="158"/>
        <v>0</v>
      </c>
      <c r="BL125" s="1236">
        <f t="shared" si="159"/>
        <v>0</v>
      </c>
      <c r="BM125" s="1236">
        <f t="shared" si="160"/>
        <v>0</v>
      </c>
      <c r="BN125" s="1236">
        <f t="shared" si="161"/>
        <v>0</v>
      </c>
      <c r="BO125" s="1236">
        <f t="shared" si="162"/>
        <v>0</v>
      </c>
      <c r="BP125" s="1236">
        <f t="shared" si="163"/>
        <v>0</v>
      </c>
      <c r="BQ125" s="1236">
        <f t="shared" si="164"/>
        <v>0</v>
      </c>
      <c r="BR125" s="1236">
        <f t="shared" si="165"/>
        <v>0</v>
      </c>
      <c r="BS125" s="1236">
        <f t="shared" si="166"/>
        <v>0</v>
      </c>
      <c r="BT125" s="1236">
        <f t="shared" si="167"/>
        <v>0</v>
      </c>
      <c r="BU125" s="1236">
        <f t="shared" si="168"/>
        <v>0</v>
      </c>
      <c r="BV125" s="1236">
        <f t="shared" si="169"/>
        <v>0</v>
      </c>
      <c r="BW125" s="1236">
        <f t="shared" si="170"/>
        <v>0</v>
      </c>
      <c r="BX125" s="1236">
        <f t="shared" si="171"/>
        <v>0</v>
      </c>
      <c r="BY125" s="1236">
        <f t="shared" si="172"/>
        <v>0</v>
      </c>
      <c r="BZ125" s="1236">
        <f t="shared" si="173"/>
        <v>0</v>
      </c>
      <c r="CA125" s="1236">
        <f t="shared" si="174"/>
        <v>0</v>
      </c>
      <c r="CB125" s="1236">
        <f t="shared" si="175"/>
        <v>0</v>
      </c>
      <c r="CC125" s="1236">
        <f t="shared" si="176"/>
        <v>0</v>
      </c>
      <c r="CD125" s="1236">
        <f t="shared" si="177"/>
        <v>0</v>
      </c>
      <c r="CE125" s="1236">
        <f t="shared" si="178"/>
        <v>0</v>
      </c>
      <c r="CF125" s="1236">
        <f t="shared" si="179"/>
        <v>0</v>
      </c>
      <c r="CG125" s="1236">
        <f t="shared" si="180"/>
        <v>0</v>
      </c>
      <c r="CH125" s="1236">
        <f t="shared" si="181"/>
        <v>0</v>
      </c>
      <c r="CI125" s="1236">
        <f t="shared" si="182"/>
        <v>0</v>
      </c>
      <c r="CJ125" s="1236">
        <f t="shared" si="183"/>
        <v>0</v>
      </c>
      <c r="CK125" s="1236">
        <f t="shared" si="184"/>
        <v>0</v>
      </c>
      <c r="CL125" s="1236">
        <f t="shared" si="185"/>
        <v>0</v>
      </c>
      <c r="CM125" s="1236">
        <f t="shared" si="186"/>
        <v>0</v>
      </c>
      <c r="CN125" s="1236">
        <f t="shared" si="187"/>
        <v>0</v>
      </c>
      <c r="CQ125" s="1165"/>
      <c r="CR125" s="1165"/>
      <c r="CS125" s="1165"/>
      <c r="CT125" s="1165"/>
      <c r="CU125" s="1165"/>
      <c r="CV125" s="1165"/>
      <c r="CW125" s="1165"/>
      <c r="CX125" s="1165"/>
      <c r="CY125" s="1165"/>
      <c r="CZ125" s="1165"/>
      <c r="DA125" s="1165"/>
      <c r="DB125" s="1165"/>
      <c r="DC125" s="1165"/>
      <c r="DD125" s="1165"/>
      <c r="DE125" s="1165"/>
      <c r="DF125" s="1165"/>
      <c r="DG125" s="1165"/>
      <c r="DH125" s="1165"/>
      <c r="DI125" s="1165"/>
      <c r="DJ125" s="1165"/>
      <c r="DK125" s="1238"/>
      <c r="DL125" s="1238"/>
      <c r="DM125" s="1238"/>
      <c r="DN125" s="1238"/>
      <c r="DO125" s="1238"/>
      <c r="DP125" s="1238"/>
      <c r="DQ125" s="1238"/>
      <c r="DR125" s="1238"/>
      <c r="DS125" s="1238"/>
      <c r="DT125" s="1238"/>
      <c r="DU125" s="1238"/>
      <c r="DV125" s="1238"/>
      <c r="DW125" s="1238"/>
      <c r="DX125" s="1238"/>
      <c r="DY125" s="1238"/>
      <c r="DZ125" s="1238"/>
      <c r="EA125" s="1238"/>
      <c r="EB125" s="1238"/>
      <c r="EC125" s="1238"/>
      <c r="ED125" s="1238"/>
      <c r="EE125" s="1238"/>
      <c r="EF125" s="1238"/>
      <c r="EG125" s="1238"/>
      <c r="EH125" s="1238"/>
      <c r="EI125" s="1238"/>
      <c r="EJ125" s="1238"/>
      <c r="EK125" s="1238"/>
      <c r="EL125" s="1238"/>
      <c r="EM125" s="1238"/>
      <c r="EN125" s="1238"/>
      <c r="EO125" s="1238"/>
      <c r="EP125" s="1238"/>
      <c r="EQ125" s="1238"/>
      <c r="ER125" s="1238"/>
      <c r="ES125" s="1238"/>
      <c r="ET125" s="1238"/>
      <c r="EU125" s="1165"/>
      <c r="EV125" s="1165"/>
      <c r="EW125" s="1165"/>
      <c r="EX125" s="1165"/>
      <c r="EY125" s="1165"/>
      <c r="EZ125" s="1165"/>
      <c r="FA125" s="1165"/>
      <c r="FB125" s="1165"/>
      <c r="FC125" s="1165"/>
      <c r="FD125" s="1165"/>
      <c r="FE125" s="1165"/>
      <c r="FF125" s="1165"/>
    </row>
    <row r="126" spans="1:162">
      <c r="A126" s="1203" t="s">
        <v>525</v>
      </c>
      <c r="B126" s="1237" t="s">
        <v>204</v>
      </c>
      <c r="M126" s="1236">
        <f t="shared" ca="1" si="197"/>
        <v>0</v>
      </c>
      <c r="N126" s="1236">
        <f t="shared" ca="1" si="197"/>
        <v>0</v>
      </c>
      <c r="O126" s="1236">
        <f t="shared" ca="1" si="197"/>
        <v>0</v>
      </c>
      <c r="P126" s="1236">
        <f t="shared" ca="1" si="197"/>
        <v>0</v>
      </c>
      <c r="Q126" s="1236">
        <f t="shared" ca="1" si="197"/>
        <v>0</v>
      </c>
      <c r="R126" s="1232"/>
      <c r="AG126" s="1236">
        <f t="shared" si="128"/>
        <v>0</v>
      </c>
      <c r="AH126" s="1236">
        <f t="shared" si="129"/>
        <v>0</v>
      </c>
      <c r="AI126" s="1236">
        <f t="shared" si="130"/>
        <v>0</v>
      </c>
      <c r="AJ126" s="1236">
        <f t="shared" si="131"/>
        <v>0</v>
      </c>
      <c r="AK126" s="1236">
        <f t="shared" si="132"/>
        <v>0</v>
      </c>
      <c r="AL126" s="1236">
        <f t="shared" si="133"/>
        <v>0</v>
      </c>
      <c r="AM126" s="1236">
        <f t="shared" si="134"/>
        <v>0</v>
      </c>
      <c r="AN126" s="1236">
        <f t="shared" si="135"/>
        <v>0</v>
      </c>
      <c r="AO126" s="1236">
        <f t="shared" si="136"/>
        <v>0</v>
      </c>
      <c r="AP126" s="1236">
        <f t="shared" si="137"/>
        <v>0</v>
      </c>
      <c r="AQ126" s="1236">
        <f t="shared" si="138"/>
        <v>0</v>
      </c>
      <c r="AR126" s="1236">
        <f t="shared" si="139"/>
        <v>0</v>
      </c>
      <c r="AS126" s="1236">
        <f t="shared" si="140"/>
        <v>0</v>
      </c>
      <c r="AT126" s="1236">
        <f t="shared" si="141"/>
        <v>0</v>
      </c>
      <c r="AU126" s="1236">
        <f t="shared" si="142"/>
        <v>0</v>
      </c>
      <c r="AV126" s="1236">
        <f t="shared" si="143"/>
        <v>0</v>
      </c>
      <c r="AW126" s="1236">
        <f t="shared" si="144"/>
        <v>0</v>
      </c>
      <c r="AX126" s="1236">
        <f t="shared" si="145"/>
        <v>0</v>
      </c>
      <c r="AY126" s="1236">
        <f t="shared" si="146"/>
        <v>0</v>
      </c>
      <c r="AZ126" s="1236">
        <f t="shared" si="147"/>
        <v>0</v>
      </c>
      <c r="BA126" s="1236">
        <f t="shared" si="148"/>
        <v>0</v>
      </c>
      <c r="BB126" s="1236">
        <f t="shared" si="149"/>
        <v>0</v>
      </c>
      <c r="BC126" s="1236">
        <f t="shared" si="150"/>
        <v>0</v>
      </c>
      <c r="BD126" s="1236">
        <f t="shared" si="151"/>
        <v>0</v>
      </c>
      <c r="BE126" s="1236">
        <f t="shared" si="152"/>
        <v>0</v>
      </c>
      <c r="BF126" s="1236">
        <f t="shared" si="153"/>
        <v>0</v>
      </c>
      <c r="BG126" s="1236">
        <f t="shared" si="154"/>
        <v>0</v>
      </c>
      <c r="BH126" s="1236">
        <f t="shared" si="155"/>
        <v>0</v>
      </c>
      <c r="BI126" s="1236">
        <f t="shared" si="156"/>
        <v>0</v>
      </c>
      <c r="BJ126" s="1236">
        <f t="shared" si="157"/>
        <v>0</v>
      </c>
      <c r="BK126" s="1236">
        <f t="shared" si="158"/>
        <v>0</v>
      </c>
      <c r="BL126" s="1236">
        <f t="shared" si="159"/>
        <v>0</v>
      </c>
      <c r="BM126" s="1236">
        <f t="shared" si="160"/>
        <v>0</v>
      </c>
      <c r="BN126" s="1236">
        <f t="shared" si="161"/>
        <v>0</v>
      </c>
      <c r="BO126" s="1236">
        <f t="shared" si="162"/>
        <v>0</v>
      </c>
      <c r="BP126" s="1236">
        <f t="shared" si="163"/>
        <v>0</v>
      </c>
      <c r="BQ126" s="1236">
        <f t="shared" si="164"/>
        <v>0</v>
      </c>
      <c r="BR126" s="1236">
        <f t="shared" si="165"/>
        <v>0</v>
      </c>
      <c r="BS126" s="1236">
        <f t="shared" si="166"/>
        <v>0</v>
      </c>
      <c r="BT126" s="1236">
        <f t="shared" si="167"/>
        <v>0</v>
      </c>
      <c r="BU126" s="1236">
        <f t="shared" si="168"/>
        <v>0</v>
      </c>
      <c r="BV126" s="1236">
        <f t="shared" si="169"/>
        <v>0</v>
      </c>
      <c r="BW126" s="1236">
        <f t="shared" si="170"/>
        <v>0</v>
      </c>
      <c r="BX126" s="1236">
        <f t="shared" si="171"/>
        <v>0</v>
      </c>
      <c r="BY126" s="1236">
        <f t="shared" si="172"/>
        <v>0</v>
      </c>
      <c r="BZ126" s="1236">
        <f t="shared" si="173"/>
        <v>0</v>
      </c>
      <c r="CA126" s="1236">
        <f t="shared" si="174"/>
        <v>0</v>
      </c>
      <c r="CB126" s="1236">
        <f t="shared" si="175"/>
        <v>0</v>
      </c>
      <c r="CC126" s="1236">
        <f t="shared" si="176"/>
        <v>0</v>
      </c>
      <c r="CD126" s="1236">
        <f t="shared" si="177"/>
        <v>0</v>
      </c>
      <c r="CE126" s="1236">
        <f t="shared" si="178"/>
        <v>0</v>
      </c>
      <c r="CF126" s="1236">
        <f t="shared" si="179"/>
        <v>0</v>
      </c>
      <c r="CG126" s="1236">
        <f t="shared" si="180"/>
        <v>0</v>
      </c>
      <c r="CH126" s="1236">
        <f t="shared" si="181"/>
        <v>0</v>
      </c>
      <c r="CI126" s="1236">
        <f t="shared" si="182"/>
        <v>0</v>
      </c>
      <c r="CJ126" s="1236">
        <f t="shared" si="183"/>
        <v>0</v>
      </c>
      <c r="CK126" s="1236">
        <f t="shared" si="184"/>
        <v>0</v>
      </c>
      <c r="CL126" s="1236">
        <f t="shared" si="185"/>
        <v>0</v>
      </c>
      <c r="CM126" s="1236">
        <f t="shared" si="186"/>
        <v>0</v>
      </c>
      <c r="CN126" s="1236">
        <f t="shared" si="187"/>
        <v>0</v>
      </c>
      <c r="CQ126" s="1165"/>
      <c r="CR126" s="1165"/>
      <c r="CS126" s="1165"/>
      <c r="CT126" s="1165"/>
      <c r="CU126" s="1165"/>
      <c r="CV126" s="1165"/>
      <c r="CW126" s="1165"/>
      <c r="CX126" s="1165"/>
      <c r="CY126" s="1165"/>
      <c r="CZ126" s="1165"/>
      <c r="DA126" s="1165"/>
      <c r="DB126" s="1165"/>
      <c r="DC126" s="1165"/>
      <c r="DD126" s="1165"/>
      <c r="DE126" s="1165"/>
      <c r="DF126" s="1165"/>
      <c r="DG126" s="1165"/>
      <c r="DH126" s="1165"/>
      <c r="DI126" s="1165"/>
      <c r="DJ126" s="1165"/>
      <c r="DK126" s="1165"/>
      <c r="DL126" s="1165"/>
      <c r="DM126" s="1165"/>
      <c r="DN126" s="1165"/>
      <c r="DO126" s="1165"/>
      <c r="DP126" s="1165"/>
      <c r="DQ126" s="1165"/>
      <c r="DR126" s="1165"/>
      <c r="DS126" s="1165"/>
      <c r="DT126" s="1165"/>
      <c r="DU126" s="1165"/>
      <c r="DV126" s="1165"/>
      <c r="DW126" s="1165"/>
      <c r="DX126" s="1165"/>
      <c r="DY126" s="1165"/>
      <c r="DZ126" s="1165"/>
      <c r="EA126" s="1165"/>
      <c r="EB126" s="1165"/>
      <c r="EC126" s="1165"/>
      <c r="ED126" s="1165"/>
      <c r="EE126" s="1165"/>
      <c r="EF126" s="1165"/>
      <c r="EG126" s="1165"/>
      <c r="EH126" s="1165"/>
      <c r="EI126" s="1165"/>
      <c r="EJ126" s="1165"/>
      <c r="EK126" s="1165"/>
      <c r="EL126" s="1165"/>
      <c r="EM126" s="1165"/>
      <c r="EN126" s="1165"/>
      <c r="EO126" s="1165"/>
      <c r="EP126" s="1165"/>
      <c r="EQ126" s="1165"/>
      <c r="ER126" s="1165"/>
      <c r="ES126" s="1165"/>
      <c r="ET126" s="1165"/>
      <c r="EU126" s="1165"/>
      <c r="EV126" s="1165"/>
      <c r="EW126" s="1165"/>
      <c r="EX126" s="1165"/>
      <c r="EY126" s="1165"/>
      <c r="EZ126" s="1165"/>
      <c r="FA126" s="1165"/>
      <c r="FB126" s="1165"/>
      <c r="FC126" s="1165"/>
      <c r="FD126" s="1165"/>
      <c r="FE126" s="1165"/>
      <c r="FF126" s="1165"/>
    </row>
    <row r="127" spans="1:162">
      <c r="A127" s="1224"/>
      <c r="B127" s="1237" t="s">
        <v>205</v>
      </c>
      <c r="M127" s="1236">
        <f t="shared" ca="1" si="197"/>
        <v>0</v>
      </c>
      <c r="N127" s="1236">
        <f t="shared" ca="1" si="197"/>
        <v>0</v>
      </c>
      <c r="O127" s="1236">
        <f t="shared" ca="1" si="197"/>
        <v>0</v>
      </c>
      <c r="P127" s="1236">
        <f t="shared" ca="1" si="197"/>
        <v>0</v>
      </c>
      <c r="Q127" s="1236">
        <f t="shared" ca="1" si="197"/>
        <v>0</v>
      </c>
      <c r="AG127" s="1236">
        <f t="shared" si="128"/>
        <v>0</v>
      </c>
      <c r="AH127" s="1236">
        <f t="shared" si="129"/>
        <v>0</v>
      </c>
      <c r="AI127" s="1236">
        <f t="shared" si="130"/>
        <v>0</v>
      </c>
      <c r="AJ127" s="1236">
        <f t="shared" si="131"/>
        <v>0</v>
      </c>
      <c r="AK127" s="1236">
        <f t="shared" si="132"/>
        <v>0</v>
      </c>
      <c r="AL127" s="1236">
        <f t="shared" si="133"/>
        <v>0</v>
      </c>
      <c r="AM127" s="1236">
        <f t="shared" si="134"/>
        <v>0</v>
      </c>
      <c r="AN127" s="1236">
        <f t="shared" si="135"/>
        <v>0</v>
      </c>
      <c r="AO127" s="1236">
        <f t="shared" si="136"/>
        <v>0</v>
      </c>
      <c r="AP127" s="1236">
        <f t="shared" si="137"/>
        <v>0</v>
      </c>
      <c r="AQ127" s="1236">
        <f t="shared" si="138"/>
        <v>0</v>
      </c>
      <c r="AR127" s="1236">
        <f t="shared" si="139"/>
        <v>0</v>
      </c>
      <c r="AS127" s="1236">
        <f t="shared" si="140"/>
        <v>0</v>
      </c>
      <c r="AT127" s="1236">
        <f t="shared" si="141"/>
        <v>0</v>
      </c>
      <c r="AU127" s="1236">
        <f t="shared" si="142"/>
        <v>0</v>
      </c>
      <c r="AV127" s="1236">
        <f t="shared" si="143"/>
        <v>0</v>
      </c>
      <c r="AW127" s="1236">
        <f t="shared" si="144"/>
        <v>0</v>
      </c>
      <c r="AX127" s="1236">
        <f t="shared" si="145"/>
        <v>0</v>
      </c>
      <c r="AY127" s="1236">
        <f t="shared" si="146"/>
        <v>0</v>
      </c>
      <c r="AZ127" s="1236">
        <f t="shared" si="147"/>
        <v>0</v>
      </c>
      <c r="BA127" s="1236">
        <f t="shared" si="148"/>
        <v>0</v>
      </c>
      <c r="BB127" s="1236">
        <f t="shared" si="149"/>
        <v>0</v>
      </c>
      <c r="BC127" s="1236">
        <f t="shared" si="150"/>
        <v>0</v>
      </c>
      <c r="BD127" s="1236">
        <f t="shared" si="151"/>
        <v>0</v>
      </c>
      <c r="BE127" s="1236">
        <f t="shared" si="152"/>
        <v>0</v>
      </c>
      <c r="BF127" s="1236">
        <f t="shared" si="153"/>
        <v>0</v>
      </c>
      <c r="BG127" s="1236">
        <f t="shared" si="154"/>
        <v>0</v>
      </c>
      <c r="BH127" s="1236">
        <f t="shared" si="155"/>
        <v>0</v>
      </c>
      <c r="BI127" s="1236">
        <f t="shared" si="156"/>
        <v>0</v>
      </c>
      <c r="BJ127" s="1236">
        <f t="shared" si="157"/>
        <v>0</v>
      </c>
      <c r="BK127" s="1236">
        <f t="shared" si="158"/>
        <v>0</v>
      </c>
      <c r="BL127" s="1236">
        <f t="shared" si="159"/>
        <v>0</v>
      </c>
      <c r="BM127" s="1236">
        <f t="shared" si="160"/>
        <v>0</v>
      </c>
      <c r="BN127" s="1236">
        <f t="shared" si="161"/>
        <v>0</v>
      </c>
      <c r="BO127" s="1236">
        <f t="shared" si="162"/>
        <v>0</v>
      </c>
      <c r="BP127" s="1236">
        <f t="shared" si="163"/>
        <v>0</v>
      </c>
      <c r="BQ127" s="1236">
        <f t="shared" si="164"/>
        <v>0</v>
      </c>
      <c r="BR127" s="1236">
        <f t="shared" si="165"/>
        <v>0</v>
      </c>
      <c r="BS127" s="1236">
        <f t="shared" si="166"/>
        <v>0</v>
      </c>
      <c r="BT127" s="1236">
        <f t="shared" si="167"/>
        <v>0</v>
      </c>
      <c r="BU127" s="1236">
        <f t="shared" si="168"/>
        <v>0</v>
      </c>
      <c r="BV127" s="1236">
        <f t="shared" si="169"/>
        <v>0</v>
      </c>
      <c r="BW127" s="1236">
        <f t="shared" si="170"/>
        <v>0</v>
      </c>
      <c r="BX127" s="1236">
        <f t="shared" si="171"/>
        <v>0</v>
      </c>
      <c r="BY127" s="1236">
        <f t="shared" si="172"/>
        <v>0</v>
      </c>
      <c r="BZ127" s="1236">
        <f t="shared" si="173"/>
        <v>0</v>
      </c>
      <c r="CA127" s="1236">
        <f t="shared" si="174"/>
        <v>0</v>
      </c>
      <c r="CB127" s="1236">
        <f t="shared" si="175"/>
        <v>0</v>
      </c>
      <c r="CC127" s="1236">
        <f t="shared" si="176"/>
        <v>0</v>
      </c>
      <c r="CD127" s="1236">
        <f t="shared" si="177"/>
        <v>0</v>
      </c>
      <c r="CE127" s="1236">
        <f t="shared" si="178"/>
        <v>0</v>
      </c>
      <c r="CF127" s="1236">
        <f t="shared" si="179"/>
        <v>0</v>
      </c>
      <c r="CG127" s="1236">
        <f t="shared" si="180"/>
        <v>0</v>
      </c>
      <c r="CH127" s="1236">
        <f t="shared" si="181"/>
        <v>0</v>
      </c>
      <c r="CI127" s="1236">
        <f t="shared" si="182"/>
        <v>0</v>
      </c>
      <c r="CJ127" s="1236">
        <f t="shared" si="183"/>
        <v>0</v>
      </c>
      <c r="CK127" s="1236">
        <f t="shared" si="184"/>
        <v>0</v>
      </c>
      <c r="CL127" s="1236">
        <f t="shared" si="185"/>
        <v>0</v>
      </c>
      <c r="CM127" s="1236">
        <f t="shared" si="186"/>
        <v>0</v>
      </c>
      <c r="CN127" s="1236">
        <f t="shared" si="187"/>
        <v>0</v>
      </c>
      <c r="CQ127" s="1165"/>
      <c r="CR127" s="1165"/>
      <c r="CS127" s="1165"/>
      <c r="CT127" s="1165"/>
      <c r="CU127" s="1165"/>
      <c r="CV127" s="1165"/>
      <c r="CW127" s="1165"/>
      <c r="CX127" s="1165"/>
      <c r="CY127" s="1165"/>
      <c r="CZ127" s="1165"/>
      <c r="DA127" s="1165"/>
      <c r="DB127" s="1165"/>
      <c r="DC127" s="1165"/>
      <c r="DD127" s="1165"/>
      <c r="DE127" s="1165"/>
      <c r="DF127" s="1165"/>
      <c r="DG127" s="1165"/>
      <c r="DH127" s="1165"/>
      <c r="DI127" s="1165"/>
      <c r="DJ127" s="1165"/>
      <c r="DK127" s="1165"/>
      <c r="DL127" s="1165"/>
      <c r="DM127" s="1165"/>
      <c r="DN127" s="1165"/>
      <c r="DO127" s="1165"/>
      <c r="DP127" s="1165"/>
      <c r="DQ127" s="1165"/>
      <c r="DR127" s="1165"/>
      <c r="DS127" s="1165"/>
      <c r="DT127" s="1165"/>
      <c r="DU127" s="1165"/>
      <c r="DV127" s="1165"/>
      <c r="DW127" s="1165"/>
      <c r="DX127" s="1165"/>
      <c r="DY127" s="1165"/>
      <c r="DZ127" s="1165"/>
      <c r="EA127" s="1165"/>
      <c r="EB127" s="1165"/>
      <c r="EC127" s="1165"/>
      <c r="ED127" s="1165"/>
      <c r="EE127" s="1165"/>
      <c r="EF127" s="1165"/>
      <c r="EG127" s="1165"/>
      <c r="EH127" s="1165"/>
      <c r="EI127" s="1165"/>
      <c r="EJ127" s="1165"/>
      <c r="EK127" s="1165"/>
      <c r="EL127" s="1165"/>
      <c r="EM127" s="1165"/>
      <c r="EN127" s="1165"/>
      <c r="EO127" s="1165"/>
      <c r="EP127" s="1165"/>
      <c r="EQ127" s="1165"/>
      <c r="ER127" s="1165"/>
      <c r="ES127" s="1165"/>
      <c r="ET127" s="1165"/>
      <c r="EU127" s="1165"/>
      <c r="EV127" s="1165"/>
      <c r="EW127" s="1165"/>
      <c r="EX127" s="1165"/>
      <c r="EY127" s="1165"/>
      <c r="EZ127" s="1165"/>
      <c r="FA127" s="1165"/>
      <c r="FB127" s="1165"/>
      <c r="FC127" s="1165"/>
      <c r="FD127" s="1165"/>
      <c r="FE127" s="1165"/>
      <c r="FF127" s="1165"/>
    </row>
    <row r="128" spans="1:162">
      <c r="A128" s="1203" t="s">
        <v>526</v>
      </c>
      <c r="B128" s="1237" t="s">
        <v>206</v>
      </c>
      <c r="M128" s="1236">
        <f t="shared" ca="1" si="197"/>
        <v>0</v>
      </c>
      <c r="N128" s="1236">
        <f t="shared" ca="1" si="197"/>
        <v>0</v>
      </c>
      <c r="O128" s="1236">
        <f t="shared" ca="1" si="197"/>
        <v>0</v>
      </c>
      <c r="P128" s="1236">
        <f t="shared" ca="1" si="197"/>
        <v>0</v>
      </c>
      <c r="Q128" s="1236">
        <f t="shared" ca="1" si="197"/>
        <v>0</v>
      </c>
      <c r="R128" s="1232"/>
      <c r="S128" s="1232"/>
      <c r="T128" s="1232"/>
      <c r="U128" s="1232"/>
      <c r="V128" s="1232"/>
      <c r="W128" s="1232"/>
      <c r="X128" s="1232"/>
      <c r="Y128" s="1232"/>
      <c r="AG128" s="1236">
        <f t="shared" si="128"/>
        <v>0</v>
      </c>
      <c r="AH128" s="1236">
        <f t="shared" si="129"/>
        <v>0</v>
      </c>
      <c r="AI128" s="1236">
        <f t="shared" si="130"/>
        <v>0</v>
      </c>
      <c r="AJ128" s="1236">
        <f t="shared" si="131"/>
        <v>0</v>
      </c>
      <c r="AK128" s="1236">
        <f t="shared" si="132"/>
        <v>0</v>
      </c>
      <c r="AL128" s="1236">
        <f t="shared" si="133"/>
        <v>0</v>
      </c>
      <c r="AM128" s="1236">
        <f t="shared" si="134"/>
        <v>0</v>
      </c>
      <c r="AN128" s="1236">
        <f t="shared" si="135"/>
        <v>0</v>
      </c>
      <c r="AO128" s="1236">
        <f t="shared" si="136"/>
        <v>0</v>
      </c>
      <c r="AP128" s="1236">
        <f t="shared" si="137"/>
        <v>0</v>
      </c>
      <c r="AQ128" s="1236">
        <f t="shared" si="138"/>
        <v>0</v>
      </c>
      <c r="AR128" s="1236">
        <f t="shared" si="139"/>
        <v>0</v>
      </c>
      <c r="AS128" s="1236">
        <f t="shared" si="140"/>
        <v>0</v>
      </c>
      <c r="AT128" s="1236">
        <f t="shared" si="141"/>
        <v>0</v>
      </c>
      <c r="AU128" s="1236">
        <f t="shared" si="142"/>
        <v>0</v>
      </c>
      <c r="AV128" s="1236">
        <f t="shared" si="143"/>
        <v>0</v>
      </c>
      <c r="AW128" s="1236">
        <f t="shared" si="144"/>
        <v>0</v>
      </c>
      <c r="AX128" s="1236">
        <f t="shared" si="145"/>
        <v>0</v>
      </c>
      <c r="AY128" s="1236">
        <f t="shared" si="146"/>
        <v>0</v>
      </c>
      <c r="AZ128" s="1236">
        <f t="shared" si="147"/>
        <v>0</v>
      </c>
      <c r="BA128" s="1236">
        <f t="shared" si="148"/>
        <v>0</v>
      </c>
      <c r="BB128" s="1236">
        <f t="shared" si="149"/>
        <v>0</v>
      </c>
      <c r="BC128" s="1236">
        <f t="shared" si="150"/>
        <v>0</v>
      </c>
      <c r="BD128" s="1236">
        <f t="shared" si="151"/>
        <v>0</v>
      </c>
      <c r="BE128" s="1236">
        <f t="shared" si="152"/>
        <v>0</v>
      </c>
      <c r="BF128" s="1236">
        <f t="shared" si="153"/>
        <v>0</v>
      </c>
      <c r="BG128" s="1236">
        <f t="shared" si="154"/>
        <v>0</v>
      </c>
      <c r="BH128" s="1236">
        <f t="shared" si="155"/>
        <v>0</v>
      </c>
      <c r="BI128" s="1236">
        <f t="shared" si="156"/>
        <v>0</v>
      </c>
      <c r="BJ128" s="1236">
        <f t="shared" si="157"/>
        <v>0</v>
      </c>
      <c r="BK128" s="1236">
        <f t="shared" si="158"/>
        <v>0</v>
      </c>
      <c r="BL128" s="1236">
        <f t="shared" si="159"/>
        <v>0</v>
      </c>
      <c r="BM128" s="1236">
        <f t="shared" si="160"/>
        <v>0</v>
      </c>
      <c r="BN128" s="1236">
        <f t="shared" si="161"/>
        <v>0</v>
      </c>
      <c r="BO128" s="1236">
        <f t="shared" si="162"/>
        <v>0</v>
      </c>
      <c r="BP128" s="1236">
        <f t="shared" si="163"/>
        <v>0</v>
      </c>
      <c r="BQ128" s="1236">
        <f t="shared" si="164"/>
        <v>0</v>
      </c>
      <c r="BR128" s="1236">
        <f t="shared" si="165"/>
        <v>0</v>
      </c>
      <c r="BS128" s="1236">
        <f t="shared" si="166"/>
        <v>0</v>
      </c>
      <c r="BT128" s="1236">
        <f t="shared" si="167"/>
        <v>0</v>
      </c>
      <c r="BU128" s="1236">
        <f t="shared" si="168"/>
        <v>0</v>
      </c>
      <c r="BV128" s="1236">
        <f t="shared" si="169"/>
        <v>0</v>
      </c>
      <c r="BW128" s="1236">
        <f t="shared" si="170"/>
        <v>0</v>
      </c>
      <c r="BX128" s="1236">
        <f t="shared" si="171"/>
        <v>0</v>
      </c>
      <c r="BY128" s="1236">
        <f t="shared" si="172"/>
        <v>0</v>
      </c>
      <c r="BZ128" s="1236">
        <f t="shared" si="173"/>
        <v>0</v>
      </c>
      <c r="CA128" s="1236">
        <f t="shared" si="174"/>
        <v>0</v>
      </c>
      <c r="CB128" s="1236">
        <f t="shared" si="175"/>
        <v>0</v>
      </c>
      <c r="CC128" s="1236">
        <f t="shared" si="176"/>
        <v>0</v>
      </c>
      <c r="CD128" s="1236">
        <f t="shared" si="177"/>
        <v>0</v>
      </c>
      <c r="CE128" s="1236">
        <f t="shared" si="178"/>
        <v>0</v>
      </c>
      <c r="CF128" s="1236">
        <f t="shared" si="179"/>
        <v>0</v>
      </c>
      <c r="CG128" s="1236">
        <f t="shared" si="180"/>
        <v>0</v>
      </c>
      <c r="CH128" s="1236">
        <f t="shared" si="181"/>
        <v>0</v>
      </c>
      <c r="CI128" s="1236">
        <f t="shared" si="182"/>
        <v>0</v>
      </c>
      <c r="CJ128" s="1236">
        <f t="shared" si="183"/>
        <v>0</v>
      </c>
      <c r="CK128" s="1236">
        <f t="shared" si="184"/>
        <v>0</v>
      </c>
      <c r="CL128" s="1236">
        <f t="shared" si="185"/>
        <v>0</v>
      </c>
      <c r="CM128" s="1236">
        <f t="shared" si="186"/>
        <v>0</v>
      </c>
      <c r="CN128" s="1236">
        <f t="shared" si="187"/>
        <v>0</v>
      </c>
      <c r="CQ128" s="1165"/>
      <c r="CR128" s="1165"/>
      <c r="CS128" s="1165"/>
      <c r="CT128" s="1165"/>
      <c r="CU128" s="1165"/>
      <c r="CV128" s="1165"/>
      <c r="CW128" s="1165"/>
      <c r="CX128" s="1165"/>
      <c r="CY128" s="1165"/>
      <c r="CZ128" s="1165"/>
      <c r="DA128" s="1165"/>
      <c r="DB128" s="1165"/>
      <c r="DC128" s="1165"/>
      <c r="DD128" s="1165"/>
      <c r="DE128" s="1165"/>
      <c r="DF128" s="1165"/>
      <c r="DG128" s="1165"/>
      <c r="DH128" s="1165"/>
      <c r="DI128" s="1165"/>
      <c r="DJ128" s="1165"/>
      <c r="DK128" s="1238"/>
      <c r="DL128" s="1238"/>
      <c r="DM128" s="1238"/>
      <c r="DN128" s="1238"/>
      <c r="DO128" s="1238"/>
      <c r="DP128" s="1238"/>
      <c r="DQ128" s="1238"/>
      <c r="DR128" s="1238"/>
      <c r="DS128" s="1238"/>
      <c r="DT128" s="1238"/>
      <c r="DU128" s="1238"/>
      <c r="DV128" s="1238"/>
      <c r="DW128" s="1238"/>
      <c r="DX128" s="1238"/>
      <c r="DY128" s="1238"/>
      <c r="DZ128" s="1238"/>
      <c r="EA128" s="1238"/>
      <c r="EB128" s="1238"/>
      <c r="EC128" s="1238"/>
      <c r="ED128" s="1238"/>
      <c r="EE128" s="1238"/>
      <c r="EF128" s="1238"/>
      <c r="EG128" s="1238"/>
      <c r="EH128" s="1238"/>
      <c r="EI128" s="1238"/>
      <c r="EJ128" s="1238"/>
      <c r="EK128" s="1238"/>
      <c r="EL128" s="1238"/>
      <c r="EM128" s="1238"/>
      <c r="EN128" s="1238"/>
      <c r="EO128" s="1238"/>
      <c r="EP128" s="1238"/>
      <c r="EQ128" s="1238"/>
      <c r="ER128" s="1238"/>
      <c r="ES128" s="1238"/>
      <c r="ET128" s="1238"/>
      <c r="EU128" s="1165"/>
      <c r="EV128" s="1165"/>
      <c r="EW128" s="1165"/>
      <c r="EX128" s="1165"/>
      <c r="EY128" s="1165"/>
      <c r="EZ128" s="1165"/>
      <c r="FA128" s="1165"/>
      <c r="FB128" s="1165"/>
      <c r="FC128" s="1165"/>
      <c r="FD128" s="1165"/>
      <c r="FE128" s="1165"/>
      <c r="FF128" s="1165"/>
    </row>
    <row r="129" spans="1:162">
      <c r="A129" s="1224"/>
      <c r="B129" s="1237" t="s">
        <v>118</v>
      </c>
      <c r="M129" s="1236">
        <f t="shared" ca="1" si="197"/>
        <v>0</v>
      </c>
      <c r="N129" s="1236">
        <f t="shared" ca="1" si="197"/>
        <v>0</v>
      </c>
      <c r="O129" s="1236">
        <f t="shared" ca="1" si="197"/>
        <v>0</v>
      </c>
      <c r="P129" s="1236">
        <f t="shared" ca="1" si="197"/>
        <v>0</v>
      </c>
      <c r="Q129" s="1236">
        <f t="shared" ca="1" si="197"/>
        <v>0</v>
      </c>
      <c r="AG129" s="1236">
        <f t="shared" si="128"/>
        <v>0</v>
      </c>
      <c r="AH129" s="1236">
        <f t="shared" si="129"/>
        <v>0</v>
      </c>
      <c r="AI129" s="1236">
        <f t="shared" si="130"/>
        <v>0</v>
      </c>
      <c r="AJ129" s="1236">
        <f t="shared" si="131"/>
        <v>0</v>
      </c>
      <c r="AK129" s="1236">
        <f t="shared" si="132"/>
        <v>0</v>
      </c>
      <c r="AL129" s="1236">
        <f t="shared" si="133"/>
        <v>0</v>
      </c>
      <c r="AM129" s="1236">
        <f t="shared" si="134"/>
        <v>0</v>
      </c>
      <c r="AN129" s="1236">
        <f t="shared" si="135"/>
        <v>0</v>
      </c>
      <c r="AO129" s="1236">
        <f t="shared" si="136"/>
        <v>0</v>
      </c>
      <c r="AP129" s="1236">
        <f t="shared" si="137"/>
        <v>0</v>
      </c>
      <c r="AQ129" s="1236">
        <f t="shared" si="138"/>
        <v>0</v>
      </c>
      <c r="AR129" s="1236">
        <f t="shared" si="139"/>
        <v>0</v>
      </c>
      <c r="AS129" s="1236">
        <f t="shared" si="140"/>
        <v>0</v>
      </c>
      <c r="AT129" s="1236">
        <f t="shared" si="141"/>
        <v>0</v>
      </c>
      <c r="AU129" s="1236">
        <f t="shared" si="142"/>
        <v>0</v>
      </c>
      <c r="AV129" s="1236">
        <f t="shared" si="143"/>
        <v>0</v>
      </c>
      <c r="AW129" s="1236">
        <f t="shared" si="144"/>
        <v>0</v>
      </c>
      <c r="AX129" s="1236">
        <f t="shared" si="145"/>
        <v>0</v>
      </c>
      <c r="AY129" s="1236">
        <f t="shared" si="146"/>
        <v>0</v>
      </c>
      <c r="AZ129" s="1236">
        <f t="shared" si="147"/>
        <v>0</v>
      </c>
      <c r="BA129" s="1236">
        <f t="shared" si="148"/>
        <v>0</v>
      </c>
      <c r="BB129" s="1236">
        <f t="shared" si="149"/>
        <v>0</v>
      </c>
      <c r="BC129" s="1236">
        <f t="shared" si="150"/>
        <v>0</v>
      </c>
      <c r="BD129" s="1236">
        <f t="shared" si="151"/>
        <v>0</v>
      </c>
      <c r="BE129" s="1236">
        <f t="shared" si="152"/>
        <v>0</v>
      </c>
      <c r="BF129" s="1236">
        <f t="shared" si="153"/>
        <v>0</v>
      </c>
      <c r="BG129" s="1236">
        <f t="shared" si="154"/>
        <v>0</v>
      </c>
      <c r="BH129" s="1236">
        <f t="shared" si="155"/>
        <v>0</v>
      </c>
      <c r="BI129" s="1236">
        <f t="shared" si="156"/>
        <v>0</v>
      </c>
      <c r="BJ129" s="1236">
        <f t="shared" si="157"/>
        <v>0</v>
      </c>
      <c r="BK129" s="1236">
        <f t="shared" si="158"/>
        <v>0</v>
      </c>
      <c r="BL129" s="1236">
        <f t="shared" si="159"/>
        <v>0</v>
      </c>
      <c r="BM129" s="1236">
        <f t="shared" si="160"/>
        <v>0</v>
      </c>
      <c r="BN129" s="1236">
        <f t="shared" si="161"/>
        <v>0</v>
      </c>
      <c r="BO129" s="1236">
        <f t="shared" si="162"/>
        <v>0</v>
      </c>
      <c r="BP129" s="1236">
        <f t="shared" si="163"/>
        <v>0</v>
      </c>
      <c r="BQ129" s="1236">
        <f t="shared" si="164"/>
        <v>0</v>
      </c>
      <c r="BR129" s="1236">
        <f t="shared" si="165"/>
        <v>0</v>
      </c>
      <c r="BS129" s="1236">
        <f t="shared" si="166"/>
        <v>0</v>
      </c>
      <c r="BT129" s="1236">
        <f t="shared" si="167"/>
        <v>0</v>
      </c>
      <c r="BU129" s="1236">
        <f t="shared" si="168"/>
        <v>0</v>
      </c>
      <c r="BV129" s="1236">
        <f t="shared" si="169"/>
        <v>0</v>
      </c>
      <c r="BW129" s="1236">
        <f t="shared" si="170"/>
        <v>0</v>
      </c>
      <c r="BX129" s="1236">
        <f t="shared" si="171"/>
        <v>0</v>
      </c>
      <c r="BY129" s="1236">
        <f t="shared" si="172"/>
        <v>0</v>
      </c>
      <c r="BZ129" s="1236">
        <f t="shared" si="173"/>
        <v>0</v>
      </c>
      <c r="CA129" s="1236">
        <f t="shared" si="174"/>
        <v>0</v>
      </c>
      <c r="CB129" s="1236">
        <f t="shared" si="175"/>
        <v>0</v>
      </c>
      <c r="CC129" s="1236">
        <f t="shared" si="176"/>
        <v>0</v>
      </c>
      <c r="CD129" s="1236">
        <f t="shared" si="177"/>
        <v>0</v>
      </c>
      <c r="CE129" s="1236">
        <f t="shared" si="178"/>
        <v>0</v>
      </c>
      <c r="CF129" s="1236">
        <f t="shared" si="179"/>
        <v>0</v>
      </c>
      <c r="CG129" s="1236">
        <f t="shared" si="180"/>
        <v>0</v>
      </c>
      <c r="CH129" s="1236">
        <f t="shared" si="181"/>
        <v>0</v>
      </c>
      <c r="CI129" s="1236">
        <f t="shared" si="182"/>
        <v>0</v>
      </c>
      <c r="CJ129" s="1236">
        <f t="shared" si="183"/>
        <v>0</v>
      </c>
      <c r="CK129" s="1236">
        <f t="shared" si="184"/>
        <v>0</v>
      </c>
      <c r="CL129" s="1236">
        <f t="shared" si="185"/>
        <v>0</v>
      </c>
      <c r="CM129" s="1236">
        <f t="shared" si="186"/>
        <v>0</v>
      </c>
      <c r="CN129" s="1236">
        <f t="shared" si="187"/>
        <v>0</v>
      </c>
      <c r="CO129" s="1165"/>
      <c r="CP129" s="1165"/>
      <c r="CQ129" s="1165"/>
      <c r="CR129" s="1165"/>
      <c r="CS129" s="1165"/>
      <c r="CT129" s="1165"/>
      <c r="CU129" s="1165"/>
      <c r="CV129" s="1165"/>
      <c r="CW129" s="1165"/>
      <c r="CX129" s="1165"/>
      <c r="CY129" s="1165"/>
      <c r="CZ129" s="1165"/>
      <c r="DA129" s="1165"/>
      <c r="DB129" s="1165"/>
      <c r="DC129" s="1165"/>
      <c r="DD129" s="1165"/>
      <c r="DE129" s="1165"/>
      <c r="DF129" s="1165"/>
      <c r="DG129" s="1165"/>
      <c r="DH129" s="1165"/>
      <c r="DI129" s="1165"/>
      <c r="DJ129" s="1165"/>
      <c r="DK129" s="1165"/>
      <c r="DL129" s="1165"/>
      <c r="DM129" s="1165"/>
      <c r="DN129" s="1165"/>
      <c r="DO129" s="1165"/>
      <c r="DP129" s="1165"/>
      <c r="DQ129" s="1165"/>
      <c r="DR129" s="1165"/>
      <c r="DS129" s="1165"/>
      <c r="DT129" s="1165"/>
      <c r="DU129" s="1165"/>
      <c r="DV129" s="1165"/>
      <c r="DW129" s="1165"/>
      <c r="DX129" s="1165"/>
      <c r="DY129" s="1165"/>
      <c r="DZ129" s="1165"/>
      <c r="EA129" s="1165"/>
      <c r="EB129" s="1165"/>
      <c r="EC129" s="1165"/>
      <c r="ED129" s="1165"/>
      <c r="EE129" s="1165"/>
      <c r="EF129" s="1165"/>
      <c r="EG129" s="1165"/>
      <c r="EH129" s="1165"/>
      <c r="EI129" s="1165"/>
      <c r="EJ129" s="1165"/>
      <c r="EK129" s="1165"/>
      <c r="EL129" s="1165"/>
      <c r="EM129" s="1165"/>
      <c r="EN129" s="1165"/>
      <c r="EO129" s="1165"/>
      <c r="EP129" s="1165"/>
      <c r="EQ129" s="1165"/>
      <c r="ER129" s="1165"/>
      <c r="ES129" s="1165"/>
      <c r="ET129" s="1165"/>
      <c r="EU129" s="1165"/>
      <c r="EV129" s="1165"/>
      <c r="EW129" s="1165"/>
      <c r="EX129" s="1165"/>
      <c r="EY129" s="1165"/>
      <c r="EZ129" s="1165"/>
      <c r="FA129" s="1165"/>
      <c r="FB129" s="1165"/>
      <c r="FC129" s="1165"/>
      <c r="FD129" s="1165"/>
      <c r="FE129" s="1165"/>
      <c r="FF129" s="1165"/>
    </row>
    <row r="130" spans="1:162" s="1231" customFormat="1">
      <c r="A130" s="1224"/>
      <c r="B130" s="1230" t="s">
        <v>83</v>
      </c>
      <c r="M130" s="1231">
        <f t="shared" ca="1" si="197"/>
        <v>0</v>
      </c>
      <c r="N130" s="1231">
        <f t="shared" ca="1" si="197"/>
        <v>0</v>
      </c>
      <c r="O130" s="1231">
        <f t="shared" ca="1" si="197"/>
        <v>0</v>
      </c>
      <c r="P130" s="1231">
        <f t="shared" ca="1" si="197"/>
        <v>0</v>
      </c>
      <c r="Q130" s="1231">
        <f t="shared" ca="1" si="197"/>
        <v>0</v>
      </c>
      <c r="R130" s="1231">
        <f t="shared" ref="R130:Z130" si="198">SUM(R125:R129)</f>
        <v>206.62280000000001</v>
      </c>
      <c r="S130" s="1231">
        <f t="shared" si="198"/>
        <v>165.23400000000001</v>
      </c>
      <c r="T130" s="1231">
        <f t="shared" si="198"/>
        <v>278.11099999999999</v>
      </c>
      <c r="U130" s="1231">
        <f t="shared" si="198"/>
        <v>308.22899999999998</v>
      </c>
      <c r="V130" s="1231">
        <f t="shared" si="198"/>
        <v>382.64699999999999</v>
      </c>
      <c r="W130" s="1231">
        <f t="shared" si="198"/>
        <v>357.22399999999999</v>
      </c>
      <c r="X130" s="1231">
        <f t="shared" si="198"/>
        <v>489.52699999999999</v>
      </c>
      <c r="Y130" s="1231">
        <f t="shared" si="198"/>
        <v>406.64</v>
      </c>
      <c r="Z130" s="1231">
        <f t="shared" si="198"/>
        <v>409.89800000000002</v>
      </c>
      <c r="AG130" s="1231">
        <f t="shared" si="128"/>
        <v>0</v>
      </c>
      <c r="AH130" s="1231">
        <f t="shared" si="129"/>
        <v>0</v>
      </c>
      <c r="AI130" s="1231">
        <f t="shared" si="130"/>
        <v>0</v>
      </c>
      <c r="AJ130" s="1231">
        <f t="shared" si="131"/>
        <v>0</v>
      </c>
      <c r="AK130" s="1231">
        <f t="shared" si="132"/>
        <v>0</v>
      </c>
      <c r="AL130" s="1231">
        <f t="shared" si="133"/>
        <v>0</v>
      </c>
      <c r="AM130" s="1231">
        <f t="shared" si="134"/>
        <v>0</v>
      </c>
      <c r="AN130" s="1231">
        <f t="shared" si="135"/>
        <v>0</v>
      </c>
      <c r="AO130" s="1231">
        <f t="shared" si="136"/>
        <v>0</v>
      </c>
      <c r="AP130" s="1231">
        <f t="shared" si="137"/>
        <v>0</v>
      </c>
      <c r="AQ130" s="1231">
        <f t="shared" si="138"/>
        <v>0</v>
      </c>
      <c r="AR130" s="1231">
        <f t="shared" si="139"/>
        <v>0</v>
      </c>
      <c r="AS130" s="1231">
        <f t="shared" si="140"/>
        <v>0</v>
      </c>
      <c r="AT130" s="1231">
        <f t="shared" si="141"/>
        <v>0</v>
      </c>
      <c r="AU130" s="1231">
        <f t="shared" si="142"/>
        <v>0</v>
      </c>
      <c r="AV130" s="1231">
        <f t="shared" si="143"/>
        <v>0</v>
      </c>
      <c r="AW130" s="1231">
        <f t="shared" si="144"/>
        <v>0</v>
      </c>
      <c r="AX130" s="1231">
        <f t="shared" si="145"/>
        <v>0</v>
      </c>
      <c r="AY130" s="1231">
        <f t="shared" si="146"/>
        <v>0</v>
      </c>
      <c r="AZ130" s="1231">
        <f t="shared" si="147"/>
        <v>0</v>
      </c>
      <c r="BA130" s="1231">
        <f t="shared" si="148"/>
        <v>0</v>
      </c>
      <c r="BB130" s="1231">
        <f t="shared" si="149"/>
        <v>0</v>
      </c>
      <c r="BC130" s="1231">
        <f t="shared" si="150"/>
        <v>0</v>
      </c>
      <c r="BD130" s="1231">
        <f t="shared" si="151"/>
        <v>0</v>
      </c>
      <c r="BE130" s="1231">
        <f t="shared" si="152"/>
        <v>0</v>
      </c>
      <c r="BF130" s="1231">
        <f t="shared" si="153"/>
        <v>0</v>
      </c>
      <c r="BG130" s="1231">
        <f t="shared" si="154"/>
        <v>0</v>
      </c>
      <c r="BH130" s="1231">
        <f t="shared" si="155"/>
        <v>0</v>
      </c>
      <c r="BI130" s="1231">
        <f t="shared" si="156"/>
        <v>0</v>
      </c>
      <c r="BJ130" s="1231">
        <f t="shared" si="157"/>
        <v>0</v>
      </c>
      <c r="BK130" s="1231">
        <f t="shared" si="158"/>
        <v>0</v>
      </c>
      <c r="BL130" s="1231">
        <f t="shared" si="159"/>
        <v>0</v>
      </c>
      <c r="BM130" s="1231">
        <f t="shared" si="160"/>
        <v>0</v>
      </c>
      <c r="BN130" s="1231">
        <f t="shared" si="161"/>
        <v>0</v>
      </c>
      <c r="BO130" s="1231">
        <f t="shared" si="162"/>
        <v>0</v>
      </c>
      <c r="BP130" s="1231">
        <f t="shared" si="163"/>
        <v>0</v>
      </c>
      <c r="BQ130" s="1231">
        <f t="shared" si="164"/>
        <v>0</v>
      </c>
      <c r="BR130" s="1231">
        <f t="shared" si="165"/>
        <v>0</v>
      </c>
      <c r="BS130" s="1231">
        <f t="shared" si="166"/>
        <v>0</v>
      </c>
      <c r="BT130" s="1231">
        <f t="shared" si="167"/>
        <v>0</v>
      </c>
      <c r="BU130" s="1231">
        <f t="shared" si="168"/>
        <v>0</v>
      </c>
      <c r="BV130" s="1231">
        <f t="shared" si="169"/>
        <v>0</v>
      </c>
      <c r="BW130" s="1231">
        <f t="shared" si="170"/>
        <v>0</v>
      </c>
      <c r="BX130" s="1231">
        <f t="shared" si="171"/>
        <v>0</v>
      </c>
      <c r="BY130" s="1231">
        <f t="shared" si="172"/>
        <v>0</v>
      </c>
      <c r="BZ130" s="1231">
        <f t="shared" si="173"/>
        <v>0</v>
      </c>
      <c r="CA130" s="1231">
        <f t="shared" si="174"/>
        <v>0</v>
      </c>
      <c r="CB130" s="1231">
        <f t="shared" si="175"/>
        <v>0</v>
      </c>
      <c r="CC130" s="1231">
        <f t="shared" si="176"/>
        <v>0</v>
      </c>
      <c r="CD130" s="1231">
        <f t="shared" si="177"/>
        <v>0</v>
      </c>
      <c r="CE130" s="1231">
        <f t="shared" si="178"/>
        <v>0</v>
      </c>
      <c r="CF130" s="1231">
        <f t="shared" si="179"/>
        <v>0</v>
      </c>
      <c r="CG130" s="1231">
        <f t="shared" si="180"/>
        <v>0</v>
      </c>
      <c r="CH130" s="1231">
        <f t="shared" si="181"/>
        <v>0</v>
      </c>
      <c r="CI130" s="1231">
        <f t="shared" si="182"/>
        <v>0</v>
      </c>
      <c r="CJ130" s="1231">
        <f t="shared" si="183"/>
        <v>0</v>
      </c>
      <c r="CK130" s="1231">
        <f t="shared" si="184"/>
        <v>0</v>
      </c>
      <c r="CL130" s="1231">
        <f t="shared" si="185"/>
        <v>0</v>
      </c>
      <c r="CM130" s="1231">
        <f t="shared" si="186"/>
        <v>0</v>
      </c>
      <c r="CN130" s="1231">
        <f t="shared" si="187"/>
        <v>0</v>
      </c>
      <c r="CQ130" s="1165"/>
      <c r="CR130" s="1165"/>
      <c r="CS130" s="1165"/>
      <c r="CT130" s="1165"/>
      <c r="CU130" s="1165"/>
      <c r="CV130" s="1165"/>
      <c r="CW130" s="1165"/>
      <c r="CX130" s="1165"/>
      <c r="CY130" s="1165"/>
      <c r="CZ130" s="1165"/>
      <c r="DA130" s="1165"/>
      <c r="DB130" s="1165"/>
      <c r="DC130" s="1165"/>
      <c r="DD130" s="1165"/>
      <c r="DE130" s="1165"/>
      <c r="DF130" s="1165"/>
      <c r="DG130" s="1165"/>
      <c r="DH130" s="1165"/>
      <c r="DI130" s="1165"/>
      <c r="DJ130" s="1165"/>
      <c r="EU130" s="1165"/>
      <c r="EV130" s="1165"/>
      <c r="EW130" s="1165"/>
      <c r="EX130" s="1165"/>
      <c r="EY130" s="1165"/>
      <c r="EZ130" s="1165"/>
      <c r="FA130" s="1165"/>
      <c r="FB130" s="1165"/>
      <c r="FC130" s="1165"/>
      <c r="FD130" s="1165"/>
      <c r="FE130" s="1165"/>
      <c r="FF130" s="1165"/>
    </row>
    <row r="131" spans="1:162">
      <c r="A131" s="1224"/>
      <c r="CQ131" s="1165"/>
      <c r="CR131" s="1165"/>
      <c r="CS131" s="1165"/>
      <c r="CT131" s="1165"/>
      <c r="CU131" s="1165"/>
      <c r="CV131" s="1165"/>
      <c r="CW131" s="1165"/>
      <c r="CX131" s="1165"/>
      <c r="CY131" s="1165"/>
      <c r="CZ131" s="1165"/>
      <c r="DA131" s="1165"/>
      <c r="DB131" s="1165"/>
      <c r="DC131" s="1165"/>
      <c r="DD131" s="1165"/>
      <c r="DE131" s="1165"/>
      <c r="DF131" s="1165"/>
      <c r="DG131" s="1165"/>
      <c r="DH131" s="1165"/>
      <c r="DI131" s="1165"/>
      <c r="DJ131" s="1165"/>
      <c r="DK131" s="1165"/>
      <c r="DL131" s="1165"/>
      <c r="DM131" s="1165"/>
      <c r="DN131" s="1165"/>
      <c r="DO131" s="1165"/>
      <c r="DP131" s="1165"/>
      <c r="DQ131" s="1165"/>
      <c r="DR131" s="1165"/>
      <c r="DS131" s="1165"/>
      <c r="DT131" s="1165"/>
      <c r="DU131" s="1165"/>
      <c r="DV131" s="1165"/>
      <c r="DW131" s="1165"/>
      <c r="DX131" s="1165"/>
      <c r="DY131" s="1165"/>
      <c r="DZ131" s="1165"/>
      <c r="EA131" s="1165"/>
      <c r="EB131" s="1165"/>
      <c r="EC131" s="1165"/>
      <c r="ED131" s="1165"/>
      <c r="EE131" s="1165"/>
      <c r="EF131" s="1165"/>
      <c r="EG131" s="1165"/>
      <c r="EH131" s="1165"/>
      <c r="EI131" s="1165"/>
      <c r="EJ131" s="1165"/>
      <c r="EK131" s="1165"/>
      <c r="EL131" s="1165"/>
      <c r="EM131" s="1165"/>
      <c r="EN131" s="1165"/>
      <c r="EO131" s="1165"/>
      <c r="EP131" s="1165"/>
      <c r="EQ131" s="1165"/>
      <c r="ER131" s="1165"/>
      <c r="ES131" s="1165"/>
      <c r="ET131" s="1165"/>
      <c r="EU131" s="1165"/>
      <c r="EV131" s="1165"/>
      <c r="EW131" s="1165"/>
      <c r="EX131" s="1165"/>
      <c r="EY131" s="1165"/>
      <c r="EZ131" s="1165"/>
      <c r="FA131" s="1165"/>
      <c r="FB131" s="1165"/>
      <c r="FC131" s="1165"/>
      <c r="FD131" s="1165"/>
      <c r="FE131" s="1165"/>
      <c r="FF131" s="1165"/>
    </row>
    <row r="132" spans="1:162">
      <c r="A132" s="1224"/>
      <c r="B132" s="1237" t="s">
        <v>11</v>
      </c>
      <c r="M132" s="1236">
        <f t="shared" ref="M132:Q137" ca="1" si="199">OFFSET($CT132,0,M$7)</f>
        <v>0</v>
      </c>
      <c r="N132" s="1236">
        <f t="shared" ca="1" si="199"/>
        <v>0</v>
      </c>
      <c r="O132" s="1236">
        <f t="shared" ca="1" si="199"/>
        <v>0</v>
      </c>
      <c r="P132" s="1236">
        <f t="shared" ca="1" si="199"/>
        <v>0</v>
      </c>
      <c r="Q132" s="1236">
        <f t="shared" ca="1" si="199"/>
        <v>0</v>
      </c>
      <c r="AG132" s="1236">
        <f t="shared" si="128"/>
        <v>0</v>
      </c>
      <c r="AH132" s="1236">
        <f t="shared" si="129"/>
        <v>0</v>
      </c>
      <c r="AI132" s="1236">
        <f t="shared" si="130"/>
        <v>0</v>
      </c>
      <c r="AJ132" s="1236">
        <f t="shared" si="131"/>
        <v>0</v>
      </c>
      <c r="AK132" s="1236">
        <f t="shared" si="132"/>
        <v>0</v>
      </c>
      <c r="AL132" s="1236">
        <f t="shared" si="133"/>
        <v>0</v>
      </c>
      <c r="AM132" s="1236">
        <f t="shared" si="134"/>
        <v>0</v>
      </c>
      <c r="AN132" s="1236">
        <f t="shared" si="135"/>
        <v>0</v>
      </c>
      <c r="AO132" s="1236">
        <f t="shared" si="136"/>
        <v>0</v>
      </c>
      <c r="AP132" s="1236">
        <f t="shared" si="137"/>
        <v>0</v>
      </c>
      <c r="AQ132" s="1236">
        <f t="shared" si="138"/>
        <v>0</v>
      </c>
      <c r="AR132" s="1236">
        <f t="shared" si="139"/>
        <v>0</v>
      </c>
      <c r="AS132" s="1236">
        <f t="shared" si="140"/>
        <v>0</v>
      </c>
      <c r="AT132" s="1236">
        <f t="shared" si="141"/>
        <v>0</v>
      </c>
      <c r="AU132" s="1236">
        <f t="shared" si="142"/>
        <v>0</v>
      </c>
      <c r="AV132" s="1236">
        <f t="shared" si="143"/>
        <v>0</v>
      </c>
      <c r="AW132" s="1236">
        <f t="shared" si="144"/>
        <v>0</v>
      </c>
      <c r="AX132" s="1236">
        <f t="shared" si="145"/>
        <v>0</v>
      </c>
      <c r="AY132" s="1236">
        <f t="shared" si="146"/>
        <v>0</v>
      </c>
      <c r="AZ132" s="1236">
        <f t="shared" si="147"/>
        <v>0</v>
      </c>
      <c r="BA132" s="1236">
        <f t="shared" si="148"/>
        <v>0</v>
      </c>
      <c r="BB132" s="1236">
        <f t="shared" si="149"/>
        <v>0</v>
      </c>
      <c r="BC132" s="1236">
        <f t="shared" si="150"/>
        <v>0</v>
      </c>
      <c r="BD132" s="1236">
        <f t="shared" si="151"/>
        <v>0</v>
      </c>
      <c r="BE132" s="1236">
        <f t="shared" si="152"/>
        <v>0</v>
      </c>
      <c r="BF132" s="1236">
        <f t="shared" si="153"/>
        <v>0</v>
      </c>
      <c r="BG132" s="1236">
        <f t="shared" si="154"/>
        <v>0</v>
      </c>
      <c r="BH132" s="1236">
        <f t="shared" si="155"/>
        <v>0</v>
      </c>
      <c r="BI132" s="1236">
        <f t="shared" si="156"/>
        <v>0</v>
      </c>
      <c r="BJ132" s="1236">
        <f t="shared" si="157"/>
        <v>0</v>
      </c>
      <c r="BK132" s="1236">
        <f t="shared" si="158"/>
        <v>0</v>
      </c>
      <c r="BL132" s="1236">
        <f t="shared" si="159"/>
        <v>0</v>
      </c>
      <c r="BM132" s="1236">
        <f t="shared" si="160"/>
        <v>0</v>
      </c>
      <c r="BN132" s="1236">
        <f t="shared" si="161"/>
        <v>0</v>
      </c>
      <c r="BO132" s="1236">
        <f t="shared" si="162"/>
        <v>0</v>
      </c>
      <c r="BP132" s="1236">
        <f t="shared" si="163"/>
        <v>0</v>
      </c>
      <c r="BQ132" s="1236">
        <f t="shared" si="164"/>
        <v>0</v>
      </c>
      <c r="BR132" s="1236">
        <f t="shared" si="165"/>
        <v>0</v>
      </c>
      <c r="BS132" s="1236">
        <f t="shared" si="166"/>
        <v>0</v>
      </c>
      <c r="BT132" s="1236">
        <f t="shared" si="167"/>
        <v>0</v>
      </c>
      <c r="BU132" s="1236">
        <f t="shared" si="168"/>
        <v>0</v>
      </c>
      <c r="BV132" s="1236">
        <f t="shared" si="169"/>
        <v>0</v>
      </c>
      <c r="BW132" s="1236">
        <f t="shared" si="170"/>
        <v>0</v>
      </c>
      <c r="BX132" s="1236">
        <f t="shared" si="171"/>
        <v>0</v>
      </c>
      <c r="BY132" s="1236">
        <f t="shared" si="172"/>
        <v>0</v>
      </c>
      <c r="BZ132" s="1236">
        <f t="shared" si="173"/>
        <v>0</v>
      </c>
      <c r="CA132" s="1236">
        <f t="shared" si="174"/>
        <v>0</v>
      </c>
      <c r="CB132" s="1236">
        <f t="shared" si="175"/>
        <v>0</v>
      </c>
      <c r="CC132" s="1236">
        <f t="shared" si="176"/>
        <v>0</v>
      </c>
      <c r="CD132" s="1236">
        <f t="shared" si="177"/>
        <v>0</v>
      </c>
      <c r="CE132" s="1236">
        <f t="shared" si="178"/>
        <v>0</v>
      </c>
      <c r="CF132" s="1236">
        <f t="shared" si="179"/>
        <v>0</v>
      </c>
      <c r="CG132" s="1236">
        <f t="shared" si="180"/>
        <v>0</v>
      </c>
      <c r="CH132" s="1236">
        <f t="shared" si="181"/>
        <v>0</v>
      </c>
      <c r="CI132" s="1236">
        <f t="shared" si="182"/>
        <v>0</v>
      </c>
      <c r="CJ132" s="1236">
        <f t="shared" si="183"/>
        <v>0</v>
      </c>
      <c r="CK132" s="1236">
        <f t="shared" si="184"/>
        <v>0</v>
      </c>
      <c r="CL132" s="1236">
        <f t="shared" si="185"/>
        <v>0</v>
      </c>
      <c r="CM132" s="1236">
        <f t="shared" si="186"/>
        <v>0</v>
      </c>
      <c r="CN132" s="1236">
        <f t="shared" si="187"/>
        <v>0</v>
      </c>
      <c r="CQ132" s="1165"/>
      <c r="CR132" s="1165"/>
      <c r="CS132" s="1165"/>
      <c r="CT132" s="1165"/>
      <c r="CU132" s="1165"/>
      <c r="CV132" s="1165"/>
      <c r="CW132" s="1165"/>
      <c r="CX132" s="1165"/>
      <c r="CY132" s="1165"/>
      <c r="CZ132" s="1165"/>
      <c r="DA132" s="1165"/>
      <c r="DB132" s="1165"/>
      <c r="DC132" s="1165"/>
      <c r="DD132" s="1165"/>
      <c r="DE132" s="1165"/>
      <c r="DF132" s="1165"/>
      <c r="DG132" s="1165"/>
      <c r="DH132" s="1165"/>
      <c r="DI132" s="1165"/>
      <c r="DJ132" s="1165"/>
      <c r="DK132" s="1232"/>
      <c r="DL132" s="1232"/>
      <c r="DM132" s="1232"/>
      <c r="DN132" s="1232"/>
      <c r="DO132" s="1232"/>
      <c r="DP132" s="1232"/>
      <c r="DQ132" s="1232"/>
      <c r="DR132" s="1232"/>
      <c r="DS132" s="1232"/>
      <c r="DT132" s="1232"/>
      <c r="DU132" s="1232"/>
      <c r="DV132" s="1232"/>
      <c r="DW132" s="1232"/>
      <c r="DX132" s="1232"/>
      <c r="DY132" s="1232"/>
      <c r="DZ132" s="1232"/>
      <c r="EA132" s="1232"/>
      <c r="EB132" s="1232"/>
      <c r="EC132" s="1232"/>
      <c r="ED132" s="1232"/>
      <c r="EE132" s="1232"/>
      <c r="EF132" s="1232"/>
      <c r="EG132" s="1232"/>
      <c r="EH132" s="1232"/>
      <c r="EI132" s="1232"/>
      <c r="EJ132" s="1232"/>
      <c r="EK132" s="1232"/>
      <c r="EL132" s="1232"/>
      <c r="EM132" s="1232"/>
      <c r="EN132" s="1232"/>
      <c r="EO132" s="1232"/>
      <c r="EP132" s="1232"/>
      <c r="EQ132" s="1232"/>
      <c r="ER132" s="1232"/>
      <c r="ES132" s="1232"/>
      <c r="ET132" s="1232"/>
      <c r="EU132" s="1165"/>
      <c r="EV132" s="1165"/>
      <c r="EW132" s="1165"/>
      <c r="EX132" s="1165"/>
      <c r="EY132" s="1165"/>
      <c r="EZ132" s="1165"/>
      <c r="FA132" s="1165"/>
      <c r="FB132" s="1165"/>
      <c r="FC132" s="1165"/>
      <c r="FD132" s="1165"/>
      <c r="FE132" s="1165"/>
      <c r="FF132" s="1165"/>
    </row>
    <row r="133" spans="1:162">
      <c r="A133" s="1224"/>
      <c r="B133" s="1237" t="s">
        <v>207</v>
      </c>
      <c r="M133" s="1236">
        <f t="shared" ca="1" si="199"/>
        <v>0</v>
      </c>
      <c r="N133" s="1236">
        <f t="shared" ca="1" si="199"/>
        <v>0</v>
      </c>
      <c r="O133" s="1236">
        <f t="shared" ca="1" si="199"/>
        <v>0</v>
      </c>
      <c r="P133" s="1236">
        <f t="shared" ca="1" si="199"/>
        <v>0</v>
      </c>
      <c r="Q133" s="1236">
        <f t="shared" ca="1" si="199"/>
        <v>0</v>
      </c>
      <c r="AG133" s="1236">
        <f t="shared" si="128"/>
        <v>0</v>
      </c>
      <c r="AH133" s="1236">
        <f t="shared" si="129"/>
        <v>0</v>
      </c>
      <c r="AI133" s="1236">
        <f t="shared" si="130"/>
        <v>0</v>
      </c>
      <c r="AJ133" s="1236">
        <f t="shared" si="131"/>
        <v>0</v>
      </c>
      <c r="AK133" s="1236">
        <f t="shared" si="132"/>
        <v>0</v>
      </c>
      <c r="AL133" s="1236">
        <f t="shared" si="133"/>
        <v>0</v>
      </c>
      <c r="AM133" s="1236">
        <f t="shared" si="134"/>
        <v>0</v>
      </c>
      <c r="AN133" s="1236">
        <f t="shared" si="135"/>
        <v>0</v>
      </c>
      <c r="AO133" s="1236">
        <f t="shared" si="136"/>
        <v>0</v>
      </c>
      <c r="AP133" s="1236">
        <f t="shared" si="137"/>
        <v>0</v>
      </c>
      <c r="AQ133" s="1236">
        <f t="shared" si="138"/>
        <v>0</v>
      </c>
      <c r="AR133" s="1236">
        <f t="shared" si="139"/>
        <v>0</v>
      </c>
      <c r="AS133" s="1236">
        <f t="shared" si="140"/>
        <v>0</v>
      </c>
      <c r="AT133" s="1236">
        <f t="shared" si="141"/>
        <v>0</v>
      </c>
      <c r="AU133" s="1236">
        <f t="shared" si="142"/>
        <v>0</v>
      </c>
      <c r="AV133" s="1236">
        <f t="shared" si="143"/>
        <v>0</v>
      </c>
      <c r="AW133" s="1236">
        <f t="shared" si="144"/>
        <v>0</v>
      </c>
      <c r="AX133" s="1236">
        <f t="shared" si="145"/>
        <v>0</v>
      </c>
      <c r="AY133" s="1236">
        <f t="shared" si="146"/>
        <v>0</v>
      </c>
      <c r="AZ133" s="1236">
        <f t="shared" si="147"/>
        <v>0</v>
      </c>
      <c r="BA133" s="1236">
        <f t="shared" si="148"/>
        <v>0</v>
      </c>
      <c r="BB133" s="1236">
        <f t="shared" si="149"/>
        <v>0</v>
      </c>
      <c r="BC133" s="1236">
        <f t="shared" si="150"/>
        <v>0</v>
      </c>
      <c r="BD133" s="1236">
        <f t="shared" si="151"/>
        <v>0</v>
      </c>
      <c r="BE133" s="1236">
        <f t="shared" si="152"/>
        <v>0</v>
      </c>
      <c r="BF133" s="1236">
        <f t="shared" si="153"/>
        <v>0</v>
      </c>
      <c r="BG133" s="1236">
        <f t="shared" si="154"/>
        <v>0</v>
      </c>
      <c r="BH133" s="1236">
        <f t="shared" si="155"/>
        <v>0</v>
      </c>
      <c r="BI133" s="1236">
        <f t="shared" si="156"/>
        <v>0</v>
      </c>
      <c r="BJ133" s="1236">
        <f t="shared" si="157"/>
        <v>0</v>
      </c>
      <c r="BK133" s="1236">
        <f t="shared" si="158"/>
        <v>0</v>
      </c>
      <c r="BL133" s="1236">
        <f t="shared" si="159"/>
        <v>0</v>
      </c>
      <c r="BM133" s="1236">
        <f t="shared" si="160"/>
        <v>0</v>
      </c>
      <c r="BN133" s="1236">
        <f t="shared" si="161"/>
        <v>0</v>
      </c>
      <c r="BO133" s="1236">
        <f t="shared" si="162"/>
        <v>0</v>
      </c>
      <c r="BP133" s="1236">
        <f t="shared" si="163"/>
        <v>0</v>
      </c>
      <c r="BQ133" s="1236">
        <f t="shared" si="164"/>
        <v>0</v>
      </c>
      <c r="BR133" s="1236">
        <f t="shared" si="165"/>
        <v>0</v>
      </c>
      <c r="BS133" s="1236">
        <f t="shared" si="166"/>
        <v>0</v>
      </c>
      <c r="BT133" s="1236">
        <f t="shared" si="167"/>
        <v>0</v>
      </c>
      <c r="BU133" s="1236">
        <f t="shared" si="168"/>
        <v>0</v>
      </c>
      <c r="BV133" s="1236">
        <f t="shared" si="169"/>
        <v>0</v>
      </c>
      <c r="BW133" s="1236">
        <f t="shared" si="170"/>
        <v>0</v>
      </c>
      <c r="BX133" s="1236">
        <f t="shared" si="171"/>
        <v>0</v>
      </c>
      <c r="BY133" s="1236">
        <f t="shared" si="172"/>
        <v>0</v>
      </c>
      <c r="BZ133" s="1236">
        <f t="shared" si="173"/>
        <v>0</v>
      </c>
      <c r="CA133" s="1236">
        <f t="shared" si="174"/>
        <v>0</v>
      </c>
      <c r="CB133" s="1236">
        <f t="shared" si="175"/>
        <v>0</v>
      </c>
      <c r="CC133" s="1236">
        <f t="shared" si="176"/>
        <v>0</v>
      </c>
      <c r="CD133" s="1236">
        <f t="shared" si="177"/>
        <v>0</v>
      </c>
      <c r="CE133" s="1236">
        <f t="shared" si="178"/>
        <v>0</v>
      </c>
      <c r="CF133" s="1236">
        <f t="shared" si="179"/>
        <v>0</v>
      </c>
      <c r="CG133" s="1236">
        <f t="shared" si="180"/>
        <v>0</v>
      </c>
      <c r="CH133" s="1236">
        <f t="shared" si="181"/>
        <v>0</v>
      </c>
      <c r="CI133" s="1236">
        <f t="shared" si="182"/>
        <v>0</v>
      </c>
      <c r="CJ133" s="1236">
        <f t="shared" si="183"/>
        <v>0</v>
      </c>
      <c r="CK133" s="1236">
        <f t="shared" si="184"/>
        <v>0</v>
      </c>
      <c r="CL133" s="1236">
        <f t="shared" si="185"/>
        <v>0</v>
      </c>
      <c r="CM133" s="1236">
        <f t="shared" si="186"/>
        <v>0</v>
      </c>
      <c r="CN133" s="1236">
        <f t="shared" si="187"/>
        <v>0</v>
      </c>
      <c r="CQ133" s="1165"/>
      <c r="CR133" s="1165"/>
      <c r="CS133" s="1165"/>
      <c r="CT133" s="1165"/>
      <c r="CU133" s="1165"/>
      <c r="CV133" s="1165"/>
      <c r="CW133" s="1165"/>
      <c r="CX133" s="1165"/>
      <c r="CY133" s="1165"/>
      <c r="CZ133" s="1165"/>
      <c r="DA133" s="1165"/>
      <c r="DB133" s="1165"/>
      <c r="DC133" s="1165"/>
      <c r="DD133" s="1165"/>
      <c r="DE133" s="1165"/>
      <c r="DF133" s="1165"/>
      <c r="DG133" s="1165"/>
      <c r="DH133" s="1165"/>
      <c r="DI133" s="1165"/>
      <c r="DJ133" s="1165"/>
      <c r="DK133" s="1165"/>
      <c r="DL133" s="1165"/>
      <c r="DM133" s="1165"/>
      <c r="DN133" s="1165"/>
      <c r="DO133" s="1165"/>
      <c r="DP133" s="1165"/>
      <c r="DQ133" s="1165"/>
      <c r="DR133" s="1165"/>
      <c r="DS133" s="1165"/>
      <c r="DT133" s="1165"/>
      <c r="DU133" s="1165"/>
      <c r="DV133" s="1165"/>
      <c r="DW133" s="1165"/>
      <c r="DX133" s="1165"/>
      <c r="DY133" s="1165"/>
      <c r="DZ133" s="1165"/>
      <c r="EA133" s="1165"/>
      <c r="EB133" s="1165"/>
      <c r="EC133" s="1165"/>
      <c r="ED133" s="1165"/>
      <c r="EE133" s="1165"/>
      <c r="EF133" s="1165"/>
      <c r="EG133" s="1165"/>
      <c r="EH133" s="1165"/>
      <c r="EI133" s="1165"/>
      <c r="EJ133" s="1165"/>
      <c r="EK133" s="1165"/>
      <c r="EL133" s="1165"/>
      <c r="EM133" s="1165"/>
      <c r="EN133" s="1165"/>
      <c r="EO133" s="1165"/>
      <c r="EP133" s="1165"/>
      <c r="EQ133" s="1165"/>
      <c r="ER133" s="1165"/>
      <c r="ES133" s="1165"/>
      <c r="ET133" s="1165"/>
      <c r="EU133" s="1165"/>
      <c r="EV133" s="1165"/>
      <c r="EW133" s="1165"/>
      <c r="EX133" s="1165"/>
      <c r="EY133" s="1165"/>
      <c r="EZ133" s="1165"/>
      <c r="FA133" s="1165"/>
      <c r="FB133" s="1165"/>
      <c r="FC133" s="1165"/>
      <c r="FD133" s="1165"/>
      <c r="FE133" s="1165"/>
      <c r="FF133" s="1165"/>
    </row>
    <row r="134" spans="1:162">
      <c r="A134" s="1224"/>
      <c r="B134" s="1237" t="s">
        <v>208</v>
      </c>
      <c r="M134" s="1236">
        <f t="shared" ca="1" si="199"/>
        <v>0</v>
      </c>
      <c r="N134" s="1236">
        <f t="shared" ca="1" si="199"/>
        <v>0</v>
      </c>
      <c r="O134" s="1236">
        <f t="shared" ca="1" si="199"/>
        <v>0</v>
      </c>
      <c r="P134" s="1236">
        <f t="shared" ca="1" si="199"/>
        <v>0</v>
      </c>
      <c r="Q134" s="1236">
        <f t="shared" ca="1" si="199"/>
        <v>0</v>
      </c>
      <c r="AG134" s="1236">
        <f t="shared" si="128"/>
        <v>0</v>
      </c>
      <c r="AH134" s="1236">
        <f t="shared" si="129"/>
        <v>0</v>
      </c>
      <c r="AI134" s="1236">
        <f t="shared" si="130"/>
        <v>0</v>
      </c>
      <c r="AJ134" s="1236">
        <f t="shared" si="131"/>
        <v>0</v>
      </c>
      <c r="AK134" s="1236">
        <f t="shared" si="132"/>
        <v>0</v>
      </c>
      <c r="AL134" s="1236">
        <f t="shared" si="133"/>
        <v>0</v>
      </c>
      <c r="AM134" s="1236">
        <f t="shared" si="134"/>
        <v>0</v>
      </c>
      <c r="AN134" s="1236">
        <f t="shared" si="135"/>
        <v>0</v>
      </c>
      <c r="AO134" s="1236">
        <f t="shared" si="136"/>
        <v>0</v>
      </c>
      <c r="AP134" s="1236">
        <f t="shared" si="137"/>
        <v>0</v>
      </c>
      <c r="AQ134" s="1236">
        <f t="shared" si="138"/>
        <v>0</v>
      </c>
      <c r="AR134" s="1236">
        <f t="shared" si="139"/>
        <v>0</v>
      </c>
      <c r="AS134" s="1236">
        <f t="shared" si="140"/>
        <v>0</v>
      </c>
      <c r="AT134" s="1236">
        <f t="shared" si="141"/>
        <v>0</v>
      </c>
      <c r="AU134" s="1236">
        <f t="shared" si="142"/>
        <v>0</v>
      </c>
      <c r="AV134" s="1236">
        <f t="shared" si="143"/>
        <v>0</v>
      </c>
      <c r="AW134" s="1236">
        <f t="shared" si="144"/>
        <v>0</v>
      </c>
      <c r="AX134" s="1236">
        <f t="shared" si="145"/>
        <v>0</v>
      </c>
      <c r="AY134" s="1236">
        <f t="shared" si="146"/>
        <v>0</v>
      </c>
      <c r="AZ134" s="1236">
        <f t="shared" si="147"/>
        <v>0</v>
      </c>
      <c r="BA134" s="1236">
        <f t="shared" si="148"/>
        <v>0</v>
      </c>
      <c r="BB134" s="1236">
        <f t="shared" si="149"/>
        <v>0</v>
      </c>
      <c r="BC134" s="1236">
        <f t="shared" si="150"/>
        <v>0</v>
      </c>
      <c r="BD134" s="1236">
        <f t="shared" si="151"/>
        <v>0</v>
      </c>
      <c r="BE134" s="1236">
        <f t="shared" si="152"/>
        <v>0</v>
      </c>
      <c r="BF134" s="1236">
        <f t="shared" si="153"/>
        <v>0</v>
      </c>
      <c r="BG134" s="1236">
        <f t="shared" si="154"/>
        <v>0</v>
      </c>
      <c r="BH134" s="1236">
        <f t="shared" si="155"/>
        <v>0</v>
      </c>
      <c r="BI134" s="1236">
        <f t="shared" si="156"/>
        <v>0</v>
      </c>
      <c r="BJ134" s="1236">
        <f t="shared" si="157"/>
        <v>0</v>
      </c>
      <c r="BK134" s="1236">
        <f t="shared" si="158"/>
        <v>0</v>
      </c>
      <c r="BL134" s="1236">
        <f t="shared" si="159"/>
        <v>0</v>
      </c>
      <c r="BM134" s="1236">
        <f t="shared" si="160"/>
        <v>0</v>
      </c>
      <c r="BN134" s="1236">
        <f t="shared" si="161"/>
        <v>0</v>
      </c>
      <c r="BO134" s="1236">
        <f t="shared" si="162"/>
        <v>0</v>
      </c>
      <c r="BP134" s="1236">
        <f t="shared" si="163"/>
        <v>0</v>
      </c>
      <c r="BQ134" s="1236">
        <f t="shared" si="164"/>
        <v>0</v>
      </c>
      <c r="BR134" s="1236">
        <f t="shared" si="165"/>
        <v>0</v>
      </c>
      <c r="BS134" s="1236">
        <f t="shared" si="166"/>
        <v>0</v>
      </c>
      <c r="BT134" s="1236">
        <f t="shared" si="167"/>
        <v>0</v>
      </c>
      <c r="BU134" s="1236">
        <f t="shared" si="168"/>
        <v>0</v>
      </c>
      <c r="BV134" s="1236">
        <f t="shared" si="169"/>
        <v>0</v>
      </c>
      <c r="BW134" s="1236">
        <f t="shared" si="170"/>
        <v>0</v>
      </c>
      <c r="BX134" s="1236">
        <f t="shared" si="171"/>
        <v>0</v>
      </c>
      <c r="BY134" s="1236">
        <f t="shared" si="172"/>
        <v>0</v>
      </c>
      <c r="BZ134" s="1236">
        <f t="shared" si="173"/>
        <v>0</v>
      </c>
      <c r="CA134" s="1236">
        <f t="shared" si="174"/>
        <v>0</v>
      </c>
      <c r="CB134" s="1236">
        <f t="shared" si="175"/>
        <v>0</v>
      </c>
      <c r="CC134" s="1236">
        <f t="shared" si="176"/>
        <v>0</v>
      </c>
      <c r="CD134" s="1236">
        <f t="shared" si="177"/>
        <v>0</v>
      </c>
      <c r="CE134" s="1236">
        <f t="shared" si="178"/>
        <v>0</v>
      </c>
      <c r="CF134" s="1236">
        <f t="shared" si="179"/>
        <v>0</v>
      </c>
      <c r="CG134" s="1236">
        <f t="shared" si="180"/>
        <v>0</v>
      </c>
      <c r="CH134" s="1236">
        <f t="shared" si="181"/>
        <v>0</v>
      </c>
      <c r="CI134" s="1236">
        <f t="shared" si="182"/>
        <v>0</v>
      </c>
      <c r="CJ134" s="1236">
        <f t="shared" si="183"/>
        <v>0</v>
      </c>
      <c r="CK134" s="1236">
        <f t="shared" si="184"/>
        <v>0</v>
      </c>
      <c r="CL134" s="1236">
        <f t="shared" si="185"/>
        <v>0</v>
      </c>
      <c r="CM134" s="1236">
        <f t="shared" si="186"/>
        <v>0</v>
      </c>
      <c r="CN134" s="1236">
        <f t="shared" si="187"/>
        <v>0</v>
      </c>
      <c r="CQ134" s="1165"/>
      <c r="CR134" s="1165"/>
      <c r="CS134" s="1165"/>
      <c r="CT134" s="1165"/>
      <c r="CU134" s="1165"/>
      <c r="CV134" s="1165"/>
      <c r="CW134" s="1165"/>
      <c r="CX134" s="1165"/>
      <c r="CY134" s="1165"/>
      <c r="CZ134" s="1165"/>
      <c r="DA134" s="1165"/>
      <c r="DB134" s="1165"/>
      <c r="DC134" s="1165"/>
      <c r="DD134" s="1165"/>
      <c r="DE134" s="1165"/>
      <c r="DF134" s="1165"/>
      <c r="DG134" s="1165"/>
      <c r="DH134" s="1165"/>
      <c r="DI134" s="1165"/>
      <c r="DJ134" s="1165"/>
      <c r="DK134" s="1165"/>
      <c r="DL134" s="1165"/>
      <c r="DM134" s="1165"/>
      <c r="DN134" s="1165"/>
      <c r="DO134" s="1165"/>
      <c r="DP134" s="1165"/>
      <c r="DQ134" s="1165"/>
      <c r="DR134" s="1165"/>
      <c r="DS134" s="1165"/>
      <c r="DT134" s="1165"/>
      <c r="DU134" s="1165"/>
      <c r="DV134" s="1165"/>
      <c r="DW134" s="1165"/>
      <c r="DX134" s="1165"/>
      <c r="DY134" s="1165"/>
      <c r="DZ134" s="1165"/>
      <c r="EA134" s="1165"/>
      <c r="EB134" s="1165"/>
      <c r="EC134" s="1165"/>
      <c r="ED134" s="1165"/>
      <c r="EE134" s="1165"/>
      <c r="EF134" s="1165"/>
      <c r="EG134" s="1165"/>
      <c r="EH134" s="1165"/>
      <c r="EI134" s="1165"/>
      <c r="EJ134" s="1165"/>
      <c r="EK134" s="1165"/>
      <c r="EL134" s="1165"/>
      <c r="EM134" s="1165"/>
      <c r="EN134" s="1165"/>
      <c r="EO134" s="1165"/>
      <c r="EP134" s="1165"/>
      <c r="EQ134" s="1165"/>
      <c r="ER134" s="1165"/>
      <c r="ES134" s="1165"/>
      <c r="ET134" s="1165"/>
      <c r="EU134" s="1165"/>
      <c r="EV134" s="1165"/>
      <c r="EW134" s="1165"/>
      <c r="EX134" s="1165"/>
      <c r="EY134" s="1165"/>
      <c r="EZ134" s="1165"/>
      <c r="FA134" s="1165"/>
      <c r="FB134" s="1165"/>
      <c r="FC134" s="1165"/>
      <c r="FD134" s="1165"/>
      <c r="FE134" s="1165"/>
      <c r="FF134" s="1165"/>
    </row>
    <row r="135" spans="1:162">
      <c r="A135" s="1224"/>
      <c r="B135" s="1237" t="s">
        <v>146</v>
      </c>
      <c r="M135" s="1236">
        <f t="shared" ca="1" si="199"/>
        <v>0</v>
      </c>
      <c r="N135" s="1236">
        <f t="shared" ca="1" si="199"/>
        <v>0</v>
      </c>
      <c r="O135" s="1236">
        <f t="shared" ca="1" si="199"/>
        <v>0</v>
      </c>
      <c r="P135" s="1236">
        <f t="shared" ca="1" si="199"/>
        <v>0</v>
      </c>
      <c r="Q135" s="1236">
        <f t="shared" ca="1" si="199"/>
        <v>0</v>
      </c>
      <c r="AG135" s="1236">
        <f t="shared" si="128"/>
        <v>0</v>
      </c>
      <c r="AH135" s="1236">
        <f t="shared" si="129"/>
        <v>0</v>
      </c>
      <c r="AI135" s="1236">
        <f t="shared" si="130"/>
        <v>0</v>
      </c>
      <c r="AJ135" s="1236">
        <f t="shared" si="131"/>
        <v>0</v>
      </c>
      <c r="AK135" s="1236">
        <f t="shared" si="132"/>
        <v>0</v>
      </c>
      <c r="AL135" s="1236">
        <f t="shared" si="133"/>
        <v>0</v>
      </c>
      <c r="AM135" s="1236">
        <f t="shared" si="134"/>
        <v>0</v>
      </c>
      <c r="AN135" s="1236">
        <f t="shared" si="135"/>
        <v>0</v>
      </c>
      <c r="AO135" s="1236">
        <f t="shared" si="136"/>
        <v>0</v>
      </c>
      <c r="AP135" s="1236">
        <f t="shared" si="137"/>
        <v>0</v>
      </c>
      <c r="AQ135" s="1236">
        <f t="shared" si="138"/>
        <v>0</v>
      </c>
      <c r="AR135" s="1236">
        <f t="shared" si="139"/>
        <v>0</v>
      </c>
      <c r="AS135" s="1236">
        <f t="shared" si="140"/>
        <v>0</v>
      </c>
      <c r="AT135" s="1236">
        <f t="shared" si="141"/>
        <v>0</v>
      </c>
      <c r="AU135" s="1236">
        <f t="shared" si="142"/>
        <v>0</v>
      </c>
      <c r="AV135" s="1236">
        <f t="shared" si="143"/>
        <v>0</v>
      </c>
      <c r="AW135" s="1236">
        <f t="shared" si="144"/>
        <v>0</v>
      </c>
      <c r="AX135" s="1236">
        <f t="shared" si="145"/>
        <v>0</v>
      </c>
      <c r="AY135" s="1236">
        <f t="shared" si="146"/>
        <v>0</v>
      </c>
      <c r="AZ135" s="1236">
        <f t="shared" si="147"/>
        <v>0</v>
      </c>
      <c r="BA135" s="1236">
        <f t="shared" si="148"/>
        <v>0</v>
      </c>
      <c r="BB135" s="1236">
        <f t="shared" si="149"/>
        <v>0</v>
      </c>
      <c r="BC135" s="1236">
        <f t="shared" si="150"/>
        <v>0</v>
      </c>
      <c r="BD135" s="1236">
        <f t="shared" si="151"/>
        <v>0</v>
      </c>
      <c r="BE135" s="1236">
        <f t="shared" si="152"/>
        <v>0</v>
      </c>
      <c r="BF135" s="1236">
        <f t="shared" si="153"/>
        <v>0</v>
      </c>
      <c r="BG135" s="1236">
        <f t="shared" si="154"/>
        <v>0</v>
      </c>
      <c r="BH135" s="1236">
        <f t="shared" si="155"/>
        <v>0</v>
      </c>
      <c r="BI135" s="1236">
        <f t="shared" si="156"/>
        <v>0</v>
      </c>
      <c r="BJ135" s="1236">
        <f t="shared" si="157"/>
        <v>0</v>
      </c>
      <c r="BK135" s="1236">
        <f t="shared" si="158"/>
        <v>0</v>
      </c>
      <c r="BL135" s="1236">
        <f t="shared" si="159"/>
        <v>0</v>
      </c>
      <c r="BM135" s="1236">
        <f t="shared" si="160"/>
        <v>0</v>
      </c>
      <c r="BN135" s="1236">
        <f t="shared" si="161"/>
        <v>0</v>
      </c>
      <c r="BO135" s="1236">
        <f t="shared" si="162"/>
        <v>0</v>
      </c>
      <c r="BP135" s="1236">
        <f t="shared" si="163"/>
        <v>0</v>
      </c>
      <c r="BQ135" s="1236">
        <f t="shared" si="164"/>
        <v>0</v>
      </c>
      <c r="BR135" s="1236">
        <f t="shared" si="165"/>
        <v>0</v>
      </c>
      <c r="BS135" s="1236">
        <f t="shared" si="166"/>
        <v>0</v>
      </c>
      <c r="BT135" s="1236">
        <f t="shared" si="167"/>
        <v>0</v>
      </c>
      <c r="BU135" s="1236">
        <f t="shared" si="168"/>
        <v>0</v>
      </c>
      <c r="BV135" s="1236">
        <f t="shared" si="169"/>
        <v>0</v>
      </c>
      <c r="BW135" s="1236">
        <f t="shared" si="170"/>
        <v>0</v>
      </c>
      <c r="BX135" s="1236">
        <f t="shared" si="171"/>
        <v>0</v>
      </c>
      <c r="BY135" s="1236">
        <f t="shared" si="172"/>
        <v>0</v>
      </c>
      <c r="BZ135" s="1236">
        <f t="shared" si="173"/>
        <v>0</v>
      </c>
      <c r="CA135" s="1236">
        <f t="shared" si="174"/>
        <v>0</v>
      </c>
      <c r="CB135" s="1236">
        <f t="shared" si="175"/>
        <v>0</v>
      </c>
      <c r="CC135" s="1236">
        <f t="shared" si="176"/>
        <v>0</v>
      </c>
      <c r="CD135" s="1236">
        <f t="shared" si="177"/>
        <v>0</v>
      </c>
      <c r="CE135" s="1236">
        <f t="shared" si="178"/>
        <v>0</v>
      </c>
      <c r="CF135" s="1236">
        <f t="shared" si="179"/>
        <v>0</v>
      </c>
      <c r="CG135" s="1236">
        <f t="shared" si="180"/>
        <v>0</v>
      </c>
      <c r="CH135" s="1236">
        <f t="shared" si="181"/>
        <v>0</v>
      </c>
      <c r="CI135" s="1236">
        <f t="shared" si="182"/>
        <v>0</v>
      </c>
      <c r="CJ135" s="1236">
        <f t="shared" si="183"/>
        <v>0</v>
      </c>
      <c r="CK135" s="1236">
        <f t="shared" si="184"/>
        <v>0</v>
      </c>
      <c r="CL135" s="1236">
        <f t="shared" si="185"/>
        <v>0</v>
      </c>
      <c r="CM135" s="1236">
        <f t="shared" si="186"/>
        <v>0</v>
      </c>
      <c r="CN135" s="1236">
        <f t="shared" si="187"/>
        <v>0</v>
      </c>
      <c r="CQ135" s="1165"/>
      <c r="CR135" s="1165"/>
      <c r="CS135" s="1165"/>
      <c r="CT135" s="1165"/>
      <c r="CU135" s="1165"/>
      <c r="CV135" s="1165"/>
      <c r="CW135" s="1165"/>
      <c r="CX135" s="1165"/>
      <c r="CY135" s="1165"/>
      <c r="CZ135" s="1165"/>
      <c r="DA135" s="1165"/>
      <c r="DB135" s="1165"/>
      <c r="DC135" s="1165"/>
      <c r="DD135" s="1165"/>
      <c r="DE135" s="1165"/>
      <c r="DF135" s="1165"/>
      <c r="DG135" s="1165"/>
      <c r="DH135" s="1165"/>
      <c r="DI135" s="1165"/>
      <c r="DJ135" s="1165"/>
      <c r="DK135" s="1165"/>
      <c r="DL135" s="1165"/>
      <c r="DM135" s="1165"/>
      <c r="DN135" s="1165"/>
      <c r="DO135" s="1165"/>
      <c r="DP135" s="1165"/>
      <c r="DQ135" s="1165"/>
      <c r="DR135" s="1165"/>
      <c r="DS135" s="1165"/>
      <c r="DT135" s="1165"/>
      <c r="DU135" s="1165"/>
      <c r="DV135" s="1165"/>
      <c r="DW135" s="1165"/>
      <c r="DX135" s="1165"/>
      <c r="DY135" s="1165"/>
      <c r="DZ135" s="1165"/>
      <c r="EA135" s="1165"/>
      <c r="EB135" s="1165"/>
      <c r="EC135" s="1165"/>
      <c r="ED135" s="1165"/>
      <c r="EE135" s="1165"/>
      <c r="EF135" s="1165"/>
      <c r="EG135" s="1165"/>
      <c r="EH135" s="1165"/>
      <c r="EI135" s="1165"/>
      <c r="EJ135" s="1165"/>
      <c r="EK135" s="1165"/>
      <c r="EL135" s="1165"/>
      <c r="EM135" s="1165"/>
      <c r="EN135" s="1165"/>
      <c r="EO135" s="1165"/>
      <c r="EP135" s="1165"/>
      <c r="EQ135" s="1165"/>
      <c r="ER135" s="1165"/>
      <c r="ES135" s="1165"/>
      <c r="ET135" s="1165"/>
      <c r="EU135" s="1165"/>
      <c r="EV135" s="1165"/>
      <c r="EW135" s="1165"/>
      <c r="EX135" s="1165"/>
      <c r="EY135" s="1165"/>
      <c r="EZ135" s="1165"/>
      <c r="FA135" s="1165"/>
      <c r="FB135" s="1165"/>
      <c r="FC135" s="1165"/>
      <c r="FD135" s="1165"/>
      <c r="FE135" s="1165"/>
      <c r="FF135" s="1165"/>
    </row>
    <row r="136" spans="1:162">
      <c r="A136" s="1224"/>
      <c r="B136" s="1237" t="s">
        <v>236</v>
      </c>
      <c r="M136" s="1236">
        <f t="shared" ca="1" si="199"/>
        <v>0</v>
      </c>
      <c r="N136" s="1236">
        <f t="shared" ca="1" si="199"/>
        <v>0</v>
      </c>
      <c r="O136" s="1236">
        <f t="shared" ca="1" si="199"/>
        <v>0</v>
      </c>
      <c r="P136" s="1236">
        <f t="shared" ca="1" si="199"/>
        <v>0</v>
      </c>
      <c r="Q136" s="1236">
        <f t="shared" ca="1" si="199"/>
        <v>0</v>
      </c>
      <c r="AG136" s="1236">
        <f t="shared" si="128"/>
        <v>0</v>
      </c>
      <c r="AH136" s="1236">
        <f t="shared" si="129"/>
        <v>0</v>
      </c>
      <c r="AI136" s="1236">
        <f t="shared" si="130"/>
        <v>0</v>
      </c>
      <c r="AJ136" s="1236">
        <f t="shared" si="131"/>
        <v>0</v>
      </c>
      <c r="AK136" s="1236">
        <f t="shared" si="132"/>
        <v>0</v>
      </c>
      <c r="AL136" s="1236">
        <f t="shared" si="133"/>
        <v>0</v>
      </c>
      <c r="AM136" s="1236">
        <f t="shared" si="134"/>
        <v>0</v>
      </c>
      <c r="AN136" s="1236">
        <f t="shared" si="135"/>
        <v>0</v>
      </c>
      <c r="AO136" s="1236">
        <f t="shared" si="136"/>
        <v>0</v>
      </c>
      <c r="AP136" s="1236">
        <f t="shared" si="137"/>
        <v>0</v>
      </c>
      <c r="AQ136" s="1236">
        <f t="shared" si="138"/>
        <v>0</v>
      </c>
      <c r="AR136" s="1236">
        <f t="shared" si="139"/>
        <v>0</v>
      </c>
      <c r="AS136" s="1236">
        <f t="shared" si="140"/>
        <v>0</v>
      </c>
      <c r="AT136" s="1236">
        <f t="shared" si="141"/>
        <v>0</v>
      </c>
      <c r="AU136" s="1236">
        <f t="shared" si="142"/>
        <v>0</v>
      </c>
      <c r="AV136" s="1236">
        <f t="shared" si="143"/>
        <v>0</v>
      </c>
      <c r="AW136" s="1236">
        <f t="shared" si="144"/>
        <v>0</v>
      </c>
      <c r="AX136" s="1236">
        <f t="shared" si="145"/>
        <v>0</v>
      </c>
      <c r="AY136" s="1236">
        <f t="shared" si="146"/>
        <v>0</v>
      </c>
      <c r="AZ136" s="1236">
        <f t="shared" si="147"/>
        <v>0</v>
      </c>
      <c r="BA136" s="1236">
        <f t="shared" si="148"/>
        <v>0</v>
      </c>
      <c r="BB136" s="1236">
        <f t="shared" si="149"/>
        <v>0</v>
      </c>
      <c r="BC136" s="1236">
        <f t="shared" si="150"/>
        <v>0</v>
      </c>
      <c r="BD136" s="1236">
        <f t="shared" si="151"/>
        <v>0</v>
      </c>
      <c r="BE136" s="1236">
        <f t="shared" si="152"/>
        <v>0</v>
      </c>
      <c r="BF136" s="1236">
        <f t="shared" si="153"/>
        <v>0</v>
      </c>
      <c r="BG136" s="1236">
        <f t="shared" si="154"/>
        <v>0</v>
      </c>
      <c r="BH136" s="1236">
        <f t="shared" si="155"/>
        <v>0</v>
      </c>
      <c r="BI136" s="1236">
        <f t="shared" si="156"/>
        <v>0</v>
      </c>
      <c r="BJ136" s="1236">
        <f t="shared" si="157"/>
        <v>0</v>
      </c>
      <c r="BK136" s="1236">
        <f t="shared" si="158"/>
        <v>0</v>
      </c>
      <c r="BL136" s="1236">
        <f t="shared" si="159"/>
        <v>0</v>
      </c>
      <c r="BM136" s="1236">
        <f t="shared" si="160"/>
        <v>0</v>
      </c>
      <c r="BN136" s="1236">
        <f t="shared" si="161"/>
        <v>0</v>
      </c>
      <c r="BO136" s="1236">
        <f t="shared" si="162"/>
        <v>0</v>
      </c>
      <c r="BP136" s="1236">
        <f t="shared" si="163"/>
        <v>0</v>
      </c>
      <c r="BQ136" s="1236">
        <f t="shared" si="164"/>
        <v>0</v>
      </c>
      <c r="BR136" s="1236">
        <f t="shared" si="165"/>
        <v>0</v>
      </c>
      <c r="BS136" s="1236">
        <f t="shared" si="166"/>
        <v>0</v>
      </c>
      <c r="BT136" s="1236">
        <f t="shared" si="167"/>
        <v>0</v>
      </c>
      <c r="BU136" s="1236">
        <f t="shared" si="168"/>
        <v>0</v>
      </c>
      <c r="BV136" s="1236">
        <f t="shared" si="169"/>
        <v>0</v>
      </c>
      <c r="BW136" s="1236">
        <f t="shared" si="170"/>
        <v>0</v>
      </c>
      <c r="BX136" s="1236">
        <f t="shared" si="171"/>
        <v>0</v>
      </c>
      <c r="BY136" s="1236">
        <f t="shared" si="172"/>
        <v>0</v>
      </c>
      <c r="BZ136" s="1236">
        <f t="shared" si="173"/>
        <v>0</v>
      </c>
      <c r="CA136" s="1236">
        <f t="shared" si="174"/>
        <v>0</v>
      </c>
      <c r="CB136" s="1236">
        <f t="shared" si="175"/>
        <v>0</v>
      </c>
      <c r="CC136" s="1236">
        <f t="shared" si="176"/>
        <v>0</v>
      </c>
      <c r="CD136" s="1236">
        <f t="shared" si="177"/>
        <v>0</v>
      </c>
      <c r="CE136" s="1236">
        <f t="shared" si="178"/>
        <v>0</v>
      </c>
      <c r="CF136" s="1236">
        <f t="shared" si="179"/>
        <v>0</v>
      </c>
      <c r="CG136" s="1236">
        <f t="shared" si="180"/>
        <v>0</v>
      </c>
      <c r="CH136" s="1236">
        <f t="shared" si="181"/>
        <v>0</v>
      </c>
      <c r="CI136" s="1236">
        <f t="shared" si="182"/>
        <v>0</v>
      </c>
      <c r="CJ136" s="1236">
        <f t="shared" si="183"/>
        <v>0</v>
      </c>
      <c r="CK136" s="1236">
        <f t="shared" si="184"/>
        <v>0</v>
      </c>
      <c r="CL136" s="1236">
        <f t="shared" si="185"/>
        <v>0</v>
      </c>
      <c r="CM136" s="1236">
        <f t="shared" si="186"/>
        <v>0</v>
      </c>
      <c r="CN136" s="1236">
        <f t="shared" si="187"/>
        <v>0</v>
      </c>
      <c r="CQ136" s="1165"/>
      <c r="CR136" s="1165"/>
      <c r="CS136" s="1165"/>
      <c r="CT136" s="1165"/>
      <c r="CU136" s="1165"/>
      <c r="CV136" s="1165"/>
      <c r="CW136" s="1165"/>
      <c r="CX136" s="1165"/>
      <c r="CY136" s="1165"/>
      <c r="CZ136" s="1165"/>
      <c r="DA136" s="1165"/>
      <c r="DB136" s="1165"/>
      <c r="DC136" s="1165"/>
      <c r="DD136" s="1165"/>
      <c r="DE136" s="1165"/>
      <c r="DF136" s="1165"/>
      <c r="DG136" s="1165"/>
      <c r="DH136" s="1165"/>
      <c r="DI136" s="1165"/>
      <c r="DJ136" s="1165"/>
      <c r="DK136" s="1165"/>
      <c r="DL136" s="1165"/>
      <c r="DM136" s="1165"/>
      <c r="DN136" s="1165"/>
      <c r="DO136" s="1165"/>
      <c r="DP136" s="1165"/>
      <c r="DQ136" s="1165"/>
      <c r="DR136" s="1165"/>
      <c r="DS136" s="1165"/>
      <c r="DT136" s="1165"/>
      <c r="DU136" s="1165"/>
      <c r="DV136" s="1165"/>
      <c r="DW136" s="1165"/>
      <c r="DX136" s="1165"/>
      <c r="DY136" s="1165"/>
      <c r="DZ136" s="1165"/>
      <c r="EA136" s="1165"/>
      <c r="EB136" s="1165"/>
      <c r="EC136" s="1165"/>
      <c r="ED136" s="1165"/>
      <c r="EE136" s="1165"/>
      <c r="EF136" s="1165"/>
      <c r="EG136" s="1165"/>
      <c r="EH136" s="1165"/>
      <c r="EI136" s="1165"/>
      <c r="EJ136" s="1165"/>
      <c r="EK136" s="1165"/>
      <c r="EL136" s="1165"/>
      <c r="EM136" s="1165"/>
      <c r="EN136" s="1165"/>
      <c r="EO136" s="1165"/>
      <c r="EP136" s="1165"/>
      <c r="EQ136" s="1165"/>
      <c r="ER136" s="1165"/>
      <c r="ES136" s="1165"/>
      <c r="ET136" s="1165"/>
      <c r="EU136" s="1165"/>
      <c r="EV136" s="1165"/>
      <c r="EW136" s="1165"/>
      <c r="EX136" s="1165"/>
      <c r="EY136" s="1165"/>
      <c r="EZ136" s="1165"/>
      <c r="FA136" s="1165"/>
      <c r="FB136" s="1165"/>
      <c r="FC136" s="1165"/>
      <c r="FD136" s="1165"/>
      <c r="FE136" s="1165"/>
      <c r="FF136" s="1165"/>
    </row>
    <row r="137" spans="1:162" s="1231" customFormat="1">
      <c r="A137" s="1224"/>
      <c r="B137" s="1230" t="s">
        <v>146</v>
      </c>
      <c r="M137" s="1231">
        <f t="shared" ca="1" si="199"/>
        <v>0</v>
      </c>
      <c r="N137" s="1231">
        <f t="shared" ca="1" si="199"/>
        <v>0</v>
      </c>
      <c r="O137" s="1231">
        <f t="shared" ca="1" si="199"/>
        <v>0</v>
      </c>
      <c r="P137" s="1231">
        <f t="shared" ca="1" si="199"/>
        <v>0</v>
      </c>
      <c r="Q137" s="1231">
        <f t="shared" ca="1" si="199"/>
        <v>0</v>
      </c>
      <c r="R137" s="1229">
        <f>R139-R130-R123-R120</f>
        <v>243.26687100000004</v>
      </c>
      <c r="S137" s="1229">
        <f t="shared" ref="S137:Z137" si="200">S139-S130-S123-S120</f>
        <v>227.35599999999999</v>
      </c>
      <c r="T137" s="1229">
        <f t="shared" si="200"/>
        <v>337.65800000000013</v>
      </c>
      <c r="U137" s="1229">
        <f t="shared" si="200"/>
        <v>506.27799999999996</v>
      </c>
      <c r="V137" s="1229">
        <f t="shared" si="200"/>
        <v>996.5350000000002</v>
      </c>
      <c r="W137" s="1229">
        <f t="shared" si="200"/>
        <v>840.29899999999998</v>
      </c>
      <c r="X137" s="1229">
        <f t="shared" si="200"/>
        <v>603.99900000000025</v>
      </c>
      <c r="Y137" s="1229">
        <f t="shared" si="200"/>
        <v>1301.3650000000005</v>
      </c>
      <c r="Z137" s="1229">
        <f t="shared" si="200"/>
        <v>3360.2640000000001</v>
      </c>
      <c r="AG137" s="1231">
        <f t="shared" si="128"/>
        <v>0</v>
      </c>
      <c r="AH137" s="1231">
        <f t="shared" si="129"/>
        <v>0</v>
      </c>
      <c r="AI137" s="1231">
        <f t="shared" si="130"/>
        <v>0</v>
      </c>
      <c r="AJ137" s="1231">
        <f t="shared" si="131"/>
        <v>0</v>
      </c>
      <c r="AK137" s="1231">
        <f t="shared" si="132"/>
        <v>0</v>
      </c>
      <c r="AL137" s="1231">
        <f t="shared" si="133"/>
        <v>0</v>
      </c>
      <c r="AM137" s="1231">
        <f t="shared" si="134"/>
        <v>0</v>
      </c>
      <c r="AN137" s="1231">
        <f t="shared" si="135"/>
        <v>0</v>
      </c>
      <c r="AO137" s="1231">
        <f t="shared" si="136"/>
        <v>0</v>
      </c>
      <c r="AP137" s="1231">
        <f t="shared" si="137"/>
        <v>0</v>
      </c>
      <c r="AQ137" s="1231">
        <f t="shared" si="138"/>
        <v>0</v>
      </c>
      <c r="AR137" s="1231">
        <f t="shared" si="139"/>
        <v>0</v>
      </c>
      <c r="AS137" s="1231">
        <f t="shared" si="140"/>
        <v>0</v>
      </c>
      <c r="AT137" s="1231">
        <f t="shared" si="141"/>
        <v>0</v>
      </c>
      <c r="AU137" s="1231">
        <f t="shared" si="142"/>
        <v>0</v>
      </c>
      <c r="AV137" s="1231">
        <f t="shared" si="143"/>
        <v>0</v>
      </c>
      <c r="AW137" s="1231">
        <f t="shared" si="144"/>
        <v>0</v>
      </c>
      <c r="AX137" s="1231">
        <f t="shared" si="145"/>
        <v>0</v>
      </c>
      <c r="AY137" s="1231">
        <f t="shared" si="146"/>
        <v>0</v>
      </c>
      <c r="AZ137" s="1231">
        <f t="shared" si="147"/>
        <v>0</v>
      </c>
      <c r="BA137" s="1231">
        <f t="shared" si="148"/>
        <v>0</v>
      </c>
      <c r="BB137" s="1231">
        <f t="shared" si="149"/>
        <v>0</v>
      </c>
      <c r="BC137" s="1231">
        <f t="shared" si="150"/>
        <v>0</v>
      </c>
      <c r="BD137" s="1231">
        <f t="shared" si="151"/>
        <v>0</v>
      </c>
      <c r="BE137" s="1231">
        <f t="shared" si="152"/>
        <v>0</v>
      </c>
      <c r="BF137" s="1231">
        <f t="shared" si="153"/>
        <v>0</v>
      </c>
      <c r="BG137" s="1231">
        <f t="shared" si="154"/>
        <v>0</v>
      </c>
      <c r="BH137" s="1231">
        <f t="shared" si="155"/>
        <v>0</v>
      </c>
      <c r="BI137" s="1231">
        <f t="shared" si="156"/>
        <v>0</v>
      </c>
      <c r="BJ137" s="1231">
        <f t="shared" si="157"/>
        <v>0</v>
      </c>
      <c r="BK137" s="1231">
        <f t="shared" si="158"/>
        <v>0</v>
      </c>
      <c r="BL137" s="1231">
        <f t="shared" si="159"/>
        <v>0</v>
      </c>
      <c r="BM137" s="1231">
        <f t="shared" si="160"/>
        <v>0</v>
      </c>
      <c r="BN137" s="1231">
        <f t="shared" si="161"/>
        <v>0</v>
      </c>
      <c r="BO137" s="1231">
        <f t="shared" si="162"/>
        <v>0</v>
      </c>
      <c r="BP137" s="1231">
        <f t="shared" si="163"/>
        <v>0</v>
      </c>
      <c r="BQ137" s="1231">
        <f t="shared" si="164"/>
        <v>0</v>
      </c>
      <c r="BR137" s="1231">
        <f t="shared" si="165"/>
        <v>0</v>
      </c>
      <c r="BS137" s="1231">
        <f t="shared" si="166"/>
        <v>0</v>
      </c>
      <c r="BT137" s="1231">
        <f t="shared" si="167"/>
        <v>0</v>
      </c>
      <c r="BU137" s="1231">
        <f t="shared" si="168"/>
        <v>0</v>
      </c>
      <c r="BV137" s="1231">
        <f t="shared" si="169"/>
        <v>0</v>
      </c>
      <c r="BW137" s="1231">
        <f t="shared" si="170"/>
        <v>0</v>
      </c>
      <c r="BX137" s="1231">
        <f t="shared" si="171"/>
        <v>0</v>
      </c>
      <c r="BY137" s="1231">
        <f t="shared" si="172"/>
        <v>0</v>
      </c>
      <c r="BZ137" s="1231">
        <f t="shared" si="173"/>
        <v>0</v>
      </c>
      <c r="CA137" s="1231">
        <f t="shared" si="174"/>
        <v>0</v>
      </c>
      <c r="CB137" s="1231">
        <f t="shared" si="175"/>
        <v>0</v>
      </c>
      <c r="CC137" s="1231">
        <f t="shared" si="176"/>
        <v>0</v>
      </c>
      <c r="CD137" s="1231">
        <f t="shared" si="177"/>
        <v>0</v>
      </c>
      <c r="CE137" s="1231">
        <f t="shared" si="178"/>
        <v>0</v>
      </c>
      <c r="CF137" s="1231">
        <f t="shared" si="179"/>
        <v>0</v>
      </c>
      <c r="CG137" s="1231">
        <f t="shared" si="180"/>
        <v>0</v>
      </c>
      <c r="CH137" s="1231">
        <f t="shared" si="181"/>
        <v>0</v>
      </c>
      <c r="CI137" s="1231">
        <f t="shared" si="182"/>
        <v>0</v>
      </c>
      <c r="CJ137" s="1231">
        <f t="shared" si="183"/>
        <v>0</v>
      </c>
      <c r="CK137" s="1231">
        <f t="shared" si="184"/>
        <v>0</v>
      </c>
      <c r="CL137" s="1231">
        <f t="shared" si="185"/>
        <v>0</v>
      </c>
      <c r="CM137" s="1231">
        <f t="shared" si="186"/>
        <v>0</v>
      </c>
      <c r="CN137" s="1231">
        <f t="shared" si="187"/>
        <v>0</v>
      </c>
      <c r="CQ137" s="1165"/>
      <c r="CR137" s="1165"/>
      <c r="CS137" s="1165"/>
      <c r="CT137" s="1165"/>
      <c r="CU137" s="1165"/>
      <c r="CV137" s="1165"/>
      <c r="CW137" s="1165"/>
      <c r="CX137" s="1165"/>
      <c r="CY137" s="1165"/>
      <c r="CZ137" s="1165"/>
      <c r="DA137" s="1165"/>
      <c r="DB137" s="1165"/>
      <c r="DC137" s="1165"/>
      <c r="DD137" s="1165"/>
      <c r="DE137" s="1165"/>
      <c r="DF137" s="1165"/>
      <c r="DG137" s="1165"/>
      <c r="DH137" s="1165"/>
      <c r="DI137" s="1165"/>
      <c r="DJ137" s="1165"/>
      <c r="EU137" s="1165"/>
      <c r="EV137" s="1165"/>
      <c r="EW137" s="1165"/>
      <c r="EX137" s="1165"/>
      <c r="EY137" s="1165"/>
      <c r="EZ137" s="1165"/>
      <c r="FA137" s="1165"/>
      <c r="FB137" s="1165"/>
      <c r="FC137" s="1165"/>
      <c r="FD137" s="1165"/>
      <c r="FE137" s="1165"/>
      <c r="FF137" s="1165"/>
    </row>
    <row r="138" spans="1:162" s="1231" customFormat="1">
      <c r="A138" s="1224"/>
      <c r="B138" s="1230"/>
      <c r="AG138" s="1231">
        <f t="shared" si="128"/>
        <v>0</v>
      </c>
      <c r="AH138" s="1231">
        <f t="shared" si="129"/>
        <v>0</v>
      </c>
      <c r="AI138" s="1231">
        <f t="shared" si="130"/>
        <v>0</v>
      </c>
      <c r="AJ138" s="1231">
        <f t="shared" si="131"/>
        <v>0</v>
      </c>
      <c r="AK138" s="1231">
        <f t="shared" si="132"/>
        <v>0</v>
      </c>
      <c r="AL138" s="1231">
        <f t="shared" si="133"/>
        <v>0</v>
      </c>
      <c r="AM138" s="1231">
        <f t="shared" si="134"/>
        <v>0</v>
      </c>
      <c r="AN138" s="1231">
        <f t="shared" si="135"/>
        <v>0</v>
      </c>
      <c r="AO138" s="1231">
        <f t="shared" si="136"/>
        <v>0</v>
      </c>
      <c r="AP138" s="1231">
        <f t="shared" si="137"/>
        <v>0</v>
      </c>
      <c r="AQ138" s="1231">
        <f t="shared" si="138"/>
        <v>0</v>
      </c>
      <c r="AR138" s="1231">
        <f t="shared" si="139"/>
        <v>0</v>
      </c>
      <c r="AS138" s="1231">
        <f t="shared" si="140"/>
        <v>0</v>
      </c>
      <c r="AT138" s="1231">
        <f t="shared" si="141"/>
        <v>0</v>
      </c>
      <c r="AU138" s="1231">
        <f t="shared" si="142"/>
        <v>0</v>
      </c>
      <c r="AV138" s="1231">
        <f t="shared" si="143"/>
        <v>0</v>
      </c>
      <c r="AW138" s="1231">
        <f t="shared" si="144"/>
        <v>0</v>
      </c>
      <c r="AX138" s="1231">
        <f t="shared" si="145"/>
        <v>0</v>
      </c>
      <c r="AY138" s="1231">
        <f t="shared" si="146"/>
        <v>0</v>
      </c>
      <c r="AZ138" s="1231">
        <f t="shared" si="147"/>
        <v>0</v>
      </c>
      <c r="BA138" s="1231">
        <f t="shared" si="148"/>
        <v>0</v>
      </c>
      <c r="BB138" s="1231">
        <f t="shared" si="149"/>
        <v>0</v>
      </c>
      <c r="BC138" s="1231">
        <f t="shared" si="150"/>
        <v>0</v>
      </c>
      <c r="BD138" s="1231">
        <f t="shared" si="151"/>
        <v>0</v>
      </c>
      <c r="BE138" s="1231">
        <f t="shared" si="152"/>
        <v>0</v>
      </c>
      <c r="BF138" s="1231">
        <f t="shared" si="153"/>
        <v>0</v>
      </c>
      <c r="BG138" s="1231">
        <f t="shared" si="154"/>
        <v>0</v>
      </c>
      <c r="BH138" s="1231">
        <f t="shared" si="155"/>
        <v>0</v>
      </c>
      <c r="BI138" s="1231">
        <f t="shared" si="156"/>
        <v>0</v>
      </c>
      <c r="BJ138" s="1231">
        <f t="shared" si="157"/>
        <v>0</v>
      </c>
      <c r="BK138" s="1231">
        <f t="shared" si="158"/>
        <v>0</v>
      </c>
      <c r="BL138" s="1231">
        <f t="shared" si="159"/>
        <v>0</v>
      </c>
      <c r="BM138" s="1231">
        <f t="shared" si="160"/>
        <v>0</v>
      </c>
      <c r="BN138" s="1231">
        <f t="shared" si="161"/>
        <v>0</v>
      </c>
      <c r="BO138" s="1231">
        <f t="shared" si="162"/>
        <v>0</v>
      </c>
      <c r="BP138" s="1231">
        <f t="shared" si="163"/>
        <v>0</v>
      </c>
      <c r="BQ138" s="1231">
        <f t="shared" si="164"/>
        <v>0</v>
      </c>
      <c r="BR138" s="1231">
        <f t="shared" si="165"/>
        <v>0</v>
      </c>
      <c r="BS138" s="1231">
        <f t="shared" si="166"/>
        <v>0</v>
      </c>
      <c r="BT138" s="1231">
        <f t="shared" si="167"/>
        <v>0</v>
      </c>
      <c r="BU138" s="1231">
        <f t="shared" si="168"/>
        <v>0</v>
      </c>
      <c r="BV138" s="1231">
        <f t="shared" si="169"/>
        <v>0</v>
      </c>
      <c r="BW138" s="1231">
        <f t="shared" si="170"/>
        <v>0</v>
      </c>
      <c r="BX138" s="1231">
        <f t="shared" si="171"/>
        <v>0</v>
      </c>
      <c r="BY138" s="1231">
        <f t="shared" si="172"/>
        <v>0</v>
      </c>
      <c r="BZ138" s="1231">
        <f t="shared" si="173"/>
        <v>0</v>
      </c>
      <c r="CA138" s="1231">
        <f t="shared" si="174"/>
        <v>0</v>
      </c>
      <c r="CB138" s="1231">
        <f t="shared" si="175"/>
        <v>0</v>
      </c>
      <c r="CC138" s="1231">
        <f t="shared" si="176"/>
        <v>0</v>
      </c>
      <c r="CD138" s="1231">
        <f t="shared" si="177"/>
        <v>0</v>
      </c>
      <c r="CE138" s="1231">
        <f t="shared" si="178"/>
        <v>0</v>
      </c>
      <c r="CF138" s="1231">
        <f t="shared" si="179"/>
        <v>0</v>
      </c>
      <c r="CG138" s="1231">
        <f t="shared" si="180"/>
        <v>0</v>
      </c>
      <c r="CH138" s="1231">
        <f t="shared" si="181"/>
        <v>0</v>
      </c>
      <c r="CI138" s="1231">
        <f t="shared" si="182"/>
        <v>0</v>
      </c>
      <c r="CJ138" s="1231">
        <f t="shared" si="183"/>
        <v>0</v>
      </c>
      <c r="CK138" s="1231">
        <f t="shared" si="184"/>
        <v>0</v>
      </c>
      <c r="CL138" s="1231">
        <f t="shared" si="185"/>
        <v>0</v>
      </c>
      <c r="CM138" s="1231">
        <f t="shared" si="186"/>
        <v>0</v>
      </c>
      <c r="CN138" s="1231">
        <f t="shared" si="187"/>
        <v>0</v>
      </c>
      <c r="CQ138" s="1165"/>
      <c r="CR138" s="1165"/>
      <c r="CS138" s="1165"/>
      <c r="CT138" s="1165"/>
      <c r="CU138" s="1165"/>
      <c r="CV138" s="1165"/>
      <c r="CW138" s="1165"/>
      <c r="CX138" s="1165"/>
      <c r="CY138" s="1165"/>
      <c r="CZ138" s="1165"/>
      <c r="DA138" s="1165"/>
      <c r="DB138" s="1165"/>
      <c r="DC138" s="1165"/>
      <c r="DD138" s="1165"/>
      <c r="DE138" s="1165"/>
      <c r="DF138" s="1165"/>
      <c r="DG138" s="1165"/>
      <c r="DH138" s="1165"/>
      <c r="DI138" s="1165"/>
      <c r="DJ138" s="1165"/>
      <c r="DK138" s="1165"/>
      <c r="DL138" s="1165"/>
      <c r="DM138" s="1165"/>
      <c r="DN138" s="1165"/>
      <c r="DO138" s="1165"/>
      <c r="DP138" s="1165"/>
      <c r="DQ138" s="1165"/>
      <c r="DR138" s="1165"/>
      <c r="DS138" s="1165"/>
      <c r="DT138" s="1165"/>
      <c r="DU138" s="1165"/>
      <c r="DV138" s="1165"/>
      <c r="DW138" s="1165"/>
      <c r="DX138" s="1165"/>
      <c r="DY138" s="1165"/>
      <c r="DZ138" s="1165"/>
      <c r="EA138" s="1165"/>
      <c r="EB138" s="1165"/>
      <c r="EC138" s="1165"/>
      <c r="ED138" s="1165"/>
      <c r="EE138" s="1165"/>
      <c r="EF138" s="1165"/>
      <c r="EG138" s="1165"/>
      <c r="EH138" s="1165"/>
      <c r="EI138" s="1165"/>
      <c r="EJ138" s="1165"/>
      <c r="EK138" s="1165"/>
      <c r="EL138" s="1165"/>
      <c r="EM138" s="1165"/>
      <c r="EN138" s="1165"/>
      <c r="EO138" s="1165"/>
      <c r="EP138" s="1165"/>
      <c r="EQ138" s="1165"/>
      <c r="ER138" s="1165"/>
      <c r="ES138" s="1165"/>
      <c r="ET138" s="1165"/>
      <c r="EU138" s="1165"/>
      <c r="EV138" s="1165"/>
      <c r="EW138" s="1165"/>
      <c r="EX138" s="1165"/>
      <c r="EY138" s="1165"/>
      <c r="EZ138" s="1165"/>
      <c r="FA138" s="1165"/>
      <c r="FB138" s="1165"/>
      <c r="FC138" s="1165"/>
      <c r="FD138" s="1165"/>
      <c r="FE138" s="1165"/>
      <c r="FF138" s="1165"/>
    </row>
    <row r="139" spans="1:162" s="1231" customFormat="1">
      <c r="A139" s="1206" t="s">
        <v>540</v>
      </c>
      <c r="B139" s="1230" t="s">
        <v>187</v>
      </c>
      <c r="M139" s="1231">
        <f ca="1">OFFSET($CT139,0,M$7)</f>
        <v>0</v>
      </c>
      <c r="N139" s="1231">
        <f ca="1">OFFSET($CT139,0,N$7)</f>
        <v>0</v>
      </c>
      <c r="O139" s="1231">
        <f ca="1">OFFSET($CT139,0,O$7)</f>
        <v>0</v>
      </c>
      <c r="P139" s="1231">
        <f ca="1">OFFSET($CT139,0,P$7)</f>
        <v>0</v>
      </c>
      <c r="Q139" s="1231">
        <f ca="1">OFFSET($CT139,0,Q$7)</f>
        <v>0</v>
      </c>
      <c r="R139" s="1232">
        <v>1179.1025</v>
      </c>
      <c r="S139" s="1232">
        <v>861.51300000000003</v>
      </c>
      <c r="T139" s="1232">
        <v>1269.9870000000001</v>
      </c>
      <c r="U139" s="1232">
        <v>1563.241</v>
      </c>
      <c r="V139" s="1232">
        <v>2298.259</v>
      </c>
      <c r="W139" s="1232">
        <v>2590.0500000000002</v>
      </c>
      <c r="X139" s="1232">
        <v>3683.7530000000002</v>
      </c>
      <c r="Y139" s="1232">
        <v>4168.9840000000004</v>
      </c>
      <c r="Z139" s="1231">
        <v>6149.5910000000003</v>
      </c>
      <c r="AG139" s="1231">
        <f t="shared" si="128"/>
        <v>0</v>
      </c>
      <c r="AH139" s="1231">
        <f t="shared" si="129"/>
        <v>0</v>
      </c>
      <c r="AI139" s="1231">
        <f t="shared" si="130"/>
        <v>0</v>
      </c>
      <c r="AJ139" s="1231">
        <f t="shared" si="131"/>
        <v>0</v>
      </c>
      <c r="AK139" s="1231">
        <f t="shared" si="132"/>
        <v>0</v>
      </c>
      <c r="AL139" s="1231">
        <f t="shared" si="133"/>
        <v>0</v>
      </c>
      <c r="AM139" s="1231">
        <f t="shared" si="134"/>
        <v>0</v>
      </c>
      <c r="AN139" s="1231">
        <f t="shared" si="135"/>
        <v>0</v>
      </c>
      <c r="AO139" s="1231">
        <f t="shared" si="136"/>
        <v>0</v>
      </c>
      <c r="AP139" s="1231">
        <f t="shared" si="137"/>
        <v>0</v>
      </c>
      <c r="AQ139" s="1231">
        <f t="shared" si="138"/>
        <v>0</v>
      </c>
      <c r="AR139" s="1231">
        <f t="shared" si="139"/>
        <v>0</v>
      </c>
      <c r="AS139" s="1231">
        <f t="shared" si="140"/>
        <v>0</v>
      </c>
      <c r="AT139" s="1231">
        <f t="shared" si="141"/>
        <v>0</v>
      </c>
      <c r="AU139" s="1231">
        <f t="shared" si="142"/>
        <v>0</v>
      </c>
      <c r="AV139" s="1231">
        <f t="shared" si="143"/>
        <v>0</v>
      </c>
      <c r="AW139" s="1231">
        <f t="shared" si="144"/>
        <v>0</v>
      </c>
      <c r="AX139" s="1231">
        <f t="shared" si="145"/>
        <v>0</v>
      </c>
      <c r="AY139" s="1231">
        <f t="shared" si="146"/>
        <v>0</v>
      </c>
      <c r="AZ139" s="1231">
        <f t="shared" si="147"/>
        <v>0</v>
      </c>
      <c r="BA139" s="1231">
        <f t="shared" si="148"/>
        <v>0</v>
      </c>
      <c r="BB139" s="1231">
        <f t="shared" si="149"/>
        <v>0</v>
      </c>
      <c r="BC139" s="1231">
        <f t="shared" si="150"/>
        <v>0</v>
      </c>
      <c r="BD139" s="1231">
        <f t="shared" si="151"/>
        <v>0</v>
      </c>
      <c r="BE139" s="1231">
        <f t="shared" si="152"/>
        <v>0</v>
      </c>
      <c r="BF139" s="1231">
        <f t="shared" si="153"/>
        <v>0</v>
      </c>
      <c r="BG139" s="1231">
        <f t="shared" si="154"/>
        <v>0</v>
      </c>
      <c r="BH139" s="1231">
        <f t="shared" si="155"/>
        <v>0</v>
      </c>
      <c r="BI139" s="1231">
        <f t="shared" si="156"/>
        <v>0</v>
      </c>
      <c r="BJ139" s="1231">
        <f t="shared" si="157"/>
        <v>0</v>
      </c>
      <c r="BK139" s="1231">
        <f t="shared" si="158"/>
        <v>0</v>
      </c>
      <c r="BL139" s="1231">
        <f t="shared" si="159"/>
        <v>0</v>
      </c>
      <c r="BM139" s="1231">
        <f t="shared" si="160"/>
        <v>0</v>
      </c>
      <c r="BN139" s="1231">
        <f t="shared" si="161"/>
        <v>0</v>
      </c>
      <c r="BO139" s="1231">
        <f t="shared" si="162"/>
        <v>0</v>
      </c>
      <c r="BP139" s="1231">
        <f t="shared" si="163"/>
        <v>0</v>
      </c>
      <c r="BQ139" s="1231">
        <f t="shared" si="164"/>
        <v>0</v>
      </c>
      <c r="BR139" s="1231">
        <f t="shared" si="165"/>
        <v>0</v>
      </c>
      <c r="BS139" s="1231">
        <f t="shared" si="166"/>
        <v>0</v>
      </c>
      <c r="BT139" s="1231">
        <f t="shared" si="167"/>
        <v>0</v>
      </c>
      <c r="BU139" s="1231">
        <f t="shared" si="168"/>
        <v>0</v>
      </c>
      <c r="BV139" s="1231">
        <f t="shared" si="169"/>
        <v>0</v>
      </c>
      <c r="BW139" s="1231">
        <f t="shared" si="170"/>
        <v>0</v>
      </c>
      <c r="BX139" s="1231">
        <f t="shared" si="171"/>
        <v>0</v>
      </c>
      <c r="BY139" s="1231">
        <f t="shared" si="172"/>
        <v>0</v>
      </c>
      <c r="BZ139" s="1231">
        <f t="shared" si="173"/>
        <v>0</v>
      </c>
      <c r="CA139" s="1231">
        <f t="shared" si="174"/>
        <v>0</v>
      </c>
      <c r="CB139" s="1231">
        <f t="shared" si="175"/>
        <v>0</v>
      </c>
      <c r="CC139" s="1231">
        <f t="shared" si="176"/>
        <v>0</v>
      </c>
      <c r="CD139" s="1231">
        <f t="shared" si="177"/>
        <v>0</v>
      </c>
      <c r="CE139" s="1231">
        <f t="shared" si="178"/>
        <v>0</v>
      </c>
      <c r="CF139" s="1231">
        <f t="shared" si="179"/>
        <v>0</v>
      </c>
      <c r="CG139" s="1231">
        <f t="shared" si="180"/>
        <v>0</v>
      </c>
      <c r="CH139" s="1231">
        <f t="shared" si="181"/>
        <v>0</v>
      </c>
      <c r="CI139" s="1231">
        <f t="shared" si="182"/>
        <v>0</v>
      </c>
      <c r="CJ139" s="1231">
        <f t="shared" si="183"/>
        <v>0</v>
      </c>
      <c r="CK139" s="1231">
        <f t="shared" si="184"/>
        <v>0</v>
      </c>
      <c r="CL139" s="1231">
        <f t="shared" si="185"/>
        <v>0</v>
      </c>
      <c r="CM139" s="1231">
        <f t="shared" si="186"/>
        <v>0</v>
      </c>
      <c r="CN139" s="1231">
        <f t="shared" si="187"/>
        <v>0</v>
      </c>
      <c r="CQ139" s="1165"/>
      <c r="CR139" s="1165"/>
      <c r="CS139" s="1165"/>
      <c r="CT139" s="1165"/>
      <c r="CU139" s="1165"/>
      <c r="CV139" s="1165"/>
      <c r="CW139" s="1165"/>
      <c r="CX139" s="1165"/>
      <c r="CY139" s="1165"/>
      <c r="CZ139" s="1165"/>
      <c r="DA139" s="1165"/>
      <c r="DB139" s="1165"/>
      <c r="DC139" s="1165"/>
      <c r="DD139" s="1165"/>
      <c r="DE139" s="1165"/>
      <c r="DF139" s="1165"/>
      <c r="DG139" s="1165"/>
      <c r="DH139" s="1165"/>
      <c r="DI139" s="1165"/>
      <c r="DJ139" s="1165"/>
      <c r="EU139" s="1165"/>
      <c r="EV139" s="1165"/>
      <c r="EW139" s="1165"/>
      <c r="EX139" s="1165"/>
      <c r="EY139" s="1165"/>
      <c r="EZ139" s="1165"/>
      <c r="FA139" s="1165"/>
      <c r="FB139" s="1165"/>
      <c r="FC139" s="1165"/>
      <c r="FD139" s="1165"/>
      <c r="FE139" s="1165"/>
      <c r="FF139" s="1165"/>
    </row>
    <row r="140" spans="1:162">
      <c r="A140" s="1224"/>
      <c r="AG140" s="1236">
        <f t="shared" si="128"/>
        <v>0</v>
      </c>
      <c r="AH140" s="1236">
        <f t="shared" si="129"/>
        <v>0</v>
      </c>
      <c r="AI140" s="1236">
        <f t="shared" si="130"/>
        <v>0</v>
      </c>
      <c r="AJ140" s="1236">
        <f t="shared" si="131"/>
        <v>0</v>
      </c>
      <c r="AK140" s="1236">
        <f t="shared" si="132"/>
        <v>0</v>
      </c>
      <c r="AL140" s="1236">
        <f t="shared" si="133"/>
        <v>0</v>
      </c>
      <c r="AM140" s="1236">
        <f t="shared" si="134"/>
        <v>0</v>
      </c>
      <c r="AN140" s="1236">
        <f t="shared" si="135"/>
        <v>0</v>
      </c>
      <c r="AO140" s="1236">
        <f t="shared" si="136"/>
        <v>0</v>
      </c>
      <c r="AP140" s="1236">
        <f t="shared" si="137"/>
        <v>0</v>
      </c>
      <c r="AQ140" s="1236">
        <f t="shared" si="138"/>
        <v>0</v>
      </c>
      <c r="AR140" s="1236">
        <f t="shared" si="139"/>
        <v>0</v>
      </c>
      <c r="AS140" s="1236">
        <f t="shared" si="140"/>
        <v>0</v>
      </c>
      <c r="AT140" s="1236">
        <f t="shared" si="141"/>
        <v>0</v>
      </c>
      <c r="AU140" s="1236">
        <f t="shared" si="142"/>
        <v>0</v>
      </c>
      <c r="AV140" s="1236">
        <f t="shared" si="143"/>
        <v>0</v>
      </c>
      <c r="AW140" s="1236">
        <f t="shared" si="144"/>
        <v>0</v>
      </c>
      <c r="AX140" s="1236">
        <f t="shared" si="145"/>
        <v>0</v>
      </c>
      <c r="AY140" s="1236">
        <f t="shared" si="146"/>
        <v>0</v>
      </c>
      <c r="AZ140" s="1236">
        <f t="shared" si="147"/>
        <v>0</v>
      </c>
      <c r="BA140" s="1236">
        <f t="shared" si="148"/>
        <v>0</v>
      </c>
      <c r="BB140" s="1236">
        <f t="shared" si="149"/>
        <v>0</v>
      </c>
      <c r="BC140" s="1236">
        <f t="shared" si="150"/>
        <v>0</v>
      </c>
      <c r="BD140" s="1236">
        <f t="shared" si="151"/>
        <v>0</v>
      </c>
      <c r="BE140" s="1236">
        <f t="shared" si="152"/>
        <v>0</v>
      </c>
      <c r="BF140" s="1236">
        <f t="shared" si="153"/>
        <v>0</v>
      </c>
      <c r="BG140" s="1236">
        <f t="shared" si="154"/>
        <v>0</v>
      </c>
      <c r="BH140" s="1236">
        <f t="shared" si="155"/>
        <v>0</v>
      </c>
      <c r="BI140" s="1236">
        <f t="shared" si="156"/>
        <v>0</v>
      </c>
      <c r="BJ140" s="1236">
        <f t="shared" si="157"/>
        <v>0</v>
      </c>
      <c r="BK140" s="1236">
        <f t="shared" si="158"/>
        <v>0</v>
      </c>
      <c r="BL140" s="1236">
        <f t="shared" si="159"/>
        <v>0</v>
      </c>
      <c r="BM140" s="1236">
        <f t="shared" si="160"/>
        <v>0</v>
      </c>
      <c r="BN140" s="1236">
        <f t="shared" si="161"/>
        <v>0</v>
      </c>
      <c r="BO140" s="1236">
        <f t="shared" si="162"/>
        <v>0</v>
      </c>
      <c r="BP140" s="1236">
        <f t="shared" si="163"/>
        <v>0</v>
      </c>
      <c r="BQ140" s="1236">
        <f t="shared" si="164"/>
        <v>0</v>
      </c>
      <c r="BR140" s="1236">
        <f t="shared" si="165"/>
        <v>0</v>
      </c>
      <c r="BS140" s="1236">
        <f t="shared" si="166"/>
        <v>0</v>
      </c>
      <c r="BT140" s="1236">
        <f t="shared" si="167"/>
        <v>0</v>
      </c>
      <c r="BU140" s="1236">
        <f t="shared" si="168"/>
        <v>0</v>
      </c>
      <c r="BV140" s="1236">
        <f t="shared" si="169"/>
        <v>0</v>
      </c>
      <c r="BW140" s="1236">
        <f t="shared" si="170"/>
        <v>0</v>
      </c>
      <c r="BX140" s="1236">
        <f t="shared" si="171"/>
        <v>0</v>
      </c>
      <c r="BY140" s="1236">
        <f t="shared" si="172"/>
        <v>0</v>
      </c>
      <c r="BZ140" s="1236">
        <f t="shared" si="173"/>
        <v>0</v>
      </c>
      <c r="CA140" s="1236">
        <f t="shared" si="174"/>
        <v>0</v>
      </c>
      <c r="CB140" s="1236">
        <f t="shared" si="175"/>
        <v>0</v>
      </c>
      <c r="CC140" s="1236">
        <f t="shared" si="176"/>
        <v>0</v>
      </c>
      <c r="CD140" s="1236">
        <f t="shared" si="177"/>
        <v>0</v>
      </c>
      <c r="CE140" s="1236">
        <f t="shared" si="178"/>
        <v>0</v>
      </c>
      <c r="CF140" s="1236">
        <f t="shared" si="179"/>
        <v>0</v>
      </c>
      <c r="CG140" s="1236">
        <f t="shared" si="180"/>
        <v>0</v>
      </c>
      <c r="CH140" s="1236">
        <f t="shared" si="181"/>
        <v>0</v>
      </c>
      <c r="CI140" s="1236">
        <f t="shared" si="182"/>
        <v>0</v>
      </c>
      <c r="CJ140" s="1236">
        <f t="shared" si="183"/>
        <v>0</v>
      </c>
      <c r="CK140" s="1236">
        <f t="shared" si="184"/>
        <v>0</v>
      </c>
      <c r="CL140" s="1236">
        <f t="shared" si="185"/>
        <v>0</v>
      </c>
      <c r="CM140" s="1236">
        <f t="shared" si="186"/>
        <v>0</v>
      </c>
      <c r="CN140" s="1236">
        <f t="shared" si="187"/>
        <v>0</v>
      </c>
      <c r="CQ140" s="1165"/>
      <c r="CR140" s="1165"/>
      <c r="CS140" s="1165"/>
      <c r="CT140" s="1165"/>
      <c r="CU140" s="1165"/>
      <c r="CV140" s="1165"/>
      <c r="CW140" s="1165"/>
      <c r="CX140" s="1165"/>
      <c r="CY140" s="1165"/>
      <c r="CZ140" s="1165"/>
      <c r="DA140" s="1165"/>
      <c r="DB140" s="1165"/>
      <c r="DC140" s="1165"/>
      <c r="DD140" s="1165"/>
      <c r="DE140" s="1165"/>
      <c r="DF140" s="1165"/>
      <c r="DG140" s="1165"/>
      <c r="DH140" s="1165"/>
      <c r="DI140" s="1165"/>
      <c r="DJ140" s="1165"/>
      <c r="DK140" s="1165"/>
      <c r="DL140" s="1165"/>
      <c r="DM140" s="1165"/>
      <c r="DN140" s="1165"/>
      <c r="DO140" s="1165"/>
      <c r="DP140" s="1165"/>
      <c r="DQ140" s="1165"/>
      <c r="DR140" s="1165"/>
      <c r="DS140" s="1165"/>
      <c r="DT140" s="1165"/>
      <c r="DU140" s="1165"/>
      <c r="DV140" s="1165"/>
      <c r="DW140" s="1165"/>
      <c r="DX140" s="1165"/>
      <c r="DY140" s="1165"/>
      <c r="DZ140" s="1165"/>
      <c r="EA140" s="1165"/>
      <c r="EB140" s="1165"/>
      <c r="EC140" s="1165"/>
      <c r="ED140" s="1165"/>
      <c r="EE140" s="1165"/>
      <c r="EF140" s="1165"/>
      <c r="EG140" s="1165"/>
      <c r="EH140" s="1165"/>
      <c r="EI140" s="1165"/>
      <c r="EJ140" s="1165"/>
      <c r="EK140" s="1165"/>
      <c r="EL140" s="1165"/>
      <c r="EM140" s="1165"/>
      <c r="EN140" s="1165"/>
      <c r="EO140" s="1165"/>
      <c r="EP140" s="1165"/>
      <c r="EQ140" s="1165"/>
      <c r="ER140" s="1165"/>
      <c r="ES140" s="1165"/>
      <c r="ET140" s="1165"/>
      <c r="EU140" s="1165"/>
      <c r="EV140" s="1165"/>
      <c r="EW140" s="1165"/>
      <c r="EX140" s="1165"/>
      <c r="EY140" s="1165"/>
      <c r="EZ140" s="1165"/>
      <c r="FA140" s="1165"/>
      <c r="FB140" s="1165"/>
      <c r="FC140" s="1165"/>
      <c r="FD140" s="1165"/>
      <c r="FE140" s="1165"/>
      <c r="FF140" s="1165"/>
    </row>
    <row r="141" spans="1:162" s="1231" customFormat="1">
      <c r="A141" s="1206" t="s">
        <v>569</v>
      </c>
      <c r="B141" s="1230" t="s">
        <v>88</v>
      </c>
      <c r="M141" s="1231">
        <f ca="1">OFFSET($CT141,0,M$7)</f>
        <v>0</v>
      </c>
      <c r="N141" s="1231">
        <f ca="1">OFFSET($CT141,0,N$7)</f>
        <v>0</v>
      </c>
      <c r="O141" s="1231">
        <f ca="1">OFFSET($CT141,0,O$7)</f>
        <v>0</v>
      </c>
      <c r="P141" s="1231">
        <f ca="1">OFFSET($CT141,0,P$7)</f>
        <v>0</v>
      </c>
      <c r="Q141" s="1231">
        <f ca="1">OFFSET($CT141,0,Q$7)</f>
        <v>0</v>
      </c>
      <c r="R141" s="1229">
        <v>3902.6932140000004</v>
      </c>
      <c r="S141" s="1229">
        <v>3727.9290000000001</v>
      </c>
      <c r="T141" s="1229">
        <v>4073.1579999999999</v>
      </c>
      <c r="U141" s="1229">
        <v>4523.3919999999998</v>
      </c>
      <c r="V141" s="1229">
        <v>5769.3789999999999</v>
      </c>
      <c r="W141" s="1229">
        <v>7115.3469999999998</v>
      </c>
      <c r="X141" s="1229">
        <v>10115.278</v>
      </c>
      <c r="Y141" s="1229">
        <v>11918.450999999999</v>
      </c>
      <c r="Z141" s="1231">
        <v>14424.32</v>
      </c>
      <c r="AG141" s="1231">
        <f t="shared" si="128"/>
        <v>0</v>
      </c>
      <c r="AH141" s="1231">
        <f t="shared" si="129"/>
        <v>0</v>
      </c>
      <c r="AI141" s="1231">
        <f t="shared" si="130"/>
        <v>0</v>
      </c>
      <c r="AJ141" s="1231">
        <f t="shared" si="131"/>
        <v>0</v>
      </c>
      <c r="AK141" s="1231">
        <f t="shared" si="132"/>
        <v>0</v>
      </c>
      <c r="AL141" s="1231">
        <f t="shared" si="133"/>
        <v>0</v>
      </c>
      <c r="AM141" s="1231">
        <f t="shared" si="134"/>
        <v>0</v>
      </c>
      <c r="AN141" s="1231">
        <f t="shared" si="135"/>
        <v>0</v>
      </c>
      <c r="AO141" s="1231">
        <f t="shared" si="136"/>
        <v>0</v>
      </c>
      <c r="AP141" s="1231">
        <f t="shared" si="137"/>
        <v>0</v>
      </c>
      <c r="AQ141" s="1231">
        <f t="shared" si="138"/>
        <v>0</v>
      </c>
      <c r="AR141" s="1231">
        <f t="shared" si="139"/>
        <v>0</v>
      </c>
      <c r="AS141" s="1231">
        <f t="shared" si="140"/>
        <v>0</v>
      </c>
      <c r="AT141" s="1231">
        <f t="shared" si="141"/>
        <v>0</v>
      </c>
      <c r="AU141" s="1231">
        <f t="shared" si="142"/>
        <v>0</v>
      </c>
      <c r="AV141" s="1231">
        <f t="shared" si="143"/>
        <v>0</v>
      </c>
      <c r="AW141" s="1231">
        <f t="shared" si="144"/>
        <v>0</v>
      </c>
      <c r="AX141" s="1231">
        <f t="shared" si="145"/>
        <v>0</v>
      </c>
      <c r="AY141" s="1231">
        <f t="shared" si="146"/>
        <v>0</v>
      </c>
      <c r="AZ141" s="1231">
        <f t="shared" si="147"/>
        <v>0</v>
      </c>
      <c r="BA141" s="1231">
        <f t="shared" si="148"/>
        <v>0</v>
      </c>
      <c r="BB141" s="1231">
        <f t="shared" si="149"/>
        <v>0</v>
      </c>
      <c r="BC141" s="1231">
        <f t="shared" si="150"/>
        <v>0</v>
      </c>
      <c r="BD141" s="1231">
        <f t="shared" si="151"/>
        <v>0</v>
      </c>
      <c r="BE141" s="1231">
        <f t="shared" si="152"/>
        <v>0</v>
      </c>
      <c r="BF141" s="1231">
        <f t="shared" si="153"/>
        <v>0</v>
      </c>
      <c r="BG141" s="1231">
        <f t="shared" si="154"/>
        <v>0</v>
      </c>
      <c r="BH141" s="1231">
        <f t="shared" si="155"/>
        <v>0</v>
      </c>
      <c r="BI141" s="1231">
        <f t="shared" si="156"/>
        <v>0</v>
      </c>
      <c r="BJ141" s="1231">
        <f t="shared" si="157"/>
        <v>0</v>
      </c>
      <c r="BK141" s="1231">
        <f t="shared" si="158"/>
        <v>0</v>
      </c>
      <c r="BL141" s="1231">
        <f t="shared" si="159"/>
        <v>0</v>
      </c>
      <c r="BM141" s="1231">
        <f t="shared" si="160"/>
        <v>0</v>
      </c>
      <c r="BN141" s="1231">
        <f t="shared" si="161"/>
        <v>0</v>
      </c>
      <c r="BO141" s="1231">
        <f t="shared" si="162"/>
        <v>0</v>
      </c>
      <c r="BP141" s="1231">
        <f t="shared" si="163"/>
        <v>0</v>
      </c>
      <c r="BQ141" s="1231">
        <f t="shared" si="164"/>
        <v>0</v>
      </c>
      <c r="BR141" s="1231">
        <f t="shared" si="165"/>
        <v>0</v>
      </c>
      <c r="BS141" s="1231">
        <f t="shared" si="166"/>
        <v>0</v>
      </c>
      <c r="BT141" s="1231">
        <f t="shared" si="167"/>
        <v>0</v>
      </c>
      <c r="BU141" s="1231">
        <f t="shared" si="168"/>
        <v>0</v>
      </c>
      <c r="BV141" s="1231">
        <f t="shared" si="169"/>
        <v>0</v>
      </c>
      <c r="BW141" s="1231">
        <f t="shared" si="170"/>
        <v>0</v>
      </c>
      <c r="BX141" s="1231">
        <f t="shared" si="171"/>
        <v>0</v>
      </c>
      <c r="BY141" s="1231">
        <f t="shared" si="172"/>
        <v>0</v>
      </c>
      <c r="BZ141" s="1231">
        <f t="shared" si="173"/>
        <v>0</v>
      </c>
      <c r="CA141" s="1231">
        <f t="shared" si="174"/>
        <v>0</v>
      </c>
      <c r="CB141" s="1231">
        <f t="shared" si="175"/>
        <v>0</v>
      </c>
      <c r="CC141" s="1231">
        <f t="shared" si="176"/>
        <v>0</v>
      </c>
      <c r="CD141" s="1231">
        <f t="shared" si="177"/>
        <v>0</v>
      </c>
      <c r="CE141" s="1231">
        <f t="shared" si="178"/>
        <v>0</v>
      </c>
      <c r="CF141" s="1231">
        <f t="shared" si="179"/>
        <v>0</v>
      </c>
      <c r="CG141" s="1231">
        <f t="shared" si="180"/>
        <v>0</v>
      </c>
      <c r="CH141" s="1231">
        <f t="shared" si="181"/>
        <v>0</v>
      </c>
      <c r="CI141" s="1231">
        <f t="shared" si="182"/>
        <v>0</v>
      </c>
      <c r="CJ141" s="1231">
        <f t="shared" si="183"/>
        <v>0</v>
      </c>
      <c r="CK141" s="1231">
        <f t="shared" si="184"/>
        <v>0</v>
      </c>
      <c r="CL141" s="1231">
        <f t="shared" si="185"/>
        <v>0</v>
      </c>
      <c r="CM141" s="1231">
        <f t="shared" si="186"/>
        <v>0</v>
      </c>
      <c r="CN141" s="1231">
        <f t="shared" si="187"/>
        <v>0</v>
      </c>
      <c r="CO141" s="1165"/>
      <c r="CP141" s="1165"/>
      <c r="CQ141" s="1165"/>
      <c r="CR141" s="1165"/>
      <c r="CS141" s="1165"/>
      <c r="CT141" s="1165"/>
      <c r="CU141" s="1165"/>
      <c r="CV141" s="1165"/>
      <c r="CW141" s="1165"/>
      <c r="CX141" s="1165"/>
      <c r="CY141" s="1165"/>
      <c r="CZ141" s="1165"/>
      <c r="DA141" s="1165"/>
      <c r="DB141" s="1165"/>
      <c r="DC141" s="1165"/>
      <c r="DD141" s="1165"/>
      <c r="DE141" s="1165"/>
      <c r="DF141" s="1165"/>
      <c r="DG141" s="1165"/>
      <c r="DH141" s="1165"/>
      <c r="DI141" s="1165"/>
      <c r="DJ141" s="1165"/>
      <c r="EU141" s="1165"/>
      <c r="EV141" s="1165"/>
      <c r="EW141" s="1165"/>
      <c r="EX141" s="1165"/>
      <c r="EY141" s="1165"/>
      <c r="EZ141" s="1165"/>
      <c r="FA141" s="1165"/>
      <c r="FB141" s="1165"/>
      <c r="FC141" s="1165"/>
      <c r="FD141" s="1165"/>
      <c r="FE141" s="1165"/>
      <c r="FF141" s="1165"/>
    </row>
    <row r="142" spans="1:162" s="1235" customFormat="1">
      <c r="A142" s="1233"/>
      <c r="B142" s="1234" t="s">
        <v>6</v>
      </c>
      <c r="U142" s="1235">
        <f>Model!D128-U141</f>
        <v>0</v>
      </c>
      <c r="V142" s="1235">
        <f>Model!E128-V141</f>
        <v>0</v>
      </c>
      <c r="W142" s="1235">
        <f>Model!F128-W141</f>
        <v>0</v>
      </c>
      <c r="X142" s="1235">
        <f>Model!G128-X141</f>
        <v>0</v>
      </c>
      <c r="Y142" s="1235">
        <f>Model!H128-Y141</f>
        <v>0</v>
      </c>
      <c r="Z142" s="1235">
        <f>Model!I128-Z141</f>
        <v>0</v>
      </c>
      <c r="AG142" s="1235">
        <f t="shared" si="128"/>
        <v>0</v>
      </c>
      <c r="AH142" s="1235">
        <f t="shared" si="129"/>
        <v>0</v>
      </c>
      <c r="AI142" s="1235">
        <f t="shared" si="130"/>
        <v>0</v>
      </c>
      <c r="AJ142" s="1235">
        <f t="shared" si="131"/>
        <v>0</v>
      </c>
      <c r="AK142" s="1235">
        <f t="shared" si="132"/>
        <v>0</v>
      </c>
      <c r="AL142" s="1235">
        <f t="shared" si="133"/>
        <v>0</v>
      </c>
      <c r="AM142" s="1235">
        <f t="shared" si="134"/>
        <v>0</v>
      </c>
      <c r="AN142" s="1235">
        <f t="shared" si="135"/>
        <v>0</v>
      </c>
      <c r="AO142" s="1235">
        <f t="shared" si="136"/>
        <v>0</v>
      </c>
      <c r="AP142" s="1235">
        <f t="shared" si="137"/>
        <v>0</v>
      </c>
      <c r="AQ142" s="1235">
        <f t="shared" si="138"/>
        <v>0</v>
      </c>
      <c r="AR142" s="1235">
        <f t="shared" si="139"/>
        <v>0</v>
      </c>
      <c r="AS142" s="1235">
        <f t="shared" si="140"/>
        <v>0</v>
      </c>
      <c r="AT142" s="1235">
        <f t="shared" si="141"/>
        <v>0</v>
      </c>
      <c r="AU142" s="1235">
        <f t="shared" si="142"/>
        <v>0</v>
      </c>
      <c r="AV142" s="1235">
        <f t="shared" si="143"/>
        <v>0</v>
      </c>
      <c r="AW142" s="1235">
        <f t="shared" si="144"/>
        <v>0</v>
      </c>
      <c r="AX142" s="1235">
        <f t="shared" si="145"/>
        <v>0</v>
      </c>
      <c r="AY142" s="1235">
        <f t="shared" si="146"/>
        <v>0</v>
      </c>
      <c r="AZ142" s="1235">
        <f t="shared" si="147"/>
        <v>0</v>
      </c>
      <c r="BA142" s="1235">
        <f t="shared" si="148"/>
        <v>0</v>
      </c>
      <c r="BB142" s="1235">
        <f t="shared" si="149"/>
        <v>0</v>
      </c>
      <c r="BC142" s="1235">
        <f t="shared" si="150"/>
        <v>0</v>
      </c>
      <c r="BD142" s="1235">
        <f t="shared" si="151"/>
        <v>0</v>
      </c>
      <c r="BE142" s="1235">
        <f t="shared" si="152"/>
        <v>0</v>
      </c>
      <c r="BF142" s="1235">
        <f t="shared" si="153"/>
        <v>0</v>
      </c>
      <c r="BG142" s="1235">
        <f t="shared" si="154"/>
        <v>0</v>
      </c>
      <c r="BH142" s="1235">
        <f t="shared" si="155"/>
        <v>0</v>
      </c>
      <c r="BI142" s="1235">
        <f t="shared" si="156"/>
        <v>0</v>
      </c>
      <c r="BJ142" s="1235">
        <f t="shared" si="157"/>
        <v>0</v>
      </c>
      <c r="BK142" s="1235">
        <f t="shared" si="158"/>
        <v>0</v>
      </c>
      <c r="BL142" s="1235">
        <f t="shared" si="159"/>
        <v>0</v>
      </c>
      <c r="BM142" s="1235">
        <f t="shared" si="160"/>
        <v>0</v>
      </c>
      <c r="BN142" s="1235">
        <f t="shared" si="161"/>
        <v>0</v>
      </c>
      <c r="BO142" s="1235">
        <f t="shared" si="162"/>
        <v>0</v>
      </c>
      <c r="BP142" s="1235">
        <f t="shared" si="163"/>
        <v>0</v>
      </c>
      <c r="BQ142" s="1235">
        <f t="shared" si="164"/>
        <v>0</v>
      </c>
      <c r="BR142" s="1235">
        <f t="shared" si="165"/>
        <v>0</v>
      </c>
      <c r="BS142" s="1235">
        <f t="shared" si="166"/>
        <v>0</v>
      </c>
      <c r="BT142" s="1235">
        <f t="shared" si="167"/>
        <v>0</v>
      </c>
      <c r="BU142" s="1235">
        <f t="shared" si="168"/>
        <v>0</v>
      </c>
      <c r="BV142" s="1235">
        <f t="shared" si="169"/>
        <v>0</v>
      </c>
      <c r="BW142" s="1235">
        <f t="shared" si="170"/>
        <v>0</v>
      </c>
      <c r="BX142" s="1235">
        <f t="shared" si="171"/>
        <v>0</v>
      </c>
      <c r="BY142" s="1235">
        <f t="shared" si="172"/>
        <v>0</v>
      </c>
      <c r="BZ142" s="1235">
        <f t="shared" si="173"/>
        <v>0</v>
      </c>
      <c r="CA142" s="1235">
        <f t="shared" si="174"/>
        <v>0</v>
      </c>
      <c r="CB142" s="1235">
        <f t="shared" si="175"/>
        <v>0</v>
      </c>
      <c r="CC142" s="1235">
        <f t="shared" si="176"/>
        <v>0</v>
      </c>
      <c r="CD142" s="1235">
        <f t="shared" si="177"/>
        <v>0</v>
      </c>
      <c r="CE142" s="1235">
        <f t="shared" si="178"/>
        <v>0</v>
      </c>
      <c r="CF142" s="1235">
        <f t="shared" si="179"/>
        <v>0</v>
      </c>
      <c r="CG142" s="1235">
        <f t="shared" si="180"/>
        <v>0</v>
      </c>
      <c r="CH142" s="1235">
        <f t="shared" si="181"/>
        <v>0</v>
      </c>
      <c r="CI142" s="1235">
        <f t="shared" si="182"/>
        <v>0</v>
      </c>
      <c r="CJ142" s="1235">
        <f t="shared" si="183"/>
        <v>0</v>
      </c>
      <c r="CK142" s="1235">
        <f t="shared" si="184"/>
        <v>0</v>
      </c>
      <c r="CL142" s="1235">
        <f t="shared" si="185"/>
        <v>0</v>
      </c>
      <c r="CM142" s="1235">
        <f t="shared" si="186"/>
        <v>0</v>
      </c>
      <c r="CN142" s="1235">
        <f t="shared" si="187"/>
        <v>0</v>
      </c>
      <c r="CQ142" s="1165"/>
      <c r="CR142" s="1165"/>
      <c r="CS142" s="1165"/>
      <c r="CT142" s="1165"/>
      <c r="CU142" s="1165"/>
      <c r="CV142" s="1165"/>
      <c r="CW142" s="1165"/>
      <c r="CX142" s="1165"/>
      <c r="CY142" s="1165"/>
      <c r="CZ142" s="1165"/>
      <c r="DA142" s="1165"/>
      <c r="DB142" s="1165"/>
      <c r="DC142" s="1165"/>
      <c r="DD142" s="1165"/>
      <c r="DE142" s="1165"/>
      <c r="DF142" s="1165"/>
      <c r="DG142" s="1165"/>
      <c r="DH142" s="1165"/>
      <c r="DI142" s="1165"/>
      <c r="DJ142" s="1165"/>
      <c r="DK142" s="1214"/>
      <c r="DL142" s="1214"/>
      <c r="DM142" s="1214"/>
      <c r="DN142" s="1214"/>
      <c r="DO142" s="1214"/>
      <c r="DP142" s="1214"/>
      <c r="DQ142" s="1214"/>
      <c r="DR142" s="1214"/>
      <c r="DS142" s="1214"/>
      <c r="DT142" s="1214"/>
      <c r="DU142" s="1214"/>
      <c r="DV142" s="1214"/>
      <c r="DW142" s="1214"/>
      <c r="DX142" s="1214"/>
      <c r="DY142" s="1214"/>
      <c r="DZ142" s="1214"/>
      <c r="EA142" s="1214"/>
      <c r="EB142" s="1214"/>
      <c r="EC142" s="1214"/>
      <c r="ED142" s="1214"/>
      <c r="EE142" s="1214"/>
      <c r="EF142" s="1214"/>
      <c r="EG142" s="1214"/>
      <c r="EH142" s="1214"/>
      <c r="EI142" s="1214"/>
      <c r="EJ142" s="1214"/>
      <c r="EK142" s="1214"/>
      <c r="EL142" s="1214"/>
      <c r="EM142" s="1214"/>
      <c r="EN142" s="1214"/>
      <c r="EO142" s="1214"/>
      <c r="EP142" s="1214"/>
      <c r="EQ142" s="1214"/>
      <c r="ER142" s="1214"/>
      <c r="ES142" s="1214"/>
      <c r="ET142" s="1214"/>
      <c r="EU142" s="1165"/>
      <c r="EV142" s="1165"/>
      <c r="EW142" s="1165"/>
      <c r="EX142" s="1165"/>
      <c r="EY142" s="1165"/>
      <c r="EZ142" s="1165"/>
      <c r="FA142" s="1165"/>
      <c r="FB142" s="1165"/>
      <c r="FC142" s="1165"/>
      <c r="FD142" s="1165"/>
      <c r="FE142" s="1165"/>
      <c r="FF142" s="1165"/>
    </row>
    <row r="143" spans="1:162">
      <c r="A143" s="1224"/>
      <c r="B143" s="1234"/>
      <c r="D143" s="1235"/>
      <c r="E143" s="1235"/>
      <c r="F143" s="1235"/>
      <c r="G143" s="1235"/>
      <c r="H143" s="1235"/>
      <c r="I143" s="1235"/>
      <c r="J143" s="1235"/>
      <c r="K143" s="1235"/>
      <c r="L143" s="1235"/>
      <c r="M143" s="1235"/>
      <c r="N143" s="1235"/>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c r="CB143" s="1235"/>
      <c r="CC143" s="1235"/>
      <c r="CD143" s="1235"/>
      <c r="CE143" s="1235"/>
      <c r="CF143" s="1235"/>
      <c r="CG143" s="1235"/>
      <c r="CH143" s="1235"/>
      <c r="CI143" s="1235"/>
      <c r="CJ143" s="1235"/>
      <c r="CK143" s="1235"/>
      <c r="CL143" s="1235"/>
      <c r="CM143" s="1235"/>
      <c r="CN143" s="1235"/>
      <c r="CQ143" s="1165"/>
      <c r="CR143" s="1165"/>
      <c r="CS143" s="1165"/>
      <c r="CT143" s="1165"/>
      <c r="CU143" s="1165"/>
      <c r="CV143" s="1165"/>
      <c r="CW143" s="1165"/>
      <c r="CX143" s="1165"/>
      <c r="CY143" s="1165"/>
      <c r="CZ143" s="1165"/>
      <c r="DA143" s="1165"/>
      <c r="DB143" s="1165"/>
      <c r="DC143" s="1165"/>
      <c r="DD143" s="1165"/>
      <c r="DE143" s="1165"/>
      <c r="DF143" s="1165"/>
      <c r="DG143" s="1165"/>
      <c r="DH143" s="1165"/>
      <c r="DI143" s="1165"/>
      <c r="DJ143" s="1165"/>
      <c r="DK143" s="1165"/>
      <c r="DL143" s="1165"/>
      <c r="DM143" s="1165"/>
      <c r="DN143" s="1165"/>
      <c r="DO143" s="1165"/>
      <c r="DP143" s="1165"/>
      <c r="DQ143" s="1165"/>
      <c r="DR143" s="1165"/>
      <c r="DS143" s="1165"/>
      <c r="DT143" s="1165"/>
      <c r="DU143" s="1165"/>
      <c r="DV143" s="1165"/>
      <c r="DW143" s="1165"/>
      <c r="DX143" s="1165"/>
      <c r="DY143" s="1165"/>
      <c r="DZ143" s="1165"/>
      <c r="EA143" s="1165"/>
      <c r="EB143" s="1165"/>
      <c r="EC143" s="1165"/>
      <c r="ED143" s="1165"/>
      <c r="EE143" s="1165"/>
      <c r="EF143" s="1165"/>
      <c r="EG143" s="1165"/>
      <c r="EH143" s="1165"/>
      <c r="EI143" s="1165"/>
      <c r="EJ143" s="1165"/>
      <c r="EK143" s="1165"/>
      <c r="EL143" s="1165"/>
      <c r="EM143" s="1165"/>
      <c r="EN143" s="1165"/>
      <c r="EO143" s="1165"/>
      <c r="EP143" s="1165"/>
      <c r="EQ143" s="1165"/>
      <c r="ER143" s="1165"/>
      <c r="ES143" s="1165"/>
      <c r="ET143" s="1165"/>
      <c r="EU143" s="1165"/>
      <c r="EV143" s="1165"/>
      <c r="EW143" s="1165"/>
      <c r="EX143" s="1165"/>
      <c r="EY143" s="1165"/>
      <c r="EZ143" s="1165"/>
      <c r="FA143" s="1165"/>
      <c r="FB143" s="1165"/>
      <c r="FC143" s="1165"/>
      <c r="FD143" s="1165"/>
      <c r="FE143" s="1165"/>
      <c r="FF143" s="1165"/>
    </row>
    <row r="144" spans="1:162">
      <c r="B144" s="1250" t="s">
        <v>47</v>
      </c>
      <c r="CO144" s="1165"/>
      <c r="CP144" s="1165"/>
      <c r="CQ144" s="1165"/>
      <c r="CR144" s="1165"/>
      <c r="CS144" s="1165"/>
      <c r="CT144" s="1165"/>
      <c r="CU144" s="1165"/>
      <c r="CV144" s="1165"/>
      <c r="CW144" s="1165"/>
      <c r="CX144" s="1165"/>
      <c r="CY144" s="1165"/>
      <c r="CZ144" s="1165"/>
      <c r="DA144" s="1165"/>
      <c r="DB144" s="1165"/>
      <c r="DC144" s="1165"/>
      <c r="DD144" s="1165"/>
      <c r="DE144" s="1165"/>
      <c r="DF144" s="1165"/>
      <c r="DG144" s="1165"/>
      <c r="DH144" s="1165"/>
      <c r="DI144" s="1165"/>
      <c r="DJ144" s="1165"/>
      <c r="DK144" s="1165"/>
      <c r="DL144" s="1165"/>
      <c r="DM144" s="1165"/>
      <c r="DN144" s="1165"/>
      <c r="DO144" s="1165"/>
      <c r="DP144" s="1165"/>
      <c r="DQ144" s="1165"/>
      <c r="DR144" s="1165"/>
      <c r="DS144" s="1165"/>
      <c r="DT144" s="1165"/>
      <c r="DU144" s="1165"/>
      <c r="DV144" s="1165"/>
      <c r="DW144" s="1165"/>
      <c r="DX144" s="1165"/>
      <c r="DY144" s="1165"/>
      <c r="DZ144" s="1165"/>
      <c r="EA144" s="1165"/>
      <c r="EB144" s="1165"/>
      <c r="EC144" s="1165"/>
      <c r="ED144" s="1165"/>
      <c r="EE144" s="1165"/>
      <c r="EF144" s="1165"/>
      <c r="EG144" s="1165"/>
      <c r="EH144" s="1165"/>
      <c r="EI144" s="1165"/>
      <c r="EJ144" s="1165"/>
      <c r="EK144" s="1165"/>
      <c r="EL144" s="1165"/>
      <c r="EM144" s="1165"/>
      <c r="EN144" s="1165"/>
      <c r="EO144" s="1165"/>
      <c r="EP144" s="1165"/>
      <c r="EQ144" s="1165"/>
      <c r="ER144" s="1165"/>
      <c r="ES144" s="1165"/>
      <c r="ET144" s="1165"/>
      <c r="EU144" s="1165"/>
      <c r="EV144" s="1165"/>
      <c r="EW144" s="1165"/>
      <c r="EX144" s="1165"/>
      <c r="EY144" s="1165"/>
      <c r="EZ144" s="1165"/>
      <c r="FA144" s="1165"/>
      <c r="FB144" s="1165"/>
      <c r="FC144" s="1165"/>
      <c r="FD144" s="1165"/>
      <c r="FE144" s="1165"/>
      <c r="FF144" s="1165"/>
    </row>
    <row r="145" spans="1:162">
      <c r="A145" s="1205" t="s">
        <v>573</v>
      </c>
      <c r="B145" s="1250" t="s">
        <v>89</v>
      </c>
      <c r="CO145" s="1165"/>
      <c r="CP145" s="1165"/>
      <c r="CQ145" s="1165"/>
      <c r="CR145" s="1165"/>
      <c r="CS145" s="1165"/>
      <c r="CT145" s="1165"/>
      <c r="CU145" s="1165"/>
      <c r="CV145" s="1165"/>
      <c r="CW145" s="1165"/>
      <c r="CX145" s="1165"/>
      <c r="CY145" s="1165"/>
      <c r="CZ145" s="1165"/>
      <c r="DA145" s="1165"/>
      <c r="DB145" s="1165"/>
      <c r="DC145" s="1165"/>
      <c r="DD145" s="1165"/>
      <c r="DE145" s="1165"/>
      <c r="DF145" s="1165"/>
      <c r="DG145" s="1165"/>
      <c r="DH145" s="1165"/>
      <c r="DI145" s="1165"/>
      <c r="DJ145" s="1165"/>
      <c r="DK145" s="1165"/>
      <c r="DL145" s="1165"/>
      <c r="DM145" s="1165"/>
      <c r="DN145" s="1165"/>
      <c r="DO145" s="1165"/>
      <c r="DP145" s="1165"/>
      <c r="DQ145" s="1165"/>
      <c r="DR145" s="1165"/>
      <c r="DS145" s="1165"/>
      <c r="DT145" s="1165"/>
      <c r="DU145" s="1165"/>
      <c r="DV145" s="1165"/>
      <c r="DW145" s="1165"/>
      <c r="DX145" s="1165"/>
      <c r="DY145" s="1165"/>
      <c r="DZ145" s="1165"/>
      <c r="EA145" s="1165"/>
      <c r="EB145" s="1165"/>
      <c r="EC145" s="1165"/>
      <c r="ED145" s="1165"/>
      <c r="EE145" s="1165"/>
      <c r="EF145" s="1165"/>
      <c r="EG145" s="1165"/>
      <c r="EH145" s="1165"/>
      <c r="EI145" s="1165"/>
      <c r="EJ145" s="1165"/>
      <c r="EK145" s="1165"/>
      <c r="EL145" s="1165"/>
      <c r="EM145" s="1165"/>
      <c r="EN145" s="1165"/>
      <c r="EO145" s="1165"/>
      <c r="EP145" s="1165"/>
      <c r="EQ145" s="1165"/>
      <c r="ER145" s="1165"/>
      <c r="ES145" s="1165"/>
      <c r="ET145" s="1165"/>
      <c r="EU145" s="1165"/>
      <c r="EV145" s="1165"/>
      <c r="EW145" s="1165"/>
      <c r="EX145" s="1165"/>
      <c r="EY145" s="1165"/>
      <c r="EZ145" s="1165"/>
      <c r="FA145" s="1165"/>
      <c r="FB145" s="1165"/>
      <c r="FC145" s="1165"/>
      <c r="FD145" s="1165"/>
      <c r="FE145" s="1165"/>
      <c r="FF145" s="1165"/>
    </row>
    <row r="146" spans="1:162">
      <c r="A146" s="1205" t="s">
        <v>570</v>
      </c>
      <c r="B146" s="1237" t="s">
        <v>343</v>
      </c>
      <c r="M146" s="1236">
        <f t="shared" ref="M146:Q149" ca="1" si="201">OFFSET($CT146,0,M$7)</f>
        <v>0</v>
      </c>
      <c r="N146" s="1236">
        <f t="shared" ca="1" si="201"/>
        <v>0</v>
      </c>
      <c r="O146" s="1236">
        <f t="shared" ca="1" si="201"/>
        <v>0</v>
      </c>
      <c r="P146" s="1236">
        <f t="shared" ca="1" si="201"/>
        <v>0</v>
      </c>
      <c r="Q146" s="1236">
        <f t="shared" ca="1" si="201"/>
        <v>0</v>
      </c>
      <c r="R146" s="1224">
        <v>515.57730000000004</v>
      </c>
      <c r="S146" s="1224">
        <v>280.69099999999997</v>
      </c>
      <c r="T146" s="1224">
        <v>331.39400000000001</v>
      </c>
      <c r="U146" s="1224">
        <v>285.96699999999998</v>
      </c>
      <c r="V146" s="1224">
        <v>645.41399999999999</v>
      </c>
      <c r="W146" s="1224">
        <v>885.43799999999999</v>
      </c>
      <c r="X146" s="1224">
        <v>781.16099999999994</v>
      </c>
      <c r="Y146" s="1224">
        <v>837.84299999999996</v>
      </c>
      <c r="Z146" s="1236">
        <v>823.44299999999998</v>
      </c>
      <c r="AG146" s="1236">
        <f t="shared" si="128"/>
        <v>0</v>
      </c>
      <c r="AH146" s="1236">
        <f t="shared" si="129"/>
        <v>0</v>
      </c>
      <c r="AI146" s="1236">
        <f t="shared" si="130"/>
        <v>0</v>
      </c>
      <c r="AJ146" s="1236">
        <f t="shared" si="131"/>
        <v>0</v>
      </c>
      <c r="AK146" s="1236">
        <f t="shared" si="132"/>
        <v>0</v>
      </c>
      <c r="AL146" s="1236">
        <f t="shared" si="133"/>
        <v>0</v>
      </c>
      <c r="AM146" s="1236">
        <f t="shared" si="134"/>
        <v>0</v>
      </c>
      <c r="AN146" s="1236">
        <f t="shared" si="135"/>
        <v>0</v>
      </c>
      <c r="AO146" s="1236">
        <f t="shared" si="136"/>
        <v>0</v>
      </c>
      <c r="AP146" s="1236">
        <f t="shared" si="137"/>
        <v>0</v>
      </c>
      <c r="AQ146" s="1236">
        <f t="shared" si="138"/>
        <v>0</v>
      </c>
      <c r="AR146" s="1236">
        <f t="shared" si="139"/>
        <v>0</v>
      </c>
      <c r="AS146" s="1236">
        <f t="shared" si="140"/>
        <v>0</v>
      </c>
      <c r="AT146" s="1236">
        <f t="shared" si="141"/>
        <v>0</v>
      </c>
      <c r="AU146" s="1236">
        <f t="shared" si="142"/>
        <v>0</v>
      </c>
      <c r="AV146" s="1236">
        <f t="shared" si="143"/>
        <v>0</v>
      </c>
      <c r="AW146" s="1236">
        <f t="shared" si="144"/>
        <v>0</v>
      </c>
      <c r="AX146" s="1236">
        <f t="shared" si="145"/>
        <v>0</v>
      </c>
      <c r="AY146" s="1236">
        <f t="shared" si="146"/>
        <v>0</v>
      </c>
      <c r="AZ146" s="1236">
        <f t="shared" si="147"/>
        <v>0</v>
      </c>
      <c r="BA146" s="1236">
        <f t="shared" si="148"/>
        <v>0</v>
      </c>
      <c r="BB146" s="1236">
        <f t="shared" si="149"/>
        <v>0</v>
      </c>
      <c r="BC146" s="1236">
        <f t="shared" si="150"/>
        <v>0</v>
      </c>
      <c r="BD146" s="1236">
        <f t="shared" si="151"/>
        <v>0</v>
      </c>
      <c r="BE146" s="1236">
        <f t="shared" si="152"/>
        <v>0</v>
      </c>
      <c r="BF146" s="1236">
        <f t="shared" si="153"/>
        <v>0</v>
      </c>
      <c r="BG146" s="1236">
        <f t="shared" si="154"/>
        <v>0</v>
      </c>
      <c r="BH146" s="1236">
        <f t="shared" si="155"/>
        <v>0</v>
      </c>
      <c r="BI146" s="1236">
        <f t="shared" si="156"/>
        <v>0</v>
      </c>
      <c r="BJ146" s="1236">
        <f t="shared" si="157"/>
        <v>0</v>
      </c>
      <c r="BK146" s="1236">
        <f t="shared" si="158"/>
        <v>0</v>
      </c>
      <c r="BL146" s="1236">
        <f t="shared" si="159"/>
        <v>0</v>
      </c>
      <c r="BM146" s="1236">
        <f t="shared" si="160"/>
        <v>0</v>
      </c>
      <c r="BN146" s="1236">
        <f t="shared" si="161"/>
        <v>0</v>
      </c>
      <c r="BO146" s="1236">
        <f t="shared" si="162"/>
        <v>0</v>
      </c>
      <c r="BP146" s="1236">
        <f t="shared" si="163"/>
        <v>0</v>
      </c>
      <c r="BQ146" s="1236">
        <f t="shared" si="164"/>
        <v>0</v>
      </c>
      <c r="BR146" s="1236">
        <f t="shared" si="165"/>
        <v>0</v>
      </c>
      <c r="BS146" s="1236">
        <f t="shared" si="166"/>
        <v>0</v>
      </c>
      <c r="BT146" s="1236">
        <f t="shared" si="167"/>
        <v>0</v>
      </c>
      <c r="BU146" s="1236">
        <f t="shared" si="168"/>
        <v>0</v>
      </c>
      <c r="BV146" s="1236">
        <f t="shared" si="169"/>
        <v>0</v>
      </c>
      <c r="BW146" s="1236">
        <f t="shared" si="170"/>
        <v>0</v>
      </c>
      <c r="BX146" s="1236">
        <f t="shared" si="171"/>
        <v>0</v>
      </c>
      <c r="BY146" s="1236">
        <f t="shared" si="172"/>
        <v>0</v>
      </c>
      <c r="BZ146" s="1236">
        <f t="shared" si="173"/>
        <v>0</v>
      </c>
      <c r="CA146" s="1236">
        <f t="shared" si="174"/>
        <v>0</v>
      </c>
      <c r="CB146" s="1236">
        <f t="shared" si="175"/>
        <v>0</v>
      </c>
      <c r="CC146" s="1236">
        <f t="shared" si="176"/>
        <v>0</v>
      </c>
      <c r="CD146" s="1236">
        <f t="shared" si="177"/>
        <v>0</v>
      </c>
      <c r="CE146" s="1236">
        <f t="shared" si="178"/>
        <v>0</v>
      </c>
      <c r="CF146" s="1236">
        <f t="shared" si="179"/>
        <v>0</v>
      </c>
      <c r="CG146" s="1236">
        <f t="shared" si="180"/>
        <v>0</v>
      </c>
      <c r="CH146" s="1236">
        <f t="shared" si="181"/>
        <v>0</v>
      </c>
      <c r="CI146" s="1236">
        <f t="shared" si="182"/>
        <v>0</v>
      </c>
      <c r="CJ146" s="1236">
        <f t="shared" si="183"/>
        <v>0</v>
      </c>
      <c r="CK146" s="1236">
        <f t="shared" si="184"/>
        <v>0</v>
      </c>
      <c r="CL146" s="1236">
        <f t="shared" si="185"/>
        <v>0</v>
      </c>
      <c r="CM146" s="1236">
        <f t="shared" si="186"/>
        <v>0</v>
      </c>
      <c r="CN146" s="1236">
        <f t="shared" si="187"/>
        <v>0</v>
      </c>
      <c r="CQ146" s="1165"/>
      <c r="CR146" s="1165"/>
      <c r="CS146" s="1165"/>
      <c r="CT146" s="1165"/>
      <c r="CU146" s="1165"/>
      <c r="CV146" s="1165"/>
      <c r="CW146" s="1165"/>
      <c r="CX146" s="1165"/>
      <c r="CY146" s="1165"/>
      <c r="CZ146" s="1165"/>
      <c r="DA146" s="1165"/>
      <c r="DB146" s="1165"/>
      <c r="DC146" s="1165"/>
      <c r="DD146" s="1165"/>
      <c r="DE146" s="1165"/>
      <c r="DF146" s="1165"/>
      <c r="DG146" s="1165"/>
      <c r="DH146" s="1165"/>
      <c r="DI146" s="1165"/>
      <c r="DJ146" s="1165"/>
      <c r="DK146" s="1238"/>
      <c r="DL146" s="1238"/>
      <c r="DM146" s="1238"/>
      <c r="DN146" s="1238"/>
      <c r="DO146" s="1238"/>
      <c r="DP146" s="1238"/>
      <c r="DQ146" s="1238"/>
      <c r="DR146" s="1238"/>
      <c r="DS146" s="1238"/>
      <c r="DT146" s="1238"/>
      <c r="DU146" s="1238"/>
      <c r="DV146" s="1238"/>
      <c r="DW146" s="1238"/>
      <c r="DX146" s="1238"/>
      <c r="DY146" s="1238"/>
      <c r="DZ146" s="1238"/>
      <c r="EA146" s="1238"/>
      <c r="EB146" s="1238"/>
      <c r="EC146" s="1238"/>
      <c r="ED146" s="1238"/>
      <c r="EE146" s="1238"/>
      <c r="EF146" s="1238"/>
      <c r="EG146" s="1238"/>
      <c r="EH146" s="1238"/>
      <c r="EI146" s="1238"/>
      <c r="EJ146" s="1238"/>
      <c r="EK146" s="1238"/>
      <c r="EL146" s="1238"/>
      <c r="EM146" s="1238"/>
      <c r="EN146" s="1238"/>
      <c r="EO146" s="1238"/>
      <c r="EP146" s="1238"/>
      <c r="EQ146" s="1238"/>
      <c r="ER146" s="1238"/>
      <c r="ES146" s="1238"/>
      <c r="ET146" s="1238"/>
      <c r="EU146" s="1165"/>
      <c r="EV146" s="1165"/>
      <c r="EW146" s="1165"/>
      <c r="EX146" s="1165"/>
      <c r="EY146" s="1165"/>
      <c r="EZ146" s="1165"/>
      <c r="FA146" s="1165"/>
      <c r="FB146" s="1165"/>
      <c r="FC146" s="1165"/>
      <c r="FD146" s="1165"/>
      <c r="FE146" s="1165"/>
      <c r="FF146" s="1165"/>
    </row>
    <row r="147" spans="1:162">
      <c r="A147" s="1205" t="s">
        <v>571</v>
      </c>
      <c r="B147" s="1237" t="s">
        <v>13</v>
      </c>
      <c r="M147" s="1236">
        <f t="shared" ca="1" si="201"/>
        <v>0</v>
      </c>
      <c r="N147" s="1236">
        <f t="shared" ca="1" si="201"/>
        <v>0</v>
      </c>
      <c r="O147" s="1236">
        <f t="shared" ca="1" si="201"/>
        <v>0</v>
      </c>
      <c r="P147" s="1236">
        <f t="shared" ca="1" si="201"/>
        <v>0</v>
      </c>
      <c r="Q147" s="1236">
        <f t="shared" ca="1" si="201"/>
        <v>0</v>
      </c>
      <c r="R147" s="1236">
        <f>R149-R146</f>
        <v>146.42149999999992</v>
      </c>
      <c r="S147" s="1236">
        <f t="shared" ref="S147:Y147" si="202">S149-S146</f>
        <v>140.79400000000004</v>
      </c>
      <c r="T147" s="1236">
        <f t="shared" si="202"/>
        <v>179.49</v>
      </c>
      <c r="U147" s="1236">
        <f t="shared" si="202"/>
        <v>262.02300000000002</v>
      </c>
      <c r="V147" s="1236">
        <f t="shared" si="202"/>
        <v>280.16399999999999</v>
      </c>
      <c r="W147" s="1236">
        <f t="shared" si="202"/>
        <v>295.1350000000001</v>
      </c>
      <c r="X147" s="1236">
        <f t="shared" si="202"/>
        <v>390.30200000000002</v>
      </c>
      <c r="Y147" s="1236">
        <f t="shared" si="202"/>
        <v>393.79900000000009</v>
      </c>
      <c r="AG147" s="1236">
        <f t="shared" si="128"/>
        <v>0</v>
      </c>
      <c r="AH147" s="1236">
        <f t="shared" si="129"/>
        <v>0</v>
      </c>
      <c r="AI147" s="1236">
        <f t="shared" si="130"/>
        <v>0</v>
      </c>
      <c r="AJ147" s="1236">
        <f t="shared" si="131"/>
        <v>0</v>
      </c>
      <c r="AK147" s="1236">
        <f t="shared" si="132"/>
        <v>0</v>
      </c>
      <c r="AL147" s="1236">
        <f t="shared" si="133"/>
        <v>0</v>
      </c>
      <c r="AM147" s="1236">
        <f t="shared" si="134"/>
        <v>0</v>
      </c>
      <c r="AN147" s="1236">
        <f t="shared" si="135"/>
        <v>0</v>
      </c>
      <c r="AO147" s="1236">
        <f t="shared" si="136"/>
        <v>0</v>
      </c>
      <c r="AP147" s="1236">
        <f t="shared" si="137"/>
        <v>0</v>
      </c>
      <c r="AQ147" s="1236">
        <f t="shared" si="138"/>
        <v>0</v>
      </c>
      <c r="AR147" s="1236">
        <f t="shared" si="139"/>
        <v>0</v>
      </c>
      <c r="AS147" s="1236">
        <f t="shared" si="140"/>
        <v>0</v>
      </c>
      <c r="AT147" s="1236">
        <f t="shared" si="141"/>
        <v>0</v>
      </c>
      <c r="AU147" s="1236">
        <f t="shared" si="142"/>
        <v>0</v>
      </c>
      <c r="AV147" s="1236">
        <f t="shared" si="143"/>
        <v>0</v>
      </c>
      <c r="AW147" s="1236">
        <f t="shared" si="144"/>
        <v>0</v>
      </c>
      <c r="AX147" s="1236">
        <f t="shared" si="145"/>
        <v>0</v>
      </c>
      <c r="AY147" s="1236">
        <f t="shared" si="146"/>
        <v>0</v>
      </c>
      <c r="AZ147" s="1236">
        <f t="shared" si="147"/>
        <v>0</v>
      </c>
      <c r="BA147" s="1236">
        <f t="shared" si="148"/>
        <v>0</v>
      </c>
      <c r="BB147" s="1236">
        <f t="shared" si="149"/>
        <v>0</v>
      </c>
      <c r="BC147" s="1236">
        <f t="shared" si="150"/>
        <v>0</v>
      </c>
      <c r="BD147" s="1236">
        <f t="shared" si="151"/>
        <v>0</v>
      </c>
      <c r="BE147" s="1236">
        <f t="shared" si="152"/>
        <v>0</v>
      </c>
      <c r="BF147" s="1236">
        <f t="shared" si="153"/>
        <v>0</v>
      </c>
      <c r="BG147" s="1236">
        <f t="shared" si="154"/>
        <v>0</v>
      </c>
      <c r="BH147" s="1236">
        <f t="shared" si="155"/>
        <v>0</v>
      </c>
      <c r="BI147" s="1236">
        <f t="shared" si="156"/>
        <v>0</v>
      </c>
      <c r="BJ147" s="1236">
        <f t="shared" si="157"/>
        <v>0</v>
      </c>
      <c r="BK147" s="1236">
        <f t="shared" si="158"/>
        <v>0</v>
      </c>
      <c r="BL147" s="1236">
        <f t="shared" si="159"/>
        <v>0</v>
      </c>
      <c r="BM147" s="1236">
        <f t="shared" si="160"/>
        <v>0</v>
      </c>
      <c r="BN147" s="1236">
        <f t="shared" si="161"/>
        <v>0</v>
      </c>
      <c r="BO147" s="1236">
        <f t="shared" si="162"/>
        <v>0</v>
      </c>
      <c r="BP147" s="1236">
        <f t="shared" si="163"/>
        <v>0</v>
      </c>
      <c r="BQ147" s="1236">
        <f t="shared" si="164"/>
        <v>0</v>
      </c>
      <c r="BR147" s="1236">
        <f t="shared" si="165"/>
        <v>0</v>
      </c>
      <c r="BS147" s="1236">
        <f t="shared" si="166"/>
        <v>0</v>
      </c>
      <c r="BT147" s="1236">
        <f t="shared" si="167"/>
        <v>0</v>
      </c>
      <c r="BU147" s="1236">
        <f t="shared" si="168"/>
        <v>0</v>
      </c>
      <c r="BV147" s="1236">
        <f t="shared" si="169"/>
        <v>0</v>
      </c>
      <c r="BW147" s="1236">
        <f t="shared" si="170"/>
        <v>0</v>
      </c>
      <c r="BX147" s="1236">
        <f t="shared" si="171"/>
        <v>0</v>
      </c>
      <c r="BY147" s="1236">
        <f t="shared" si="172"/>
        <v>0</v>
      </c>
      <c r="BZ147" s="1236">
        <f t="shared" si="173"/>
        <v>0</v>
      </c>
      <c r="CA147" s="1236">
        <f t="shared" si="174"/>
        <v>0</v>
      </c>
      <c r="CB147" s="1236">
        <f t="shared" si="175"/>
        <v>0</v>
      </c>
      <c r="CC147" s="1236">
        <f t="shared" si="176"/>
        <v>0</v>
      </c>
      <c r="CD147" s="1236">
        <f t="shared" si="177"/>
        <v>0</v>
      </c>
      <c r="CE147" s="1236">
        <f t="shared" si="178"/>
        <v>0</v>
      </c>
      <c r="CF147" s="1236">
        <f t="shared" si="179"/>
        <v>0</v>
      </c>
      <c r="CG147" s="1236">
        <f t="shared" si="180"/>
        <v>0</v>
      </c>
      <c r="CH147" s="1236">
        <f t="shared" si="181"/>
        <v>0</v>
      </c>
      <c r="CI147" s="1236">
        <f t="shared" si="182"/>
        <v>0</v>
      </c>
      <c r="CJ147" s="1236">
        <f t="shared" si="183"/>
        <v>0</v>
      </c>
      <c r="CK147" s="1236">
        <f t="shared" si="184"/>
        <v>0</v>
      </c>
      <c r="CL147" s="1236">
        <f t="shared" si="185"/>
        <v>0</v>
      </c>
      <c r="CM147" s="1236">
        <f t="shared" si="186"/>
        <v>0</v>
      </c>
      <c r="CN147" s="1236">
        <f t="shared" si="187"/>
        <v>0</v>
      </c>
      <c r="CQ147" s="1165"/>
      <c r="CR147" s="1165"/>
      <c r="CS147" s="1165"/>
      <c r="CT147" s="1165"/>
      <c r="CU147" s="1165"/>
      <c r="CV147" s="1165"/>
      <c r="CW147" s="1165"/>
      <c r="CX147" s="1165"/>
      <c r="CY147" s="1165"/>
      <c r="CZ147" s="1165"/>
      <c r="DA147" s="1165"/>
      <c r="DB147" s="1165"/>
      <c r="DC147" s="1165"/>
      <c r="DD147" s="1165"/>
      <c r="DE147" s="1165"/>
      <c r="DF147" s="1165"/>
      <c r="DG147" s="1165"/>
      <c r="DH147" s="1165"/>
      <c r="DI147" s="1165"/>
      <c r="DJ147" s="1165"/>
      <c r="DK147" s="1238"/>
      <c r="DL147" s="1238"/>
      <c r="DM147" s="1238"/>
      <c r="DN147" s="1238"/>
      <c r="DO147" s="1238"/>
      <c r="DP147" s="1238"/>
      <c r="DQ147" s="1238"/>
      <c r="DR147" s="1238"/>
      <c r="DS147" s="1238"/>
      <c r="DT147" s="1238"/>
      <c r="DU147" s="1238"/>
      <c r="DV147" s="1238"/>
      <c r="DW147" s="1238"/>
      <c r="DX147" s="1238"/>
      <c r="DY147" s="1238"/>
      <c r="DZ147" s="1238"/>
      <c r="EA147" s="1238"/>
      <c r="EB147" s="1238"/>
      <c r="EC147" s="1238"/>
      <c r="ED147" s="1238"/>
      <c r="EE147" s="1238"/>
      <c r="EF147" s="1238"/>
      <c r="EG147" s="1238"/>
      <c r="EH147" s="1238"/>
      <c r="EI147" s="1238"/>
      <c r="EJ147" s="1238"/>
      <c r="EK147" s="1238"/>
      <c r="EL147" s="1238"/>
      <c r="EM147" s="1238"/>
      <c r="EN147" s="1238"/>
      <c r="EO147" s="1238"/>
      <c r="EP147" s="1238"/>
      <c r="EQ147" s="1238"/>
      <c r="ER147" s="1238"/>
      <c r="ES147" s="1238"/>
      <c r="ET147" s="1238"/>
      <c r="EU147" s="1165"/>
      <c r="EV147" s="1165"/>
      <c r="EW147" s="1165"/>
      <c r="EX147" s="1165"/>
      <c r="EY147" s="1165"/>
      <c r="EZ147" s="1165"/>
      <c r="FA147" s="1165"/>
      <c r="FB147" s="1165"/>
      <c r="FC147" s="1165"/>
      <c r="FD147" s="1165"/>
      <c r="FE147" s="1165"/>
      <c r="FF147" s="1165"/>
    </row>
    <row r="148" spans="1:162">
      <c r="A148" s="1205" t="s">
        <v>572</v>
      </c>
      <c r="B148" s="1237" t="s">
        <v>118</v>
      </c>
      <c r="M148" s="1236">
        <f t="shared" ca="1" si="201"/>
        <v>0</v>
      </c>
      <c r="N148" s="1236">
        <f t="shared" ca="1" si="201"/>
        <v>0</v>
      </c>
      <c r="O148" s="1236">
        <f t="shared" ca="1" si="201"/>
        <v>0</v>
      </c>
      <c r="P148" s="1236">
        <f t="shared" ca="1" si="201"/>
        <v>0</v>
      </c>
      <c r="Q148" s="1236">
        <f t="shared" ca="1" si="201"/>
        <v>0</v>
      </c>
      <c r="AG148" s="1236">
        <f t="shared" si="128"/>
        <v>0</v>
      </c>
      <c r="AH148" s="1236">
        <f t="shared" si="129"/>
        <v>0</v>
      </c>
      <c r="AI148" s="1236">
        <f t="shared" si="130"/>
        <v>0</v>
      </c>
      <c r="AJ148" s="1236">
        <f t="shared" si="131"/>
        <v>0</v>
      </c>
      <c r="AK148" s="1236">
        <f t="shared" si="132"/>
        <v>0</v>
      </c>
      <c r="AL148" s="1236">
        <f t="shared" si="133"/>
        <v>0</v>
      </c>
      <c r="AM148" s="1236">
        <f t="shared" si="134"/>
        <v>0</v>
      </c>
      <c r="AN148" s="1236">
        <f t="shared" si="135"/>
        <v>0</v>
      </c>
      <c r="AO148" s="1236">
        <f t="shared" si="136"/>
        <v>0</v>
      </c>
      <c r="AP148" s="1236">
        <f t="shared" si="137"/>
        <v>0</v>
      </c>
      <c r="AQ148" s="1236">
        <f t="shared" si="138"/>
        <v>0</v>
      </c>
      <c r="AR148" s="1236">
        <f t="shared" si="139"/>
        <v>0</v>
      </c>
      <c r="AS148" s="1236">
        <f t="shared" si="140"/>
        <v>0</v>
      </c>
      <c r="AT148" s="1236">
        <f t="shared" si="141"/>
        <v>0</v>
      </c>
      <c r="AU148" s="1236">
        <f t="shared" si="142"/>
        <v>0</v>
      </c>
      <c r="AV148" s="1236">
        <f t="shared" si="143"/>
        <v>0</v>
      </c>
      <c r="AW148" s="1236">
        <f t="shared" si="144"/>
        <v>0</v>
      </c>
      <c r="AX148" s="1236">
        <f t="shared" si="145"/>
        <v>0</v>
      </c>
      <c r="AY148" s="1236">
        <f t="shared" si="146"/>
        <v>0</v>
      </c>
      <c r="AZ148" s="1236">
        <f t="shared" si="147"/>
        <v>0</v>
      </c>
      <c r="BA148" s="1236">
        <f t="shared" si="148"/>
        <v>0</v>
      </c>
      <c r="BB148" s="1236">
        <f t="shared" si="149"/>
        <v>0</v>
      </c>
      <c r="BC148" s="1236">
        <f t="shared" si="150"/>
        <v>0</v>
      </c>
      <c r="BD148" s="1236">
        <f t="shared" si="151"/>
        <v>0</v>
      </c>
      <c r="BE148" s="1236">
        <f t="shared" si="152"/>
        <v>0</v>
      </c>
      <c r="BF148" s="1236">
        <f t="shared" si="153"/>
        <v>0</v>
      </c>
      <c r="BG148" s="1236">
        <f t="shared" si="154"/>
        <v>0</v>
      </c>
      <c r="BH148" s="1236">
        <f t="shared" si="155"/>
        <v>0</v>
      </c>
      <c r="BI148" s="1236">
        <f t="shared" si="156"/>
        <v>0</v>
      </c>
      <c r="BJ148" s="1236">
        <f t="shared" si="157"/>
        <v>0</v>
      </c>
      <c r="BK148" s="1236">
        <f t="shared" si="158"/>
        <v>0</v>
      </c>
      <c r="BL148" s="1236">
        <f t="shared" si="159"/>
        <v>0</v>
      </c>
      <c r="BM148" s="1236">
        <f t="shared" si="160"/>
        <v>0</v>
      </c>
      <c r="BN148" s="1236">
        <f t="shared" si="161"/>
        <v>0</v>
      </c>
      <c r="BO148" s="1236">
        <f t="shared" si="162"/>
        <v>0</v>
      </c>
      <c r="BP148" s="1236">
        <f t="shared" si="163"/>
        <v>0</v>
      </c>
      <c r="BQ148" s="1236">
        <f t="shared" si="164"/>
        <v>0</v>
      </c>
      <c r="BR148" s="1236">
        <f t="shared" si="165"/>
        <v>0</v>
      </c>
      <c r="BS148" s="1236">
        <f t="shared" si="166"/>
        <v>0</v>
      </c>
      <c r="BT148" s="1236">
        <f t="shared" si="167"/>
        <v>0</v>
      </c>
      <c r="BU148" s="1236">
        <f t="shared" si="168"/>
        <v>0</v>
      </c>
      <c r="BV148" s="1236">
        <f t="shared" si="169"/>
        <v>0</v>
      </c>
      <c r="BW148" s="1236">
        <f t="shared" si="170"/>
        <v>0</v>
      </c>
      <c r="BX148" s="1236">
        <f t="shared" si="171"/>
        <v>0</v>
      </c>
      <c r="BY148" s="1236">
        <f t="shared" si="172"/>
        <v>0</v>
      </c>
      <c r="BZ148" s="1236">
        <f t="shared" si="173"/>
        <v>0</v>
      </c>
      <c r="CA148" s="1236">
        <f t="shared" si="174"/>
        <v>0</v>
      </c>
      <c r="CB148" s="1236">
        <f t="shared" si="175"/>
        <v>0</v>
      </c>
      <c r="CC148" s="1236">
        <f t="shared" si="176"/>
        <v>0</v>
      </c>
      <c r="CD148" s="1236">
        <f t="shared" si="177"/>
        <v>0</v>
      </c>
      <c r="CE148" s="1236">
        <f t="shared" si="178"/>
        <v>0</v>
      </c>
      <c r="CF148" s="1236">
        <f t="shared" si="179"/>
        <v>0</v>
      </c>
      <c r="CG148" s="1236">
        <f t="shared" si="180"/>
        <v>0</v>
      </c>
      <c r="CH148" s="1236">
        <f t="shared" si="181"/>
        <v>0</v>
      </c>
      <c r="CI148" s="1236">
        <f t="shared" si="182"/>
        <v>0</v>
      </c>
      <c r="CJ148" s="1236">
        <f t="shared" si="183"/>
        <v>0</v>
      </c>
      <c r="CK148" s="1236">
        <f t="shared" si="184"/>
        <v>0</v>
      </c>
      <c r="CL148" s="1236">
        <f t="shared" si="185"/>
        <v>0</v>
      </c>
      <c r="CM148" s="1236">
        <f t="shared" si="186"/>
        <v>0</v>
      </c>
      <c r="CN148" s="1236">
        <f t="shared" si="187"/>
        <v>0</v>
      </c>
      <c r="CO148" s="1165"/>
      <c r="CP148" s="1165"/>
      <c r="CQ148" s="1165"/>
      <c r="CR148" s="1165"/>
      <c r="CS148" s="1165"/>
      <c r="CT148" s="1165"/>
      <c r="CU148" s="1165"/>
      <c r="CV148" s="1165"/>
      <c r="CW148" s="1165"/>
      <c r="CX148" s="1165"/>
      <c r="CY148" s="1165"/>
      <c r="CZ148" s="1165"/>
      <c r="DA148" s="1165"/>
      <c r="DB148" s="1165"/>
      <c r="DC148" s="1165"/>
      <c r="DD148" s="1165"/>
      <c r="DE148" s="1165"/>
      <c r="DF148" s="1165"/>
      <c r="DG148" s="1165"/>
      <c r="DH148" s="1165"/>
      <c r="DI148" s="1165"/>
      <c r="DJ148" s="1165"/>
      <c r="DK148" s="1165"/>
      <c r="DL148" s="1165"/>
      <c r="DM148" s="1165"/>
      <c r="DN148" s="1165"/>
      <c r="DO148" s="1165"/>
      <c r="DP148" s="1165"/>
      <c r="DQ148" s="1165"/>
      <c r="DR148" s="1165"/>
      <c r="DS148" s="1165"/>
      <c r="DT148" s="1165"/>
      <c r="DU148" s="1165"/>
      <c r="DV148" s="1165"/>
      <c r="DW148" s="1165"/>
      <c r="DX148" s="1165"/>
      <c r="DY148" s="1165"/>
      <c r="DZ148" s="1165"/>
      <c r="EA148" s="1165"/>
      <c r="EB148" s="1165"/>
      <c r="EC148" s="1165"/>
      <c r="ED148" s="1165"/>
      <c r="EE148" s="1165"/>
      <c r="EF148" s="1165"/>
      <c r="EG148" s="1165"/>
      <c r="EH148" s="1165"/>
      <c r="EI148" s="1165"/>
      <c r="EJ148" s="1165"/>
      <c r="EK148" s="1165"/>
      <c r="EL148" s="1165"/>
      <c r="EM148" s="1165"/>
      <c r="EN148" s="1165"/>
      <c r="EO148" s="1165"/>
      <c r="EP148" s="1165"/>
      <c r="EQ148" s="1165"/>
      <c r="ER148" s="1165"/>
      <c r="ES148" s="1165"/>
      <c r="ET148" s="1165"/>
      <c r="EU148" s="1165"/>
      <c r="EV148" s="1165"/>
      <c r="EW148" s="1165"/>
      <c r="EX148" s="1165"/>
      <c r="EY148" s="1165"/>
      <c r="EZ148" s="1165"/>
      <c r="FA148" s="1165"/>
      <c r="FB148" s="1165"/>
      <c r="FC148" s="1165"/>
      <c r="FD148" s="1165"/>
      <c r="FE148" s="1165"/>
      <c r="FF148" s="1165"/>
    </row>
    <row r="149" spans="1:162" s="1231" customFormat="1">
      <c r="A149" s="1224"/>
      <c r="B149" s="1230" t="s">
        <v>48</v>
      </c>
      <c r="M149" s="1231">
        <f t="shared" ca="1" si="201"/>
        <v>0</v>
      </c>
      <c r="N149" s="1231">
        <f t="shared" ca="1" si="201"/>
        <v>0</v>
      </c>
      <c r="O149" s="1231">
        <f t="shared" ca="1" si="201"/>
        <v>0</v>
      </c>
      <c r="P149" s="1231">
        <f t="shared" ca="1" si="201"/>
        <v>0</v>
      </c>
      <c r="Q149" s="1231">
        <f t="shared" ca="1" si="201"/>
        <v>0</v>
      </c>
      <c r="R149" s="1259">
        <v>661.99879999999996</v>
      </c>
      <c r="S149" s="1259">
        <v>421.48500000000001</v>
      </c>
      <c r="T149" s="1259">
        <v>510.88400000000001</v>
      </c>
      <c r="U149" s="1259">
        <v>547.99</v>
      </c>
      <c r="V149" s="1259">
        <v>925.57799999999997</v>
      </c>
      <c r="W149" s="1259">
        <v>1180.5730000000001</v>
      </c>
      <c r="X149" s="1259">
        <v>1171.463</v>
      </c>
      <c r="Y149" s="1259">
        <v>1231.6420000000001</v>
      </c>
      <c r="Z149" s="1259">
        <v>1132.0709999999999</v>
      </c>
      <c r="AA149" s="1231">
        <v>1034.079</v>
      </c>
      <c r="AG149" s="1231">
        <f t="shared" ref="AG149:AG205" si="203">CQ149</f>
        <v>0</v>
      </c>
      <c r="AH149" s="1231">
        <f t="shared" ref="AH149:AH205" si="204">CR149</f>
        <v>0</v>
      </c>
      <c r="AI149" s="1231">
        <f t="shared" ref="AI149:AI205" si="205">CS149</f>
        <v>0</v>
      </c>
      <c r="AJ149" s="1231">
        <f t="shared" ref="AJ149:AJ205" si="206">CT149</f>
        <v>0</v>
      </c>
      <c r="AK149" s="1231">
        <f t="shared" ref="AK149:AK205" si="207">CU149</f>
        <v>0</v>
      </c>
      <c r="AL149" s="1231">
        <f t="shared" ref="AL149:AL205" si="208">CV149</f>
        <v>0</v>
      </c>
      <c r="AM149" s="1231">
        <f t="shared" ref="AM149:AM205" si="209">CW149</f>
        <v>0</v>
      </c>
      <c r="AN149" s="1231">
        <f t="shared" ref="AN149:AN205" si="210">CX149</f>
        <v>0</v>
      </c>
      <c r="AO149" s="1231">
        <f t="shared" ref="AO149:AO205" si="211">CY149</f>
        <v>0</v>
      </c>
      <c r="AP149" s="1231">
        <f t="shared" ref="AP149:AP205" si="212">CZ149</f>
        <v>0</v>
      </c>
      <c r="AQ149" s="1231">
        <f t="shared" ref="AQ149:AQ205" si="213">DA149</f>
        <v>0</v>
      </c>
      <c r="AR149" s="1231">
        <f t="shared" ref="AR149:AR205" si="214">DB149</f>
        <v>0</v>
      </c>
      <c r="AS149" s="1231">
        <f t="shared" ref="AS149:AS205" si="215">DC149</f>
        <v>0</v>
      </c>
      <c r="AT149" s="1231">
        <f t="shared" ref="AT149:AT205" si="216">DD149</f>
        <v>0</v>
      </c>
      <c r="AU149" s="1231">
        <f t="shared" ref="AU149:AU205" si="217">DE149</f>
        <v>0</v>
      </c>
      <c r="AV149" s="1231">
        <f t="shared" ref="AV149:AV205" si="218">DF149</f>
        <v>0</v>
      </c>
      <c r="AW149" s="1231">
        <f t="shared" ref="AW149:AW205" si="219">DG149</f>
        <v>0</v>
      </c>
      <c r="AX149" s="1231">
        <f t="shared" ref="AX149:AX205" si="220">DH149</f>
        <v>0</v>
      </c>
      <c r="AY149" s="1231">
        <f t="shared" ref="AY149:AY205" si="221">DI149</f>
        <v>0</v>
      </c>
      <c r="AZ149" s="1231">
        <f t="shared" ref="AZ149:AZ205" si="222">DJ149</f>
        <v>0</v>
      </c>
      <c r="BA149" s="1231">
        <f t="shared" ref="BA149:BA205" si="223">DK149</f>
        <v>0</v>
      </c>
      <c r="BB149" s="1231">
        <f t="shared" ref="BB149:BB205" si="224">DL149</f>
        <v>0</v>
      </c>
      <c r="BC149" s="1231">
        <f t="shared" ref="BC149:BC205" si="225">DM149</f>
        <v>0</v>
      </c>
      <c r="BD149" s="1231">
        <f t="shared" ref="BD149:BD205" si="226">DN149</f>
        <v>0</v>
      </c>
      <c r="BE149" s="1231">
        <f t="shared" ref="BE149:BE205" si="227">DO149</f>
        <v>0</v>
      </c>
      <c r="BF149" s="1231">
        <f t="shared" ref="BF149:BF205" si="228">DP149</f>
        <v>0</v>
      </c>
      <c r="BG149" s="1231">
        <f t="shared" ref="BG149:BG205" si="229">DQ149</f>
        <v>0</v>
      </c>
      <c r="BH149" s="1231">
        <f t="shared" ref="BH149:BH205" si="230">DR149</f>
        <v>0</v>
      </c>
      <c r="BI149" s="1231">
        <f t="shared" ref="BI149:BI205" si="231">DS149</f>
        <v>0</v>
      </c>
      <c r="BJ149" s="1231">
        <f t="shared" ref="BJ149:BJ205" si="232">DT149</f>
        <v>0</v>
      </c>
      <c r="BK149" s="1231">
        <f t="shared" ref="BK149:BK205" si="233">DU149</f>
        <v>0</v>
      </c>
      <c r="BL149" s="1231">
        <f t="shared" ref="BL149:BL205" si="234">DV149</f>
        <v>0</v>
      </c>
      <c r="BM149" s="1231">
        <f t="shared" ref="BM149:BM205" si="235">DW149</f>
        <v>0</v>
      </c>
      <c r="BN149" s="1231">
        <f t="shared" ref="BN149:BN205" si="236">DX149</f>
        <v>0</v>
      </c>
      <c r="BO149" s="1231">
        <f t="shared" ref="BO149:BO205" si="237">DY149</f>
        <v>0</v>
      </c>
      <c r="BP149" s="1231">
        <f t="shared" ref="BP149:BP205" si="238">DZ149</f>
        <v>0</v>
      </c>
      <c r="BQ149" s="1231">
        <f t="shared" ref="BQ149:BQ205" si="239">EA149</f>
        <v>0</v>
      </c>
      <c r="BR149" s="1231">
        <f t="shared" ref="BR149:BR205" si="240">EB149</f>
        <v>0</v>
      </c>
      <c r="BS149" s="1231">
        <f t="shared" ref="BS149:BS205" si="241">EC149</f>
        <v>0</v>
      </c>
      <c r="BT149" s="1231">
        <f t="shared" ref="BT149:BT205" si="242">ED149</f>
        <v>0</v>
      </c>
      <c r="BU149" s="1231">
        <f t="shared" ref="BU149:BU205" si="243">EE149</f>
        <v>0</v>
      </c>
      <c r="BV149" s="1231">
        <f t="shared" ref="BV149:BV205" si="244">EF149</f>
        <v>0</v>
      </c>
      <c r="BW149" s="1231">
        <f t="shared" ref="BW149:BW205" si="245">EG149</f>
        <v>0</v>
      </c>
      <c r="BX149" s="1231">
        <f t="shared" ref="BX149:BX205" si="246">EH149</f>
        <v>0</v>
      </c>
      <c r="BY149" s="1231">
        <f t="shared" ref="BY149:BY205" si="247">EI149</f>
        <v>0</v>
      </c>
      <c r="BZ149" s="1231">
        <f t="shared" ref="BZ149:BZ205" si="248">EJ149</f>
        <v>0</v>
      </c>
      <c r="CA149" s="1231">
        <f t="shared" ref="CA149:CA205" si="249">EK149</f>
        <v>0</v>
      </c>
      <c r="CB149" s="1231">
        <f t="shared" ref="CB149:CB205" si="250">EL149</f>
        <v>0</v>
      </c>
      <c r="CC149" s="1231">
        <f t="shared" ref="CC149:CC205" si="251">EM149</f>
        <v>0</v>
      </c>
      <c r="CD149" s="1231">
        <f t="shared" ref="CD149:CD205" si="252">EN149</f>
        <v>0</v>
      </c>
      <c r="CE149" s="1231">
        <f t="shared" ref="CE149:CE205" si="253">EO149</f>
        <v>0</v>
      </c>
      <c r="CF149" s="1231">
        <f t="shared" ref="CF149:CF205" si="254">EP149</f>
        <v>0</v>
      </c>
      <c r="CG149" s="1231">
        <f t="shared" ref="CG149:CG205" si="255">EQ149</f>
        <v>0</v>
      </c>
      <c r="CH149" s="1231">
        <f t="shared" ref="CH149:CH205" si="256">ER149</f>
        <v>0</v>
      </c>
      <c r="CI149" s="1231">
        <f t="shared" ref="CI149:CI205" si="257">ES149</f>
        <v>0</v>
      </c>
      <c r="CJ149" s="1231">
        <f t="shared" ref="CJ149:CJ205" si="258">ET149</f>
        <v>0</v>
      </c>
      <c r="CK149" s="1231">
        <f t="shared" ref="CK149:CK205" si="259">EU149</f>
        <v>0</v>
      </c>
      <c r="CL149" s="1231">
        <f t="shared" ref="CL149:CL205" si="260">EV149</f>
        <v>0</v>
      </c>
      <c r="CM149" s="1231">
        <f t="shared" ref="CM149:CM205" si="261">EW149</f>
        <v>0</v>
      </c>
      <c r="CN149" s="1231">
        <f t="shared" ref="CN149:CN205" si="262">EX149</f>
        <v>0</v>
      </c>
      <c r="CQ149" s="1165"/>
      <c r="CR149" s="1165"/>
      <c r="CS149" s="1165"/>
      <c r="CT149" s="1165"/>
      <c r="CU149" s="1165"/>
      <c r="CV149" s="1165"/>
      <c r="CW149" s="1165"/>
      <c r="CX149" s="1165"/>
      <c r="CY149" s="1165"/>
      <c r="CZ149" s="1165"/>
      <c r="DA149" s="1165"/>
      <c r="DB149" s="1165"/>
      <c r="DC149" s="1165"/>
      <c r="DD149" s="1165"/>
      <c r="DE149" s="1165"/>
      <c r="DF149" s="1165"/>
      <c r="DG149" s="1165"/>
      <c r="DH149" s="1165"/>
      <c r="DI149" s="1165"/>
      <c r="DJ149" s="1165"/>
      <c r="DK149" s="1232"/>
      <c r="DL149" s="1232"/>
      <c r="DM149" s="1232"/>
      <c r="DN149" s="1232"/>
      <c r="DO149" s="1232"/>
      <c r="DP149" s="1232"/>
      <c r="DQ149" s="1232"/>
      <c r="DR149" s="1232"/>
      <c r="DS149" s="1232"/>
      <c r="DT149" s="1232"/>
      <c r="DU149" s="1232"/>
      <c r="DV149" s="1232"/>
      <c r="DW149" s="1232"/>
      <c r="DX149" s="1232"/>
      <c r="DY149" s="1232"/>
      <c r="DZ149" s="1232"/>
      <c r="EA149" s="1232"/>
      <c r="EB149" s="1232"/>
      <c r="EC149" s="1232"/>
      <c r="ED149" s="1232"/>
      <c r="EE149" s="1232"/>
      <c r="EF149" s="1232"/>
      <c r="EG149" s="1232"/>
      <c r="EH149" s="1232"/>
      <c r="EI149" s="1232"/>
      <c r="EJ149" s="1232"/>
      <c r="EK149" s="1232"/>
      <c r="EL149" s="1232"/>
      <c r="EM149" s="1232"/>
      <c r="EN149" s="1232"/>
      <c r="EO149" s="1232"/>
      <c r="EP149" s="1232"/>
      <c r="EQ149" s="1232"/>
      <c r="ER149" s="1232"/>
      <c r="ES149" s="1232"/>
      <c r="ET149" s="1232"/>
      <c r="EU149" s="1165"/>
      <c r="EV149" s="1165"/>
      <c r="EW149" s="1165"/>
      <c r="EX149" s="1165"/>
      <c r="EY149" s="1165"/>
      <c r="EZ149" s="1165"/>
      <c r="FA149" s="1165"/>
      <c r="FB149" s="1165"/>
      <c r="FC149" s="1165"/>
      <c r="FD149" s="1165"/>
      <c r="FE149" s="1165"/>
      <c r="FF149" s="1165"/>
    </row>
    <row r="150" spans="1:162">
      <c r="A150" s="1224"/>
      <c r="CQ150" s="1165"/>
      <c r="CR150" s="1165"/>
      <c r="CS150" s="1165"/>
      <c r="CT150" s="1165"/>
      <c r="CU150" s="1165"/>
      <c r="CV150" s="1165"/>
      <c r="CW150" s="1165"/>
      <c r="CX150" s="1165"/>
      <c r="CY150" s="1165"/>
      <c r="CZ150" s="1165"/>
      <c r="DA150" s="1165"/>
      <c r="DB150" s="1165"/>
      <c r="DC150" s="1165"/>
      <c r="DD150" s="1165"/>
      <c r="DE150" s="1165"/>
      <c r="DF150" s="1165"/>
      <c r="DG150" s="1165"/>
      <c r="DH150" s="1165"/>
      <c r="DI150" s="1165"/>
      <c r="DJ150" s="1165"/>
      <c r="DK150" s="1165"/>
      <c r="DL150" s="1165"/>
      <c r="DM150" s="1165"/>
      <c r="DN150" s="1165"/>
      <c r="DO150" s="1165"/>
      <c r="DP150" s="1165"/>
      <c r="DQ150" s="1165"/>
      <c r="DR150" s="1165"/>
      <c r="DS150" s="1165"/>
      <c r="DT150" s="1165"/>
      <c r="DU150" s="1165"/>
      <c r="DV150" s="1165"/>
      <c r="DW150" s="1165"/>
      <c r="DX150" s="1165"/>
      <c r="DY150" s="1165"/>
      <c r="DZ150" s="1165"/>
      <c r="EA150" s="1165"/>
      <c r="EB150" s="1165"/>
      <c r="EC150" s="1165"/>
      <c r="ED150" s="1165"/>
      <c r="EE150" s="1165"/>
      <c r="EF150" s="1165"/>
      <c r="EG150" s="1165"/>
      <c r="EH150" s="1165"/>
      <c r="EI150" s="1165"/>
      <c r="EJ150" s="1165"/>
      <c r="EK150" s="1165"/>
      <c r="EL150" s="1165"/>
      <c r="EM150" s="1165"/>
      <c r="EN150" s="1165"/>
      <c r="EO150" s="1165"/>
      <c r="EP150" s="1165"/>
      <c r="EQ150" s="1165"/>
      <c r="ER150" s="1165"/>
      <c r="ES150" s="1165"/>
      <c r="ET150" s="1165"/>
      <c r="EU150" s="1165"/>
      <c r="EV150" s="1165"/>
      <c r="EW150" s="1165"/>
      <c r="EX150" s="1165"/>
      <c r="EY150" s="1165"/>
      <c r="EZ150" s="1165"/>
      <c r="FA150" s="1165"/>
      <c r="FB150" s="1165"/>
      <c r="FC150" s="1165"/>
      <c r="FD150" s="1165"/>
      <c r="FE150" s="1165"/>
      <c r="FF150" s="1165"/>
    </row>
    <row r="151" spans="1:162">
      <c r="A151" s="1224"/>
      <c r="B151" s="1237" t="s">
        <v>699</v>
      </c>
      <c r="M151" s="1236">
        <f t="shared" ref="M151:Q154" ca="1" si="263">OFFSET($CT151,0,M$7)</f>
        <v>0</v>
      </c>
      <c r="N151" s="1236">
        <f t="shared" ca="1" si="263"/>
        <v>0</v>
      </c>
      <c r="O151" s="1236">
        <f t="shared" ca="1" si="263"/>
        <v>0</v>
      </c>
      <c r="P151" s="1236">
        <f t="shared" ca="1" si="263"/>
        <v>0</v>
      </c>
      <c r="Q151" s="1236">
        <f t="shared" ca="1" si="263"/>
        <v>0</v>
      </c>
      <c r="R151" s="1224">
        <v>372.05529999999999</v>
      </c>
      <c r="S151" s="1224">
        <v>636.80100000000004</v>
      </c>
      <c r="T151" s="1224">
        <v>412.59899999999999</v>
      </c>
      <c r="U151" s="1224">
        <v>219.727</v>
      </c>
      <c r="V151" s="1224">
        <v>115.084</v>
      </c>
      <c r="W151" s="1224">
        <v>455.50400000000002</v>
      </c>
      <c r="X151" s="1224">
        <v>654.851</v>
      </c>
      <c r="Y151" s="1224">
        <v>308.31099999999998</v>
      </c>
      <c r="Z151" s="1224">
        <v>908.99599999999998</v>
      </c>
      <c r="AB151" s="1236">
        <f>10^6</f>
        <v>1000000</v>
      </c>
      <c r="AG151" s="1236">
        <f t="shared" si="203"/>
        <v>0</v>
      </c>
      <c r="AH151" s="1236">
        <f t="shared" si="204"/>
        <v>0</v>
      </c>
      <c r="AI151" s="1236">
        <f t="shared" si="205"/>
        <v>0</v>
      </c>
      <c r="AJ151" s="1236">
        <f t="shared" si="206"/>
        <v>0</v>
      </c>
      <c r="AK151" s="1236">
        <f t="shared" si="207"/>
        <v>0</v>
      </c>
      <c r="AL151" s="1236">
        <f t="shared" si="208"/>
        <v>0</v>
      </c>
      <c r="AM151" s="1236">
        <f t="shared" si="209"/>
        <v>0</v>
      </c>
      <c r="AN151" s="1236">
        <f t="shared" si="210"/>
        <v>0</v>
      </c>
      <c r="AO151" s="1236">
        <f t="shared" si="211"/>
        <v>0</v>
      </c>
      <c r="AP151" s="1236">
        <f t="shared" si="212"/>
        <v>0</v>
      </c>
      <c r="AQ151" s="1236">
        <f t="shared" si="213"/>
        <v>0</v>
      </c>
      <c r="AR151" s="1236">
        <f t="shared" si="214"/>
        <v>0</v>
      </c>
      <c r="AS151" s="1236">
        <f t="shared" si="215"/>
        <v>0</v>
      </c>
      <c r="AT151" s="1236">
        <f t="shared" si="216"/>
        <v>0</v>
      </c>
      <c r="AU151" s="1236">
        <f t="shared" si="217"/>
        <v>0</v>
      </c>
      <c r="AV151" s="1236">
        <f t="shared" si="218"/>
        <v>0</v>
      </c>
      <c r="AW151" s="1236">
        <f t="shared" si="219"/>
        <v>0</v>
      </c>
      <c r="AX151" s="1236">
        <f t="shared" si="220"/>
        <v>0</v>
      </c>
      <c r="AY151" s="1236">
        <f t="shared" si="221"/>
        <v>0</v>
      </c>
      <c r="AZ151" s="1236">
        <f t="shared" si="222"/>
        <v>0</v>
      </c>
      <c r="BA151" s="1236">
        <f t="shared" si="223"/>
        <v>0</v>
      </c>
      <c r="BB151" s="1236">
        <f t="shared" si="224"/>
        <v>0</v>
      </c>
      <c r="BC151" s="1236">
        <f t="shared" si="225"/>
        <v>0</v>
      </c>
      <c r="BD151" s="1236">
        <f t="shared" si="226"/>
        <v>0</v>
      </c>
      <c r="BE151" s="1236">
        <f t="shared" si="227"/>
        <v>0</v>
      </c>
      <c r="BF151" s="1236">
        <f t="shared" si="228"/>
        <v>0</v>
      </c>
      <c r="BG151" s="1236">
        <f t="shared" si="229"/>
        <v>0</v>
      </c>
      <c r="BH151" s="1236">
        <f t="shared" si="230"/>
        <v>0</v>
      </c>
      <c r="BI151" s="1236">
        <f t="shared" si="231"/>
        <v>0</v>
      </c>
      <c r="BJ151" s="1236">
        <f t="shared" si="232"/>
        <v>0</v>
      </c>
      <c r="BK151" s="1236">
        <f t="shared" si="233"/>
        <v>0</v>
      </c>
      <c r="BL151" s="1236">
        <f t="shared" si="234"/>
        <v>0</v>
      </c>
      <c r="BM151" s="1236">
        <f t="shared" si="235"/>
        <v>0</v>
      </c>
      <c r="BN151" s="1236">
        <f t="shared" si="236"/>
        <v>0</v>
      </c>
      <c r="BO151" s="1236">
        <f t="shared" si="237"/>
        <v>0</v>
      </c>
      <c r="BP151" s="1236">
        <f t="shared" si="238"/>
        <v>0</v>
      </c>
      <c r="BQ151" s="1236">
        <f t="shared" si="239"/>
        <v>0</v>
      </c>
      <c r="BR151" s="1236">
        <f t="shared" si="240"/>
        <v>0</v>
      </c>
      <c r="BS151" s="1236">
        <f t="shared" si="241"/>
        <v>0</v>
      </c>
      <c r="BT151" s="1236">
        <f t="shared" si="242"/>
        <v>0</v>
      </c>
      <c r="BU151" s="1236">
        <f t="shared" si="243"/>
        <v>0</v>
      </c>
      <c r="BV151" s="1236">
        <f t="shared" si="244"/>
        <v>0</v>
      </c>
      <c r="BW151" s="1236">
        <f t="shared" si="245"/>
        <v>0</v>
      </c>
      <c r="BX151" s="1236">
        <f t="shared" si="246"/>
        <v>0</v>
      </c>
      <c r="BY151" s="1236">
        <f t="shared" si="247"/>
        <v>0</v>
      </c>
      <c r="BZ151" s="1236">
        <f t="shared" si="248"/>
        <v>0</v>
      </c>
      <c r="CA151" s="1236">
        <f t="shared" si="249"/>
        <v>0</v>
      </c>
      <c r="CB151" s="1236">
        <f t="shared" si="250"/>
        <v>0</v>
      </c>
      <c r="CC151" s="1236">
        <f t="shared" si="251"/>
        <v>0</v>
      </c>
      <c r="CD151" s="1236">
        <f t="shared" si="252"/>
        <v>0</v>
      </c>
      <c r="CE151" s="1236">
        <f t="shared" si="253"/>
        <v>0</v>
      </c>
      <c r="CF151" s="1236">
        <f t="shared" si="254"/>
        <v>0</v>
      </c>
      <c r="CG151" s="1236">
        <f t="shared" si="255"/>
        <v>0</v>
      </c>
      <c r="CH151" s="1236">
        <f t="shared" si="256"/>
        <v>0</v>
      </c>
      <c r="CI151" s="1236">
        <f t="shared" si="257"/>
        <v>0</v>
      </c>
      <c r="CJ151" s="1236">
        <f t="shared" si="258"/>
        <v>0</v>
      </c>
      <c r="CK151" s="1236">
        <f t="shared" si="259"/>
        <v>0</v>
      </c>
      <c r="CL151" s="1236">
        <f t="shared" si="260"/>
        <v>0</v>
      </c>
      <c r="CM151" s="1236">
        <f t="shared" si="261"/>
        <v>0</v>
      </c>
      <c r="CN151" s="1236">
        <f t="shared" si="262"/>
        <v>0</v>
      </c>
      <c r="CQ151" s="1165"/>
      <c r="CR151" s="1165"/>
      <c r="CS151" s="1165"/>
      <c r="CT151" s="1165"/>
      <c r="CU151" s="1165"/>
      <c r="CV151" s="1165"/>
      <c r="CW151" s="1165"/>
      <c r="CX151" s="1165"/>
      <c r="CY151" s="1165"/>
      <c r="CZ151" s="1165"/>
      <c r="DA151" s="1165"/>
      <c r="DB151" s="1165"/>
      <c r="DC151" s="1165"/>
      <c r="DD151" s="1165"/>
      <c r="DE151" s="1165"/>
      <c r="DF151" s="1165"/>
      <c r="DG151" s="1165"/>
      <c r="DH151" s="1165"/>
      <c r="DI151" s="1165"/>
      <c r="DJ151" s="1165"/>
      <c r="DK151" s="1238"/>
      <c r="DL151" s="1238"/>
      <c r="DM151" s="1238"/>
      <c r="DN151" s="1238"/>
      <c r="DO151" s="1238"/>
      <c r="DP151" s="1238"/>
      <c r="DQ151" s="1238"/>
      <c r="DR151" s="1238"/>
      <c r="DS151" s="1238"/>
      <c r="DT151" s="1238"/>
      <c r="DU151" s="1238"/>
      <c r="DV151" s="1238"/>
      <c r="DW151" s="1238"/>
      <c r="DX151" s="1238"/>
      <c r="DY151" s="1238"/>
      <c r="DZ151" s="1238"/>
      <c r="EA151" s="1238"/>
      <c r="EB151" s="1238"/>
      <c r="EC151" s="1238"/>
      <c r="ED151" s="1238"/>
      <c r="EE151" s="1238"/>
      <c r="EF151" s="1238"/>
      <c r="EG151" s="1238"/>
      <c r="EH151" s="1238"/>
      <c r="EI151" s="1238"/>
      <c r="EJ151" s="1238"/>
      <c r="EK151" s="1238"/>
      <c r="EL151" s="1238"/>
      <c r="EM151" s="1238"/>
      <c r="EN151" s="1238"/>
      <c r="EO151" s="1238"/>
      <c r="EP151" s="1238"/>
      <c r="EQ151" s="1238"/>
      <c r="ER151" s="1238"/>
      <c r="ES151" s="1238"/>
      <c r="ET151" s="1238"/>
      <c r="EU151" s="1165"/>
      <c r="EV151" s="1165"/>
      <c r="EW151" s="1165"/>
      <c r="EX151" s="1165"/>
      <c r="EY151" s="1165"/>
      <c r="EZ151" s="1165"/>
      <c r="FA151" s="1165"/>
      <c r="FB151" s="1165"/>
      <c r="FC151" s="1165"/>
      <c r="FD151" s="1165"/>
      <c r="FE151" s="1165"/>
      <c r="FF151" s="1165"/>
    </row>
    <row r="152" spans="1:162">
      <c r="A152" s="1224"/>
      <c r="B152" s="1237" t="s">
        <v>700</v>
      </c>
      <c r="M152" s="1236">
        <f t="shared" ca="1" si="263"/>
        <v>0</v>
      </c>
      <c r="N152" s="1236">
        <f t="shared" ca="1" si="263"/>
        <v>0</v>
      </c>
      <c r="O152" s="1236">
        <f t="shared" ca="1" si="263"/>
        <v>0</v>
      </c>
      <c r="P152" s="1236">
        <f t="shared" ca="1" si="263"/>
        <v>0</v>
      </c>
      <c r="Q152" s="1236">
        <f t="shared" ca="1" si="263"/>
        <v>0</v>
      </c>
      <c r="R152" s="1224">
        <f>333458941/(10^6)</f>
        <v>333.45894099999998</v>
      </c>
      <c r="S152" s="1224">
        <v>191.35499999999999</v>
      </c>
      <c r="T152" s="1224">
        <v>184.578</v>
      </c>
      <c r="U152" s="1224">
        <v>170.82</v>
      </c>
      <c r="V152" s="1224">
        <v>46.97</v>
      </c>
      <c r="W152" s="1224">
        <v>50.195999999999998</v>
      </c>
      <c r="X152" s="1224">
        <v>32.216999999999999</v>
      </c>
      <c r="Y152" s="1224">
        <v>132.297</v>
      </c>
      <c r="Z152" s="1224">
        <v>337.80700000000002</v>
      </c>
      <c r="AG152" s="1236">
        <f t="shared" si="203"/>
        <v>0</v>
      </c>
      <c r="AH152" s="1236">
        <f t="shared" si="204"/>
        <v>0</v>
      </c>
      <c r="AI152" s="1236">
        <f t="shared" si="205"/>
        <v>0</v>
      </c>
      <c r="AJ152" s="1236">
        <f t="shared" si="206"/>
        <v>0</v>
      </c>
      <c r="AK152" s="1236">
        <f t="shared" si="207"/>
        <v>0</v>
      </c>
      <c r="AL152" s="1236">
        <f t="shared" si="208"/>
        <v>0</v>
      </c>
      <c r="AM152" s="1236">
        <f t="shared" si="209"/>
        <v>0</v>
      </c>
      <c r="AN152" s="1236">
        <f t="shared" si="210"/>
        <v>0</v>
      </c>
      <c r="AO152" s="1236">
        <f t="shared" si="211"/>
        <v>0</v>
      </c>
      <c r="AP152" s="1236">
        <f t="shared" si="212"/>
        <v>0</v>
      </c>
      <c r="AQ152" s="1236">
        <f t="shared" si="213"/>
        <v>0</v>
      </c>
      <c r="AR152" s="1236">
        <f t="shared" si="214"/>
        <v>0</v>
      </c>
      <c r="AS152" s="1236">
        <f t="shared" si="215"/>
        <v>0</v>
      </c>
      <c r="AT152" s="1236">
        <f t="shared" si="216"/>
        <v>0</v>
      </c>
      <c r="AU152" s="1236">
        <f t="shared" si="217"/>
        <v>0</v>
      </c>
      <c r="AV152" s="1236">
        <f t="shared" si="218"/>
        <v>0</v>
      </c>
      <c r="AW152" s="1236">
        <f t="shared" si="219"/>
        <v>0</v>
      </c>
      <c r="AX152" s="1236">
        <f t="shared" si="220"/>
        <v>0</v>
      </c>
      <c r="AY152" s="1236">
        <f t="shared" si="221"/>
        <v>0</v>
      </c>
      <c r="AZ152" s="1236">
        <f t="shared" si="222"/>
        <v>0</v>
      </c>
      <c r="BA152" s="1236">
        <f t="shared" si="223"/>
        <v>0</v>
      </c>
      <c r="BB152" s="1236">
        <f t="shared" si="224"/>
        <v>0</v>
      </c>
      <c r="BC152" s="1236">
        <f t="shared" si="225"/>
        <v>0</v>
      </c>
      <c r="BD152" s="1236">
        <f t="shared" si="226"/>
        <v>0</v>
      </c>
      <c r="BE152" s="1236">
        <f t="shared" si="227"/>
        <v>0</v>
      </c>
      <c r="BF152" s="1236">
        <f t="shared" si="228"/>
        <v>0</v>
      </c>
      <c r="BG152" s="1236">
        <f t="shared" si="229"/>
        <v>0</v>
      </c>
      <c r="BH152" s="1236">
        <f t="shared" si="230"/>
        <v>0</v>
      </c>
      <c r="BI152" s="1236">
        <f t="shared" si="231"/>
        <v>0</v>
      </c>
      <c r="BJ152" s="1236">
        <f t="shared" si="232"/>
        <v>0</v>
      </c>
      <c r="BK152" s="1236">
        <f t="shared" si="233"/>
        <v>0</v>
      </c>
      <c r="BL152" s="1236">
        <f t="shared" si="234"/>
        <v>0</v>
      </c>
      <c r="BM152" s="1236">
        <f t="shared" si="235"/>
        <v>0</v>
      </c>
      <c r="BN152" s="1236">
        <f t="shared" si="236"/>
        <v>0</v>
      </c>
      <c r="BO152" s="1236">
        <f t="shared" si="237"/>
        <v>0</v>
      </c>
      <c r="BP152" s="1236">
        <f t="shared" si="238"/>
        <v>0</v>
      </c>
      <c r="BQ152" s="1236">
        <f t="shared" si="239"/>
        <v>0</v>
      </c>
      <c r="BR152" s="1236">
        <f t="shared" si="240"/>
        <v>0</v>
      </c>
      <c r="BS152" s="1236">
        <f t="shared" si="241"/>
        <v>0</v>
      </c>
      <c r="BT152" s="1236">
        <f t="shared" si="242"/>
        <v>0</v>
      </c>
      <c r="BU152" s="1236">
        <f t="shared" si="243"/>
        <v>0</v>
      </c>
      <c r="BV152" s="1236">
        <f t="shared" si="244"/>
        <v>0</v>
      </c>
      <c r="BW152" s="1236">
        <f t="shared" si="245"/>
        <v>0</v>
      </c>
      <c r="BX152" s="1236">
        <f t="shared" si="246"/>
        <v>0</v>
      </c>
      <c r="BY152" s="1236">
        <f t="shared" si="247"/>
        <v>0</v>
      </c>
      <c r="BZ152" s="1236">
        <f t="shared" si="248"/>
        <v>0</v>
      </c>
      <c r="CA152" s="1236">
        <f t="shared" si="249"/>
        <v>0</v>
      </c>
      <c r="CB152" s="1236">
        <f t="shared" si="250"/>
        <v>0</v>
      </c>
      <c r="CC152" s="1236">
        <f t="shared" si="251"/>
        <v>0</v>
      </c>
      <c r="CD152" s="1236">
        <f t="shared" si="252"/>
        <v>0</v>
      </c>
      <c r="CE152" s="1236">
        <f t="shared" si="253"/>
        <v>0</v>
      </c>
      <c r="CF152" s="1236">
        <f t="shared" si="254"/>
        <v>0</v>
      </c>
      <c r="CG152" s="1236">
        <f t="shared" si="255"/>
        <v>0</v>
      </c>
      <c r="CH152" s="1236">
        <f t="shared" si="256"/>
        <v>0</v>
      </c>
      <c r="CI152" s="1236">
        <f t="shared" si="257"/>
        <v>0</v>
      </c>
      <c r="CJ152" s="1236">
        <f t="shared" si="258"/>
        <v>0</v>
      </c>
      <c r="CK152" s="1236">
        <f t="shared" si="259"/>
        <v>0</v>
      </c>
      <c r="CL152" s="1236">
        <f t="shared" si="260"/>
        <v>0</v>
      </c>
      <c r="CM152" s="1236">
        <f t="shared" si="261"/>
        <v>0</v>
      </c>
      <c r="CN152" s="1236">
        <f t="shared" si="262"/>
        <v>0</v>
      </c>
      <c r="CQ152" s="1165"/>
      <c r="CR152" s="1165"/>
      <c r="CS152" s="1165"/>
      <c r="CT152" s="1165"/>
      <c r="CU152" s="1165"/>
      <c r="CV152" s="1165"/>
      <c r="CW152" s="1165"/>
      <c r="CX152" s="1165"/>
      <c r="CY152" s="1165"/>
      <c r="CZ152" s="1165"/>
      <c r="DA152" s="1165"/>
      <c r="DB152" s="1165"/>
      <c r="DC152" s="1165"/>
      <c r="DD152" s="1165"/>
      <c r="DE152" s="1165"/>
      <c r="DF152" s="1165"/>
      <c r="DG152" s="1165"/>
      <c r="DH152" s="1165"/>
      <c r="DI152" s="1165"/>
      <c r="DJ152" s="1165"/>
      <c r="DK152" s="1165"/>
      <c r="DL152" s="1165"/>
      <c r="DM152" s="1165"/>
      <c r="DN152" s="1165"/>
      <c r="DO152" s="1165"/>
      <c r="DP152" s="1165"/>
      <c r="DQ152" s="1165"/>
      <c r="DR152" s="1165"/>
      <c r="DS152" s="1165"/>
      <c r="DT152" s="1165"/>
      <c r="DU152" s="1165"/>
      <c r="DV152" s="1165"/>
      <c r="DW152" s="1165"/>
      <c r="DX152" s="1165"/>
      <c r="DY152" s="1165"/>
      <c r="DZ152" s="1165"/>
      <c r="EA152" s="1165"/>
      <c r="EB152" s="1165"/>
      <c r="EC152" s="1165"/>
      <c r="ED152" s="1165"/>
      <c r="EE152" s="1165"/>
      <c r="EF152" s="1165"/>
      <c r="EG152" s="1165"/>
      <c r="EH152" s="1165"/>
      <c r="EI152" s="1165"/>
      <c r="EJ152" s="1165"/>
      <c r="EK152" s="1165"/>
      <c r="EL152" s="1165"/>
      <c r="EM152" s="1165"/>
      <c r="EN152" s="1165"/>
      <c r="EO152" s="1165"/>
      <c r="EP152" s="1165"/>
      <c r="EQ152" s="1165"/>
      <c r="ER152" s="1165"/>
      <c r="ES152" s="1165"/>
      <c r="ET152" s="1165"/>
      <c r="EU152" s="1165"/>
      <c r="EV152" s="1165"/>
      <c r="EW152" s="1165"/>
      <c r="EX152" s="1165"/>
      <c r="EY152" s="1165"/>
      <c r="EZ152" s="1165"/>
      <c r="FA152" s="1165"/>
      <c r="FB152" s="1165"/>
      <c r="FC152" s="1165"/>
      <c r="FD152" s="1165"/>
      <c r="FE152" s="1165"/>
      <c r="FF152" s="1165"/>
    </row>
    <row r="153" spans="1:162">
      <c r="A153" s="1224"/>
      <c r="B153" s="1237" t="s">
        <v>701</v>
      </c>
      <c r="M153" s="1236">
        <f t="shared" ca="1" si="263"/>
        <v>0</v>
      </c>
      <c r="N153" s="1236">
        <f t="shared" ca="1" si="263"/>
        <v>0</v>
      </c>
      <c r="O153" s="1236">
        <f t="shared" ca="1" si="263"/>
        <v>0</v>
      </c>
      <c r="P153" s="1236">
        <f t="shared" ca="1" si="263"/>
        <v>0</v>
      </c>
      <c r="Q153" s="1236">
        <f t="shared" ca="1" si="263"/>
        <v>0</v>
      </c>
      <c r="R153" s="1224"/>
      <c r="S153" s="1224"/>
      <c r="T153" s="1224"/>
      <c r="U153" s="1224"/>
      <c r="V153" s="1224"/>
      <c r="W153" s="1224"/>
      <c r="X153" s="1224"/>
      <c r="Y153" s="1224"/>
      <c r="Z153" s="1224"/>
      <c r="AG153" s="1236">
        <f t="shared" si="203"/>
        <v>0</v>
      </c>
      <c r="AH153" s="1236">
        <f t="shared" si="204"/>
        <v>0</v>
      </c>
      <c r="AI153" s="1236">
        <f t="shared" si="205"/>
        <v>0</v>
      </c>
      <c r="AJ153" s="1236">
        <f t="shared" si="206"/>
        <v>0</v>
      </c>
      <c r="AK153" s="1236">
        <f t="shared" si="207"/>
        <v>0</v>
      </c>
      <c r="AL153" s="1236">
        <f t="shared" si="208"/>
        <v>0</v>
      </c>
      <c r="AM153" s="1236">
        <f t="shared" si="209"/>
        <v>0</v>
      </c>
      <c r="AN153" s="1236">
        <f t="shared" si="210"/>
        <v>0</v>
      </c>
      <c r="AO153" s="1236">
        <f t="shared" si="211"/>
        <v>0</v>
      </c>
      <c r="AP153" s="1236">
        <f t="shared" si="212"/>
        <v>0</v>
      </c>
      <c r="AQ153" s="1236">
        <f t="shared" si="213"/>
        <v>0</v>
      </c>
      <c r="AR153" s="1236">
        <f t="shared" si="214"/>
        <v>0</v>
      </c>
      <c r="AS153" s="1236">
        <f t="shared" si="215"/>
        <v>0</v>
      </c>
      <c r="AT153" s="1236">
        <f t="shared" si="216"/>
        <v>0</v>
      </c>
      <c r="AU153" s="1236">
        <f t="shared" si="217"/>
        <v>0</v>
      </c>
      <c r="AV153" s="1236">
        <f t="shared" si="218"/>
        <v>0</v>
      </c>
      <c r="AW153" s="1236">
        <f t="shared" si="219"/>
        <v>0</v>
      </c>
      <c r="AX153" s="1236">
        <f t="shared" si="220"/>
        <v>0</v>
      </c>
      <c r="AY153" s="1236">
        <f t="shared" si="221"/>
        <v>0</v>
      </c>
      <c r="AZ153" s="1236">
        <f t="shared" si="222"/>
        <v>0</v>
      </c>
      <c r="BA153" s="1236">
        <f t="shared" si="223"/>
        <v>0</v>
      </c>
      <c r="BB153" s="1236">
        <f t="shared" si="224"/>
        <v>0</v>
      </c>
      <c r="BC153" s="1236">
        <f t="shared" si="225"/>
        <v>0</v>
      </c>
      <c r="BD153" s="1236">
        <f t="shared" si="226"/>
        <v>0</v>
      </c>
      <c r="BE153" s="1236">
        <f t="shared" si="227"/>
        <v>0</v>
      </c>
      <c r="BF153" s="1236">
        <f t="shared" si="228"/>
        <v>0</v>
      </c>
      <c r="BG153" s="1236">
        <f t="shared" si="229"/>
        <v>0</v>
      </c>
      <c r="BH153" s="1236">
        <f t="shared" si="230"/>
        <v>0</v>
      </c>
      <c r="BI153" s="1236">
        <f t="shared" si="231"/>
        <v>0</v>
      </c>
      <c r="BJ153" s="1236">
        <f t="shared" si="232"/>
        <v>0</v>
      </c>
      <c r="BK153" s="1236">
        <f t="shared" si="233"/>
        <v>0</v>
      </c>
      <c r="BL153" s="1236">
        <f t="shared" si="234"/>
        <v>0</v>
      </c>
      <c r="BM153" s="1236">
        <f t="shared" si="235"/>
        <v>0</v>
      </c>
      <c r="BN153" s="1236">
        <f t="shared" si="236"/>
        <v>0</v>
      </c>
      <c r="BO153" s="1236">
        <f t="shared" si="237"/>
        <v>0</v>
      </c>
      <c r="BP153" s="1236">
        <f t="shared" si="238"/>
        <v>0</v>
      </c>
      <c r="BQ153" s="1236">
        <f t="shared" si="239"/>
        <v>0</v>
      </c>
      <c r="BR153" s="1236">
        <f t="shared" si="240"/>
        <v>0</v>
      </c>
      <c r="BS153" s="1236">
        <f t="shared" si="241"/>
        <v>0</v>
      </c>
      <c r="BT153" s="1236">
        <f t="shared" si="242"/>
        <v>0</v>
      </c>
      <c r="BU153" s="1236">
        <f t="shared" si="243"/>
        <v>0</v>
      </c>
      <c r="BV153" s="1236">
        <f t="shared" si="244"/>
        <v>0</v>
      </c>
      <c r="BW153" s="1236">
        <f t="shared" si="245"/>
        <v>0</v>
      </c>
      <c r="BX153" s="1236">
        <f t="shared" si="246"/>
        <v>0</v>
      </c>
      <c r="BY153" s="1236">
        <f t="shared" si="247"/>
        <v>0</v>
      </c>
      <c r="BZ153" s="1236">
        <f t="shared" si="248"/>
        <v>0</v>
      </c>
      <c r="CA153" s="1236">
        <f t="shared" si="249"/>
        <v>0</v>
      </c>
      <c r="CB153" s="1236">
        <f t="shared" si="250"/>
        <v>0</v>
      </c>
      <c r="CC153" s="1236">
        <f t="shared" si="251"/>
        <v>0</v>
      </c>
      <c r="CD153" s="1236">
        <f t="shared" si="252"/>
        <v>0</v>
      </c>
      <c r="CE153" s="1236">
        <f t="shared" si="253"/>
        <v>0</v>
      </c>
      <c r="CF153" s="1236">
        <f t="shared" si="254"/>
        <v>0</v>
      </c>
      <c r="CG153" s="1236">
        <f t="shared" si="255"/>
        <v>0</v>
      </c>
      <c r="CH153" s="1236">
        <f t="shared" si="256"/>
        <v>0</v>
      </c>
      <c r="CI153" s="1236">
        <f t="shared" si="257"/>
        <v>0</v>
      </c>
      <c r="CJ153" s="1236">
        <f t="shared" si="258"/>
        <v>0</v>
      </c>
      <c r="CK153" s="1236">
        <f t="shared" si="259"/>
        <v>0</v>
      </c>
      <c r="CL153" s="1236">
        <f t="shared" si="260"/>
        <v>0</v>
      </c>
      <c r="CM153" s="1236">
        <f t="shared" si="261"/>
        <v>0</v>
      </c>
      <c r="CN153" s="1236">
        <f t="shared" si="262"/>
        <v>0</v>
      </c>
      <c r="CO153" s="1165"/>
      <c r="CP153" s="1165"/>
      <c r="CQ153" s="1165"/>
      <c r="CR153" s="1165"/>
      <c r="CS153" s="1165"/>
      <c r="CT153" s="1165"/>
      <c r="CU153" s="1165"/>
      <c r="CV153" s="1165"/>
      <c r="CW153" s="1165"/>
      <c r="CX153" s="1165"/>
      <c r="CY153" s="1165"/>
      <c r="CZ153" s="1165"/>
      <c r="DA153" s="1165"/>
      <c r="DB153" s="1165"/>
      <c r="DC153" s="1165"/>
      <c r="DD153" s="1165"/>
      <c r="DE153" s="1165"/>
      <c r="DF153" s="1165"/>
      <c r="DG153" s="1165"/>
      <c r="DH153" s="1165"/>
      <c r="DI153" s="1165"/>
      <c r="DJ153" s="1165"/>
      <c r="DK153" s="1165"/>
      <c r="DL153" s="1165"/>
      <c r="DM153" s="1165"/>
      <c r="DN153" s="1165"/>
      <c r="DO153" s="1165"/>
      <c r="DP153" s="1165"/>
      <c r="DQ153" s="1165"/>
      <c r="DR153" s="1165"/>
      <c r="DS153" s="1165"/>
      <c r="DT153" s="1165"/>
      <c r="DU153" s="1165"/>
      <c r="DV153" s="1165"/>
      <c r="DW153" s="1165"/>
      <c r="DX153" s="1165"/>
      <c r="DY153" s="1165"/>
      <c r="DZ153" s="1165"/>
      <c r="EA153" s="1165"/>
      <c r="EB153" s="1165"/>
      <c r="EC153" s="1165"/>
      <c r="ED153" s="1165"/>
      <c r="EE153" s="1165"/>
      <c r="EF153" s="1165"/>
      <c r="EG153" s="1165"/>
      <c r="EH153" s="1165"/>
      <c r="EI153" s="1165"/>
      <c r="EJ153" s="1165"/>
      <c r="EK153" s="1165"/>
      <c r="EL153" s="1165"/>
      <c r="EM153" s="1165"/>
      <c r="EN153" s="1165"/>
      <c r="EO153" s="1165"/>
      <c r="EP153" s="1165"/>
      <c r="EQ153" s="1165"/>
      <c r="ER153" s="1165"/>
      <c r="ES153" s="1165"/>
      <c r="ET153" s="1165"/>
      <c r="EU153" s="1165"/>
      <c r="EV153" s="1165"/>
      <c r="EW153" s="1165"/>
      <c r="EX153" s="1165"/>
      <c r="EY153" s="1165"/>
      <c r="EZ153" s="1165"/>
      <c r="FA153" s="1165"/>
      <c r="FB153" s="1165"/>
      <c r="FC153" s="1165"/>
      <c r="FD153" s="1165"/>
      <c r="FE153" s="1165"/>
      <c r="FF153" s="1165"/>
    </row>
    <row r="154" spans="1:162" s="1231" customFormat="1">
      <c r="A154" s="1224"/>
      <c r="B154" s="1230" t="s">
        <v>55</v>
      </c>
      <c r="M154" s="1231">
        <f t="shared" ca="1" si="263"/>
        <v>0</v>
      </c>
      <c r="N154" s="1231">
        <f t="shared" ca="1" si="263"/>
        <v>0</v>
      </c>
      <c r="O154" s="1231">
        <f t="shared" ca="1" si="263"/>
        <v>0</v>
      </c>
      <c r="P154" s="1231">
        <f t="shared" ca="1" si="263"/>
        <v>0</v>
      </c>
      <c r="Q154" s="1231">
        <f t="shared" ca="1" si="263"/>
        <v>0</v>
      </c>
      <c r="R154" s="1231">
        <f>SUM(R151:R153)</f>
        <v>705.51424099999997</v>
      </c>
      <c r="S154" s="1231">
        <f t="shared" ref="S154:Z154" si="264">SUM(S151:S153)</f>
        <v>828.15600000000006</v>
      </c>
      <c r="T154" s="1231">
        <f t="shared" si="264"/>
        <v>597.17700000000002</v>
      </c>
      <c r="U154" s="1231">
        <f t="shared" si="264"/>
        <v>390.54700000000003</v>
      </c>
      <c r="V154" s="1231">
        <f t="shared" si="264"/>
        <v>162.054</v>
      </c>
      <c r="W154" s="1231">
        <f t="shared" si="264"/>
        <v>505.70000000000005</v>
      </c>
      <c r="X154" s="1231">
        <f t="shared" si="264"/>
        <v>687.06799999999998</v>
      </c>
      <c r="Y154" s="1231">
        <f t="shared" si="264"/>
        <v>440.60799999999995</v>
      </c>
      <c r="Z154" s="1231">
        <f t="shared" si="264"/>
        <v>1246.8029999999999</v>
      </c>
      <c r="AG154" s="1231">
        <f t="shared" si="203"/>
        <v>0</v>
      </c>
      <c r="AH154" s="1231">
        <f t="shared" si="204"/>
        <v>0</v>
      </c>
      <c r="AI154" s="1231">
        <f t="shared" si="205"/>
        <v>0</v>
      </c>
      <c r="AJ154" s="1231">
        <f t="shared" si="206"/>
        <v>0</v>
      </c>
      <c r="AK154" s="1231">
        <f t="shared" si="207"/>
        <v>0</v>
      </c>
      <c r="AL154" s="1231">
        <f t="shared" si="208"/>
        <v>0</v>
      </c>
      <c r="AM154" s="1231">
        <f t="shared" si="209"/>
        <v>0</v>
      </c>
      <c r="AN154" s="1231">
        <f t="shared" si="210"/>
        <v>0</v>
      </c>
      <c r="AO154" s="1231">
        <f t="shared" si="211"/>
        <v>0</v>
      </c>
      <c r="AP154" s="1231">
        <f t="shared" si="212"/>
        <v>0</v>
      </c>
      <c r="AQ154" s="1231">
        <f t="shared" si="213"/>
        <v>0</v>
      </c>
      <c r="AR154" s="1231">
        <f t="shared" si="214"/>
        <v>0</v>
      </c>
      <c r="AS154" s="1231">
        <f t="shared" si="215"/>
        <v>0</v>
      </c>
      <c r="AT154" s="1231">
        <f t="shared" si="216"/>
        <v>0</v>
      </c>
      <c r="AU154" s="1231">
        <f t="shared" si="217"/>
        <v>0</v>
      </c>
      <c r="AV154" s="1231">
        <f t="shared" si="218"/>
        <v>0</v>
      </c>
      <c r="AW154" s="1231">
        <f t="shared" si="219"/>
        <v>0</v>
      </c>
      <c r="AX154" s="1231">
        <f t="shared" si="220"/>
        <v>0</v>
      </c>
      <c r="AY154" s="1231">
        <f t="shared" si="221"/>
        <v>0</v>
      </c>
      <c r="AZ154" s="1231">
        <f t="shared" si="222"/>
        <v>0</v>
      </c>
      <c r="BA154" s="1231">
        <f t="shared" si="223"/>
        <v>0</v>
      </c>
      <c r="BB154" s="1231">
        <f t="shared" si="224"/>
        <v>0</v>
      </c>
      <c r="BC154" s="1231">
        <f t="shared" si="225"/>
        <v>0</v>
      </c>
      <c r="BD154" s="1231">
        <f t="shared" si="226"/>
        <v>0</v>
      </c>
      <c r="BE154" s="1231">
        <f t="shared" si="227"/>
        <v>0</v>
      </c>
      <c r="BF154" s="1231">
        <f t="shared" si="228"/>
        <v>0</v>
      </c>
      <c r="BG154" s="1231">
        <f t="shared" si="229"/>
        <v>0</v>
      </c>
      <c r="BH154" s="1231">
        <f t="shared" si="230"/>
        <v>0</v>
      </c>
      <c r="BI154" s="1231">
        <f t="shared" si="231"/>
        <v>0</v>
      </c>
      <c r="BJ154" s="1231">
        <f t="shared" si="232"/>
        <v>0</v>
      </c>
      <c r="BK154" s="1231">
        <f t="shared" si="233"/>
        <v>0</v>
      </c>
      <c r="BL154" s="1231">
        <f t="shared" si="234"/>
        <v>0</v>
      </c>
      <c r="BM154" s="1231">
        <f t="shared" si="235"/>
        <v>0</v>
      </c>
      <c r="BN154" s="1231">
        <f t="shared" si="236"/>
        <v>0</v>
      </c>
      <c r="BO154" s="1231">
        <f t="shared" si="237"/>
        <v>0</v>
      </c>
      <c r="BP154" s="1231">
        <f t="shared" si="238"/>
        <v>0</v>
      </c>
      <c r="BQ154" s="1231">
        <f t="shared" si="239"/>
        <v>0</v>
      </c>
      <c r="BR154" s="1231">
        <f t="shared" si="240"/>
        <v>0</v>
      </c>
      <c r="BS154" s="1231">
        <f t="shared" si="241"/>
        <v>0</v>
      </c>
      <c r="BT154" s="1231">
        <f t="shared" si="242"/>
        <v>0</v>
      </c>
      <c r="BU154" s="1231">
        <f t="shared" si="243"/>
        <v>0</v>
      </c>
      <c r="BV154" s="1231">
        <f t="shared" si="244"/>
        <v>0</v>
      </c>
      <c r="BW154" s="1231">
        <f t="shared" si="245"/>
        <v>0</v>
      </c>
      <c r="BX154" s="1231">
        <f t="shared" si="246"/>
        <v>0</v>
      </c>
      <c r="BY154" s="1231">
        <f t="shared" si="247"/>
        <v>0</v>
      </c>
      <c r="BZ154" s="1231">
        <f t="shared" si="248"/>
        <v>0</v>
      </c>
      <c r="CA154" s="1231">
        <f t="shared" si="249"/>
        <v>0</v>
      </c>
      <c r="CB154" s="1231">
        <f t="shared" si="250"/>
        <v>0</v>
      </c>
      <c r="CC154" s="1231">
        <f t="shared" si="251"/>
        <v>0</v>
      </c>
      <c r="CD154" s="1231">
        <f t="shared" si="252"/>
        <v>0</v>
      </c>
      <c r="CE154" s="1231">
        <f t="shared" si="253"/>
        <v>0</v>
      </c>
      <c r="CF154" s="1231">
        <f t="shared" si="254"/>
        <v>0</v>
      </c>
      <c r="CG154" s="1231">
        <f t="shared" si="255"/>
        <v>0</v>
      </c>
      <c r="CH154" s="1231">
        <f t="shared" si="256"/>
        <v>0</v>
      </c>
      <c r="CI154" s="1231">
        <f t="shared" si="257"/>
        <v>0</v>
      </c>
      <c r="CJ154" s="1231">
        <f t="shared" si="258"/>
        <v>0</v>
      </c>
      <c r="CK154" s="1231">
        <f t="shared" si="259"/>
        <v>0</v>
      </c>
      <c r="CL154" s="1231">
        <f t="shared" si="260"/>
        <v>0</v>
      </c>
      <c r="CM154" s="1231">
        <f t="shared" si="261"/>
        <v>0</v>
      </c>
      <c r="CN154" s="1231">
        <f t="shared" si="262"/>
        <v>0</v>
      </c>
      <c r="CQ154" s="1165"/>
      <c r="CR154" s="1165"/>
      <c r="CS154" s="1165"/>
      <c r="CT154" s="1165"/>
      <c r="CU154" s="1165"/>
      <c r="CV154" s="1165"/>
      <c r="CW154" s="1165"/>
      <c r="CX154" s="1165"/>
      <c r="CY154" s="1165"/>
      <c r="CZ154" s="1165"/>
      <c r="DA154" s="1165"/>
      <c r="DB154" s="1165"/>
      <c r="DC154" s="1165"/>
      <c r="DD154" s="1165"/>
      <c r="DE154" s="1165"/>
      <c r="DF154" s="1165"/>
      <c r="DG154" s="1165"/>
      <c r="DH154" s="1165"/>
      <c r="DI154" s="1165"/>
      <c r="DJ154" s="1165"/>
      <c r="DK154" s="1232"/>
      <c r="DL154" s="1232"/>
      <c r="DM154" s="1232"/>
      <c r="DN154" s="1232"/>
      <c r="DO154" s="1232"/>
      <c r="DP154" s="1232"/>
      <c r="DQ154" s="1232"/>
      <c r="DR154" s="1232"/>
      <c r="DS154" s="1232"/>
      <c r="DT154" s="1232"/>
      <c r="DU154" s="1232"/>
      <c r="DV154" s="1232"/>
      <c r="DW154" s="1232"/>
      <c r="DX154" s="1232"/>
      <c r="DY154" s="1232"/>
      <c r="DZ154" s="1232"/>
      <c r="EA154" s="1232"/>
      <c r="EB154" s="1232"/>
      <c r="EC154" s="1232"/>
      <c r="ED154" s="1232"/>
      <c r="EE154" s="1232"/>
      <c r="EF154" s="1232"/>
      <c r="EG154" s="1232"/>
      <c r="EH154" s="1232"/>
      <c r="EI154" s="1232"/>
      <c r="EJ154" s="1232"/>
      <c r="EK154" s="1232"/>
      <c r="EL154" s="1232"/>
      <c r="EM154" s="1232"/>
      <c r="EN154" s="1232"/>
      <c r="EO154" s="1232"/>
      <c r="EP154" s="1232"/>
      <c r="EQ154" s="1232"/>
      <c r="ER154" s="1232"/>
      <c r="ES154" s="1232"/>
      <c r="ET154" s="1232"/>
      <c r="EU154" s="1165"/>
      <c r="EV154" s="1165"/>
      <c r="EW154" s="1165"/>
      <c r="EX154" s="1165"/>
      <c r="EY154" s="1165"/>
      <c r="EZ154" s="1165"/>
      <c r="FA154" s="1165"/>
      <c r="FB154" s="1165"/>
      <c r="FC154" s="1165"/>
      <c r="FD154" s="1165"/>
      <c r="FE154" s="1165"/>
      <c r="FF154" s="1165"/>
    </row>
    <row r="155" spans="1:162">
      <c r="A155" s="1224"/>
      <c r="CQ155" s="1165"/>
      <c r="CR155" s="1165"/>
      <c r="CS155" s="1165"/>
      <c r="CT155" s="1165"/>
      <c r="CU155" s="1165"/>
      <c r="CV155" s="1165"/>
      <c r="CW155" s="1165"/>
      <c r="CX155" s="1165"/>
      <c r="CY155" s="1165"/>
      <c r="CZ155" s="1165"/>
      <c r="DA155" s="1165"/>
      <c r="DB155" s="1165"/>
      <c r="DC155" s="1165"/>
      <c r="DD155" s="1165"/>
      <c r="DE155" s="1165"/>
      <c r="DF155" s="1165"/>
      <c r="DG155" s="1165"/>
      <c r="DH155" s="1165"/>
      <c r="DI155" s="1165"/>
      <c r="DJ155" s="1165"/>
      <c r="DK155" s="1165"/>
      <c r="DL155" s="1165"/>
      <c r="DM155" s="1165"/>
      <c r="DN155" s="1165"/>
      <c r="DO155" s="1165"/>
      <c r="DP155" s="1165"/>
      <c r="DQ155" s="1165"/>
      <c r="DR155" s="1165"/>
      <c r="DS155" s="1165"/>
      <c r="DT155" s="1165"/>
      <c r="DU155" s="1165"/>
      <c r="DV155" s="1165"/>
      <c r="DW155" s="1165"/>
      <c r="DX155" s="1165"/>
      <c r="DY155" s="1165"/>
      <c r="DZ155" s="1165"/>
      <c r="EA155" s="1165"/>
      <c r="EB155" s="1165"/>
      <c r="EC155" s="1165"/>
      <c r="ED155" s="1165"/>
      <c r="EE155" s="1165"/>
      <c r="EF155" s="1165"/>
      <c r="EG155" s="1165"/>
      <c r="EH155" s="1165"/>
      <c r="EI155" s="1165"/>
      <c r="EJ155" s="1165"/>
      <c r="EK155" s="1165"/>
      <c r="EL155" s="1165"/>
      <c r="EM155" s="1165"/>
      <c r="EN155" s="1165"/>
      <c r="EO155" s="1165"/>
      <c r="EP155" s="1165"/>
      <c r="EQ155" s="1165"/>
      <c r="ER155" s="1165"/>
      <c r="ES155" s="1165"/>
      <c r="ET155" s="1165"/>
      <c r="EU155" s="1165"/>
      <c r="EV155" s="1165"/>
      <c r="EW155" s="1165"/>
      <c r="EX155" s="1165"/>
      <c r="EY155" s="1165"/>
      <c r="EZ155" s="1165"/>
      <c r="FA155" s="1165"/>
      <c r="FB155" s="1165"/>
      <c r="FC155" s="1165"/>
      <c r="FD155" s="1165"/>
      <c r="FE155" s="1165"/>
      <c r="FF155" s="1165"/>
    </row>
    <row r="156" spans="1:162">
      <c r="A156" s="1224"/>
      <c r="B156" s="1237" t="s">
        <v>209</v>
      </c>
      <c r="M156" s="1236">
        <f t="shared" ref="M156:V163" ca="1" si="265">OFFSET($CT156,0,M$7)</f>
        <v>0</v>
      </c>
      <c r="N156" s="1236">
        <f t="shared" ca="1" si="265"/>
        <v>0</v>
      </c>
      <c r="O156" s="1236">
        <f t="shared" ca="1" si="265"/>
        <v>0</v>
      </c>
      <c r="P156" s="1236">
        <f t="shared" ca="1" si="265"/>
        <v>0</v>
      </c>
      <c r="Q156" s="1236">
        <f t="shared" ca="1" si="265"/>
        <v>0</v>
      </c>
      <c r="R156" s="1236">
        <f t="shared" ca="1" si="265"/>
        <v>0</v>
      </c>
      <c r="S156" s="1236">
        <f t="shared" ca="1" si="265"/>
        <v>0</v>
      </c>
      <c r="T156" s="1236">
        <f t="shared" ca="1" si="265"/>
        <v>0</v>
      </c>
      <c r="U156" s="1236">
        <f t="shared" ca="1" si="265"/>
        <v>0</v>
      </c>
      <c r="V156" s="1236">
        <f t="shared" ca="1" si="265"/>
        <v>0</v>
      </c>
      <c r="W156" s="1236">
        <f t="shared" ref="W156:Y162" ca="1" si="266">OFFSET($CT156,0,W$7)</f>
        <v>0</v>
      </c>
      <c r="X156" s="1236">
        <f t="shared" ca="1" si="266"/>
        <v>0</v>
      </c>
      <c r="Y156" s="1236">
        <f t="shared" ca="1" si="266"/>
        <v>0</v>
      </c>
      <c r="AG156" s="1236">
        <f t="shared" si="203"/>
        <v>0</v>
      </c>
      <c r="AH156" s="1236">
        <f t="shared" si="204"/>
        <v>0</v>
      </c>
      <c r="AI156" s="1236">
        <f t="shared" si="205"/>
        <v>0</v>
      </c>
      <c r="AJ156" s="1236">
        <f t="shared" si="206"/>
        <v>0</v>
      </c>
      <c r="AK156" s="1236">
        <f t="shared" si="207"/>
        <v>0</v>
      </c>
      <c r="AL156" s="1236">
        <f t="shared" si="208"/>
        <v>0</v>
      </c>
      <c r="AM156" s="1236">
        <f t="shared" si="209"/>
        <v>0</v>
      </c>
      <c r="AN156" s="1236">
        <f t="shared" si="210"/>
        <v>0</v>
      </c>
      <c r="AO156" s="1236">
        <f t="shared" si="211"/>
        <v>0</v>
      </c>
      <c r="AP156" s="1236">
        <f t="shared" si="212"/>
        <v>0</v>
      </c>
      <c r="AQ156" s="1236">
        <f t="shared" si="213"/>
        <v>0</v>
      </c>
      <c r="AR156" s="1236">
        <f t="shared" si="214"/>
        <v>0</v>
      </c>
      <c r="AS156" s="1236">
        <f t="shared" si="215"/>
        <v>0</v>
      </c>
      <c r="AT156" s="1236">
        <f t="shared" si="216"/>
        <v>0</v>
      </c>
      <c r="AU156" s="1236">
        <f t="shared" si="217"/>
        <v>0</v>
      </c>
      <c r="AV156" s="1236">
        <f t="shared" si="218"/>
        <v>0</v>
      </c>
      <c r="AW156" s="1236">
        <f t="shared" si="219"/>
        <v>0</v>
      </c>
      <c r="AX156" s="1236">
        <f t="shared" si="220"/>
        <v>0</v>
      </c>
      <c r="AY156" s="1236">
        <f t="shared" si="221"/>
        <v>0</v>
      </c>
      <c r="AZ156" s="1236">
        <f t="shared" si="222"/>
        <v>0</v>
      </c>
      <c r="BA156" s="1236">
        <f t="shared" si="223"/>
        <v>0</v>
      </c>
      <c r="BB156" s="1236">
        <f t="shared" si="224"/>
        <v>0</v>
      </c>
      <c r="BC156" s="1236">
        <f t="shared" si="225"/>
        <v>0</v>
      </c>
      <c r="BD156" s="1236">
        <f t="shared" si="226"/>
        <v>0</v>
      </c>
      <c r="BE156" s="1236">
        <f t="shared" si="227"/>
        <v>0</v>
      </c>
      <c r="BF156" s="1236">
        <f t="shared" si="228"/>
        <v>0</v>
      </c>
      <c r="BG156" s="1236">
        <f t="shared" si="229"/>
        <v>0</v>
      </c>
      <c r="BH156" s="1236">
        <f t="shared" si="230"/>
        <v>0</v>
      </c>
      <c r="BI156" s="1236">
        <f t="shared" si="231"/>
        <v>0</v>
      </c>
      <c r="BJ156" s="1236">
        <f t="shared" si="232"/>
        <v>0</v>
      </c>
      <c r="BK156" s="1236">
        <f t="shared" si="233"/>
        <v>0</v>
      </c>
      <c r="BL156" s="1236">
        <f t="shared" si="234"/>
        <v>0</v>
      </c>
      <c r="BM156" s="1236">
        <f t="shared" si="235"/>
        <v>0</v>
      </c>
      <c r="BN156" s="1236">
        <f t="shared" si="236"/>
        <v>0</v>
      </c>
      <c r="BO156" s="1236">
        <f t="shared" si="237"/>
        <v>0</v>
      </c>
      <c r="BP156" s="1236">
        <f t="shared" si="238"/>
        <v>0</v>
      </c>
      <c r="BQ156" s="1236">
        <f t="shared" si="239"/>
        <v>0</v>
      </c>
      <c r="BR156" s="1236">
        <f t="shared" si="240"/>
        <v>0</v>
      </c>
      <c r="BS156" s="1236">
        <f t="shared" si="241"/>
        <v>0</v>
      </c>
      <c r="BT156" s="1236">
        <f t="shared" si="242"/>
        <v>0</v>
      </c>
      <c r="BU156" s="1236">
        <f t="shared" si="243"/>
        <v>0</v>
      </c>
      <c r="BV156" s="1236">
        <f t="shared" si="244"/>
        <v>0</v>
      </c>
      <c r="BW156" s="1236">
        <f t="shared" si="245"/>
        <v>0</v>
      </c>
      <c r="BX156" s="1236">
        <f t="shared" si="246"/>
        <v>0</v>
      </c>
      <c r="BY156" s="1236">
        <f t="shared" si="247"/>
        <v>0</v>
      </c>
      <c r="BZ156" s="1236">
        <f t="shared" si="248"/>
        <v>0</v>
      </c>
      <c r="CA156" s="1236">
        <f t="shared" si="249"/>
        <v>0</v>
      </c>
      <c r="CB156" s="1236">
        <f t="shared" si="250"/>
        <v>0</v>
      </c>
      <c r="CC156" s="1236">
        <f t="shared" si="251"/>
        <v>0</v>
      </c>
      <c r="CD156" s="1236">
        <f t="shared" si="252"/>
        <v>0</v>
      </c>
      <c r="CE156" s="1236">
        <f t="shared" si="253"/>
        <v>0</v>
      </c>
      <c r="CF156" s="1236">
        <f t="shared" si="254"/>
        <v>0</v>
      </c>
      <c r="CG156" s="1236">
        <f t="shared" si="255"/>
        <v>0</v>
      </c>
      <c r="CH156" s="1236">
        <f t="shared" si="256"/>
        <v>0</v>
      </c>
      <c r="CI156" s="1236">
        <f t="shared" si="257"/>
        <v>0</v>
      </c>
      <c r="CJ156" s="1236">
        <f t="shared" si="258"/>
        <v>0</v>
      </c>
      <c r="CK156" s="1236">
        <f t="shared" si="259"/>
        <v>0</v>
      </c>
      <c r="CL156" s="1236">
        <f t="shared" si="260"/>
        <v>0</v>
      </c>
      <c r="CM156" s="1236">
        <f t="shared" si="261"/>
        <v>0</v>
      </c>
      <c r="CN156" s="1236">
        <f t="shared" si="262"/>
        <v>0</v>
      </c>
      <c r="CQ156" s="1165"/>
      <c r="CR156" s="1165"/>
      <c r="CS156" s="1165"/>
      <c r="CT156" s="1165"/>
      <c r="CU156" s="1165"/>
      <c r="CV156" s="1165"/>
      <c r="CW156" s="1165"/>
      <c r="CX156" s="1165"/>
      <c r="CY156" s="1165"/>
      <c r="CZ156" s="1165"/>
      <c r="DA156" s="1165"/>
      <c r="DB156" s="1165"/>
      <c r="DC156" s="1165"/>
      <c r="DD156" s="1165"/>
      <c r="DE156" s="1165"/>
      <c r="DF156" s="1165"/>
      <c r="DG156" s="1165"/>
      <c r="DH156" s="1165"/>
      <c r="DI156" s="1165"/>
      <c r="DJ156" s="1165"/>
      <c r="DK156" s="1165"/>
      <c r="DL156" s="1165"/>
      <c r="DM156" s="1165"/>
      <c r="DN156" s="1165"/>
      <c r="DO156" s="1165"/>
      <c r="DP156" s="1165"/>
      <c r="DQ156" s="1165"/>
      <c r="DR156" s="1165"/>
      <c r="DS156" s="1165"/>
      <c r="DT156" s="1165"/>
      <c r="DU156" s="1165"/>
      <c r="DV156" s="1165"/>
      <c r="DW156" s="1165"/>
      <c r="DX156" s="1165"/>
      <c r="DY156" s="1165"/>
      <c r="DZ156" s="1165"/>
      <c r="EA156" s="1165"/>
      <c r="EB156" s="1165"/>
      <c r="EC156" s="1165"/>
      <c r="ED156" s="1165"/>
      <c r="EE156" s="1165"/>
      <c r="EF156" s="1165"/>
      <c r="EG156" s="1165"/>
      <c r="EH156" s="1165"/>
      <c r="EI156" s="1165"/>
      <c r="EJ156" s="1165"/>
      <c r="EK156" s="1165"/>
      <c r="EL156" s="1165"/>
      <c r="EM156" s="1165"/>
      <c r="EN156" s="1165"/>
      <c r="EO156" s="1165"/>
      <c r="EP156" s="1165"/>
      <c r="EQ156" s="1165"/>
      <c r="ER156" s="1165"/>
      <c r="ES156" s="1165"/>
      <c r="ET156" s="1165"/>
      <c r="EU156" s="1165"/>
      <c r="EV156" s="1165"/>
      <c r="EW156" s="1165"/>
      <c r="EX156" s="1165"/>
      <c r="EY156" s="1165"/>
      <c r="EZ156" s="1165"/>
      <c r="FA156" s="1165"/>
      <c r="FB156" s="1165"/>
      <c r="FC156" s="1165"/>
      <c r="FD156" s="1165"/>
      <c r="FE156" s="1165"/>
      <c r="FF156" s="1165"/>
    </row>
    <row r="157" spans="1:162">
      <c r="A157" s="1224"/>
      <c r="B157" s="1237" t="s">
        <v>210</v>
      </c>
      <c r="M157" s="1236">
        <f t="shared" ca="1" si="265"/>
        <v>0</v>
      </c>
      <c r="N157" s="1236">
        <f t="shared" ca="1" si="265"/>
        <v>0</v>
      </c>
      <c r="O157" s="1236">
        <f t="shared" ca="1" si="265"/>
        <v>0</v>
      </c>
      <c r="P157" s="1236">
        <f t="shared" ca="1" si="265"/>
        <v>0</v>
      </c>
      <c r="Q157" s="1236">
        <f t="shared" ca="1" si="265"/>
        <v>0</v>
      </c>
      <c r="R157" s="1236">
        <f t="shared" ca="1" si="265"/>
        <v>0</v>
      </c>
      <c r="S157" s="1236">
        <f t="shared" ca="1" si="265"/>
        <v>0</v>
      </c>
      <c r="T157" s="1236">
        <f t="shared" ca="1" si="265"/>
        <v>0</v>
      </c>
      <c r="U157" s="1236">
        <f t="shared" ca="1" si="265"/>
        <v>0</v>
      </c>
      <c r="V157" s="1236">
        <f t="shared" ca="1" si="265"/>
        <v>0</v>
      </c>
      <c r="W157" s="1236">
        <f t="shared" ca="1" si="266"/>
        <v>0</v>
      </c>
      <c r="X157" s="1236">
        <f t="shared" ca="1" si="266"/>
        <v>0</v>
      </c>
      <c r="Y157" s="1236">
        <f t="shared" ca="1" si="266"/>
        <v>0</v>
      </c>
      <c r="AG157" s="1236">
        <f t="shared" si="203"/>
        <v>0</v>
      </c>
      <c r="AH157" s="1236">
        <f t="shared" si="204"/>
        <v>0</v>
      </c>
      <c r="AI157" s="1236">
        <f t="shared" si="205"/>
        <v>0</v>
      </c>
      <c r="AJ157" s="1236">
        <f t="shared" si="206"/>
        <v>0</v>
      </c>
      <c r="AK157" s="1236">
        <f t="shared" si="207"/>
        <v>0</v>
      </c>
      <c r="AL157" s="1236">
        <f t="shared" si="208"/>
        <v>0</v>
      </c>
      <c r="AM157" s="1236">
        <f t="shared" si="209"/>
        <v>0</v>
      </c>
      <c r="AN157" s="1236">
        <f t="shared" si="210"/>
        <v>0</v>
      </c>
      <c r="AO157" s="1236">
        <f t="shared" si="211"/>
        <v>0</v>
      </c>
      <c r="AP157" s="1236">
        <f t="shared" si="212"/>
        <v>0</v>
      </c>
      <c r="AQ157" s="1236">
        <f t="shared" si="213"/>
        <v>0</v>
      </c>
      <c r="AR157" s="1236">
        <f t="shared" si="214"/>
        <v>0</v>
      </c>
      <c r="AS157" s="1236">
        <f t="shared" si="215"/>
        <v>0</v>
      </c>
      <c r="AT157" s="1236">
        <f t="shared" si="216"/>
        <v>0</v>
      </c>
      <c r="AU157" s="1236">
        <f t="shared" si="217"/>
        <v>0</v>
      </c>
      <c r="AV157" s="1236">
        <f t="shared" si="218"/>
        <v>0</v>
      </c>
      <c r="AW157" s="1236">
        <f t="shared" si="219"/>
        <v>0</v>
      </c>
      <c r="AX157" s="1236">
        <f t="shared" si="220"/>
        <v>0</v>
      </c>
      <c r="AY157" s="1236">
        <f t="shared" si="221"/>
        <v>0</v>
      </c>
      <c r="AZ157" s="1236">
        <f t="shared" si="222"/>
        <v>0</v>
      </c>
      <c r="BA157" s="1236">
        <f t="shared" si="223"/>
        <v>0</v>
      </c>
      <c r="BB157" s="1236">
        <f t="shared" si="224"/>
        <v>0</v>
      </c>
      <c r="BC157" s="1236">
        <f t="shared" si="225"/>
        <v>0</v>
      </c>
      <c r="BD157" s="1236">
        <f t="shared" si="226"/>
        <v>0</v>
      </c>
      <c r="BE157" s="1236">
        <f t="shared" si="227"/>
        <v>0</v>
      </c>
      <c r="BF157" s="1236">
        <f t="shared" si="228"/>
        <v>0</v>
      </c>
      <c r="BG157" s="1236">
        <f t="shared" si="229"/>
        <v>0</v>
      </c>
      <c r="BH157" s="1236">
        <f t="shared" si="230"/>
        <v>0</v>
      </c>
      <c r="BI157" s="1236">
        <f t="shared" si="231"/>
        <v>0</v>
      </c>
      <c r="BJ157" s="1236">
        <f t="shared" si="232"/>
        <v>0</v>
      </c>
      <c r="BK157" s="1236">
        <f t="shared" si="233"/>
        <v>0</v>
      </c>
      <c r="BL157" s="1236">
        <f t="shared" si="234"/>
        <v>0</v>
      </c>
      <c r="BM157" s="1236">
        <f t="shared" si="235"/>
        <v>0</v>
      </c>
      <c r="BN157" s="1236">
        <f t="shared" si="236"/>
        <v>0</v>
      </c>
      <c r="BO157" s="1236">
        <f t="shared" si="237"/>
        <v>0</v>
      </c>
      <c r="BP157" s="1236">
        <f t="shared" si="238"/>
        <v>0</v>
      </c>
      <c r="BQ157" s="1236">
        <f t="shared" si="239"/>
        <v>0</v>
      </c>
      <c r="BR157" s="1236">
        <f t="shared" si="240"/>
        <v>0</v>
      </c>
      <c r="BS157" s="1236">
        <f t="shared" si="241"/>
        <v>0</v>
      </c>
      <c r="BT157" s="1236">
        <f t="shared" si="242"/>
        <v>0</v>
      </c>
      <c r="BU157" s="1236">
        <f t="shared" si="243"/>
        <v>0</v>
      </c>
      <c r="BV157" s="1236">
        <f t="shared" si="244"/>
        <v>0</v>
      </c>
      <c r="BW157" s="1236">
        <f t="shared" si="245"/>
        <v>0</v>
      </c>
      <c r="BX157" s="1236">
        <f t="shared" si="246"/>
        <v>0</v>
      </c>
      <c r="BY157" s="1236">
        <f t="shared" si="247"/>
        <v>0</v>
      </c>
      <c r="BZ157" s="1236">
        <f t="shared" si="248"/>
        <v>0</v>
      </c>
      <c r="CA157" s="1236">
        <f t="shared" si="249"/>
        <v>0</v>
      </c>
      <c r="CB157" s="1236">
        <f t="shared" si="250"/>
        <v>0</v>
      </c>
      <c r="CC157" s="1236">
        <f t="shared" si="251"/>
        <v>0</v>
      </c>
      <c r="CD157" s="1236">
        <f t="shared" si="252"/>
        <v>0</v>
      </c>
      <c r="CE157" s="1236">
        <f t="shared" si="253"/>
        <v>0</v>
      </c>
      <c r="CF157" s="1236">
        <f t="shared" si="254"/>
        <v>0</v>
      </c>
      <c r="CG157" s="1236">
        <f t="shared" si="255"/>
        <v>0</v>
      </c>
      <c r="CH157" s="1236">
        <f t="shared" si="256"/>
        <v>0</v>
      </c>
      <c r="CI157" s="1236">
        <f t="shared" si="257"/>
        <v>0</v>
      </c>
      <c r="CJ157" s="1236">
        <f t="shared" si="258"/>
        <v>0</v>
      </c>
      <c r="CK157" s="1236">
        <f t="shared" si="259"/>
        <v>0</v>
      </c>
      <c r="CL157" s="1236">
        <f t="shared" si="260"/>
        <v>0</v>
      </c>
      <c r="CM157" s="1236">
        <f t="shared" si="261"/>
        <v>0</v>
      </c>
      <c r="CN157" s="1236">
        <f t="shared" si="262"/>
        <v>0</v>
      </c>
      <c r="CQ157" s="1165"/>
      <c r="CR157" s="1165"/>
      <c r="CS157" s="1165"/>
      <c r="CT157" s="1165"/>
      <c r="CU157" s="1165"/>
      <c r="CV157" s="1165"/>
      <c r="CW157" s="1165"/>
      <c r="CX157" s="1165"/>
      <c r="CY157" s="1165"/>
      <c r="CZ157" s="1165"/>
      <c r="DA157" s="1165"/>
      <c r="DB157" s="1165"/>
      <c r="DC157" s="1165"/>
      <c r="DD157" s="1165"/>
      <c r="DE157" s="1165"/>
      <c r="DF157" s="1165"/>
      <c r="DG157" s="1165"/>
      <c r="DH157" s="1165"/>
      <c r="DI157" s="1165"/>
      <c r="DJ157" s="1165"/>
      <c r="DK157" s="1165"/>
      <c r="DL157" s="1165"/>
      <c r="DM157" s="1165"/>
      <c r="DN157" s="1165"/>
      <c r="DO157" s="1165"/>
      <c r="DP157" s="1165"/>
      <c r="DQ157" s="1165"/>
      <c r="DR157" s="1165"/>
      <c r="DS157" s="1165"/>
      <c r="DT157" s="1165"/>
      <c r="DU157" s="1165"/>
      <c r="DV157" s="1165"/>
      <c r="DW157" s="1165"/>
      <c r="DX157" s="1165"/>
      <c r="DY157" s="1165"/>
      <c r="DZ157" s="1165"/>
      <c r="EA157" s="1165"/>
      <c r="EB157" s="1165"/>
      <c r="EC157" s="1165"/>
      <c r="ED157" s="1165"/>
      <c r="EE157" s="1165"/>
      <c r="EF157" s="1165"/>
      <c r="EG157" s="1165"/>
      <c r="EH157" s="1165"/>
      <c r="EI157" s="1165"/>
      <c r="EJ157" s="1165"/>
      <c r="EK157" s="1165"/>
      <c r="EL157" s="1165"/>
      <c r="EM157" s="1165"/>
      <c r="EN157" s="1165"/>
      <c r="EO157" s="1165"/>
      <c r="EP157" s="1165"/>
      <c r="EQ157" s="1165"/>
      <c r="ER157" s="1165"/>
      <c r="ES157" s="1165"/>
      <c r="ET157" s="1165"/>
      <c r="EU157" s="1165"/>
      <c r="EV157" s="1165"/>
      <c r="EW157" s="1165"/>
      <c r="EX157" s="1165"/>
      <c r="EY157" s="1165"/>
      <c r="EZ157" s="1165"/>
      <c r="FA157" s="1165"/>
      <c r="FB157" s="1165"/>
      <c r="FC157" s="1165"/>
      <c r="FD157" s="1165"/>
      <c r="FE157" s="1165"/>
      <c r="FF157" s="1165"/>
    </row>
    <row r="158" spans="1:162">
      <c r="A158" s="1224"/>
      <c r="B158" s="1237" t="s">
        <v>211</v>
      </c>
      <c r="M158" s="1236">
        <f t="shared" ca="1" si="265"/>
        <v>0</v>
      </c>
      <c r="N158" s="1236">
        <f t="shared" ca="1" si="265"/>
        <v>0</v>
      </c>
      <c r="O158" s="1236">
        <f t="shared" ca="1" si="265"/>
        <v>0</v>
      </c>
      <c r="P158" s="1236">
        <f t="shared" ca="1" si="265"/>
        <v>0</v>
      </c>
      <c r="Q158" s="1236">
        <f t="shared" ca="1" si="265"/>
        <v>0</v>
      </c>
      <c r="R158" s="1236">
        <f t="shared" ca="1" si="265"/>
        <v>0</v>
      </c>
      <c r="S158" s="1236">
        <f t="shared" ca="1" si="265"/>
        <v>0</v>
      </c>
      <c r="T158" s="1236">
        <f t="shared" ca="1" si="265"/>
        <v>0</v>
      </c>
      <c r="U158" s="1236">
        <f t="shared" ca="1" si="265"/>
        <v>0</v>
      </c>
      <c r="V158" s="1236">
        <f t="shared" ca="1" si="265"/>
        <v>0</v>
      </c>
      <c r="W158" s="1236">
        <f t="shared" ca="1" si="266"/>
        <v>0</v>
      </c>
      <c r="X158" s="1236">
        <f t="shared" ca="1" si="266"/>
        <v>0</v>
      </c>
      <c r="Y158" s="1236">
        <f t="shared" ca="1" si="266"/>
        <v>0</v>
      </c>
      <c r="AG158" s="1236">
        <f t="shared" si="203"/>
        <v>0</v>
      </c>
      <c r="AH158" s="1236">
        <f t="shared" si="204"/>
        <v>0</v>
      </c>
      <c r="AI158" s="1236">
        <f t="shared" si="205"/>
        <v>0</v>
      </c>
      <c r="AJ158" s="1236">
        <f t="shared" si="206"/>
        <v>0</v>
      </c>
      <c r="AK158" s="1236">
        <f t="shared" si="207"/>
        <v>0</v>
      </c>
      <c r="AL158" s="1236">
        <f t="shared" si="208"/>
        <v>0</v>
      </c>
      <c r="AM158" s="1236">
        <f t="shared" si="209"/>
        <v>0</v>
      </c>
      <c r="AN158" s="1236">
        <f t="shared" si="210"/>
        <v>0</v>
      </c>
      <c r="AO158" s="1236">
        <f t="shared" si="211"/>
        <v>0</v>
      </c>
      <c r="AP158" s="1236">
        <f t="shared" si="212"/>
        <v>0</v>
      </c>
      <c r="AQ158" s="1236">
        <f t="shared" si="213"/>
        <v>0</v>
      </c>
      <c r="AR158" s="1236">
        <f t="shared" si="214"/>
        <v>0</v>
      </c>
      <c r="AS158" s="1236">
        <f t="shared" si="215"/>
        <v>0</v>
      </c>
      <c r="AT158" s="1236">
        <f t="shared" si="216"/>
        <v>0</v>
      </c>
      <c r="AU158" s="1236">
        <f t="shared" si="217"/>
        <v>0</v>
      </c>
      <c r="AV158" s="1236">
        <f t="shared" si="218"/>
        <v>0</v>
      </c>
      <c r="AW158" s="1236">
        <f t="shared" si="219"/>
        <v>0</v>
      </c>
      <c r="AX158" s="1236">
        <f t="shared" si="220"/>
        <v>0</v>
      </c>
      <c r="AY158" s="1236">
        <f t="shared" si="221"/>
        <v>0</v>
      </c>
      <c r="AZ158" s="1236">
        <f t="shared" si="222"/>
        <v>0</v>
      </c>
      <c r="BA158" s="1236">
        <f t="shared" si="223"/>
        <v>0</v>
      </c>
      <c r="BB158" s="1236">
        <f t="shared" si="224"/>
        <v>0</v>
      </c>
      <c r="BC158" s="1236">
        <f t="shared" si="225"/>
        <v>0</v>
      </c>
      <c r="BD158" s="1236">
        <f t="shared" si="226"/>
        <v>0</v>
      </c>
      <c r="BE158" s="1236">
        <f t="shared" si="227"/>
        <v>0</v>
      </c>
      <c r="BF158" s="1236">
        <f t="shared" si="228"/>
        <v>0</v>
      </c>
      <c r="BG158" s="1236">
        <f t="shared" si="229"/>
        <v>0</v>
      </c>
      <c r="BH158" s="1236">
        <f t="shared" si="230"/>
        <v>0</v>
      </c>
      <c r="BI158" s="1236">
        <f t="shared" si="231"/>
        <v>0</v>
      </c>
      <c r="BJ158" s="1236">
        <f t="shared" si="232"/>
        <v>0</v>
      </c>
      <c r="BK158" s="1236">
        <f t="shared" si="233"/>
        <v>0</v>
      </c>
      <c r="BL158" s="1236">
        <f t="shared" si="234"/>
        <v>0</v>
      </c>
      <c r="BM158" s="1236">
        <f t="shared" si="235"/>
        <v>0</v>
      </c>
      <c r="BN158" s="1236">
        <f t="shared" si="236"/>
        <v>0</v>
      </c>
      <c r="BO158" s="1236">
        <f t="shared" si="237"/>
        <v>0</v>
      </c>
      <c r="BP158" s="1236">
        <f t="shared" si="238"/>
        <v>0</v>
      </c>
      <c r="BQ158" s="1236">
        <f t="shared" si="239"/>
        <v>0</v>
      </c>
      <c r="BR158" s="1236">
        <f t="shared" si="240"/>
        <v>0</v>
      </c>
      <c r="BS158" s="1236">
        <f t="shared" si="241"/>
        <v>0</v>
      </c>
      <c r="BT158" s="1236">
        <f t="shared" si="242"/>
        <v>0</v>
      </c>
      <c r="BU158" s="1236">
        <f t="shared" si="243"/>
        <v>0</v>
      </c>
      <c r="BV158" s="1236">
        <f t="shared" si="244"/>
        <v>0</v>
      </c>
      <c r="BW158" s="1236">
        <f t="shared" si="245"/>
        <v>0</v>
      </c>
      <c r="BX158" s="1236">
        <f t="shared" si="246"/>
        <v>0</v>
      </c>
      <c r="BY158" s="1236">
        <f t="shared" si="247"/>
        <v>0</v>
      </c>
      <c r="BZ158" s="1236">
        <f t="shared" si="248"/>
        <v>0</v>
      </c>
      <c r="CA158" s="1236">
        <f t="shared" si="249"/>
        <v>0</v>
      </c>
      <c r="CB158" s="1236">
        <f t="shared" si="250"/>
        <v>0</v>
      </c>
      <c r="CC158" s="1236">
        <f t="shared" si="251"/>
        <v>0</v>
      </c>
      <c r="CD158" s="1236">
        <f t="shared" si="252"/>
        <v>0</v>
      </c>
      <c r="CE158" s="1236">
        <f t="shared" si="253"/>
        <v>0</v>
      </c>
      <c r="CF158" s="1236">
        <f t="shared" si="254"/>
        <v>0</v>
      </c>
      <c r="CG158" s="1236">
        <f t="shared" si="255"/>
        <v>0</v>
      </c>
      <c r="CH158" s="1236">
        <f t="shared" si="256"/>
        <v>0</v>
      </c>
      <c r="CI158" s="1236">
        <f t="shared" si="257"/>
        <v>0</v>
      </c>
      <c r="CJ158" s="1236">
        <f t="shared" si="258"/>
        <v>0</v>
      </c>
      <c r="CK158" s="1236">
        <f t="shared" si="259"/>
        <v>0</v>
      </c>
      <c r="CL158" s="1236">
        <f t="shared" si="260"/>
        <v>0</v>
      </c>
      <c r="CM158" s="1236">
        <f t="shared" si="261"/>
        <v>0</v>
      </c>
      <c r="CN158" s="1236">
        <f t="shared" si="262"/>
        <v>0</v>
      </c>
      <c r="CQ158" s="1165"/>
      <c r="CR158" s="1165"/>
      <c r="CS158" s="1165"/>
      <c r="CT158" s="1165"/>
      <c r="CU158" s="1165"/>
      <c r="CV158" s="1165"/>
      <c r="CW158" s="1165"/>
      <c r="CX158" s="1165"/>
      <c r="CY158" s="1165"/>
      <c r="CZ158" s="1165"/>
      <c r="DA158" s="1165"/>
      <c r="DB158" s="1165"/>
      <c r="DC158" s="1165"/>
      <c r="DD158" s="1165"/>
      <c r="DE158" s="1165"/>
      <c r="DF158" s="1165"/>
      <c r="DG158" s="1165"/>
      <c r="DH158" s="1165"/>
      <c r="DI158" s="1165"/>
      <c r="DJ158" s="1165"/>
      <c r="DK158" s="1165"/>
      <c r="DL158" s="1165"/>
      <c r="DM158" s="1165"/>
      <c r="DN158" s="1165"/>
      <c r="DO158" s="1165"/>
      <c r="DP158" s="1165"/>
      <c r="DQ158" s="1165"/>
      <c r="DR158" s="1165"/>
      <c r="DS158" s="1165"/>
      <c r="DT158" s="1165"/>
      <c r="DU158" s="1165"/>
      <c r="DV158" s="1165"/>
      <c r="DW158" s="1165"/>
      <c r="DX158" s="1165"/>
      <c r="DY158" s="1165"/>
      <c r="DZ158" s="1165"/>
      <c r="EA158" s="1165"/>
      <c r="EB158" s="1165"/>
      <c r="EC158" s="1165"/>
      <c r="ED158" s="1165"/>
      <c r="EE158" s="1165"/>
      <c r="EF158" s="1165"/>
      <c r="EG158" s="1165"/>
      <c r="EH158" s="1165"/>
      <c r="EI158" s="1165"/>
      <c r="EJ158" s="1165"/>
      <c r="EK158" s="1165"/>
      <c r="EL158" s="1165"/>
      <c r="EM158" s="1165"/>
      <c r="EN158" s="1165"/>
      <c r="EO158" s="1165"/>
      <c r="EP158" s="1165"/>
      <c r="EQ158" s="1165"/>
      <c r="ER158" s="1165"/>
      <c r="ES158" s="1165"/>
      <c r="ET158" s="1165"/>
      <c r="EU158" s="1165"/>
      <c r="EV158" s="1165"/>
      <c r="EW158" s="1165"/>
      <c r="EX158" s="1165"/>
      <c r="EY158" s="1165"/>
      <c r="EZ158" s="1165"/>
      <c r="FA158" s="1165"/>
      <c r="FB158" s="1165"/>
      <c r="FC158" s="1165"/>
      <c r="FD158" s="1165"/>
      <c r="FE158" s="1165"/>
      <c r="FF158" s="1165"/>
    </row>
    <row r="159" spans="1:162">
      <c r="A159" s="1224"/>
      <c r="B159" s="1237" t="s">
        <v>212</v>
      </c>
      <c r="M159" s="1236">
        <f t="shared" ca="1" si="265"/>
        <v>0</v>
      </c>
      <c r="N159" s="1236">
        <f t="shared" ca="1" si="265"/>
        <v>0</v>
      </c>
      <c r="O159" s="1236">
        <f t="shared" ca="1" si="265"/>
        <v>0</v>
      </c>
      <c r="P159" s="1236">
        <f t="shared" ca="1" si="265"/>
        <v>0</v>
      </c>
      <c r="Q159" s="1236">
        <f t="shared" ca="1" si="265"/>
        <v>0</v>
      </c>
      <c r="R159" s="1236">
        <f t="shared" ca="1" si="265"/>
        <v>0</v>
      </c>
      <c r="S159" s="1236">
        <f t="shared" ca="1" si="265"/>
        <v>0</v>
      </c>
      <c r="T159" s="1236">
        <f t="shared" ca="1" si="265"/>
        <v>0</v>
      </c>
      <c r="U159" s="1236">
        <f t="shared" ca="1" si="265"/>
        <v>0</v>
      </c>
      <c r="V159" s="1236">
        <f t="shared" ca="1" si="265"/>
        <v>0</v>
      </c>
      <c r="W159" s="1236">
        <f t="shared" ca="1" si="266"/>
        <v>0</v>
      </c>
      <c r="X159" s="1236">
        <f t="shared" ca="1" si="266"/>
        <v>0</v>
      </c>
      <c r="Y159" s="1236">
        <f t="shared" ca="1" si="266"/>
        <v>0</v>
      </c>
      <c r="AG159" s="1236">
        <f t="shared" si="203"/>
        <v>0</v>
      </c>
      <c r="AH159" s="1236">
        <f t="shared" si="204"/>
        <v>0</v>
      </c>
      <c r="AI159" s="1236">
        <f t="shared" si="205"/>
        <v>0</v>
      </c>
      <c r="AJ159" s="1236">
        <f t="shared" si="206"/>
        <v>0</v>
      </c>
      <c r="AK159" s="1236">
        <f t="shared" si="207"/>
        <v>0</v>
      </c>
      <c r="AL159" s="1236">
        <f t="shared" si="208"/>
        <v>0</v>
      </c>
      <c r="AM159" s="1236">
        <f t="shared" si="209"/>
        <v>0</v>
      </c>
      <c r="AN159" s="1236">
        <f t="shared" si="210"/>
        <v>0</v>
      </c>
      <c r="AO159" s="1236">
        <f t="shared" si="211"/>
        <v>0</v>
      </c>
      <c r="AP159" s="1236">
        <f t="shared" si="212"/>
        <v>0</v>
      </c>
      <c r="AQ159" s="1236">
        <f t="shared" si="213"/>
        <v>0</v>
      </c>
      <c r="AR159" s="1236">
        <f t="shared" si="214"/>
        <v>0</v>
      </c>
      <c r="AS159" s="1236">
        <f t="shared" si="215"/>
        <v>0</v>
      </c>
      <c r="AT159" s="1236">
        <f t="shared" si="216"/>
        <v>0</v>
      </c>
      <c r="AU159" s="1236">
        <f t="shared" si="217"/>
        <v>0</v>
      </c>
      <c r="AV159" s="1236">
        <f t="shared" si="218"/>
        <v>0</v>
      </c>
      <c r="AW159" s="1236">
        <f t="shared" si="219"/>
        <v>0</v>
      </c>
      <c r="AX159" s="1236">
        <f t="shared" si="220"/>
        <v>0</v>
      </c>
      <c r="AY159" s="1236">
        <f t="shared" si="221"/>
        <v>0</v>
      </c>
      <c r="AZ159" s="1236">
        <f t="shared" si="222"/>
        <v>0</v>
      </c>
      <c r="BA159" s="1236">
        <f t="shared" si="223"/>
        <v>0</v>
      </c>
      <c r="BB159" s="1236">
        <f t="shared" si="224"/>
        <v>0</v>
      </c>
      <c r="BC159" s="1236">
        <f t="shared" si="225"/>
        <v>0</v>
      </c>
      <c r="BD159" s="1236">
        <f t="shared" si="226"/>
        <v>0</v>
      </c>
      <c r="BE159" s="1236">
        <f t="shared" si="227"/>
        <v>0</v>
      </c>
      <c r="BF159" s="1236">
        <f t="shared" si="228"/>
        <v>0</v>
      </c>
      <c r="BG159" s="1236">
        <f t="shared" si="229"/>
        <v>0</v>
      </c>
      <c r="BH159" s="1236">
        <f t="shared" si="230"/>
        <v>0</v>
      </c>
      <c r="BI159" s="1236">
        <f t="shared" si="231"/>
        <v>0</v>
      </c>
      <c r="BJ159" s="1236">
        <f t="shared" si="232"/>
        <v>0</v>
      </c>
      <c r="BK159" s="1236">
        <f t="shared" si="233"/>
        <v>0</v>
      </c>
      <c r="BL159" s="1236">
        <f t="shared" si="234"/>
        <v>0</v>
      </c>
      <c r="BM159" s="1236">
        <f t="shared" si="235"/>
        <v>0</v>
      </c>
      <c r="BN159" s="1236">
        <f t="shared" si="236"/>
        <v>0</v>
      </c>
      <c r="BO159" s="1236">
        <f t="shared" si="237"/>
        <v>0</v>
      </c>
      <c r="BP159" s="1236">
        <f t="shared" si="238"/>
        <v>0</v>
      </c>
      <c r="BQ159" s="1236">
        <f t="shared" si="239"/>
        <v>0</v>
      </c>
      <c r="BR159" s="1236">
        <f t="shared" si="240"/>
        <v>0</v>
      </c>
      <c r="BS159" s="1236">
        <f t="shared" si="241"/>
        <v>0</v>
      </c>
      <c r="BT159" s="1236">
        <f t="shared" si="242"/>
        <v>0</v>
      </c>
      <c r="BU159" s="1236">
        <f t="shared" si="243"/>
        <v>0</v>
      </c>
      <c r="BV159" s="1236">
        <f t="shared" si="244"/>
        <v>0</v>
      </c>
      <c r="BW159" s="1236">
        <f t="shared" si="245"/>
        <v>0</v>
      </c>
      <c r="BX159" s="1236">
        <f t="shared" si="246"/>
        <v>0</v>
      </c>
      <c r="BY159" s="1236">
        <f t="shared" si="247"/>
        <v>0</v>
      </c>
      <c r="BZ159" s="1236">
        <f t="shared" si="248"/>
        <v>0</v>
      </c>
      <c r="CA159" s="1236">
        <f t="shared" si="249"/>
        <v>0</v>
      </c>
      <c r="CB159" s="1236">
        <f t="shared" si="250"/>
        <v>0</v>
      </c>
      <c r="CC159" s="1236">
        <f t="shared" si="251"/>
        <v>0</v>
      </c>
      <c r="CD159" s="1236">
        <f t="shared" si="252"/>
        <v>0</v>
      </c>
      <c r="CE159" s="1236">
        <f t="shared" si="253"/>
        <v>0</v>
      </c>
      <c r="CF159" s="1236">
        <f t="shared" si="254"/>
        <v>0</v>
      </c>
      <c r="CG159" s="1236">
        <f t="shared" si="255"/>
        <v>0</v>
      </c>
      <c r="CH159" s="1236">
        <f t="shared" si="256"/>
        <v>0</v>
      </c>
      <c r="CI159" s="1236">
        <f t="shared" si="257"/>
        <v>0</v>
      </c>
      <c r="CJ159" s="1236">
        <f t="shared" si="258"/>
        <v>0</v>
      </c>
      <c r="CK159" s="1236">
        <f t="shared" si="259"/>
        <v>0</v>
      </c>
      <c r="CL159" s="1236">
        <f t="shared" si="260"/>
        <v>0</v>
      </c>
      <c r="CM159" s="1236">
        <f t="shared" si="261"/>
        <v>0</v>
      </c>
      <c r="CN159" s="1236">
        <f t="shared" si="262"/>
        <v>0</v>
      </c>
      <c r="CQ159" s="1165"/>
      <c r="CR159" s="1165"/>
      <c r="CS159" s="1165"/>
      <c r="CT159" s="1165"/>
      <c r="CU159" s="1165"/>
      <c r="CV159" s="1165"/>
      <c r="CW159" s="1165"/>
      <c r="CX159" s="1165"/>
      <c r="CY159" s="1165"/>
      <c r="CZ159" s="1165"/>
      <c r="DA159" s="1165"/>
      <c r="DB159" s="1165"/>
      <c r="DC159" s="1165"/>
      <c r="DD159" s="1165"/>
      <c r="DE159" s="1165"/>
      <c r="DF159" s="1165"/>
      <c r="DG159" s="1165"/>
      <c r="DH159" s="1165"/>
      <c r="DI159" s="1165"/>
      <c r="DJ159" s="1165"/>
      <c r="DK159" s="1165"/>
      <c r="DL159" s="1165"/>
      <c r="DM159" s="1165"/>
      <c r="DN159" s="1165"/>
      <c r="DO159" s="1165"/>
      <c r="DP159" s="1165"/>
      <c r="DQ159" s="1165"/>
      <c r="DR159" s="1165"/>
      <c r="DS159" s="1165"/>
      <c r="DT159" s="1165"/>
      <c r="DU159" s="1165"/>
      <c r="DV159" s="1165"/>
      <c r="DW159" s="1165"/>
      <c r="DX159" s="1165"/>
      <c r="DY159" s="1165"/>
      <c r="DZ159" s="1165"/>
      <c r="EA159" s="1165"/>
      <c r="EB159" s="1165"/>
      <c r="EC159" s="1165"/>
      <c r="ED159" s="1165"/>
      <c r="EE159" s="1165"/>
      <c r="EF159" s="1165"/>
      <c r="EG159" s="1165"/>
      <c r="EH159" s="1165"/>
      <c r="EI159" s="1165"/>
      <c r="EJ159" s="1165"/>
      <c r="EK159" s="1165"/>
      <c r="EL159" s="1165"/>
      <c r="EM159" s="1165"/>
      <c r="EN159" s="1165"/>
      <c r="EO159" s="1165"/>
      <c r="EP159" s="1165"/>
      <c r="EQ159" s="1165"/>
      <c r="ER159" s="1165"/>
      <c r="ES159" s="1165"/>
      <c r="ET159" s="1165"/>
      <c r="EU159" s="1165"/>
      <c r="EV159" s="1165"/>
      <c r="EW159" s="1165"/>
      <c r="EX159" s="1165"/>
      <c r="EY159" s="1165"/>
      <c r="EZ159" s="1165"/>
      <c r="FA159" s="1165"/>
      <c r="FB159" s="1165"/>
      <c r="FC159" s="1165"/>
      <c r="FD159" s="1165"/>
      <c r="FE159" s="1165"/>
      <c r="FF159" s="1165"/>
    </row>
    <row r="160" spans="1:162">
      <c r="A160" s="1224"/>
      <c r="B160" s="1237" t="s">
        <v>163</v>
      </c>
      <c r="M160" s="1236">
        <f t="shared" ca="1" si="265"/>
        <v>0</v>
      </c>
      <c r="N160" s="1236">
        <f t="shared" ca="1" si="265"/>
        <v>0</v>
      </c>
      <c r="O160" s="1236">
        <f t="shared" ca="1" si="265"/>
        <v>0</v>
      </c>
      <c r="P160" s="1236">
        <f t="shared" ca="1" si="265"/>
        <v>0</v>
      </c>
      <c r="Q160" s="1236">
        <f t="shared" ca="1" si="265"/>
        <v>0</v>
      </c>
      <c r="R160" s="1236">
        <f t="shared" ca="1" si="265"/>
        <v>0</v>
      </c>
      <c r="S160" s="1236">
        <f t="shared" ca="1" si="265"/>
        <v>0</v>
      </c>
      <c r="T160" s="1236">
        <f t="shared" ca="1" si="265"/>
        <v>0</v>
      </c>
      <c r="U160" s="1236">
        <f t="shared" ca="1" si="265"/>
        <v>0</v>
      </c>
      <c r="V160" s="1236">
        <f t="shared" ca="1" si="265"/>
        <v>0</v>
      </c>
      <c r="W160" s="1236">
        <f t="shared" ca="1" si="266"/>
        <v>0</v>
      </c>
      <c r="X160" s="1236">
        <f t="shared" ca="1" si="266"/>
        <v>0</v>
      </c>
      <c r="Y160" s="1236">
        <f t="shared" ca="1" si="266"/>
        <v>0</v>
      </c>
      <c r="AG160" s="1236">
        <f t="shared" si="203"/>
        <v>0</v>
      </c>
      <c r="AH160" s="1236">
        <f t="shared" si="204"/>
        <v>0</v>
      </c>
      <c r="AI160" s="1236">
        <f t="shared" si="205"/>
        <v>0</v>
      </c>
      <c r="AJ160" s="1236">
        <f t="shared" si="206"/>
        <v>0</v>
      </c>
      <c r="AK160" s="1236">
        <f t="shared" si="207"/>
        <v>0</v>
      </c>
      <c r="AL160" s="1236">
        <f t="shared" si="208"/>
        <v>0</v>
      </c>
      <c r="AM160" s="1236">
        <f t="shared" si="209"/>
        <v>0</v>
      </c>
      <c r="AN160" s="1236">
        <f t="shared" si="210"/>
        <v>0</v>
      </c>
      <c r="AO160" s="1236">
        <f t="shared" si="211"/>
        <v>0</v>
      </c>
      <c r="AP160" s="1236">
        <f t="shared" si="212"/>
        <v>0</v>
      </c>
      <c r="AQ160" s="1236">
        <f t="shared" si="213"/>
        <v>0</v>
      </c>
      <c r="AR160" s="1236">
        <f t="shared" si="214"/>
        <v>0</v>
      </c>
      <c r="AS160" s="1236">
        <f t="shared" si="215"/>
        <v>0</v>
      </c>
      <c r="AT160" s="1236">
        <f t="shared" si="216"/>
        <v>0</v>
      </c>
      <c r="AU160" s="1236">
        <f t="shared" si="217"/>
        <v>0</v>
      </c>
      <c r="AV160" s="1236">
        <f t="shared" si="218"/>
        <v>0</v>
      </c>
      <c r="AW160" s="1236">
        <f t="shared" si="219"/>
        <v>0</v>
      </c>
      <c r="AX160" s="1236">
        <f t="shared" si="220"/>
        <v>0</v>
      </c>
      <c r="AY160" s="1236">
        <f t="shared" si="221"/>
        <v>0</v>
      </c>
      <c r="AZ160" s="1236">
        <f t="shared" si="222"/>
        <v>0</v>
      </c>
      <c r="BA160" s="1236">
        <f t="shared" si="223"/>
        <v>0</v>
      </c>
      <c r="BB160" s="1236">
        <f t="shared" si="224"/>
        <v>0</v>
      </c>
      <c r="BC160" s="1236">
        <f t="shared" si="225"/>
        <v>0</v>
      </c>
      <c r="BD160" s="1236">
        <f t="shared" si="226"/>
        <v>0</v>
      </c>
      <c r="BE160" s="1236">
        <f t="shared" si="227"/>
        <v>0</v>
      </c>
      <c r="BF160" s="1236">
        <f t="shared" si="228"/>
        <v>0</v>
      </c>
      <c r="BG160" s="1236">
        <f t="shared" si="229"/>
        <v>0</v>
      </c>
      <c r="BH160" s="1236">
        <f t="shared" si="230"/>
        <v>0</v>
      </c>
      <c r="BI160" s="1236">
        <f t="shared" si="231"/>
        <v>0</v>
      </c>
      <c r="BJ160" s="1236">
        <f t="shared" si="232"/>
        <v>0</v>
      </c>
      <c r="BK160" s="1236">
        <f t="shared" si="233"/>
        <v>0</v>
      </c>
      <c r="BL160" s="1236">
        <f t="shared" si="234"/>
        <v>0</v>
      </c>
      <c r="BM160" s="1236">
        <f t="shared" si="235"/>
        <v>0</v>
      </c>
      <c r="BN160" s="1236">
        <f t="shared" si="236"/>
        <v>0</v>
      </c>
      <c r="BO160" s="1236">
        <f t="shared" si="237"/>
        <v>0</v>
      </c>
      <c r="BP160" s="1236">
        <f t="shared" si="238"/>
        <v>0</v>
      </c>
      <c r="BQ160" s="1236">
        <f t="shared" si="239"/>
        <v>0</v>
      </c>
      <c r="BR160" s="1236">
        <f t="shared" si="240"/>
        <v>0</v>
      </c>
      <c r="BS160" s="1236">
        <f t="shared" si="241"/>
        <v>0</v>
      </c>
      <c r="BT160" s="1236">
        <f t="shared" si="242"/>
        <v>0</v>
      </c>
      <c r="BU160" s="1236">
        <f t="shared" si="243"/>
        <v>0</v>
      </c>
      <c r="BV160" s="1236">
        <f t="shared" si="244"/>
        <v>0</v>
      </c>
      <c r="BW160" s="1236">
        <f t="shared" si="245"/>
        <v>0</v>
      </c>
      <c r="BX160" s="1236">
        <f t="shared" si="246"/>
        <v>0</v>
      </c>
      <c r="BY160" s="1236">
        <f t="shared" si="247"/>
        <v>0</v>
      </c>
      <c r="BZ160" s="1236">
        <f t="shared" si="248"/>
        <v>0</v>
      </c>
      <c r="CA160" s="1236">
        <f t="shared" si="249"/>
        <v>0</v>
      </c>
      <c r="CB160" s="1236">
        <f t="shared" si="250"/>
        <v>0</v>
      </c>
      <c r="CC160" s="1236">
        <f t="shared" si="251"/>
        <v>0</v>
      </c>
      <c r="CD160" s="1236">
        <f t="shared" si="252"/>
        <v>0</v>
      </c>
      <c r="CE160" s="1236">
        <f t="shared" si="253"/>
        <v>0</v>
      </c>
      <c r="CF160" s="1236">
        <f t="shared" si="254"/>
        <v>0</v>
      </c>
      <c r="CG160" s="1236">
        <f t="shared" si="255"/>
        <v>0</v>
      </c>
      <c r="CH160" s="1236">
        <f t="shared" si="256"/>
        <v>0</v>
      </c>
      <c r="CI160" s="1236">
        <f t="shared" si="257"/>
        <v>0</v>
      </c>
      <c r="CJ160" s="1236">
        <f t="shared" si="258"/>
        <v>0</v>
      </c>
      <c r="CK160" s="1236">
        <f t="shared" si="259"/>
        <v>0</v>
      </c>
      <c r="CL160" s="1236">
        <f t="shared" si="260"/>
        <v>0</v>
      </c>
      <c r="CM160" s="1236">
        <f t="shared" si="261"/>
        <v>0</v>
      </c>
      <c r="CN160" s="1236">
        <f t="shared" si="262"/>
        <v>0</v>
      </c>
      <c r="CQ160" s="1165"/>
      <c r="CR160" s="1165"/>
      <c r="CS160" s="1165"/>
      <c r="CT160" s="1165"/>
      <c r="CU160" s="1165"/>
      <c r="CV160" s="1165"/>
      <c r="CW160" s="1165"/>
      <c r="CX160" s="1165"/>
      <c r="CY160" s="1165"/>
      <c r="CZ160" s="1165"/>
      <c r="DA160" s="1165"/>
      <c r="DB160" s="1165"/>
      <c r="DC160" s="1165"/>
      <c r="DD160" s="1165"/>
      <c r="DE160" s="1165"/>
      <c r="DF160" s="1165"/>
      <c r="DG160" s="1165"/>
      <c r="DH160" s="1165"/>
      <c r="DI160" s="1165"/>
      <c r="DJ160" s="1165"/>
      <c r="DK160" s="1165"/>
      <c r="DL160" s="1165"/>
      <c r="DM160" s="1165"/>
      <c r="DN160" s="1165"/>
      <c r="DO160" s="1165"/>
      <c r="DP160" s="1165"/>
      <c r="DQ160" s="1165"/>
      <c r="DR160" s="1165"/>
      <c r="DS160" s="1165"/>
      <c r="DT160" s="1165"/>
      <c r="DU160" s="1165"/>
      <c r="DV160" s="1165"/>
      <c r="DW160" s="1165"/>
      <c r="DX160" s="1165"/>
      <c r="DY160" s="1165"/>
      <c r="DZ160" s="1165"/>
      <c r="EA160" s="1165"/>
      <c r="EB160" s="1165"/>
      <c r="EC160" s="1165"/>
      <c r="ED160" s="1165"/>
      <c r="EE160" s="1165"/>
      <c r="EF160" s="1165"/>
      <c r="EG160" s="1165"/>
      <c r="EH160" s="1165"/>
      <c r="EI160" s="1165"/>
      <c r="EJ160" s="1165"/>
      <c r="EK160" s="1165"/>
      <c r="EL160" s="1165"/>
      <c r="EM160" s="1165"/>
      <c r="EN160" s="1165"/>
      <c r="EO160" s="1165"/>
      <c r="EP160" s="1165"/>
      <c r="EQ160" s="1165"/>
      <c r="ER160" s="1165"/>
      <c r="ES160" s="1165"/>
      <c r="ET160" s="1165"/>
      <c r="EU160" s="1165"/>
      <c r="EV160" s="1165"/>
      <c r="EW160" s="1165"/>
      <c r="EX160" s="1165"/>
      <c r="EY160" s="1165"/>
      <c r="EZ160" s="1165"/>
      <c r="FA160" s="1165"/>
      <c r="FB160" s="1165"/>
      <c r="FC160" s="1165"/>
      <c r="FD160" s="1165"/>
      <c r="FE160" s="1165"/>
      <c r="FF160" s="1165"/>
    </row>
    <row r="161" spans="1:162">
      <c r="A161" s="1224"/>
      <c r="B161" s="1237" t="s">
        <v>56</v>
      </c>
      <c r="M161" s="1236">
        <f t="shared" ca="1" si="265"/>
        <v>0</v>
      </c>
      <c r="N161" s="1236">
        <f t="shared" ca="1" si="265"/>
        <v>0</v>
      </c>
      <c r="O161" s="1236">
        <f t="shared" ca="1" si="265"/>
        <v>0</v>
      </c>
      <c r="P161" s="1236">
        <f t="shared" ca="1" si="265"/>
        <v>0</v>
      </c>
      <c r="Q161" s="1236">
        <f t="shared" ca="1" si="265"/>
        <v>0</v>
      </c>
      <c r="R161" s="1236">
        <f t="shared" ca="1" si="265"/>
        <v>0</v>
      </c>
      <c r="S161" s="1236">
        <f t="shared" ca="1" si="265"/>
        <v>0</v>
      </c>
      <c r="T161" s="1236">
        <f t="shared" ca="1" si="265"/>
        <v>0</v>
      </c>
      <c r="U161" s="1236">
        <f t="shared" ca="1" si="265"/>
        <v>0</v>
      </c>
      <c r="V161" s="1236">
        <f t="shared" ca="1" si="265"/>
        <v>0</v>
      </c>
      <c r="W161" s="1236">
        <f t="shared" ca="1" si="266"/>
        <v>0</v>
      </c>
      <c r="X161" s="1236">
        <f t="shared" ca="1" si="266"/>
        <v>0</v>
      </c>
      <c r="Y161" s="1236">
        <f t="shared" ca="1" si="266"/>
        <v>0</v>
      </c>
      <c r="AG161" s="1236">
        <f t="shared" si="203"/>
        <v>0</v>
      </c>
      <c r="AH161" s="1236">
        <f t="shared" si="204"/>
        <v>0</v>
      </c>
      <c r="AI161" s="1236">
        <f t="shared" si="205"/>
        <v>0</v>
      </c>
      <c r="AJ161" s="1236">
        <f t="shared" si="206"/>
        <v>0</v>
      </c>
      <c r="AK161" s="1236">
        <f t="shared" si="207"/>
        <v>0</v>
      </c>
      <c r="AL161" s="1236">
        <f t="shared" si="208"/>
        <v>0</v>
      </c>
      <c r="AM161" s="1236">
        <f t="shared" si="209"/>
        <v>0</v>
      </c>
      <c r="AN161" s="1236">
        <f t="shared" si="210"/>
        <v>0</v>
      </c>
      <c r="AO161" s="1236">
        <f t="shared" si="211"/>
        <v>0</v>
      </c>
      <c r="AP161" s="1236">
        <f t="shared" si="212"/>
        <v>0</v>
      </c>
      <c r="AQ161" s="1236">
        <f t="shared" si="213"/>
        <v>0</v>
      </c>
      <c r="AR161" s="1236">
        <f t="shared" si="214"/>
        <v>0</v>
      </c>
      <c r="AS161" s="1236">
        <f t="shared" si="215"/>
        <v>0</v>
      </c>
      <c r="AT161" s="1236">
        <f t="shared" si="216"/>
        <v>0</v>
      </c>
      <c r="AU161" s="1236">
        <f t="shared" si="217"/>
        <v>0</v>
      </c>
      <c r="AV161" s="1236">
        <f t="shared" si="218"/>
        <v>0</v>
      </c>
      <c r="AW161" s="1236">
        <f t="shared" si="219"/>
        <v>0</v>
      </c>
      <c r="AX161" s="1236">
        <f t="shared" si="220"/>
        <v>0</v>
      </c>
      <c r="AY161" s="1236">
        <f t="shared" si="221"/>
        <v>0</v>
      </c>
      <c r="AZ161" s="1236">
        <f t="shared" si="222"/>
        <v>0</v>
      </c>
      <c r="BA161" s="1236">
        <f t="shared" si="223"/>
        <v>0</v>
      </c>
      <c r="BB161" s="1236">
        <f t="shared" si="224"/>
        <v>0</v>
      </c>
      <c r="BC161" s="1236">
        <f t="shared" si="225"/>
        <v>0</v>
      </c>
      <c r="BD161" s="1236">
        <f t="shared" si="226"/>
        <v>0</v>
      </c>
      <c r="BE161" s="1236">
        <f t="shared" si="227"/>
        <v>0</v>
      </c>
      <c r="BF161" s="1236">
        <f t="shared" si="228"/>
        <v>0</v>
      </c>
      <c r="BG161" s="1236">
        <f t="shared" si="229"/>
        <v>0</v>
      </c>
      <c r="BH161" s="1236">
        <f t="shared" si="230"/>
        <v>0</v>
      </c>
      <c r="BI161" s="1236">
        <f t="shared" si="231"/>
        <v>0</v>
      </c>
      <c r="BJ161" s="1236">
        <f t="shared" si="232"/>
        <v>0</v>
      </c>
      <c r="BK161" s="1236">
        <f t="shared" si="233"/>
        <v>0</v>
      </c>
      <c r="BL161" s="1236">
        <f t="shared" si="234"/>
        <v>0</v>
      </c>
      <c r="BM161" s="1236">
        <f t="shared" si="235"/>
        <v>0</v>
      </c>
      <c r="BN161" s="1236">
        <f t="shared" si="236"/>
        <v>0</v>
      </c>
      <c r="BO161" s="1236">
        <f t="shared" si="237"/>
        <v>0</v>
      </c>
      <c r="BP161" s="1236">
        <f t="shared" si="238"/>
        <v>0</v>
      </c>
      <c r="BQ161" s="1236">
        <f t="shared" si="239"/>
        <v>0</v>
      </c>
      <c r="BR161" s="1236">
        <f t="shared" si="240"/>
        <v>0</v>
      </c>
      <c r="BS161" s="1236">
        <f t="shared" si="241"/>
        <v>0</v>
      </c>
      <c r="BT161" s="1236">
        <f t="shared" si="242"/>
        <v>0</v>
      </c>
      <c r="BU161" s="1236">
        <f t="shared" si="243"/>
        <v>0</v>
      </c>
      <c r="BV161" s="1236">
        <f t="shared" si="244"/>
        <v>0</v>
      </c>
      <c r="BW161" s="1236">
        <f t="shared" si="245"/>
        <v>0</v>
      </c>
      <c r="BX161" s="1236">
        <f t="shared" si="246"/>
        <v>0</v>
      </c>
      <c r="BY161" s="1236">
        <f t="shared" si="247"/>
        <v>0</v>
      </c>
      <c r="BZ161" s="1236">
        <f t="shared" si="248"/>
        <v>0</v>
      </c>
      <c r="CA161" s="1236">
        <f t="shared" si="249"/>
        <v>0</v>
      </c>
      <c r="CB161" s="1236">
        <f t="shared" si="250"/>
        <v>0</v>
      </c>
      <c r="CC161" s="1236">
        <f t="shared" si="251"/>
        <v>0</v>
      </c>
      <c r="CD161" s="1236">
        <f t="shared" si="252"/>
        <v>0</v>
      </c>
      <c r="CE161" s="1236">
        <f t="shared" si="253"/>
        <v>0</v>
      </c>
      <c r="CF161" s="1236">
        <f t="shared" si="254"/>
        <v>0</v>
      </c>
      <c r="CG161" s="1236">
        <f t="shared" si="255"/>
        <v>0</v>
      </c>
      <c r="CH161" s="1236">
        <f t="shared" si="256"/>
        <v>0</v>
      </c>
      <c r="CI161" s="1236">
        <f t="shared" si="257"/>
        <v>0</v>
      </c>
      <c r="CJ161" s="1236">
        <f t="shared" si="258"/>
        <v>0</v>
      </c>
      <c r="CK161" s="1236">
        <f t="shared" si="259"/>
        <v>0</v>
      </c>
      <c r="CL161" s="1236">
        <f t="shared" si="260"/>
        <v>0</v>
      </c>
      <c r="CM161" s="1236">
        <f t="shared" si="261"/>
        <v>0</v>
      </c>
      <c r="CN161" s="1236">
        <f t="shared" si="262"/>
        <v>0</v>
      </c>
      <c r="CQ161" s="1165"/>
      <c r="CR161" s="1165"/>
      <c r="CS161" s="1165"/>
      <c r="CT161" s="1165"/>
      <c r="CU161" s="1165"/>
      <c r="CV161" s="1165"/>
      <c r="CW161" s="1165"/>
      <c r="CX161" s="1165"/>
      <c r="CY161" s="1165"/>
      <c r="CZ161" s="1165"/>
      <c r="DA161" s="1165"/>
      <c r="DB161" s="1165"/>
      <c r="DC161" s="1165"/>
      <c r="DD161" s="1165"/>
      <c r="DE161" s="1165"/>
      <c r="DF161" s="1165"/>
      <c r="DG161" s="1165"/>
      <c r="DH161" s="1165"/>
      <c r="DI161" s="1165"/>
      <c r="DJ161" s="1165"/>
      <c r="DK161" s="1165"/>
      <c r="DL161" s="1165"/>
      <c r="DM161" s="1165"/>
      <c r="DN161" s="1165"/>
      <c r="DO161" s="1165"/>
      <c r="DP161" s="1165"/>
      <c r="DQ161" s="1165"/>
      <c r="DR161" s="1165"/>
      <c r="DS161" s="1165"/>
      <c r="DT161" s="1165"/>
      <c r="DU161" s="1165"/>
      <c r="DV161" s="1165"/>
      <c r="DW161" s="1165"/>
      <c r="DX161" s="1165"/>
      <c r="DY161" s="1165"/>
      <c r="DZ161" s="1165"/>
      <c r="EA161" s="1165"/>
      <c r="EB161" s="1165"/>
      <c r="EC161" s="1165"/>
      <c r="ED161" s="1165"/>
      <c r="EE161" s="1165"/>
      <c r="EF161" s="1165"/>
      <c r="EG161" s="1165"/>
      <c r="EH161" s="1165"/>
      <c r="EI161" s="1165"/>
      <c r="EJ161" s="1165"/>
      <c r="EK161" s="1165"/>
      <c r="EL161" s="1165"/>
      <c r="EM161" s="1165"/>
      <c r="EN161" s="1165"/>
      <c r="EO161" s="1165"/>
      <c r="EP161" s="1165"/>
      <c r="EQ161" s="1165"/>
      <c r="ER161" s="1165"/>
      <c r="ES161" s="1165"/>
      <c r="ET161" s="1165"/>
      <c r="EU161" s="1165"/>
      <c r="EV161" s="1165"/>
      <c r="EW161" s="1165"/>
      <c r="EX161" s="1165"/>
      <c r="EY161" s="1165"/>
      <c r="EZ161" s="1165"/>
      <c r="FA161" s="1165"/>
      <c r="FB161" s="1165"/>
      <c r="FC161" s="1165"/>
      <c r="FD161" s="1165"/>
      <c r="FE161" s="1165"/>
      <c r="FF161" s="1165"/>
    </row>
    <row r="162" spans="1:162">
      <c r="A162" s="1224"/>
      <c r="B162" s="1237" t="s">
        <v>118</v>
      </c>
      <c r="M162" s="1236">
        <f t="shared" ca="1" si="265"/>
        <v>0</v>
      </c>
      <c r="N162" s="1236">
        <f t="shared" ca="1" si="265"/>
        <v>0</v>
      </c>
      <c r="O162" s="1236">
        <f t="shared" ca="1" si="265"/>
        <v>0</v>
      </c>
      <c r="P162" s="1236">
        <f t="shared" ca="1" si="265"/>
        <v>0</v>
      </c>
      <c r="Q162" s="1236">
        <f t="shared" ca="1" si="265"/>
        <v>0</v>
      </c>
      <c r="R162" s="1236">
        <f t="shared" ca="1" si="265"/>
        <v>0</v>
      </c>
      <c r="S162" s="1236">
        <f t="shared" ca="1" si="265"/>
        <v>0</v>
      </c>
      <c r="T162" s="1236">
        <f t="shared" ca="1" si="265"/>
        <v>0</v>
      </c>
      <c r="U162" s="1236">
        <f t="shared" ca="1" si="265"/>
        <v>0</v>
      </c>
      <c r="V162" s="1236">
        <f t="shared" ca="1" si="265"/>
        <v>0</v>
      </c>
      <c r="W162" s="1236">
        <f t="shared" ca="1" si="266"/>
        <v>0</v>
      </c>
      <c r="X162" s="1236">
        <f t="shared" ca="1" si="266"/>
        <v>0</v>
      </c>
      <c r="Y162" s="1236">
        <f t="shared" ca="1" si="266"/>
        <v>0</v>
      </c>
      <c r="AG162" s="1236">
        <f t="shared" si="203"/>
        <v>0</v>
      </c>
      <c r="AH162" s="1236">
        <f t="shared" si="204"/>
        <v>0</v>
      </c>
      <c r="AI162" s="1236">
        <f t="shared" si="205"/>
        <v>0</v>
      </c>
      <c r="AJ162" s="1236">
        <f t="shared" si="206"/>
        <v>0</v>
      </c>
      <c r="AK162" s="1236">
        <f t="shared" si="207"/>
        <v>0</v>
      </c>
      <c r="AL162" s="1236">
        <f t="shared" si="208"/>
        <v>0</v>
      </c>
      <c r="AM162" s="1236">
        <f t="shared" si="209"/>
        <v>0</v>
      </c>
      <c r="AN162" s="1236">
        <f t="shared" si="210"/>
        <v>0</v>
      </c>
      <c r="AO162" s="1236">
        <f t="shared" si="211"/>
        <v>0</v>
      </c>
      <c r="AP162" s="1236">
        <f t="shared" si="212"/>
        <v>0</v>
      </c>
      <c r="AQ162" s="1236">
        <f t="shared" si="213"/>
        <v>0</v>
      </c>
      <c r="AR162" s="1236">
        <f t="shared" si="214"/>
        <v>0</v>
      </c>
      <c r="AS162" s="1236">
        <f t="shared" si="215"/>
        <v>0</v>
      </c>
      <c r="AT162" s="1236">
        <f t="shared" si="216"/>
        <v>0</v>
      </c>
      <c r="AU162" s="1236">
        <f t="shared" si="217"/>
        <v>0</v>
      </c>
      <c r="AV162" s="1236">
        <f t="shared" si="218"/>
        <v>0</v>
      </c>
      <c r="AW162" s="1236">
        <f t="shared" si="219"/>
        <v>0</v>
      </c>
      <c r="AX162" s="1236">
        <f t="shared" si="220"/>
        <v>0</v>
      </c>
      <c r="AY162" s="1236">
        <f t="shared" si="221"/>
        <v>0</v>
      </c>
      <c r="AZ162" s="1236">
        <f t="shared" si="222"/>
        <v>0</v>
      </c>
      <c r="BA162" s="1236">
        <f t="shared" si="223"/>
        <v>0</v>
      </c>
      <c r="BB162" s="1236">
        <f t="shared" si="224"/>
        <v>0</v>
      </c>
      <c r="BC162" s="1236">
        <f t="shared" si="225"/>
        <v>0</v>
      </c>
      <c r="BD162" s="1236">
        <f t="shared" si="226"/>
        <v>0</v>
      </c>
      <c r="BE162" s="1236">
        <f t="shared" si="227"/>
        <v>0</v>
      </c>
      <c r="BF162" s="1236">
        <f t="shared" si="228"/>
        <v>0</v>
      </c>
      <c r="BG162" s="1236">
        <f t="shared" si="229"/>
        <v>0</v>
      </c>
      <c r="BH162" s="1236">
        <f t="shared" si="230"/>
        <v>0</v>
      </c>
      <c r="BI162" s="1236">
        <f t="shared" si="231"/>
        <v>0</v>
      </c>
      <c r="BJ162" s="1236">
        <f t="shared" si="232"/>
        <v>0</v>
      </c>
      <c r="BK162" s="1236">
        <f t="shared" si="233"/>
        <v>0</v>
      </c>
      <c r="BL162" s="1236">
        <f t="shared" si="234"/>
        <v>0</v>
      </c>
      <c r="BM162" s="1236">
        <f t="shared" si="235"/>
        <v>0</v>
      </c>
      <c r="BN162" s="1236">
        <f t="shared" si="236"/>
        <v>0</v>
      </c>
      <c r="BO162" s="1236">
        <f t="shared" si="237"/>
        <v>0</v>
      </c>
      <c r="BP162" s="1236">
        <f t="shared" si="238"/>
        <v>0</v>
      </c>
      <c r="BQ162" s="1236">
        <f t="shared" si="239"/>
        <v>0</v>
      </c>
      <c r="BR162" s="1236">
        <f t="shared" si="240"/>
        <v>0</v>
      </c>
      <c r="BS162" s="1236">
        <f t="shared" si="241"/>
        <v>0</v>
      </c>
      <c r="BT162" s="1236">
        <f t="shared" si="242"/>
        <v>0</v>
      </c>
      <c r="BU162" s="1236">
        <f t="shared" si="243"/>
        <v>0</v>
      </c>
      <c r="BV162" s="1236">
        <f t="shared" si="244"/>
        <v>0</v>
      </c>
      <c r="BW162" s="1236">
        <f t="shared" si="245"/>
        <v>0</v>
      </c>
      <c r="BX162" s="1236">
        <f t="shared" si="246"/>
        <v>0</v>
      </c>
      <c r="BY162" s="1236">
        <f t="shared" si="247"/>
        <v>0</v>
      </c>
      <c r="BZ162" s="1236">
        <f t="shared" si="248"/>
        <v>0</v>
      </c>
      <c r="CA162" s="1236">
        <f t="shared" si="249"/>
        <v>0</v>
      </c>
      <c r="CB162" s="1236">
        <f t="shared" si="250"/>
        <v>0</v>
      </c>
      <c r="CC162" s="1236">
        <f t="shared" si="251"/>
        <v>0</v>
      </c>
      <c r="CD162" s="1236">
        <f t="shared" si="252"/>
        <v>0</v>
      </c>
      <c r="CE162" s="1236">
        <f t="shared" si="253"/>
        <v>0</v>
      </c>
      <c r="CF162" s="1236">
        <f t="shared" si="254"/>
        <v>0</v>
      </c>
      <c r="CG162" s="1236">
        <f t="shared" si="255"/>
        <v>0</v>
      </c>
      <c r="CH162" s="1236">
        <f t="shared" si="256"/>
        <v>0</v>
      </c>
      <c r="CI162" s="1236">
        <f t="shared" si="257"/>
        <v>0</v>
      </c>
      <c r="CJ162" s="1236">
        <f t="shared" si="258"/>
        <v>0</v>
      </c>
      <c r="CK162" s="1236">
        <f t="shared" si="259"/>
        <v>0</v>
      </c>
      <c r="CL162" s="1236">
        <f t="shared" si="260"/>
        <v>0</v>
      </c>
      <c r="CM162" s="1236">
        <f t="shared" si="261"/>
        <v>0</v>
      </c>
      <c r="CN162" s="1236">
        <f t="shared" si="262"/>
        <v>0</v>
      </c>
      <c r="CO162" s="1165"/>
      <c r="CP162" s="1165"/>
      <c r="CQ162" s="1165"/>
      <c r="CR162" s="1165"/>
      <c r="CS162" s="1165"/>
      <c r="CT162" s="1165"/>
      <c r="CU162" s="1165"/>
      <c r="CV162" s="1165"/>
      <c r="CW162" s="1165"/>
      <c r="CX162" s="1165"/>
      <c r="CY162" s="1165"/>
      <c r="CZ162" s="1165"/>
      <c r="DA162" s="1165"/>
      <c r="DB162" s="1165"/>
      <c r="DC162" s="1165"/>
      <c r="DD162" s="1165"/>
      <c r="DE162" s="1165"/>
      <c r="DF162" s="1165"/>
      <c r="DG162" s="1165"/>
      <c r="DH162" s="1165"/>
      <c r="DI162" s="1165"/>
      <c r="DJ162" s="1165"/>
      <c r="DK162" s="1165"/>
      <c r="DL162" s="1165"/>
      <c r="DM162" s="1165"/>
      <c r="DN162" s="1165"/>
      <c r="DO162" s="1165"/>
      <c r="DP162" s="1165"/>
      <c r="DQ162" s="1165"/>
      <c r="DR162" s="1165"/>
      <c r="DS162" s="1165"/>
      <c r="DT162" s="1165"/>
      <c r="DU162" s="1165"/>
      <c r="DV162" s="1165"/>
      <c r="DW162" s="1165"/>
      <c r="DX162" s="1165"/>
      <c r="DY162" s="1165"/>
      <c r="DZ162" s="1165"/>
      <c r="EA162" s="1165"/>
      <c r="EB162" s="1165"/>
      <c r="EC162" s="1165"/>
      <c r="ED162" s="1165"/>
      <c r="EE162" s="1165"/>
      <c r="EF162" s="1165"/>
      <c r="EG162" s="1165"/>
      <c r="EH162" s="1165"/>
      <c r="EI162" s="1165"/>
      <c r="EJ162" s="1165"/>
      <c r="EK162" s="1165"/>
      <c r="EL162" s="1165"/>
      <c r="EM162" s="1165"/>
      <c r="EN162" s="1165"/>
      <c r="EO162" s="1165"/>
      <c r="EP162" s="1165"/>
      <c r="EQ162" s="1165"/>
      <c r="ER162" s="1165"/>
      <c r="ES162" s="1165"/>
      <c r="ET162" s="1165"/>
      <c r="EU162" s="1165"/>
      <c r="EV162" s="1165"/>
      <c r="EW162" s="1165"/>
      <c r="EX162" s="1165"/>
      <c r="EY162" s="1165"/>
      <c r="EZ162" s="1165"/>
      <c r="FA162" s="1165"/>
      <c r="FB162" s="1165"/>
      <c r="FC162" s="1165"/>
      <c r="FD162" s="1165"/>
      <c r="FE162" s="1165"/>
      <c r="FF162" s="1165"/>
    </row>
    <row r="163" spans="1:162" s="1231" customFormat="1">
      <c r="A163" s="1205" t="s">
        <v>583</v>
      </c>
      <c r="B163" s="1230" t="s">
        <v>56</v>
      </c>
      <c r="M163" s="1231">
        <f t="shared" ca="1" si="265"/>
        <v>0</v>
      </c>
      <c r="N163" s="1231">
        <f t="shared" ca="1" si="265"/>
        <v>0</v>
      </c>
      <c r="O163" s="1231">
        <f t="shared" ca="1" si="265"/>
        <v>0</v>
      </c>
      <c r="P163" s="1231">
        <f t="shared" ca="1" si="265"/>
        <v>0</v>
      </c>
      <c r="Q163" s="1231">
        <f t="shared" ca="1" si="265"/>
        <v>0</v>
      </c>
      <c r="R163" s="1229">
        <f>R165-R149-R154</f>
        <v>31.832259000000022</v>
      </c>
      <c r="S163" s="1229">
        <f t="shared" ref="S163:Z163" si="267">S165-S149-S154</f>
        <v>1.6829999999999927</v>
      </c>
      <c r="T163" s="1229">
        <f t="shared" si="267"/>
        <v>2.4999999999977263E-2</v>
      </c>
      <c r="U163" s="1229">
        <f t="shared" si="267"/>
        <v>0</v>
      </c>
      <c r="V163" s="1229">
        <f t="shared" si="267"/>
        <v>62.609000000000009</v>
      </c>
      <c r="W163" s="1229">
        <f t="shared" si="267"/>
        <v>80.917999999999893</v>
      </c>
      <c r="X163" s="1229">
        <f t="shared" si="267"/>
        <v>122.36900000000014</v>
      </c>
      <c r="Y163" s="1229">
        <f t="shared" si="267"/>
        <v>234.529</v>
      </c>
      <c r="Z163" s="1229">
        <f t="shared" si="267"/>
        <v>480.35400000000027</v>
      </c>
      <c r="AG163" s="1231">
        <f t="shared" si="203"/>
        <v>0</v>
      </c>
      <c r="AH163" s="1231">
        <f t="shared" si="204"/>
        <v>0</v>
      </c>
      <c r="AI163" s="1231">
        <f t="shared" si="205"/>
        <v>0</v>
      </c>
      <c r="AJ163" s="1231">
        <f t="shared" si="206"/>
        <v>0</v>
      </c>
      <c r="AK163" s="1231">
        <f t="shared" si="207"/>
        <v>0</v>
      </c>
      <c r="AL163" s="1231">
        <f t="shared" si="208"/>
        <v>0</v>
      </c>
      <c r="AM163" s="1231">
        <f t="shared" si="209"/>
        <v>0</v>
      </c>
      <c r="AN163" s="1231">
        <f t="shared" si="210"/>
        <v>0</v>
      </c>
      <c r="AO163" s="1231">
        <f t="shared" si="211"/>
        <v>0</v>
      </c>
      <c r="AP163" s="1231">
        <f t="shared" si="212"/>
        <v>0</v>
      </c>
      <c r="AQ163" s="1231">
        <f t="shared" si="213"/>
        <v>0</v>
      </c>
      <c r="AR163" s="1231">
        <f t="shared" si="214"/>
        <v>0</v>
      </c>
      <c r="AS163" s="1231">
        <f t="shared" si="215"/>
        <v>0</v>
      </c>
      <c r="AT163" s="1231">
        <f t="shared" si="216"/>
        <v>0</v>
      </c>
      <c r="AU163" s="1231">
        <f t="shared" si="217"/>
        <v>0</v>
      </c>
      <c r="AV163" s="1231">
        <f t="shared" si="218"/>
        <v>0</v>
      </c>
      <c r="AW163" s="1231">
        <f t="shared" si="219"/>
        <v>0</v>
      </c>
      <c r="AX163" s="1231">
        <f t="shared" si="220"/>
        <v>0</v>
      </c>
      <c r="AY163" s="1231">
        <f t="shared" si="221"/>
        <v>0</v>
      </c>
      <c r="AZ163" s="1231">
        <f t="shared" si="222"/>
        <v>0</v>
      </c>
      <c r="BA163" s="1231">
        <f t="shared" si="223"/>
        <v>0</v>
      </c>
      <c r="BB163" s="1231">
        <f t="shared" si="224"/>
        <v>0</v>
      </c>
      <c r="BC163" s="1231">
        <f t="shared" si="225"/>
        <v>0</v>
      </c>
      <c r="BD163" s="1231">
        <f t="shared" si="226"/>
        <v>0</v>
      </c>
      <c r="BE163" s="1231">
        <f t="shared" si="227"/>
        <v>0</v>
      </c>
      <c r="BF163" s="1231">
        <f t="shared" si="228"/>
        <v>0</v>
      </c>
      <c r="BG163" s="1231">
        <f t="shared" si="229"/>
        <v>0</v>
      </c>
      <c r="BH163" s="1231">
        <f t="shared" si="230"/>
        <v>0</v>
      </c>
      <c r="BI163" s="1231">
        <f t="shared" si="231"/>
        <v>0</v>
      </c>
      <c r="BJ163" s="1231">
        <f t="shared" si="232"/>
        <v>0</v>
      </c>
      <c r="BK163" s="1231">
        <f t="shared" si="233"/>
        <v>0</v>
      </c>
      <c r="BL163" s="1231">
        <f t="shared" si="234"/>
        <v>0</v>
      </c>
      <c r="BM163" s="1231">
        <f t="shared" si="235"/>
        <v>0</v>
      </c>
      <c r="BN163" s="1231">
        <f t="shared" si="236"/>
        <v>0</v>
      </c>
      <c r="BO163" s="1231">
        <f t="shared" si="237"/>
        <v>0</v>
      </c>
      <c r="BP163" s="1231">
        <f t="shared" si="238"/>
        <v>0</v>
      </c>
      <c r="BQ163" s="1231">
        <f t="shared" si="239"/>
        <v>0</v>
      </c>
      <c r="BR163" s="1231">
        <f t="shared" si="240"/>
        <v>0</v>
      </c>
      <c r="BS163" s="1231">
        <f t="shared" si="241"/>
        <v>0</v>
      </c>
      <c r="BT163" s="1231">
        <f t="shared" si="242"/>
        <v>0</v>
      </c>
      <c r="BU163" s="1231">
        <f t="shared" si="243"/>
        <v>0</v>
      </c>
      <c r="BV163" s="1231">
        <f t="shared" si="244"/>
        <v>0</v>
      </c>
      <c r="BW163" s="1231">
        <f t="shared" si="245"/>
        <v>0</v>
      </c>
      <c r="BX163" s="1231">
        <f t="shared" si="246"/>
        <v>0</v>
      </c>
      <c r="BY163" s="1231">
        <f t="shared" si="247"/>
        <v>0</v>
      </c>
      <c r="BZ163" s="1231">
        <f t="shared" si="248"/>
        <v>0</v>
      </c>
      <c r="CA163" s="1231">
        <f t="shared" si="249"/>
        <v>0</v>
      </c>
      <c r="CB163" s="1231">
        <f t="shared" si="250"/>
        <v>0</v>
      </c>
      <c r="CC163" s="1231">
        <f t="shared" si="251"/>
        <v>0</v>
      </c>
      <c r="CD163" s="1231">
        <f t="shared" si="252"/>
        <v>0</v>
      </c>
      <c r="CE163" s="1231">
        <f t="shared" si="253"/>
        <v>0</v>
      </c>
      <c r="CF163" s="1231">
        <f t="shared" si="254"/>
        <v>0</v>
      </c>
      <c r="CG163" s="1231">
        <f t="shared" si="255"/>
        <v>0</v>
      </c>
      <c r="CH163" s="1231">
        <f t="shared" si="256"/>
        <v>0</v>
      </c>
      <c r="CI163" s="1231">
        <f t="shared" si="257"/>
        <v>0</v>
      </c>
      <c r="CJ163" s="1231">
        <f t="shared" si="258"/>
        <v>0</v>
      </c>
      <c r="CK163" s="1231">
        <f t="shared" si="259"/>
        <v>0</v>
      </c>
      <c r="CL163" s="1231">
        <f t="shared" si="260"/>
        <v>0</v>
      </c>
      <c r="CM163" s="1231">
        <f t="shared" si="261"/>
        <v>0</v>
      </c>
      <c r="CN163" s="1231">
        <f t="shared" si="262"/>
        <v>0</v>
      </c>
      <c r="CQ163" s="1165"/>
      <c r="CR163" s="1165"/>
      <c r="CS163" s="1165"/>
      <c r="CT163" s="1165"/>
      <c r="CU163" s="1165"/>
      <c r="CV163" s="1165"/>
      <c r="CW163" s="1165"/>
      <c r="CX163" s="1165"/>
      <c r="CY163" s="1165"/>
      <c r="CZ163" s="1165"/>
      <c r="DA163" s="1165"/>
      <c r="DB163" s="1165"/>
      <c r="DC163" s="1165"/>
      <c r="DD163" s="1165"/>
      <c r="DE163" s="1165"/>
      <c r="DF163" s="1165"/>
      <c r="DG163" s="1165"/>
      <c r="DH163" s="1165"/>
      <c r="DI163" s="1165"/>
      <c r="DJ163" s="1165"/>
      <c r="DK163" s="1232"/>
      <c r="DL163" s="1232"/>
      <c r="DM163" s="1232"/>
      <c r="DN163" s="1232"/>
      <c r="DO163" s="1232"/>
      <c r="DP163" s="1232"/>
      <c r="DQ163" s="1232"/>
      <c r="DR163" s="1232"/>
      <c r="DS163" s="1232"/>
      <c r="DT163" s="1232"/>
      <c r="DU163" s="1232"/>
      <c r="DV163" s="1232"/>
      <c r="DW163" s="1232"/>
      <c r="DX163" s="1232"/>
      <c r="DY163" s="1232"/>
      <c r="DZ163" s="1232"/>
      <c r="EA163" s="1232"/>
      <c r="EB163" s="1232"/>
      <c r="EC163" s="1232"/>
      <c r="ED163" s="1232"/>
      <c r="EE163" s="1232"/>
      <c r="EF163" s="1232"/>
      <c r="EG163" s="1232"/>
      <c r="EH163" s="1232"/>
      <c r="EI163" s="1232"/>
      <c r="EJ163" s="1232"/>
      <c r="EK163" s="1232"/>
      <c r="EL163" s="1232"/>
      <c r="EM163" s="1232"/>
      <c r="EN163" s="1232"/>
      <c r="EO163" s="1232"/>
      <c r="EP163" s="1232"/>
      <c r="EQ163" s="1232"/>
      <c r="ER163" s="1232"/>
      <c r="ES163" s="1232"/>
      <c r="ET163" s="1232"/>
      <c r="EU163" s="1165"/>
      <c r="EV163" s="1165"/>
      <c r="EW163" s="1165"/>
      <c r="EX163" s="1165"/>
      <c r="EY163" s="1165"/>
      <c r="EZ163" s="1165"/>
      <c r="FA163" s="1165"/>
      <c r="FB163" s="1165"/>
      <c r="FC163" s="1165"/>
      <c r="FD163" s="1165"/>
      <c r="FE163" s="1165"/>
      <c r="FF163" s="1165"/>
    </row>
    <row r="164" spans="1:162" s="1231" customFormat="1">
      <c r="A164" s="1224"/>
      <c r="B164" s="1230"/>
      <c r="CO164" s="1165"/>
      <c r="CP164" s="1165"/>
      <c r="CQ164" s="1165"/>
      <c r="CR164" s="1165"/>
      <c r="CS164" s="1165"/>
      <c r="CT164" s="1165"/>
      <c r="CU164" s="1165"/>
      <c r="CV164" s="1165"/>
      <c r="CW164" s="1165"/>
      <c r="CX164" s="1165"/>
      <c r="CY164" s="1165"/>
      <c r="CZ164" s="1165"/>
      <c r="DA164" s="1165"/>
      <c r="DB164" s="1165"/>
      <c r="DC164" s="1165"/>
      <c r="DD164" s="1165"/>
      <c r="DE164" s="1165"/>
      <c r="DF164" s="1165"/>
      <c r="DG164" s="1165"/>
      <c r="DH164" s="1165"/>
      <c r="DI164" s="1165"/>
      <c r="DJ164" s="1165"/>
      <c r="DK164" s="1165"/>
      <c r="DL164" s="1165"/>
      <c r="DM164" s="1165"/>
      <c r="DN164" s="1165"/>
      <c r="DO164" s="1165"/>
      <c r="DP164" s="1165"/>
      <c r="DQ164" s="1165"/>
      <c r="DR164" s="1165"/>
      <c r="DS164" s="1165"/>
      <c r="DT164" s="1165"/>
      <c r="DU164" s="1165"/>
      <c r="DV164" s="1165"/>
      <c r="DW164" s="1165"/>
      <c r="DX164" s="1165"/>
      <c r="DY164" s="1165"/>
      <c r="DZ164" s="1165"/>
      <c r="EA164" s="1165"/>
      <c r="EB164" s="1165"/>
      <c r="EC164" s="1165"/>
      <c r="ED164" s="1165"/>
      <c r="EE164" s="1165"/>
      <c r="EF164" s="1165"/>
      <c r="EG164" s="1165"/>
      <c r="EH164" s="1165"/>
      <c r="EI164" s="1165"/>
      <c r="EJ164" s="1165"/>
      <c r="EK164" s="1165"/>
      <c r="EL164" s="1165"/>
      <c r="EM164" s="1165"/>
      <c r="EN164" s="1165"/>
      <c r="EO164" s="1165"/>
      <c r="EP164" s="1165"/>
      <c r="EQ164" s="1165"/>
      <c r="ER164" s="1165"/>
      <c r="ES164" s="1165"/>
      <c r="ET164" s="1165"/>
      <c r="EU164" s="1165"/>
      <c r="EV164" s="1165"/>
      <c r="EW164" s="1165"/>
      <c r="EX164" s="1165"/>
      <c r="EY164" s="1165"/>
      <c r="EZ164" s="1165"/>
      <c r="FA164" s="1165"/>
      <c r="FB164" s="1165"/>
      <c r="FC164" s="1165"/>
      <c r="FD164" s="1165"/>
      <c r="FE164" s="1165"/>
      <c r="FF164" s="1165"/>
    </row>
    <row r="165" spans="1:162" s="1231" customFormat="1">
      <c r="A165" s="1206" t="s">
        <v>584</v>
      </c>
      <c r="B165" s="1230" t="s">
        <v>188</v>
      </c>
      <c r="M165" s="1231">
        <f ca="1">OFFSET($CT165,0,M$7)</f>
        <v>0</v>
      </c>
      <c r="N165" s="1231">
        <f ca="1">OFFSET($CT165,0,N$7)</f>
        <v>0</v>
      </c>
      <c r="O165" s="1231">
        <f ca="1">OFFSET($CT165,0,O$7)</f>
        <v>0</v>
      </c>
      <c r="P165" s="1231">
        <f ca="1">OFFSET($CT165,0,P$7)</f>
        <v>0</v>
      </c>
      <c r="Q165" s="1231">
        <f ca="1">OFFSET($CT165,0,Q$7)</f>
        <v>0</v>
      </c>
      <c r="R165" s="1232">
        <v>1399.3453</v>
      </c>
      <c r="S165" s="1232">
        <v>1251.3240000000001</v>
      </c>
      <c r="T165" s="1232">
        <v>1108.086</v>
      </c>
      <c r="U165" s="1232">
        <v>938.53700000000003</v>
      </c>
      <c r="V165" s="1232">
        <v>1150.241</v>
      </c>
      <c r="W165" s="1232">
        <v>1767.191</v>
      </c>
      <c r="X165" s="1232">
        <v>1980.9</v>
      </c>
      <c r="Y165" s="1232">
        <v>1906.779</v>
      </c>
      <c r="Z165" s="1229">
        <v>2859.2280000000001</v>
      </c>
      <c r="AG165" s="1231">
        <f t="shared" si="203"/>
        <v>0</v>
      </c>
      <c r="AH165" s="1231">
        <f t="shared" si="204"/>
        <v>0</v>
      </c>
      <c r="AI165" s="1231">
        <f t="shared" si="205"/>
        <v>0</v>
      </c>
      <c r="AJ165" s="1231">
        <f t="shared" si="206"/>
        <v>0</v>
      </c>
      <c r="AK165" s="1231">
        <f t="shared" si="207"/>
        <v>0</v>
      </c>
      <c r="AL165" s="1231">
        <f t="shared" si="208"/>
        <v>0</v>
      </c>
      <c r="AM165" s="1231">
        <f t="shared" si="209"/>
        <v>0</v>
      </c>
      <c r="AN165" s="1231">
        <f t="shared" si="210"/>
        <v>0</v>
      </c>
      <c r="AO165" s="1231">
        <f t="shared" si="211"/>
        <v>0</v>
      </c>
      <c r="AP165" s="1231">
        <f t="shared" si="212"/>
        <v>0</v>
      </c>
      <c r="AQ165" s="1231">
        <f t="shared" si="213"/>
        <v>0</v>
      </c>
      <c r="AR165" s="1231">
        <f t="shared" si="214"/>
        <v>0</v>
      </c>
      <c r="AS165" s="1231">
        <f t="shared" si="215"/>
        <v>0</v>
      </c>
      <c r="AT165" s="1231">
        <f t="shared" si="216"/>
        <v>0</v>
      </c>
      <c r="AU165" s="1231">
        <f t="shared" si="217"/>
        <v>0</v>
      </c>
      <c r="AV165" s="1231">
        <f t="shared" si="218"/>
        <v>0</v>
      </c>
      <c r="AW165" s="1231">
        <f t="shared" si="219"/>
        <v>0</v>
      </c>
      <c r="AX165" s="1231">
        <f t="shared" si="220"/>
        <v>0</v>
      </c>
      <c r="AY165" s="1231">
        <f t="shared" si="221"/>
        <v>0</v>
      </c>
      <c r="AZ165" s="1231">
        <f t="shared" si="222"/>
        <v>0</v>
      </c>
      <c r="BA165" s="1231">
        <f t="shared" si="223"/>
        <v>0</v>
      </c>
      <c r="BB165" s="1231">
        <f t="shared" si="224"/>
        <v>0</v>
      </c>
      <c r="BC165" s="1231">
        <f t="shared" si="225"/>
        <v>0</v>
      </c>
      <c r="BD165" s="1231">
        <f t="shared" si="226"/>
        <v>0</v>
      </c>
      <c r="BE165" s="1231">
        <f t="shared" si="227"/>
        <v>0</v>
      </c>
      <c r="BF165" s="1231">
        <f t="shared" si="228"/>
        <v>0</v>
      </c>
      <c r="BG165" s="1231">
        <f t="shared" si="229"/>
        <v>0</v>
      </c>
      <c r="BH165" s="1231">
        <f t="shared" si="230"/>
        <v>0</v>
      </c>
      <c r="BI165" s="1231">
        <f t="shared" si="231"/>
        <v>0</v>
      </c>
      <c r="BJ165" s="1231">
        <f t="shared" si="232"/>
        <v>0</v>
      </c>
      <c r="BK165" s="1231">
        <f t="shared" si="233"/>
        <v>0</v>
      </c>
      <c r="BL165" s="1231">
        <f t="shared" si="234"/>
        <v>0</v>
      </c>
      <c r="BM165" s="1231">
        <f t="shared" si="235"/>
        <v>0</v>
      </c>
      <c r="BN165" s="1231">
        <f t="shared" si="236"/>
        <v>0</v>
      </c>
      <c r="BO165" s="1231">
        <f t="shared" si="237"/>
        <v>0</v>
      </c>
      <c r="BP165" s="1231">
        <f t="shared" si="238"/>
        <v>0</v>
      </c>
      <c r="BQ165" s="1231">
        <f t="shared" si="239"/>
        <v>0</v>
      </c>
      <c r="BR165" s="1231">
        <f t="shared" si="240"/>
        <v>0</v>
      </c>
      <c r="BS165" s="1231">
        <f t="shared" si="241"/>
        <v>0</v>
      </c>
      <c r="BT165" s="1231">
        <f t="shared" si="242"/>
        <v>0</v>
      </c>
      <c r="BU165" s="1231">
        <f t="shared" si="243"/>
        <v>0</v>
      </c>
      <c r="BV165" s="1231">
        <f t="shared" si="244"/>
        <v>0</v>
      </c>
      <c r="BW165" s="1231">
        <f t="shared" si="245"/>
        <v>0</v>
      </c>
      <c r="BX165" s="1231">
        <f t="shared" si="246"/>
        <v>0</v>
      </c>
      <c r="BY165" s="1231">
        <f t="shared" si="247"/>
        <v>0</v>
      </c>
      <c r="BZ165" s="1231">
        <f t="shared" si="248"/>
        <v>0</v>
      </c>
      <c r="CA165" s="1231">
        <f t="shared" si="249"/>
        <v>0</v>
      </c>
      <c r="CB165" s="1231">
        <f t="shared" si="250"/>
        <v>0</v>
      </c>
      <c r="CC165" s="1231">
        <f t="shared" si="251"/>
        <v>0</v>
      </c>
      <c r="CD165" s="1231">
        <f t="shared" si="252"/>
        <v>0</v>
      </c>
      <c r="CE165" s="1231">
        <f t="shared" si="253"/>
        <v>0</v>
      </c>
      <c r="CF165" s="1231">
        <f t="shared" si="254"/>
        <v>0</v>
      </c>
      <c r="CG165" s="1231">
        <f t="shared" si="255"/>
        <v>0</v>
      </c>
      <c r="CH165" s="1231">
        <f t="shared" si="256"/>
        <v>0</v>
      </c>
      <c r="CI165" s="1231">
        <f t="shared" si="257"/>
        <v>0</v>
      </c>
      <c r="CJ165" s="1231">
        <f t="shared" si="258"/>
        <v>0</v>
      </c>
      <c r="CK165" s="1231">
        <f t="shared" si="259"/>
        <v>0</v>
      </c>
      <c r="CL165" s="1231">
        <f t="shared" si="260"/>
        <v>0</v>
      </c>
      <c r="CM165" s="1231">
        <f t="shared" si="261"/>
        <v>0</v>
      </c>
      <c r="CN165" s="1231">
        <f t="shared" si="262"/>
        <v>0</v>
      </c>
      <c r="CQ165" s="1165"/>
      <c r="CR165" s="1165"/>
      <c r="CS165" s="1165"/>
      <c r="CT165" s="1165"/>
      <c r="CU165" s="1165"/>
      <c r="CV165" s="1165"/>
      <c r="CW165" s="1165"/>
      <c r="CX165" s="1165"/>
      <c r="CY165" s="1165"/>
      <c r="CZ165" s="1165"/>
      <c r="DA165" s="1165"/>
      <c r="DB165" s="1165"/>
      <c r="DC165" s="1165"/>
      <c r="DD165" s="1165"/>
      <c r="DE165" s="1165"/>
      <c r="DF165" s="1165"/>
      <c r="DG165" s="1165"/>
      <c r="DH165" s="1165"/>
      <c r="DI165" s="1165"/>
      <c r="DJ165" s="1165"/>
      <c r="DK165" s="1232"/>
      <c r="DL165" s="1232"/>
      <c r="DM165" s="1232"/>
      <c r="DN165" s="1232"/>
      <c r="DO165" s="1232"/>
      <c r="DP165" s="1232"/>
      <c r="DQ165" s="1232"/>
      <c r="DR165" s="1232"/>
      <c r="DS165" s="1232"/>
      <c r="DT165" s="1232"/>
      <c r="DU165" s="1232"/>
      <c r="DV165" s="1232"/>
      <c r="DW165" s="1232"/>
      <c r="DX165" s="1232"/>
      <c r="DY165" s="1232"/>
      <c r="DZ165" s="1232"/>
      <c r="EA165" s="1232"/>
      <c r="EB165" s="1232"/>
      <c r="EC165" s="1232"/>
      <c r="ED165" s="1232"/>
      <c r="EE165" s="1232"/>
      <c r="EF165" s="1232"/>
      <c r="EG165" s="1232"/>
      <c r="EH165" s="1232"/>
      <c r="EI165" s="1232"/>
      <c r="EJ165" s="1232"/>
      <c r="EK165" s="1232"/>
      <c r="EL165" s="1232"/>
      <c r="EM165" s="1232"/>
      <c r="EN165" s="1232"/>
      <c r="EO165" s="1232"/>
      <c r="EP165" s="1232"/>
      <c r="EQ165" s="1232"/>
      <c r="ER165" s="1232"/>
      <c r="ES165" s="1232"/>
      <c r="ET165" s="1232"/>
      <c r="EU165" s="1165"/>
      <c r="EV165" s="1165"/>
      <c r="EW165" s="1165"/>
      <c r="EX165" s="1165"/>
      <c r="EY165" s="1165"/>
      <c r="EZ165" s="1165"/>
      <c r="FA165" s="1165"/>
      <c r="FB165" s="1165"/>
      <c r="FC165" s="1165"/>
      <c r="FD165" s="1165"/>
      <c r="FE165" s="1165"/>
      <c r="FF165" s="1165"/>
    </row>
    <row r="166" spans="1:162">
      <c r="A166" s="1224"/>
      <c r="CQ166" s="1165"/>
      <c r="CR166" s="1165"/>
      <c r="CS166" s="1165"/>
      <c r="CT166" s="1165"/>
      <c r="CU166" s="1165"/>
      <c r="CV166" s="1165"/>
      <c r="CW166" s="1165"/>
      <c r="CX166" s="1165"/>
      <c r="CY166" s="1165"/>
      <c r="CZ166" s="1165"/>
      <c r="DA166" s="1165"/>
      <c r="DB166" s="1165"/>
      <c r="DC166" s="1165"/>
      <c r="DD166" s="1165"/>
      <c r="DE166" s="1165"/>
      <c r="DF166" s="1165"/>
      <c r="DG166" s="1165"/>
      <c r="DH166" s="1165"/>
      <c r="DI166" s="1165"/>
      <c r="DJ166" s="1165"/>
      <c r="DK166" s="1165"/>
      <c r="DL166" s="1165"/>
      <c r="DM166" s="1165"/>
      <c r="DN166" s="1165"/>
      <c r="DO166" s="1165"/>
      <c r="DP166" s="1165"/>
      <c r="DQ166" s="1165"/>
      <c r="DR166" s="1165"/>
      <c r="DS166" s="1165"/>
      <c r="DT166" s="1165"/>
      <c r="DU166" s="1165"/>
      <c r="DV166" s="1165"/>
      <c r="DW166" s="1165"/>
      <c r="DX166" s="1165"/>
      <c r="DY166" s="1165"/>
      <c r="DZ166" s="1165"/>
      <c r="EA166" s="1165"/>
      <c r="EB166" s="1165"/>
      <c r="EC166" s="1165"/>
      <c r="ED166" s="1165"/>
      <c r="EE166" s="1165"/>
      <c r="EF166" s="1165"/>
      <c r="EG166" s="1165"/>
      <c r="EH166" s="1165"/>
      <c r="EI166" s="1165"/>
      <c r="EJ166" s="1165"/>
      <c r="EK166" s="1165"/>
      <c r="EL166" s="1165"/>
      <c r="EM166" s="1165"/>
      <c r="EN166" s="1165"/>
      <c r="EO166" s="1165"/>
      <c r="EP166" s="1165"/>
      <c r="EQ166" s="1165"/>
      <c r="ER166" s="1165"/>
      <c r="ES166" s="1165"/>
      <c r="ET166" s="1165"/>
      <c r="EU166" s="1165"/>
      <c r="EV166" s="1165"/>
      <c r="EW166" s="1165"/>
      <c r="EX166" s="1165"/>
      <c r="EY166" s="1165"/>
      <c r="EZ166" s="1165"/>
      <c r="FA166" s="1165"/>
      <c r="FB166" s="1165"/>
      <c r="FC166" s="1165"/>
      <c r="FD166" s="1165"/>
      <c r="FE166" s="1165"/>
      <c r="FF166" s="1165"/>
    </row>
    <row r="167" spans="1:162">
      <c r="A167" s="1224"/>
      <c r="B167" s="1250" t="s">
        <v>57</v>
      </c>
      <c r="CO167" s="1165"/>
      <c r="CP167" s="1165"/>
      <c r="CQ167" s="1165"/>
      <c r="CR167" s="1165"/>
      <c r="CS167" s="1165"/>
      <c r="CT167" s="1165"/>
      <c r="CU167" s="1165"/>
      <c r="CV167" s="1165"/>
      <c r="CW167" s="1165"/>
      <c r="CX167" s="1165"/>
      <c r="CY167" s="1165"/>
      <c r="CZ167" s="1165"/>
      <c r="DA167" s="1165"/>
      <c r="DB167" s="1165"/>
      <c r="DC167" s="1165"/>
      <c r="DD167" s="1165"/>
      <c r="DE167" s="1165"/>
      <c r="DF167" s="1165"/>
      <c r="DG167" s="1165"/>
      <c r="DH167" s="1165"/>
      <c r="DI167" s="1165"/>
      <c r="DJ167" s="1165"/>
      <c r="DK167" s="1165"/>
      <c r="DL167" s="1165"/>
      <c r="DM167" s="1165"/>
      <c r="DN167" s="1165"/>
      <c r="DO167" s="1165"/>
      <c r="DP167" s="1165"/>
      <c r="DQ167" s="1165"/>
      <c r="DR167" s="1165"/>
      <c r="DS167" s="1165"/>
      <c r="DT167" s="1165"/>
      <c r="DU167" s="1165"/>
      <c r="DV167" s="1165"/>
      <c r="DW167" s="1165"/>
      <c r="DX167" s="1165"/>
      <c r="DY167" s="1165"/>
      <c r="DZ167" s="1165"/>
      <c r="EA167" s="1165"/>
      <c r="EB167" s="1165"/>
      <c r="EC167" s="1165"/>
      <c r="ED167" s="1165"/>
      <c r="EE167" s="1165"/>
      <c r="EF167" s="1165"/>
      <c r="EG167" s="1165"/>
      <c r="EH167" s="1165"/>
      <c r="EI167" s="1165"/>
      <c r="EJ167" s="1165"/>
      <c r="EK167" s="1165"/>
      <c r="EL167" s="1165"/>
      <c r="EM167" s="1165"/>
      <c r="EN167" s="1165"/>
      <c r="EO167" s="1165"/>
      <c r="EP167" s="1165"/>
      <c r="EQ167" s="1165"/>
      <c r="ER167" s="1165"/>
      <c r="ES167" s="1165"/>
      <c r="ET167" s="1165"/>
      <c r="EU167" s="1165"/>
      <c r="EV167" s="1165"/>
      <c r="EW167" s="1165"/>
      <c r="EX167" s="1165"/>
      <c r="EY167" s="1165"/>
      <c r="EZ167" s="1165"/>
      <c r="FA167" s="1165"/>
      <c r="FB167" s="1165"/>
      <c r="FC167" s="1165"/>
      <c r="FD167" s="1165"/>
      <c r="FE167" s="1165"/>
      <c r="FF167" s="1165"/>
    </row>
    <row r="168" spans="1:162">
      <c r="A168" s="1203" t="s">
        <v>585</v>
      </c>
      <c r="B168" s="1237" t="s">
        <v>14</v>
      </c>
      <c r="M168" s="1236">
        <f t="shared" ref="M168:Q171" ca="1" si="268">OFFSET($CT168,0,M$7)</f>
        <v>0</v>
      </c>
      <c r="N168" s="1236">
        <f t="shared" ca="1" si="268"/>
        <v>0</v>
      </c>
      <c r="O168" s="1236">
        <f t="shared" ca="1" si="268"/>
        <v>0</v>
      </c>
      <c r="P168" s="1236">
        <f t="shared" ca="1" si="268"/>
        <v>0</v>
      </c>
      <c r="Q168" s="1236">
        <f t="shared" ca="1" si="268"/>
        <v>0</v>
      </c>
      <c r="R168" s="1232">
        <f>INDEX('Basic Data TR'!$A$1:$AMJ$9673,MATCH($A168,'Basic Data TR'!$A$1:$A$9673,0),MATCH(R$6,'Basic Data TR'!$A$1:$AMJ$1,0))</f>
        <v>0</v>
      </c>
      <c r="S168" s="1232">
        <f>INDEX('Basic Data TR'!$A$1:$AMJ$9673,MATCH($A168,'Basic Data TR'!$A$1:$A$9673,0),MATCH(S$6,'Basic Data TR'!$A$1:$AMJ$1,0))</f>
        <v>0</v>
      </c>
      <c r="T168" s="1232">
        <f>INDEX('Basic Data TR'!$A$1:$AMJ$9673,MATCH($A168,'Basic Data TR'!$A$1:$A$9673,0),MATCH(T$6,'Basic Data TR'!$A$1:$AMJ$1,0))</f>
        <v>0</v>
      </c>
      <c r="U168" s="1232">
        <f>INDEX('Basic Data TR'!$A$1:$AMJ$9673,MATCH($A168,'Basic Data TR'!$A$1:$A$9673,0),MATCH(U$6,'Basic Data TR'!$A$1:$AMJ$1,0))</f>
        <v>0</v>
      </c>
      <c r="V168" s="1232">
        <f>INDEX('Basic Data TR'!$A$1:$AMJ$9673,MATCH($A168,'Basic Data TR'!$A$1:$A$9673,0),MATCH(V$6,'Basic Data TR'!$A$1:$AMJ$1,0))</f>
        <v>0</v>
      </c>
      <c r="W168" s="1232">
        <f>INDEX('Basic Data TR'!$A$1:$AMJ$9673,MATCH($A168,'Basic Data TR'!$A$1:$A$9673,0),MATCH(W$6,'Basic Data TR'!$A$1:$AMJ$1,0))</f>
        <v>0</v>
      </c>
      <c r="X168" s="1232">
        <f>INDEX('Basic Data TR'!$A$1:$AMJ$9673,MATCH($A168,'Basic Data TR'!$A$1:$A$9673,0),MATCH(X$6,'Basic Data TR'!$A$1:$AMJ$1,0))</f>
        <v>0</v>
      </c>
      <c r="Y168" s="1232">
        <f>INDEX('Basic Data TR'!$A$1:$AMJ$9673,MATCH($A168,'Basic Data TR'!$A$1:$A$9673,0),MATCH(Y$6,'Basic Data TR'!$A$1:$AMJ$1,0))</f>
        <v>0</v>
      </c>
      <c r="AG168" s="1236">
        <f t="shared" si="203"/>
        <v>0</v>
      </c>
      <c r="AH168" s="1236">
        <f t="shared" si="204"/>
        <v>0</v>
      </c>
      <c r="AI168" s="1236">
        <f t="shared" si="205"/>
        <v>0</v>
      </c>
      <c r="AJ168" s="1236">
        <f t="shared" si="206"/>
        <v>0</v>
      </c>
      <c r="AK168" s="1236">
        <f t="shared" si="207"/>
        <v>0</v>
      </c>
      <c r="AL168" s="1236">
        <f t="shared" si="208"/>
        <v>0</v>
      </c>
      <c r="AM168" s="1236">
        <f t="shared" si="209"/>
        <v>0</v>
      </c>
      <c r="AN168" s="1236">
        <f t="shared" si="210"/>
        <v>0</v>
      </c>
      <c r="AO168" s="1236">
        <f t="shared" si="211"/>
        <v>0</v>
      </c>
      <c r="AP168" s="1236">
        <f t="shared" si="212"/>
        <v>0</v>
      </c>
      <c r="AQ168" s="1236">
        <f t="shared" si="213"/>
        <v>0</v>
      </c>
      <c r="AR168" s="1236">
        <f t="shared" si="214"/>
        <v>0</v>
      </c>
      <c r="AS168" s="1236">
        <f t="shared" si="215"/>
        <v>0</v>
      </c>
      <c r="AT168" s="1236">
        <f t="shared" si="216"/>
        <v>0</v>
      </c>
      <c r="AU168" s="1236">
        <f t="shared" si="217"/>
        <v>0</v>
      </c>
      <c r="AV168" s="1236">
        <f t="shared" si="218"/>
        <v>0</v>
      </c>
      <c r="AW168" s="1236">
        <f t="shared" si="219"/>
        <v>0</v>
      </c>
      <c r="AX168" s="1236">
        <f t="shared" si="220"/>
        <v>0</v>
      </c>
      <c r="AY168" s="1236">
        <f t="shared" si="221"/>
        <v>0</v>
      </c>
      <c r="AZ168" s="1236">
        <f t="shared" si="222"/>
        <v>0</v>
      </c>
      <c r="BA168" s="1236">
        <f t="shared" si="223"/>
        <v>0</v>
      </c>
      <c r="BB168" s="1236">
        <f t="shared" si="224"/>
        <v>0</v>
      </c>
      <c r="BC168" s="1236">
        <f t="shared" si="225"/>
        <v>0</v>
      </c>
      <c r="BD168" s="1236">
        <f t="shared" si="226"/>
        <v>0</v>
      </c>
      <c r="BE168" s="1236">
        <f t="shared" si="227"/>
        <v>0</v>
      </c>
      <c r="BF168" s="1236">
        <f t="shared" si="228"/>
        <v>0</v>
      </c>
      <c r="BG168" s="1236">
        <f t="shared" si="229"/>
        <v>0</v>
      </c>
      <c r="BH168" s="1236">
        <f t="shared" si="230"/>
        <v>0</v>
      </c>
      <c r="BI168" s="1236">
        <f t="shared" si="231"/>
        <v>0</v>
      </c>
      <c r="BJ168" s="1236">
        <f t="shared" si="232"/>
        <v>0</v>
      </c>
      <c r="BK168" s="1236">
        <f t="shared" si="233"/>
        <v>0</v>
      </c>
      <c r="BL168" s="1236">
        <f t="shared" si="234"/>
        <v>0</v>
      </c>
      <c r="BM168" s="1236">
        <f t="shared" si="235"/>
        <v>0</v>
      </c>
      <c r="BN168" s="1236">
        <f t="shared" si="236"/>
        <v>0</v>
      </c>
      <c r="BO168" s="1236">
        <f t="shared" si="237"/>
        <v>0</v>
      </c>
      <c r="BP168" s="1236">
        <f t="shared" si="238"/>
        <v>0</v>
      </c>
      <c r="BQ168" s="1236">
        <f t="shared" si="239"/>
        <v>0</v>
      </c>
      <c r="BR168" s="1236">
        <f t="shared" si="240"/>
        <v>0</v>
      </c>
      <c r="BS168" s="1236">
        <f t="shared" si="241"/>
        <v>0</v>
      </c>
      <c r="BT168" s="1236">
        <f t="shared" si="242"/>
        <v>0</v>
      </c>
      <c r="BU168" s="1236">
        <f t="shared" si="243"/>
        <v>0</v>
      </c>
      <c r="BV168" s="1236">
        <f t="shared" si="244"/>
        <v>0</v>
      </c>
      <c r="BW168" s="1236">
        <f t="shared" si="245"/>
        <v>0</v>
      </c>
      <c r="BX168" s="1236">
        <f t="shared" si="246"/>
        <v>0</v>
      </c>
      <c r="BY168" s="1236">
        <f t="shared" si="247"/>
        <v>0</v>
      </c>
      <c r="BZ168" s="1236">
        <f t="shared" si="248"/>
        <v>0</v>
      </c>
      <c r="CA168" s="1236">
        <f t="shared" si="249"/>
        <v>0</v>
      </c>
      <c r="CB168" s="1236">
        <f t="shared" si="250"/>
        <v>0</v>
      </c>
      <c r="CC168" s="1236">
        <f t="shared" si="251"/>
        <v>0</v>
      </c>
      <c r="CD168" s="1236">
        <f t="shared" si="252"/>
        <v>0</v>
      </c>
      <c r="CE168" s="1236">
        <f t="shared" si="253"/>
        <v>0</v>
      </c>
      <c r="CF168" s="1236">
        <f t="shared" si="254"/>
        <v>0</v>
      </c>
      <c r="CG168" s="1236">
        <f t="shared" si="255"/>
        <v>0</v>
      </c>
      <c r="CH168" s="1236">
        <f t="shared" si="256"/>
        <v>0</v>
      </c>
      <c r="CI168" s="1236">
        <f t="shared" si="257"/>
        <v>0</v>
      </c>
      <c r="CJ168" s="1236">
        <f t="shared" si="258"/>
        <v>0</v>
      </c>
      <c r="CK168" s="1236">
        <f t="shared" si="259"/>
        <v>0</v>
      </c>
      <c r="CL168" s="1236">
        <f t="shared" si="260"/>
        <v>0</v>
      </c>
      <c r="CM168" s="1236">
        <f t="shared" si="261"/>
        <v>0</v>
      </c>
      <c r="CN168" s="1236">
        <f t="shared" si="262"/>
        <v>0</v>
      </c>
      <c r="CO168" s="1165"/>
      <c r="CP168" s="1165"/>
      <c r="CQ168" s="1165"/>
      <c r="CR168" s="1165"/>
      <c r="CS168" s="1165"/>
      <c r="CT168" s="1165"/>
      <c r="CU168" s="1165"/>
      <c r="CV168" s="1165"/>
      <c r="CW168" s="1165"/>
      <c r="CX168" s="1165"/>
      <c r="CY168" s="1165"/>
      <c r="CZ168" s="1165"/>
      <c r="DA168" s="1165"/>
      <c r="DB168" s="1165"/>
      <c r="DC168" s="1165"/>
      <c r="DD168" s="1165"/>
      <c r="DE168" s="1165"/>
      <c r="DF168" s="1165"/>
      <c r="DG168" s="1165"/>
      <c r="DH168" s="1165"/>
      <c r="DI168" s="1165"/>
      <c r="DJ168" s="1165"/>
      <c r="DK168" s="1238"/>
      <c r="DL168" s="1238"/>
      <c r="DM168" s="1238"/>
      <c r="DN168" s="1238"/>
      <c r="DO168" s="1238"/>
      <c r="DP168" s="1238"/>
      <c r="DQ168" s="1238"/>
      <c r="DR168" s="1238"/>
      <c r="DS168" s="1238"/>
      <c r="DT168" s="1238"/>
      <c r="DU168" s="1238"/>
      <c r="DV168" s="1238"/>
      <c r="DW168" s="1238"/>
      <c r="DX168" s="1238"/>
      <c r="DY168" s="1238"/>
      <c r="DZ168" s="1238"/>
      <c r="EA168" s="1238"/>
      <c r="EB168" s="1238"/>
      <c r="EC168" s="1238"/>
      <c r="ED168" s="1238"/>
      <c r="EE168" s="1238"/>
      <c r="EF168" s="1238"/>
      <c r="EG168" s="1238"/>
      <c r="EH168" s="1238"/>
      <c r="EI168" s="1238"/>
      <c r="EJ168" s="1238"/>
      <c r="EK168" s="1238"/>
      <c r="EL168" s="1238"/>
      <c r="EM168" s="1238"/>
      <c r="EN168" s="1238"/>
      <c r="EO168" s="1238"/>
      <c r="EP168" s="1238"/>
      <c r="EQ168" s="1238"/>
      <c r="ER168" s="1238"/>
      <c r="ES168" s="1238"/>
      <c r="ET168" s="1238"/>
      <c r="EU168" s="1165"/>
      <c r="EV168" s="1165"/>
      <c r="EW168" s="1165"/>
      <c r="EX168" s="1165"/>
      <c r="EY168" s="1165"/>
      <c r="EZ168" s="1165"/>
      <c r="FA168" s="1165"/>
      <c r="FB168" s="1165"/>
      <c r="FC168" s="1165"/>
      <c r="FD168" s="1165"/>
      <c r="FE168" s="1165"/>
      <c r="FF168" s="1165"/>
    </row>
    <row r="169" spans="1:162">
      <c r="A169" s="1224"/>
      <c r="B169" s="1237" t="s">
        <v>213</v>
      </c>
      <c r="M169" s="1236">
        <f t="shared" ca="1" si="268"/>
        <v>0</v>
      </c>
      <c r="N169" s="1236">
        <f t="shared" ca="1" si="268"/>
        <v>0</v>
      </c>
      <c r="O169" s="1236">
        <f t="shared" ca="1" si="268"/>
        <v>0</v>
      </c>
      <c r="P169" s="1236">
        <f t="shared" ca="1" si="268"/>
        <v>0</v>
      </c>
      <c r="Q169" s="1236">
        <f t="shared" ca="1" si="268"/>
        <v>0</v>
      </c>
      <c r="R169" s="1236">
        <f t="shared" ref="R169:Y169" si="269">R171-R168</f>
        <v>234.92330000000001</v>
      </c>
      <c r="S169" s="1236">
        <f t="shared" si="269"/>
        <v>100.92100000000001</v>
      </c>
      <c r="T169" s="1236">
        <f t="shared" si="269"/>
        <v>528.61199999999997</v>
      </c>
      <c r="U169" s="1236">
        <f t="shared" si="269"/>
        <v>781.53800000000001</v>
      </c>
      <c r="V169" s="1236">
        <f t="shared" si="269"/>
        <v>1127.173</v>
      </c>
      <c r="W169" s="1236">
        <f t="shared" si="269"/>
        <v>909.24300000000005</v>
      </c>
      <c r="X169" s="1236">
        <f t="shared" si="269"/>
        <v>2338.2150000000001</v>
      </c>
      <c r="Y169" s="1236">
        <f t="shared" si="269"/>
        <v>2872.44</v>
      </c>
      <c r="AG169" s="1236">
        <f t="shared" si="203"/>
        <v>0</v>
      </c>
      <c r="AH169" s="1236">
        <f t="shared" si="204"/>
        <v>0</v>
      </c>
      <c r="AI169" s="1236">
        <f t="shared" si="205"/>
        <v>0</v>
      </c>
      <c r="AJ169" s="1236">
        <f t="shared" si="206"/>
        <v>0</v>
      </c>
      <c r="AK169" s="1236">
        <f t="shared" si="207"/>
        <v>0</v>
      </c>
      <c r="AL169" s="1236">
        <f t="shared" si="208"/>
        <v>0</v>
      </c>
      <c r="AM169" s="1236">
        <f t="shared" si="209"/>
        <v>0</v>
      </c>
      <c r="AN169" s="1236">
        <f t="shared" si="210"/>
        <v>0</v>
      </c>
      <c r="AO169" s="1236">
        <f t="shared" si="211"/>
        <v>0</v>
      </c>
      <c r="AP169" s="1236">
        <f t="shared" si="212"/>
        <v>0</v>
      </c>
      <c r="AQ169" s="1236">
        <f t="shared" si="213"/>
        <v>0</v>
      </c>
      <c r="AR169" s="1236">
        <f t="shared" si="214"/>
        <v>0</v>
      </c>
      <c r="AS169" s="1236">
        <f t="shared" si="215"/>
        <v>0</v>
      </c>
      <c r="AT169" s="1236">
        <f t="shared" si="216"/>
        <v>0</v>
      </c>
      <c r="AU169" s="1236">
        <f t="shared" si="217"/>
        <v>0</v>
      </c>
      <c r="AV169" s="1236">
        <f t="shared" si="218"/>
        <v>0</v>
      </c>
      <c r="AW169" s="1236">
        <f t="shared" si="219"/>
        <v>0</v>
      </c>
      <c r="AX169" s="1236">
        <f t="shared" si="220"/>
        <v>0</v>
      </c>
      <c r="AY169" s="1236">
        <f t="shared" si="221"/>
        <v>0</v>
      </c>
      <c r="AZ169" s="1236">
        <f t="shared" si="222"/>
        <v>0</v>
      </c>
      <c r="BA169" s="1236">
        <f t="shared" si="223"/>
        <v>0</v>
      </c>
      <c r="BB169" s="1236">
        <f t="shared" si="224"/>
        <v>0</v>
      </c>
      <c r="BC169" s="1236">
        <f t="shared" si="225"/>
        <v>0</v>
      </c>
      <c r="BD169" s="1236">
        <f t="shared" si="226"/>
        <v>0</v>
      </c>
      <c r="BE169" s="1236">
        <f t="shared" si="227"/>
        <v>0</v>
      </c>
      <c r="BF169" s="1236">
        <f t="shared" si="228"/>
        <v>0</v>
      </c>
      <c r="BG169" s="1236">
        <f t="shared" si="229"/>
        <v>0</v>
      </c>
      <c r="BH169" s="1236">
        <f t="shared" si="230"/>
        <v>0</v>
      </c>
      <c r="BI169" s="1236">
        <f t="shared" si="231"/>
        <v>0</v>
      </c>
      <c r="BJ169" s="1236">
        <f t="shared" si="232"/>
        <v>0</v>
      </c>
      <c r="BK169" s="1236">
        <f t="shared" si="233"/>
        <v>0</v>
      </c>
      <c r="BL169" s="1236">
        <f t="shared" si="234"/>
        <v>0</v>
      </c>
      <c r="BM169" s="1236">
        <f t="shared" si="235"/>
        <v>0</v>
      </c>
      <c r="BN169" s="1236">
        <f t="shared" si="236"/>
        <v>0</v>
      </c>
      <c r="BO169" s="1236">
        <f t="shared" si="237"/>
        <v>0</v>
      </c>
      <c r="BP169" s="1236">
        <f t="shared" si="238"/>
        <v>0</v>
      </c>
      <c r="BQ169" s="1236">
        <f t="shared" si="239"/>
        <v>0</v>
      </c>
      <c r="BR169" s="1236">
        <f t="shared" si="240"/>
        <v>0</v>
      </c>
      <c r="BS169" s="1236">
        <f t="shared" si="241"/>
        <v>0</v>
      </c>
      <c r="BT169" s="1236">
        <f t="shared" si="242"/>
        <v>0</v>
      </c>
      <c r="BU169" s="1236">
        <f t="shared" si="243"/>
        <v>0</v>
      </c>
      <c r="BV169" s="1236">
        <f t="shared" si="244"/>
        <v>0</v>
      </c>
      <c r="BW169" s="1236">
        <f t="shared" si="245"/>
        <v>0</v>
      </c>
      <c r="BX169" s="1236">
        <f t="shared" si="246"/>
        <v>0</v>
      </c>
      <c r="BY169" s="1236">
        <f t="shared" si="247"/>
        <v>0</v>
      </c>
      <c r="BZ169" s="1236">
        <f t="shared" si="248"/>
        <v>0</v>
      </c>
      <c r="CA169" s="1236">
        <f t="shared" si="249"/>
        <v>0</v>
      </c>
      <c r="CB169" s="1236">
        <f t="shared" si="250"/>
        <v>0</v>
      </c>
      <c r="CC169" s="1236">
        <f t="shared" si="251"/>
        <v>0</v>
      </c>
      <c r="CD169" s="1236">
        <f t="shared" si="252"/>
        <v>0</v>
      </c>
      <c r="CE169" s="1236">
        <f t="shared" si="253"/>
        <v>0</v>
      </c>
      <c r="CF169" s="1236">
        <f t="shared" si="254"/>
        <v>0</v>
      </c>
      <c r="CG169" s="1236">
        <f t="shared" si="255"/>
        <v>0</v>
      </c>
      <c r="CH169" s="1236">
        <f t="shared" si="256"/>
        <v>0</v>
      </c>
      <c r="CI169" s="1236">
        <f t="shared" si="257"/>
        <v>0</v>
      </c>
      <c r="CJ169" s="1236">
        <f t="shared" si="258"/>
        <v>0</v>
      </c>
      <c r="CK169" s="1236">
        <f t="shared" si="259"/>
        <v>0</v>
      </c>
      <c r="CL169" s="1236">
        <f t="shared" si="260"/>
        <v>0</v>
      </c>
      <c r="CM169" s="1236">
        <f t="shared" si="261"/>
        <v>0</v>
      </c>
      <c r="CN169" s="1236">
        <f t="shared" si="262"/>
        <v>0</v>
      </c>
      <c r="CO169" s="1165"/>
      <c r="CP169" s="1165"/>
      <c r="CQ169" s="1165"/>
      <c r="CR169" s="1165"/>
      <c r="CS169" s="1165"/>
      <c r="CT169" s="1165"/>
      <c r="CU169" s="1165"/>
      <c r="CV169" s="1165"/>
      <c r="CW169" s="1165"/>
      <c r="CX169" s="1165"/>
      <c r="CY169" s="1165"/>
      <c r="CZ169" s="1165"/>
      <c r="DA169" s="1165"/>
      <c r="DB169" s="1165"/>
      <c r="DC169" s="1165"/>
      <c r="DD169" s="1165"/>
      <c r="DE169" s="1165"/>
      <c r="DF169" s="1165"/>
      <c r="DG169" s="1165"/>
      <c r="DH169" s="1165"/>
      <c r="DI169" s="1165"/>
      <c r="DJ169" s="1165"/>
      <c r="DK169" s="1238"/>
      <c r="DL169" s="1238"/>
      <c r="DM169" s="1238"/>
      <c r="DN169" s="1238"/>
      <c r="DO169" s="1238"/>
      <c r="DP169" s="1238"/>
      <c r="DQ169" s="1238"/>
      <c r="DR169" s="1238"/>
      <c r="DS169" s="1238"/>
      <c r="DT169" s="1238"/>
      <c r="DU169" s="1238"/>
      <c r="DV169" s="1238"/>
      <c r="DW169" s="1238"/>
      <c r="DX169" s="1238"/>
      <c r="DY169" s="1238"/>
      <c r="DZ169" s="1238"/>
      <c r="EA169" s="1238"/>
      <c r="EB169" s="1238"/>
      <c r="EC169" s="1238"/>
      <c r="ED169" s="1238"/>
      <c r="EE169" s="1238"/>
      <c r="EF169" s="1238"/>
      <c r="EG169" s="1238"/>
      <c r="EH169" s="1238"/>
      <c r="EI169" s="1238"/>
      <c r="EJ169" s="1238"/>
      <c r="EK169" s="1238"/>
      <c r="EL169" s="1238"/>
      <c r="EM169" s="1238"/>
      <c r="EN169" s="1238"/>
      <c r="EO169" s="1238"/>
      <c r="EP169" s="1238"/>
      <c r="EQ169" s="1238"/>
      <c r="ER169" s="1238"/>
      <c r="ES169" s="1238"/>
      <c r="ET169" s="1238"/>
      <c r="EU169" s="1165"/>
      <c r="EV169" s="1165"/>
      <c r="EW169" s="1165"/>
      <c r="EX169" s="1165"/>
      <c r="EY169" s="1165"/>
      <c r="EZ169" s="1165"/>
      <c r="FA169" s="1165"/>
      <c r="FB169" s="1165"/>
      <c r="FC169" s="1165"/>
      <c r="FD169" s="1165"/>
      <c r="FE169" s="1165"/>
      <c r="FF169" s="1165"/>
    </row>
    <row r="170" spans="1:162">
      <c r="A170" s="1224"/>
      <c r="B170" s="1237"/>
      <c r="AG170" s="1236">
        <f t="shared" si="203"/>
        <v>0</v>
      </c>
      <c r="AH170" s="1236">
        <f t="shared" si="204"/>
        <v>0</v>
      </c>
      <c r="AI170" s="1236">
        <f t="shared" si="205"/>
        <v>0</v>
      </c>
      <c r="AJ170" s="1236">
        <f t="shared" si="206"/>
        <v>0</v>
      </c>
      <c r="AK170" s="1236">
        <f t="shared" si="207"/>
        <v>0</v>
      </c>
      <c r="AL170" s="1236">
        <f t="shared" si="208"/>
        <v>0</v>
      </c>
      <c r="AM170" s="1236">
        <f t="shared" si="209"/>
        <v>0</v>
      </c>
      <c r="AN170" s="1236">
        <f t="shared" si="210"/>
        <v>0</v>
      </c>
      <c r="AO170" s="1236">
        <f t="shared" si="211"/>
        <v>0</v>
      </c>
      <c r="AP170" s="1236">
        <f t="shared" si="212"/>
        <v>0</v>
      </c>
      <c r="AQ170" s="1236">
        <f t="shared" si="213"/>
        <v>0</v>
      </c>
      <c r="AR170" s="1236">
        <f t="shared" si="214"/>
        <v>0</v>
      </c>
      <c r="AS170" s="1236">
        <f t="shared" si="215"/>
        <v>0</v>
      </c>
      <c r="AT170" s="1236">
        <f t="shared" si="216"/>
        <v>0</v>
      </c>
      <c r="AU170" s="1236">
        <f t="shared" si="217"/>
        <v>0</v>
      </c>
      <c r="AV170" s="1236">
        <f t="shared" si="218"/>
        <v>0</v>
      </c>
      <c r="AW170" s="1236">
        <f t="shared" si="219"/>
        <v>0</v>
      </c>
      <c r="AX170" s="1236">
        <f t="shared" si="220"/>
        <v>0</v>
      </c>
      <c r="AY170" s="1236">
        <f t="shared" si="221"/>
        <v>0</v>
      </c>
      <c r="AZ170" s="1236">
        <f t="shared" si="222"/>
        <v>0</v>
      </c>
      <c r="BA170" s="1236">
        <f t="shared" si="223"/>
        <v>0</v>
      </c>
      <c r="BB170" s="1236">
        <f t="shared" si="224"/>
        <v>0</v>
      </c>
      <c r="BC170" s="1236">
        <f t="shared" si="225"/>
        <v>0</v>
      </c>
      <c r="BD170" s="1236">
        <f t="shared" si="226"/>
        <v>0</v>
      </c>
      <c r="BE170" s="1236">
        <f t="shared" si="227"/>
        <v>0</v>
      </c>
      <c r="BF170" s="1236">
        <f t="shared" si="228"/>
        <v>0</v>
      </c>
      <c r="BG170" s="1236">
        <f t="shared" si="229"/>
        <v>0</v>
      </c>
      <c r="BH170" s="1236">
        <f t="shared" si="230"/>
        <v>0</v>
      </c>
      <c r="BI170" s="1236">
        <f t="shared" si="231"/>
        <v>0</v>
      </c>
      <c r="BJ170" s="1236">
        <f t="shared" si="232"/>
        <v>0</v>
      </c>
      <c r="BK170" s="1236">
        <f t="shared" si="233"/>
        <v>0</v>
      </c>
      <c r="BL170" s="1236">
        <f t="shared" si="234"/>
        <v>0</v>
      </c>
      <c r="BM170" s="1236">
        <f t="shared" si="235"/>
        <v>0</v>
      </c>
      <c r="BN170" s="1236">
        <f t="shared" si="236"/>
        <v>0</v>
      </c>
      <c r="BO170" s="1236">
        <f t="shared" si="237"/>
        <v>0</v>
      </c>
      <c r="BP170" s="1236">
        <f t="shared" si="238"/>
        <v>0</v>
      </c>
      <c r="BQ170" s="1236">
        <f t="shared" si="239"/>
        <v>0</v>
      </c>
      <c r="BR170" s="1236">
        <f t="shared" si="240"/>
        <v>0</v>
      </c>
      <c r="BS170" s="1236">
        <f t="shared" si="241"/>
        <v>0</v>
      </c>
      <c r="BT170" s="1236">
        <f t="shared" si="242"/>
        <v>0</v>
      </c>
      <c r="BU170" s="1236">
        <f t="shared" si="243"/>
        <v>0</v>
      </c>
      <c r="BV170" s="1236">
        <f t="shared" si="244"/>
        <v>0</v>
      </c>
      <c r="BW170" s="1236">
        <f t="shared" si="245"/>
        <v>0</v>
      </c>
      <c r="BX170" s="1236">
        <f t="shared" si="246"/>
        <v>0</v>
      </c>
      <c r="BY170" s="1236">
        <f t="shared" si="247"/>
        <v>0</v>
      </c>
      <c r="BZ170" s="1236">
        <f t="shared" si="248"/>
        <v>0</v>
      </c>
      <c r="CA170" s="1236">
        <f t="shared" si="249"/>
        <v>0</v>
      </c>
      <c r="CB170" s="1236">
        <f t="shared" si="250"/>
        <v>0</v>
      </c>
      <c r="CC170" s="1236">
        <f t="shared" si="251"/>
        <v>0</v>
      </c>
      <c r="CD170" s="1236">
        <f t="shared" si="252"/>
        <v>0</v>
      </c>
      <c r="CE170" s="1236">
        <f t="shared" si="253"/>
        <v>0</v>
      </c>
      <c r="CF170" s="1236">
        <f t="shared" si="254"/>
        <v>0</v>
      </c>
      <c r="CG170" s="1236">
        <f t="shared" si="255"/>
        <v>0</v>
      </c>
      <c r="CH170" s="1236">
        <f t="shared" si="256"/>
        <v>0</v>
      </c>
      <c r="CI170" s="1236">
        <f t="shared" si="257"/>
        <v>0</v>
      </c>
      <c r="CJ170" s="1236">
        <f t="shared" si="258"/>
        <v>0</v>
      </c>
      <c r="CK170" s="1236">
        <f t="shared" si="259"/>
        <v>0</v>
      </c>
      <c r="CL170" s="1236">
        <f t="shared" si="260"/>
        <v>0</v>
      </c>
      <c r="CM170" s="1236">
        <f t="shared" si="261"/>
        <v>0</v>
      </c>
      <c r="CN170" s="1236">
        <f t="shared" si="262"/>
        <v>0</v>
      </c>
      <c r="CO170" s="1165"/>
      <c r="CP170" s="1165"/>
      <c r="CQ170" s="1165"/>
      <c r="CR170" s="1165"/>
      <c r="CS170" s="1165"/>
      <c r="CT170" s="1165"/>
      <c r="CU170" s="1165"/>
      <c r="CV170" s="1165"/>
      <c r="CW170" s="1165"/>
      <c r="CX170" s="1165"/>
      <c r="CY170" s="1165"/>
      <c r="CZ170" s="1165"/>
      <c r="DA170" s="1165"/>
      <c r="DB170" s="1165"/>
      <c r="DC170" s="1165"/>
      <c r="DD170" s="1165"/>
      <c r="DE170" s="1165"/>
      <c r="DF170" s="1165"/>
      <c r="DG170" s="1165"/>
      <c r="DH170" s="1165"/>
      <c r="DI170" s="1165"/>
      <c r="DJ170" s="1165"/>
      <c r="DK170" s="1165"/>
      <c r="DL170" s="1165"/>
      <c r="DM170" s="1165"/>
      <c r="DN170" s="1165"/>
      <c r="DO170" s="1165"/>
      <c r="DP170" s="1165"/>
      <c r="DQ170" s="1165"/>
      <c r="DR170" s="1165"/>
      <c r="DS170" s="1165"/>
      <c r="DT170" s="1165"/>
      <c r="DU170" s="1165"/>
      <c r="DV170" s="1165"/>
      <c r="DW170" s="1165"/>
      <c r="DX170" s="1165"/>
      <c r="DY170" s="1165"/>
      <c r="DZ170" s="1165"/>
      <c r="EA170" s="1165"/>
      <c r="EB170" s="1165"/>
      <c r="EC170" s="1165"/>
      <c r="ED170" s="1165"/>
      <c r="EE170" s="1165"/>
      <c r="EF170" s="1165"/>
      <c r="EG170" s="1165"/>
      <c r="EH170" s="1165"/>
      <c r="EI170" s="1165"/>
      <c r="EJ170" s="1165"/>
      <c r="EK170" s="1165"/>
      <c r="EL170" s="1165"/>
      <c r="EM170" s="1165"/>
      <c r="EN170" s="1165"/>
      <c r="EO170" s="1165"/>
      <c r="EP170" s="1165"/>
      <c r="EQ170" s="1165"/>
      <c r="ER170" s="1165"/>
      <c r="ES170" s="1165"/>
      <c r="ET170" s="1165"/>
      <c r="EU170" s="1165"/>
      <c r="EV170" s="1165"/>
      <c r="EW170" s="1165"/>
      <c r="EX170" s="1165"/>
      <c r="EY170" s="1165"/>
      <c r="EZ170" s="1165"/>
      <c r="FA170" s="1165"/>
      <c r="FB170" s="1165"/>
      <c r="FC170" s="1165"/>
      <c r="FD170" s="1165"/>
      <c r="FE170" s="1165"/>
      <c r="FF170" s="1165"/>
    </row>
    <row r="171" spans="1:162" s="1231" customFormat="1">
      <c r="A171" s="1205" t="s">
        <v>587</v>
      </c>
      <c r="B171" s="1230" t="s">
        <v>175</v>
      </c>
      <c r="M171" s="1231">
        <f t="shared" ca="1" si="268"/>
        <v>0</v>
      </c>
      <c r="N171" s="1231">
        <f t="shared" ca="1" si="268"/>
        <v>0</v>
      </c>
      <c r="O171" s="1231">
        <f t="shared" ca="1" si="268"/>
        <v>0</v>
      </c>
      <c r="P171" s="1231">
        <f t="shared" ca="1" si="268"/>
        <v>0</v>
      </c>
      <c r="Q171" s="1231">
        <f t="shared" ca="1" si="268"/>
        <v>0</v>
      </c>
      <c r="R171" s="1229">
        <v>234.92330000000001</v>
      </c>
      <c r="S171" s="1229">
        <v>100.92100000000001</v>
      </c>
      <c r="T171" s="1229">
        <v>528.61199999999997</v>
      </c>
      <c r="U171" s="1229">
        <v>781.53800000000001</v>
      </c>
      <c r="V171" s="1229">
        <v>1127.173</v>
      </c>
      <c r="W171" s="1229">
        <v>909.24300000000005</v>
      </c>
      <c r="X171" s="1229">
        <v>2338.2150000000001</v>
      </c>
      <c r="Y171" s="1229">
        <v>2872.44</v>
      </c>
      <c r="Z171" s="1231">
        <v>2179.355</v>
      </c>
      <c r="AG171" s="1231">
        <f t="shared" si="203"/>
        <v>0</v>
      </c>
      <c r="AH171" s="1231">
        <f t="shared" si="204"/>
        <v>0</v>
      </c>
      <c r="AI171" s="1231">
        <f t="shared" si="205"/>
        <v>0</v>
      </c>
      <c r="AJ171" s="1231">
        <f t="shared" si="206"/>
        <v>0</v>
      </c>
      <c r="AK171" s="1231">
        <f t="shared" si="207"/>
        <v>0</v>
      </c>
      <c r="AL171" s="1231">
        <f t="shared" si="208"/>
        <v>0</v>
      </c>
      <c r="AM171" s="1231">
        <f t="shared" si="209"/>
        <v>0</v>
      </c>
      <c r="AN171" s="1231">
        <f t="shared" si="210"/>
        <v>0</v>
      </c>
      <c r="AO171" s="1231">
        <f t="shared" si="211"/>
        <v>0</v>
      </c>
      <c r="AP171" s="1231">
        <f t="shared" si="212"/>
        <v>0</v>
      </c>
      <c r="AQ171" s="1231">
        <f t="shared" si="213"/>
        <v>0</v>
      </c>
      <c r="AR171" s="1231">
        <f t="shared" si="214"/>
        <v>0</v>
      </c>
      <c r="AS171" s="1231">
        <f t="shared" si="215"/>
        <v>0</v>
      </c>
      <c r="AT171" s="1231">
        <f t="shared" si="216"/>
        <v>0</v>
      </c>
      <c r="AU171" s="1231">
        <f t="shared" si="217"/>
        <v>0</v>
      </c>
      <c r="AV171" s="1231">
        <f t="shared" si="218"/>
        <v>0</v>
      </c>
      <c r="AW171" s="1231">
        <f t="shared" si="219"/>
        <v>0</v>
      </c>
      <c r="AX171" s="1231">
        <f t="shared" si="220"/>
        <v>0</v>
      </c>
      <c r="AY171" s="1231">
        <f t="shared" si="221"/>
        <v>0</v>
      </c>
      <c r="AZ171" s="1231">
        <f t="shared" si="222"/>
        <v>0</v>
      </c>
      <c r="BA171" s="1231">
        <f t="shared" si="223"/>
        <v>0</v>
      </c>
      <c r="BB171" s="1231">
        <f t="shared" si="224"/>
        <v>0</v>
      </c>
      <c r="BC171" s="1231">
        <f t="shared" si="225"/>
        <v>0</v>
      </c>
      <c r="BD171" s="1231">
        <f t="shared" si="226"/>
        <v>0</v>
      </c>
      <c r="BE171" s="1231">
        <f t="shared" si="227"/>
        <v>0</v>
      </c>
      <c r="BF171" s="1231">
        <f t="shared" si="228"/>
        <v>0</v>
      </c>
      <c r="BG171" s="1231">
        <f t="shared" si="229"/>
        <v>0</v>
      </c>
      <c r="BH171" s="1231">
        <f t="shared" si="230"/>
        <v>0</v>
      </c>
      <c r="BI171" s="1231">
        <f t="shared" si="231"/>
        <v>0</v>
      </c>
      <c r="BJ171" s="1231">
        <f t="shared" si="232"/>
        <v>0</v>
      </c>
      <c r="BK171" s="1231">
        <f t="shared" si="233"/>
        <v>0</v>
      </c>
      <c r="BL171" s="1231">
        <f t="shared" si="234"/>
        <v>0</v>
      </c>
      <c r="BM171" s="1231">
        <f t="shared" si="235"/>
        <v>0</v>
      </c>
      <c r="BN171" s="1231">
        <f t="shared" si="236"/>
        <v>0</v>
      </c>
      <c r="BO171" s="1231">
        <f t="shared" si="237"/>
        <v>0</v>
      </c>
      <c r="BP171" s="1231">
        <f t="shared" si="238"/>
        <v>0</v>
      </c>
      <c r="BQ171" s="1231">
        <f t="shared" si="239"/>
        <v>0</v>
      </c>
      <c r="BR171" s="1231">
        <f t="shared" si="240"/>
        <v>0</v>
      </c>
      <c r="BS171" s="1231">
        <f t="shared" si="241"/>
        <v>0</v>
      </c>
      <c r="BT171" s="1231">
        <f t="shared" si="242"/>
        <v>0</v>
      </c>
      <c r="BU171" s="1231">
        <f t="shared" si="243"/>
        <v>0</v>
      </c>
      <c r="BV171" s="1231">
        <f t="shared" si="244"/>
        <v>0</v>
      </c>
      <c r="BW171" s="1231">
        <f t="shared" si="245"/>
        <v>0</v>
      </c>
      <c r="BX171" s="1231">
        <f t="shared" si="246"/>
        <v>0</v>
      </c>
      <c r="BY171" s="1231">
        <f t="shared" si="247"/>
        <v>0</v>
      </c>
      <c r="BZ171" s="1231">
        <f t="shared" si="248"/>
        <v>0</v>
      </c>
      <c r="CA171" s="1231">
        <f t="shared" si="249"/>
        <v>0</v>
      </c>
      <c r="CB171" s="1231">
        <f t="shared" si="250"/>
        <v>0</v>
      </c>
      <c r="CC171" s="1231">
        <f t="shared" si="251"/>
        <v>0</v>
      </c>
      <c r="CD171" s="1231">
        <f t="shared" si="252"/>
        <v>0</v>
      </c>
      <c r="CE171" s="1231">
        <f t="shared" si="253"/>
        <v>0</v>
      </c>
      <c r="CF171" s="1231">
        <f t="shared" si="254"/>
        <v>0</v>
      </c>
      <c r="CG171" s="1231">
        <f t="shared" si="255"/>
        <v>0</v>
      </c>
      <c r="CH171" s="1231">
        <f t="shared" si="256"/>
        <v>0</v>
      </c>
      <c r="CI171" s="1231">
        <f t="shared" si="257"/>
        <v>0</v>
      </c>
      <c r="CJ171" s="1231">
        <f t="shared" si="258"/>
        <v>0</v>
      </c>
      <c r="CK171" s="1231">
        <f t="shared" si="259"/>
        <v>0</v>
      </c>
      <c r="CL171" s="1231">
        <f t="shared" si="260"/>
        <v>0</v>
      </c>
      <c r="CM171" s="1231">
        <f t="shared" si="261"/>
        <v>0</v>
      </c>
      <c r="CN171" s="1231">
        <f t="shared" si="262"/>
        <v>0</v>
      </c>
      <c r="CQ171" s="1165"/>
      <c r="CR171" s="1165"/>
      <c r="CS171" s="1165"/>
      <c r="CT171" s="1165"/>
      <c r="CU171" s="1165"/>
      <c r="CV171" s="1165"/>
      <c r="CW171" s="1165"/>
      <c r="CX171" s="1165"/>
      <c r="CY171" s="1165"/>
      <c r="CZ171" s="1165"/>
      <c r="DA171" s="1165"/>
      <c r="DB171" s="1165"/>
      <c r="DC171" s="1165"/>
      <c r="DD171" s="1165"/>
      <c r="DE171" s="1165"/>
      <c r="DF171" s="1165"/>
      <c r="DG171" s="1165"/>
      <c r="DH171" s="1165"/>
      <c r="DI171" s="1165"/>
      <c r="DJ171" s="1165"/>
      <c r="DK171" s="1232"/>
      <c r="DL171" s="1232"/>
      <c r="DM171" s="1232"/>
      <c r="DN171" s="1232"/>
      <c r="DO171" s="1232"/>
      <c r="DP171" s="1232"/>
      <c r="DQ171" s="1232"/>
      <c r="DR171" s="1232"/>
      <c r="DS171" s="1232"/>
      <c r="DT171" s="1232"/>
      <c r="DU171" s="1232"/>
      <c r="DV171" s="1232"/>
      <c r="DW171" s="1232"/>
      <c r="DX171" s="1232"/>
      <c r="DY171" s="1232"/>
      <c r="DZ171" s="1232"/>
      <c r="EA171" s="1232"/>
      <c r="EB171" s="1232"/>
      <c r="EC171" s="1232"/>
      <c r="ED171" s="1232"/>
      <c r="EE171" s="1232"/>
      <c r="EF171" s="1232"/>
      <c r="EG171" s="1232"/>
      <c r="EH171" s="1232"/>
      <c r="EI171" s="1232"/>
      <c r="EJ171" s="1232"/>
      <c r="EK171" s="1232"/>
      <c r="EL171" s="1232"/>
      <c r="EM171" s="1232"/>
      <c r="EN171" s="1232"/>
      <c r="EO171" s="1232"/>
      <c r="EP171" s="1232"/>
      <c r="EQ171" s="1232"/>
      <c r="ER171" s="1232"/>
      <c r="ES171" s="1232"/>
      <c r="ET171" s="1232"/>
      <c r="EU171" s="1165"/>
      <c r="EV171" s="1165"/>
      <c r="EW171" s="1165"/>
      <c r="EX171" s="1165"/>
      <c r="EY171" s="1165"/>
      <c r="EZ171" s="1165"/>
      <c r="FA171" s="1165"/>
      <c r="FB171" s="1165"/>
      <c r="FC171" s="1165"/>
      <c r="FD171" s="1165"/>
      <c r="FE171" s="1165"/>
      <c r="FF171" s="1165"/>
    </row>
    <row r="172" spans="1:162">
      <c r="A172" s="1224"/>
      <c r="AG172" s="1236">
        <f t="shared" si="203"/>
        <v>0</v>
      </c>
      <c r="AH172" s="1236">
        <f t="shared" si="204"/>
        <v>0</v>
      </c>
      <c r="AI172" s="1236">
        <f t="shared" si="205"/>
        <v>0</v>
      </c>
      <c r="AJ172" s="1236">
        <f t="shared" si="206"/>
        <v>0</v>
      </c>
      <c r="AK172" s="1236">
        <f t="shared" si="207"/>
        <v>0</v>
      </c>
      <c r="AL172" s="1236">
        <f t="shared" si="208"/>
        <v>0</v>
      </c>
      <c r="AM172" s="1236">
        <f t="shared" si="209"/>
        <v>0</v>
      </c>
      <c r="AN172" s="1236">
        <f t="shared" si="210"/>
        <v>0</v>
      </c>
      <c r="AO172" s="1236">
        <f t="shared" si="211"/>
        <v>0</v>
      </c>
      <c r="AP172" s="1236">
        <f t="shared" si="212"/>
        <v>0</v>
      </c>
      <c r="AQ172" s="1236">
        <f t="shared" si="213"/>
        <v>0</v>
      </c>
      <c r="AR172" s="1236">
        <f t="shared" si="214"/>
        <v>0</v>
      </c>
      <c r="AS172" s="1236">
        <f t="shared" si="215"/>
        <v>0</v>
      </c>
      <c r="AT172" s="1236">
        <f t="shared" si="216"/>
        <v>0</v>
      </c>
      <c r="AU172" s="1236">
        <f t="shared" si="217"/>
        <v>0</v>
      </c>
      <c r="AV172" s="1236">
        <f t="shared" si="218"/>
        <v>0</v>
      </c>
      <c r="AW172" s="1236">
        <f t="shared" si="219"/>
        <v>0</v>
      </c>
      <c r="AX172" s="1236">
        <f t="shared" si="220"/>
        <v>0</v>
      </c>
      <c r="AY172" s="1236">
        <f t="shared" si="221"/>
        <v>0</v>
      </c>
      <c r="AZ172" s="1236">
        <f t="shared" si="222"/>
        <v>0</v>
      </c>
      <c r="BA172" s="1236">
        <f t="shared" si="223"/>
        <v>0</v>
      </c>
      <c r="BB172" s="1236">
        <f t="shared" si="224"/>
        <v>0</v>
      </c>
      <c r="BC172" s="1236">
        <f t="shared" si="225"/>
        <v>0</v>
      </c>
      <c r="BD172" s="1236">
        <f t="shared" si="226"/>
        <v>0</v>
      </c>
      <c r="BE172" s="1236">
        <f t="shared" si="227"/>
        <v>0</v>
      </c>
      <c r="BF172" s="1236">
        <f t="shared" si="228"/>
        <v>0</v>
      </c>
      <c r="BG172" s="1236">
        <f t="shared" si="229"/>
        <v>0</v>
      </c>
      <c r="BH172" s="1236">
        <f t="shared" si="230"/>
        <v>0</v>
      </c>
      <c r="BI172" s="1236">
        <f t="shared" si="231"/>
        <v>0</v>
      </c>
      <c r="BJ172" s="1236">
        <f t="shared" si="232"/>
        <v>0</v>
      </c>
      <c r="BK172" s="1236">
        <f t="shared" si="233"/>
        <v>0</v>
      </c>
      <c r="BL172" s="1236">
        <f t="shared" si="234"/>
        <v>0</v>
      </c>
      <c r="BM172" s="1236">
        <f t="shared" si="235"/>
        <v>0</v>
      </c>
      <c r="BN172" s="1236">
        <f t="shared" si="236"/>
        <v>0</v>
      </c>
      <c r="BO172" s="1236">
        <f t="shared" si="237"/>
        <v>0</v>
      </c>
      <c r="BP172" s="1236">
        <f t="shared" si="238"/>
        <v>0</v>
      </c>
      <c r="BQ172" s="1236">
        <f t="shared" si="239"/>
        <v>0</v>
      </c>
      <c r="BR172" s="1236">
        <f t="shared" si="240"/>
        <v>0</v>
      </c>
      <c r="BS172" s="1236">
        <f t="shared" si="241"/>
        <v>0</v>
      </c>
      <c r="BT172" s="1236">
        <f t="shared" si="242"/>
        <v>0</v>
      </c>
      <c r="BU172" s="1236">
        <f t="shared" si="243"/>
        <v>0</v>
      </c>
      <c r="BV172" s="1236">
        <f t="shared" si="244"/>
        <v>0</v>
      </c>
      <c r="BW172" s="1236">
        <f t="shared" si="245"/>
        <v>0</v>
      </c>
      <c r="BX172" s="1236">
        <f t="shared" si="246"/>
        <v>0</v>
      </c>
      <c r="BY172" s="1236">
        <f t="shared" si="247"/>
        <v>0</v>
      </c>
      <c r="BZ172" s="1236">
        <f t="shared" si="248"/>
        <v>0</v>
      </c>
      <c r="CA172" s="1236">
        <f t="shared" si="249"/>
        <v>0</v>
      </c>
      <c r="CB172" s="1236">
        <f t="shared" si="250"/>
        <v>0</v>
      </c>
      <c r="CC172" s="1236">
        <f t="shared" si="251"/>
        <v>0</v>
      </c>
      <c r="CD172" s="1236">
        <f t="shared" si="252"/>
        <v>0</v>
      </c>
      <c r="CE172" s="1236">
        <f t="shared" si="253"/>
        <v>0</v>
      </c>
      <c r="CF172" s="1236">
        <f t="shared" si="254"/>
        <v>0</v>
      </c>
      <c r="CG172" s="1236">
        <f t="shared" si="255"/>
        <v>0</v>
      </c>
      <c r="CH172" s="1236">
        <f t="shared" si="256"/>
        <v>0</v>
      </c>
      <c r="CI172" s="1236">
        <f t="shared" si="257"/>
        <v>0</v>
      </c>
      <c r="CJ172" s="1236">
        <f t="shared" si="258"/>
        <v>0</v>
      </c>
      <c r="CK172" s="1236">
        <f t="shared" si="259"/>
        <v>0</v>
      </c>
      <c r="CL172" s="1236">
        <f t="shared" si="260"/>
        <v>0</v>
      </c>
      <c r="CM172" s="1236">
        <f t="shared" si="261"/>
        <v>0</v>
      </c>
      <c r="CN172" s="1236">
        <f t="shared" si="262"/>
        <v>0</v>
      </c>
      <c r="CO172" s="1165"/>
      <c r="CP172" s="1165"/>
      <c r="CQ172" s="1165"/>
      <c r="CR172" s="1165"/>
      <c r="CS172" s="1165"/>
      <c r="CT172" s="1165"/>
      <c r="CU172" s="1165"/>
      <c r="CV172" s="1165"/>
      <c r="CW172" s="1165"/>
      <c r="CX172" s="1165"/>
      <c r="CY172" s="1165"/>
      <c r="CZ172" s="1165"/>
      <c r="DA172" s="1165"/>
      <c r="DB172" s="1165"/>
      <c r="DC172" s="1165"/>
      <c r="DD172" s="1165"/>
      <c r="DE172" s="1165"/>
      <c r="DF172" s="1165"/>
      <c r="DG172" s="1165"/>
      <c r="DH172" s="1165"/>
      <c r="DI172" s="1165"/>
      <c r="DJ172" s="1165"/>
      <c r="DK172" s="1165"/>
      <c r="DL172" s="1165"/>
      <c r="DM172" s="1165"/>
      <c r="DN172" s="1165"/>
      <c r="DO172" s="1165"/>
      <c r="DP172" s="1165"/>
      <c r="DQ172" s="1165"/>
      <c r="DR172" s="1165"/>
      <c r="DS172" s="1165"/>
      <c r="DT172" s="1165"/>
      <c r="DU172" s="1165"/>
      <c r="DV172" s="1165"/>
      <c r="DW172" s="1165"/>
      <c r="DX172" s="1165"/>
      <c r="DY172" s="1165"/>
      <c r="DZ172" s="1165"/>
      <c r="EA172" s="1165"/>
      <c r="EB172" s="1165"/>
      <c r="EC172" s="1165"/>
      <c r="ED172" s="1165"/>
      <c r="EE172" s="1165"/>
      <c r="EF172" s="1165"/>
      <c r="EG172" s="1165"/>
      <c r="EH172" s="1165"/>
      <c r="EI172" s="1165"/>
      <c r="EJ172" s="1165"/>
      <c r="EK172" s="1165"/>
      <c r="EL172" s="1165"/>
      <c r="EM172" s="1165"/>
      <c r="EN172" s="1165"/>
      <c r="EO172" s="1165"/>
      <c r="EP172" s="1165"/>
      <c r="EQ172" s="1165"/>
      <c r="ER172" s="1165"/>
      <c r="ES172" s="1165"/>
      <c r="ET172" s="1165"/>
      <c r="EU172" s="1165"/>
      <c r="EV172" s="1165"/>
      <c r="EW172" s="1165"/>
      <c r="EX172" s="1165"/>
      <c r="EY172" s="1165"/>
      <c r="EZ172" s="1165"/>
      <c r="FA172" s="1165"/>
      <c r="FB172" s="1165"/>
      <c r="FC172" s="1165"/>
      <c r="FD172" s="1165"/>
      <c r="FE172" s="1165"/>
      <c r="FF172" s="1165"/>
    </row>
    <row r="173" spans="1:162">
      <c r="A173" s="1224"/>
      <c r="B173" s="1237"/>
      <c r="AG173" s="1236">
        <f t="shared" si="203"/>
        <v>0</v>
      </c>
      <c r="AH173" s="1236">
        <f t="shared" si="204"/>
        <v>0</v>
      </c>
      <c r="AI173" s="1236">
        <f t="shared" si="205"/>
        <v>0</v>
      </c>
      <c r="AJ173" s="1236">
        <f t="shared" si="206"/>
        <v>0</v>
      </c>
      <c r="AK173" s="1236">
        <f t="shared" si="207"/>
        <v>0</v>
      </c>
      <c r="AL173" s="1236">
        <f t="shared" si="208"/>
        <v>0</v>
      </c>
      <c r="AM173" s="1236">
        <f t="shared" si="209"/>
        <v>0</v>
      </c>
      <c r="AN173" s="1236">
        <f t="shared" si="210"/>
        <v>0</v>
      </c>
      <c r="AO173" s="1236">
        <f t="shared" si="211"/>
        <v>0</v>
      </c>
      <c r="AP173" s="1236">
        <f t="shared" si="212"/>
        <v>0</v>
      </c>
      <c r="AQ173" s="1236">
        <f t="shared" si="213"/>
        <v>0</v>
      </c>
      <c r="AR173" s="1236">
        <f t="shared" si="214"/>
        <v>0</v>
      </c>
      <c r="AS173" s="1236">
        <f t="shared" si="215"/>
        <v>0</v>
      </c>
      <c r="AT173" s="1236">
        <f t="shared" si="216"/>
        <v>0</v>
      </c>
      <c r="AU173" s="1236">
        <f t="shared" si="217"/>
        <v>0</v>
      </c>
      <c r="AV173" s="1236">
        <f t="shared" si="218"/>
        <v>0</v>
      </c>
      <c r="AW173" s="1236">
        <f t="shared" si="219"/>
        <v>0</v>
      </c>
      <c r="AX173" s="1236">
        <f t="shared" si="220"/>
        <v>0</v>
      </c>
      <c r="AY173" s="1236">
        <f t="shared" si="221"/>
        <v>0</v>
      </c>
      <c r="AZ173" s="1236">
        <f t="shared" si="222"/>
        <v>0</v>
      </c>
      <c r="BA173" s="1236">
        <f t="shared" si="223"/>
        <v>0</v>
      </c>
      <c r="BB173" s="1236">
        <f t="shared" si="224"/>
        <v>0</v>
      </c>
      <c r="BC173" s="1236">
        <f t="shared" si="225"/>
        <v>0</v>
      </c>
      <c r="BD173" s="1236">
        <f t="shared" si="226"/>
        <v>0</v>
      </c>
      <c r="BE173" s="1236">
        <f t="shared" si="227"/>
        <v>0</v>
      </c>
      <c r="BF173" s="1236">
        <f t="shared" si="228"/>
        <v>0</v>
      </c>
      <c r="BG173" s="1236">
        <f t="shared" si="229"/>
        <v>0</v>
      </c>
      <c r="BH173" s="1236">
        <f t="shared" si="230"/>
        <v>0</v>
      </c>
      <c r="BI173" s="1236">
        <f t="shared" si="231"/>
        <v>0</v>
      </c>
      <c r="BJ173" s="1236">
        <f t="shared" si="232"/>
        <v>0</v>
      </c>
      <c r="BK173" s="1236">
        <f t="shared" si="233"/>
        <v>0</v>
      </c>
      <c r="BL173" s="1236">
        <f t="shared" si="234"/>
        <v>0</v>
      </c>
      <c r="BM173" s="1236">
        <f t="shared" si="235"/>
        <v>0</v>
      </c>
      <c r="BN173" s="1236">
        <f t="shared" si="236"/>
        <v>0</v>
      </c>
      <c r="BO173" s="1236">
        <f t="shared" si="237"/>
        <v>0</v>
      </c>
      <c r="BP173" s="1236">
        <f t="shared" si="238"/>
        <v>0</v>
      </c>
      <c r="BQ173" s="1236">
        <f t="shared" si="239"/>
        <v>0</v>
      </c>
      <c r="BR173" s="1236">
        <f t="shared" si="240"/>
        <v>0</v>
      </c>
      <c r="BS173" s="1236">
        <f t="shared" si="241"/>
        <v>0</v>
      </c>
      <c r="BT173" s="1236">
        <f t="shared" si="242"/>
        <v>0</v>
      </c>
      <c r="BU173" s="1236">
        <f t="shared" si="243"/>
        <v>0</v>
      </c>
      <c r="BV173" s="1236">
        <f t="shared" si="244"/>
        <v>0</v>
      </c>
      <c r="BW173" s="1236">
        <f t="shared" si="245"/>
        <v>0</v>
      </c>
      <c r="BX173" s="1236">
        <f t="shared" si="246"/>
        <v>0</v>
      </c>
      <c r="BY173" s="1236">
        <f t="shared" si="247"/>
        <v>0</v>
      </c>
      <c r="BZ173" s="1236">
        <f t="shared" si="248"/>
        <v>0</v>
      </c>
      <c r="CA173" s="1236">
        <f t="shared" si="249"/>
        <v>0</v>
      </c>
      <c r="CB173" s="1236">
        <f t="shared" si="250"/>
        <v>0</v>
      </c>
      <c r="CC173" s="1236">
        <f t="shared" si="251"/>
        <v>0</v>
      </c>
      <c r="CD173" s="1236">
        <f t="shared" si="252"/>
        <v>0</v>
      </c>
      <c r="CE173" s="1236">
        <f t="shared" si="253"/>
        <v>0</v>
      </c>
      <c r="CF173" s="1236">
        <f t="shared" si="254"/>
        <v>0</v>
      </c>
      <c r="CG173" s="1236">
        <f t="shared" si="255"/>
        <v>0</v>
      </c>
      <c r="CH173" s="1236">
        <f t="shared" si="256"/>
        <v>0</v>
      </c>
      <c r="CI173" s="1236">
        <f t="shared" si="257"/>
        <v>0</v>
      </c>
      <c r="CJ173" s="1236">
        <f t="shared" si="258"/>
        <v>0</v>
      </c>
      <c r="CK173" s="1236">
        <f t="shared" si="259"/>
        <v>0</v>
      </c>
      <c r="CL173" s="1236">
        <f t="shared" si="260"/>
        <v>0</v>
      </c>
      <c r="CM173" s="1236">
        <f t="shared" si="261"/>
        <v>0</v>
      </c>
      <c r="CN173" s="1236">
        <f t="shared" si="262"/>
        <v>0</v>
      </c>
      <c r="CO173" s="1165"/>
      <c r="CP173" s="1165"/>
      <c r="CQ173" s="1165"/>
      <c r="CR173" s="1165"/>
      <c r="CS173" s="1165"/>
      <c r="CT173" s="1165"/>
      <c r="CU173" s="1165"/>
      <c r="CV173" s="1165"/>
      <c r="CW173" s="1165"/>
      <c r="CX173" s="1165"/>
      <c r="CY173" s="1165"/>
      <c r="CZ173" s="1165"/>
      <c r="DA173" s="1165"/>
      <c r="DB173" s="1165"/>
      <c r="DC173" s="1165"/>
      <c r="DD173" s="1165"/>
      <c r="DE173" s="1165"/>
      <c r="DF173" s="1165"/>
      <c r="DG173" s="1165"/>
      <c r="DH173" s="1165"/>
      <c r="DI173" s="1165"/>
      <c r="DJ173" s="1165"/>
      <c r="DK173" s="1165"/>
      <c r="DL173" s="1165"/>
      <c r="DM173" s="1165"/>
      <c r="DN173" s="1165"/>
      <c r="DO173" s="1165"/>
      <c r="DP173" s="1165"/>
      <c r="DQ173" s="1165"/>
      <c r="DR173" s="1165"/>
      <c r="DS173" s="1165"/>
      <c r="DT173" s="1165"/>
      <c r="DU173" s="1165"/>
      <c r="DV173" s="1165"/>
      <c r="DW173" s="1165"/>
      <c r="DX173" s="1165"/>
      <c r="DY173" s="1165"/>
      <c r="DZ173" s="1165"/>
      <c r="EA173" s="1165"/>
      <c r="EB173" s="1165"/>
      <c r="EC173" s="1165"/>
      <c r="ED173" s="1165"/>
      <c r="EE173" s="1165"/>
      <c r="EF173" s="1165"/>
      <c r="EG173" s="1165"/>
      <c r="EH173" s="1165"/>
      <c r="EI173" s="1165"/>
      <c r="EJ173" s="1165"/>
      <c r="EK173" s="1165"/>
      <c r="EL173" s="1165"/>
      <c r="EM173" s="1165"/>
      <c r="EN173" s="1165"/>
      <c r="EO173" s="1165"/>
      <c r="EP173" s="1165"/>
      <c r="EQ173" s="1165"/>
      <c r="ER173" s="1165"/>
      <c r="ES173" s="1165"/>
      <c r="ET173" s="1165"/>
      <c r="EU173" s="1165"/>
      <c r="EV173" s="1165"/>
      <c r="EW173" s="1165"/>
      <c r="EX173" s="1165"/>
      <c r="EY173" s="1165"/>
      <c r="EZ173" s="1165"/>
      <c r="FA173" s="1165"/>
      <c r="FB173" s="1165"/>
      <c r="FC173" s="1165"/>
      <c r="FD173" s="1165"/>
      <c r="FE173" s="1165"/>
      <c r="FF173" s="1165"/>
    </row>
    <row r="174" spans="1:162">
      <c r="A174" s="1224"/>
      <c r="B174" s="1237" t="s">
        <v>214</v>
      </c>
      <c r="M174" s="1236">
        <f t="shared" ref="M174:Q180" ca="1" si="270">OFFSET($CT174,0,M$7)</f>
        <v>0</v>
      </c>
      <c r="N174" s="1236">
        <f t="shared" ca="1" si="270"/>
        <v>0</v>
      </c>
      <c r="O174" s="1236">
        <f t="shared" ca="1" si="270"/>
        <v>0</v>
      </c>
      <c r="P174" s="1236">
        <f t="shared" ca="1" si="270"/>
        <v>0</v>
      </c>
      <c r="Q174" s="1236">
        <f t="shared" ca="1" si="270"/>
        <v>0</v>
      </c>
      <c r="AG174" s="1236">
        <f t="shared" si="203"/>
        <v>0</v>
      </c>
      <c r="AH174" s="1236">
        <f t="shared" si="204"/>
        <v>0</v>
      </c>
      <c r="AI174" s="1236">
        <f t="shared" si="205"/>
        <v>0</v>
      </c>
      <c r="AJ174" s="1236">
        <f t="shared" si="206"/>
        <v>0</v>
      </c>
      <c r="AK174" s="1236">
        <f t="shared" si="207"/>
        <v>0</v>
      </c>
      <c r="AL174" s="1236">
        <f t="shared" si="208"/>
        <v>0</v>
      </c>
      <c r="AM174" s="1236">
        <f t="shared" si="209"/>
        <v>0</v>
      </c>
      <c r="AN174" s="1236">
        <f t="shared" si="210"/>
        <v>0</v>
      </c>
      <c r="AO174" s="1236">
        <f t="shared" si="211"/>
        <v>0</v>
      </c>
      <c r="AP174" s="1236">
        <f t="shared" si="212"/>
        <v>0</v>
      </c>
      <c r="AQ174" s="1236">
        <f t="shared" si="213"/>
        <v>0</v>
      </c>
      <c r="AR174" s="1236">
        <f t="shared" si="214"/>
        <v>0</v>
      </c>
      <c r="AS174" s="1236">
        <f t="shared" si="215"/>
        <v>0</v>
      </c>
      <c r="AT174" s="1236">
        <f t="shared" si="216"/>
        <v>0</v>
      </c>
      <c r="AU174" s="1236">
        <f t="shared" si="217"/>
        <v>0</v>
      </c>
      <c r="AV174" s="1236">
        <f t="shared" si="218"/>
        <v>0</v>
      </c>
      <c r="AW174" s="1236">
        <f t="shared" si="219"/>
        <v>0</v>
      </c>
      <c r="AX174" s="1236">
        <f t="shared" si="220"/>
        <v>0</v>
      </c>
      <c r="AY174" s="1236">
        <f t="shared" si="221"/>
        <v>0</v>
      </c>
      <c r="AZ174" s="1236">
        <f t="shared" si="222"/>
        <v>0</v>
      </c>
      <c r="BA174" s="1236">
        <f t="shared" si="223"/>
        <v>0</v>
      </c>
      <c r="BB174" s="1236">
        <f t="shared" si="224"/>
        <v>0</v>
      </c>
      <c r="BC174" s="1236">
        <f t="shared" si="225"/>
        <v>0</v>
      </c>
      <c r="BD174" s="1236">
        <f t="shared" si="226"/>
        <v>0</v>
      </c>
      <c r="BE174" s="1236">
        <f t="shared" si="227"/>
        <v>0</v>
      </c>
      <c r="BF174" s="1236">
        <f t="shared" si="228"/>
        <v>0</v>
      </c>
      <c r="BG174" s="1236">
        <f t="shared" si="229"/>
        <v>0</v>
      </c>
      <c r="BH174" s="1236">
        <f t="shared" si="230"/>
        <v>0</v>
      </c>
      <c r="BI174" s="1236">
        <f t="shared" si="231"/>
        <v>0</v>
      </c>
      <c r="BJ174" s="1236">
        <f t="shared" si="232"/>
        <v>0</v>
      </c>
      <c r="BK174" s="1236">
        <f t="shared" si="233"/>
        <v>0</v>
      </c>
      <c r="BL174" s="1236">
        <f t="shared" si="234"/>
        <v>0</v>
      </c>
      <c r="BM174" s="1236">
        <f t="shared" si="235"/>
        <v>0</v>
      </c>
      <c r="BN174" s="1236">
        <f t="shared" si="236"/>
        <v>0</v>
      </c>
      <c r="BO174" s="1236">
        <f t="shared" si="237"/>
        <v>0</v>
      </c>
      <c r="BP174" s="1236">
        <f t="shared" si="238"/>
        <v>0</v>
      </c>
      <c r="BQ174" s="1236">
        <f t="shared" si="239"/>
        <v>0</v>
      </c>
      <c r="BR174" s="1236">
        <f t="shared" si="240"/>
        <v>0</v>
      </c>
      <c r="BS174" s="1236">
        <f t="shared" si="241"/>
        <v>0</v>
      </c>
      <c r="BT174" s="1236">
        <f t="shared" si="242"/>
        <v>0</v>
      </c>
      <c r="BU174" s="1236">
        <f t="shared" si="243"/>
        <v>0</v>
      </c>
      <c r="BV174" s="1236">
        <f t="shared" si="244"/>
        <v>0</v>
      </c>
      <c r="BW174" s="1236">
        <f t="shared" si="245"/>
        <v>0</v>
      </c>
      <c r="BX174" s="1236">
        <f t="shared" si="246"/>
        <v>0</v>
      </c>
      <c r="BY174" s="1236">
        <f t="shared" si="247"/>
        <v>0</v>
      </c>
      <c r="BZ174" s="1236">
        <f t="shared" si="248"/>
        <v>0</v>
      </c>
      <c r="CA174" s="1236">
        <f t="shared" si="249"/>
        <v>0</v>
      </c>
      <c r="CB174" s="1236">
        <f t="shared" si="250"/>
        <v>0</v>
      </c>
      <c r="CC174" s="1236">
        <f t="shared" si="251"/>
        <v>0</v>
      </c>
      <c r="CD174" s="1236">
        <f t="shared" si="252"/>
        <v>0</v>
      </c>
      <c r="CE174" s="1236">
        <f t="shared" si="253"/>
        <v>0</v>
      </c>
      <c r="CF174" s="1236">
        <f t="shared" si="254"/>
        <v>0</v>
      </c>
      <c r="CG174" s="1236">
        <f t="shared" si="255"/>
        <v>0</v>
      </c>
      <c r="CH174" s="1236">
        <f t="shared" si="256"/>
        <v>0</v>
      </c>
      <c r="CI174" s="1236">
        <f t="shared" si="257"/>
        <v>0</v>
      </c>
      <c r="CJ174" s="1236">
        <f t="shared" si="258"/>
        <v>0</v>
      </c>
      <c r="CK174" s="1236">
        <f t="shared" si="259"/>
        <v>0</v>
      </c>
      <c r="CL174" s="1236">
        <f t="shared" si="260"/>
        <v>0</v>
      </c>
      <c r="CM174" s="1236">
        <f t="shared" si="261"/>
        <v>0</v>
      </c>
      <c r="CN174" s="1236">
        <f t="shared" si="262"/>
        <v>0</v>
      </c>
      <c r="CO174" s="1165"/>
      <c r="CP174" s="1165"/>
      <c r="CQ174" s="1165"/>
      <c r="CR174" s="1165"/>
      <c r="CS174" s="1165"/>
      <c r="CT174" s="1165"/>
      <c r="CU174" s="1165"/>
      <c r="CV174" s="1165"/>
      <c r="CW174" s="1165"/>
      <c r="CX174" s="1165"/>
      <c r="CY174" s="1165"/>
      <c r="CZ174" s="1165"/>
      <c r="DA174" s="1165"/>
      <c r="DB174" s="1165"/>
      <c r="DC174" s="1165"/>
      <c r="DD174" s="1165"/>
      <c r="DE174" s="1165"/>
      <c r="DF174" s="1165"/>
      <c r="DG174" s="1165"/>
      <c r="DH174" s="1165"/>
      <c r="DI174" s="1165"/>
      <c r="DJ174" s="1165"/>
      <c r="DK174" s="1165"/>
      <c r="DL174" s="1165"/>
      <c r="DM174" s="1165"/>
      <c r="DN174" s="1165"/>
      <c r="DO174" s="1165"/>
      <c r="DP174" s="1165"/>
      <c r="DQ174" s="1165"/>
      <c r="DR174" s="1165"/>
      <c r="DS174" s="1165"/>
      <c r="DT174" s="1165"/>
      <c r="DU174" s="1165"/>
      <c r="DV174" s="1165"/>
      <c r="DW174" s="1165"/>
      <c r="DX174" s="1165"/>
      <c r="DY174" s="1165"/>
      <c r="DZ174" s="1165"/>
      <c r="EA174" s="1165"/>
      <c r="EB174" s="1165"/>
      <c r="EC174" s="1165"/>
      <c r="ED174" s="1165"/>
      <c r="EE174" s="1165"/>
      <c r="EF174" s="1165"/>
      <c r="EG174" s="1165"/>
      <c r="EH174" s="1165"/>
      <c r="EI174" s="1165"/>
      <c r="EJ174" s="1165"/>
      <c r="EK174" s="1165"/>
      <c r="EL174" s="1165"/>
      <c r="EM174" s="1165"/>
      <c r="EN174" s="1165"/>
      <c r="EO174" s="1165"/>
      <c r="EP174" s="1165"/>
      <c r="EQ174" s="1165"/>
      <c r="ER174" s="1165"/>
      <c r="ES174" s="1165"/>
      <c r="ET174" s="1165"/>
      <c r="EU174" s="1165"/>
      <c r="EV174" s="1165"/>
      <c r="EW174" s="1165"/>
      <c r="EX174" s="1165"/>
      <c r="EY174" s="1165"/>
      <c r="EZ174" s="1165"/>
      <c r="FA174" s="1165"/>
      <c r="FB174" s="1165"/>
      <c r="FC174" s="1165"/>
      <c r="FD174" s="1165"/>
      <c r="FE174" s="1165"/>
      <c r="FF174" s="1165"/>
    </row>
    <row r="175" spans="1:162">
      <c r="A175" s="1224"/>
      <c r="B175" s="1237" t="s">
        <v>215</v>
      </c>
      <c r="M175" s="1236">
        <f t="shared" ca="1" si="270"/>
        <v>0</v>
      </c>
      <c r="N175" s="1236">
        <f t="shared" ca="1" si="270"/>
        <v>0</v>
      </c>
      <c r="O175" s="1236">
        <f t="shared" ca="1" si="270"/>
        <v>0</v>
      </c>
      <c r="P175" s="1236">
        <f t="shared" ca="1" si="270"/>
        <v>0</v>
      </c>
      <c r="Q175" s="1236">
        <f t="shared" ca="1" si="270"/>
        <v>0</v>
      </c>
      <c r="AG175" s="1236">
        <f t="shared" si="203"/>
        <v>0</v>
      </c>
      <c r="AH175" s="1236">
        <f t="shared" si="204"/>
        <v>0</v>
      </c>
      <c r="AI175" s="1236">
        <f t="shared" si="205"/>
        <v>0</v>
      </c>
      <c r="AJ175" s="1236">
        <f t="shared" si="206"/>
        <v>0</v>
      </c>
      <c r="AK175" s="1236">
        <f t="shared" si="207"/>
        <v>0</v>
      </c>
      <c r="AL175" s="1236">
        <f t="shared" si="208"/>
        <v>0</v>
      </c>
      <c r="AM175" s="1236">
        <f t="shared" si="209"/>
        <v>0</v>
      </c>
      <c r="AN175" s="1236">
        <f t="shared" si="210"/>
        <v>0</v>
      </c>
      <c r="AO175" s="1236">
        <f t="shared" si="211"/>
        <v>0</v>
      </c>
      <c r="AP175" s="1236">
        <f t="shared" si="212"/>
        <v>0</v>
      </c>
      <c r="AQ175" s="1236">
        <f t="shared" si="213"/>
        <v>0</v>
      </c>
      <c r="AR175" s="1236">
        <f t="shared" si="214"/>
        <v>0</v>
      </c>
      <c r="AS175" s="1236">
        <f t="shared" si="215"/>
        <v>0</v>
      </c>
      <c r="AT175" s="1236">
        <f t="shared" si="216"/>
        <v>0</v>
      </c>
      <c r="AU175" s="1236">
        <f t="shared" si="217"/>
        <v>0</v>
      </c>
      <c r="AV175" s="1236">
        <f t="shared" si="218"/>
        <v>0</v>
      </c>
      <c r="AW175" s="1236">
        <f t="shared" si="219"/>
        <v>0</v>
      </c>
      <c r="AX175" s="1236">
        <f t="shared" si="220"/>
        <v>0</v>
      </c>
      <c r="AY175" s="1236">
        <f t="shared" si="221"/>
        <v>0</v>
      </c>
      <c r="AZ175" s="1236">
        <f t="shared" si="222"/>
        <v>0</v>
      </c>
      <c r="BA175" s="1236">
        <f t="shared" si="223"/>
        <v>0</v>
      </c>
      <c r="BB175" s="1236">
        <f t="shared" si="224"/>
        <v>0</v>
      </c>
      <c r="BC175" s="1236">
        <f t="shared" si="225"/>
        <v>0</v>
      </c>
      <c r="BD175" s="1236">
        <f t="shared" si="226"/>
        <v>0</v>
      </c>
      <c r="BE175" s="1236">
        <f t="shared" si="227"/>
        <v>0</v>
      </c>
      <c r="BF175" s="1236">
        <f t="shared" si="228"/>
        <v>0</v>
      </c>
      <c r="BG175" s="1236">
        <f t="shared" si="229"/>
        <v>0</v>
      </c>
      <c r="BH175" s="1236">
        <f t="shared" si="230"/>
        <v>0</v>
      </c>
      <c r="BI175" s="1236">
        <f t="shared" si="231"/>
        <v>0</v>
      </c>
      <c r="BJ175" s="1236">
        <f t="shared" si="232"/>
        <v>0</v>
      </c>
      <c r="BK175" s="1236">
        <f t="shared" si="233"/>
        <v>0</v>
      </c>
      <c r="BL175" s="1236">
        <f t="shared" si="234"/>
        <v>0</v>
      </c>
      <c r="BM175" s="1236">
        <f t="shared" si="235"/>
        <v>0</v>
      </c>
      <c r="BN175" s="1236">
        <f t="shared" si="236"/>
        <v>0</v>
      </c>
      <c r="BO175" s="1236">
        <f t="shared" si="237"/>
        <v>0</v>
      </c>
      <c r="BP175" s="1236">
        <f t="shared" si="238"/>
        <v>0</v>
      </c>
      <c r="BQ175" s="1236">
        <f t="shared" si="239"/>
        <v>0</v>
      </c>
      <c r="BR175" s="1236">
        <f t="shared" si="240"/>
        <v>0</v>
      </c>
      <c r="BS175" s="1236">
        <f t="shared" si="241"/>
        <v>0</v>
      </c>
      <c r="BT175" s="1236">
        <f t="shared" si="242"/>
        <v>0</v>
      </c>
      <c r="BU175" s="1236">
        <f t="shared" si="243"/>
        <v>0</v>
      </c>
      <c r="BV175" s="1236">
        <f t="shared" si="244"/>
        <v>0</v>
      </c>
      <c r="BW175" s="1236">
        <f t="shared" si="245"/>
        <v>0</v>
      </c>
      <c r="BX175" s="1236">
        <f t="shared" si="246"/>
        <v>0</v>
      </c>
      <c r="BY175" s="1236">
        <f t="shared" si="247"/>
        <v>0</v>
      </c>
      <c r="BZ175" s="1236">
        <f t="shared" si="248"/>
        <v>0</v>
      </c>
      <c r="CA175" s="1236">
        <f t="shared" si="249"/>
        <v>0</v>
      </c>
      <c r="CB175" s="1236">
        <f t="shared" si="250"/>
        <v>0</v>
      </c>
      <c r="CC175" s="1236">
        <f t="shared" si="251"/>
        <v>0</v>
      </c>
      <c r="CD175" s="1236">
        <f t="shared" si="252"/>
        <v>0</v>
      </c>
      <c r="CE175" s="1236">
        <f t="shared" si="253"/>
        <v>0</v>
      </c>
      <c r="CF175" s="1236">
        <f t="shared" si="254"/>
        <v>0</v>
      </c>
      <c r="CG175" s="1236">
        <f t="shared" si="255"/>
        <v>0</v>
      </c>
      <c r="CH175" s="1236">
        <f t="shared" si="256"/>
        <v>0</v>
      </c>
      <c r="CI175" s="1236">
        <f t="shared" si="257"/>
        <v>0</v>
      </c>
      <c r="CJ175" s="1236">
        <f t="shared" si="258"/>
        <v>0</v>
      </c>
      <c r="CK175" s="1236">
        <f t="shared" si="259"/>
        <v>0</v>
      </c>
      <c r="CL175" s="1236">
        <f t="shared" si="260"/>
        <v>0</v>
      </c>
      <c r="CM175" s="1236">
        <f t="shared" si="261"/>
        <v>0</v>
      </c>
      <c r="CN175" s="1236">
        <f t="shared" si="262"/>
        <v>0</v>
      </c>
      <c r="CO175" s="1165"/>
      <c r="CP175" s="1165"/>
      <c r="CQ175" s="1165"/>
      <c r="CR175" s="1165"/>
      <c r="CS175" s="1165"/>
      <c r="CT175" s="1165"/>
      <c r="CU175" s="1165"/>
      <c r="CV175" s="1165"/>
      <c r="CW175" s="1165"/>
      <c r="CX175" s="1165"/>
      <c r="CY175" s="1165"/>
      <c r="CZ175" s="1165"/>
      <c r="DA175" s="1165"/>
      <c r="DB175" s="1165"/>
      <c r="DC175" s="1165"/>
      <c r="DD175" s="1165"/>
      <c r="DE175" s="1165"/>
      <c r="DF175" s="1165"/>
      <c r="DG175" s="1165"/>
      <c r="DH175" s="1165"/>
      <c r="DI175" s="1165"/>
      <c r="DJ175" s="1165"/>
      <c r="DK175" s="1165"/>
      <c r="DL175" s="1165"/>
      <c r="DM175" s="1165"/>
      <c r="DN175" s="1165"/>
      <c r="DO175" s="1165"/>
      <c r="DP175" s="1165"/>
      <c r="DQ175" s="1165"/>
      <c r="DR175" s="1165"/>
      <c r="DS175" s="1165"/>
      <c r="DT175" s="1165"/>
      <c r="DU175" s="1165"/>
      <c r="DV175" s="1165"/>
      <c r="DW175" s="1165"/>
      <c r="DX175" s="1165"/>
      <c r="DY175" s="1165"/>
      <c r="DZ175" s="1165"/>
      <c r="EA175" s="1165"/>
      <c r="EB175" s="1165"/>
      <c r="EC175" s="1165"/>
      <c r="ED175" s="1165"/>
      <c r="EE175" s="1165"/>
      <c r="EF175" s="1165"/>
      <c r="EG175" s="1165"/>
      <c r="EH175" s="1165"/>
      <c r="EI175" s="1165"/>
      <c r="EJ175" s="1165"/>
      <c r="EK175" s="1165"/>
      <c r="EL175" s="1165"/>
      <c r="EM175" s="1165"/>
      <c r="EN175" s="1165"/>
      <c r="EO175" s="1165"/>
      <c r="EP175" s="1165"/>
      <c r="EQ175" s="1165"/>
      <c r="ER175" s="1165"/>
      <c r="ES175" s="1165"/>
      <c r="ET175" s="1165"/>
      <c r="EU175" s="1165"/>
      <c r="EV175" s="1165"/>
      <c r="EW175" s="1165"/>
      <c r="EX175" s="1165"/>
      <c r="EY175" s="1165"/>
      <c r="EZ175" s="1165"/>
      <c r="FA175" s="1165"/>
      <c r="FB175" s="1165"/>
      <c r="FC175" s="1165"/>
      <c r="FD175" s="1165"/>
      <c r="FE175" s="1165"/>
      <c r="FF175" s="1165"/>
    </row>
    <row r="176" spans="1:162">
      <c r="A176" s="1224"/>
      <c r="B176" s="1237" t="s">
        <v>216</v>
      </c>
      <c r="M176" s="1236">
        <f t="shared" ca="1" si="270"/>
        <v>0</v>
      </c>
      <c r="N176" s="1236">
        <f t="shared" ca="1" si="270"/>
        <v>0</v>
      </c>
      <c r="O176" s="1236">
        <f t="shared" ca="1" si="270"/>
        <v>0</v>
      </c>
      <c r="P176" s="1236">
        <f t="shared" ca="1" si="270"/>
        <v>0</v>
      </c>
      <c r="Q176" s="1236">
        <f t="shared" ca="1" si="270"/>
        <v>0</v>
      </c>
      <c r="AG176" s="1236">
        <f t="shared" si="203"/>
        <v>0</v>
      </c>
      <c r="AH176" s="1236">
        <f t="shared" si="204"/>
        <v>0</v>
      </c>
      <c r="AI176" s="1236">
        <f t="shared" si="205"/>
        <v>0</v>
      </c>
      <c r="AJ176" s="1236">
        <f t="shared" si="206"/>
        <v>0</v>
      </c>
      <c r="AK176" s="1236">
        <f t="shared" si="207"/>
        <v>0</v>
      </c>
      <c r="AL176" s="1236">
        <f t="shared" si="208"/>
        <v>0</v>
      </c>
      <c r="AM176" s="1236">
        <f t="shared" si="209"/>
        <v>0</v>
      </c>
      <c r="AN176" s="1236">
        <f t="shared" si="210"/>
        <v>0</v>
      </c>
      <c r="AO176" s="1236">
        <f t="shared" si="211"/>
        <v>0</v>
      </c>
      <c r="AP176" s="1236">
        <f t="shared" si="212"/>
        <v>0</v>
      </c>
      <c r="AQ176" s="1236">
        <f t="shared" si="213"/>
        <v>0</v>
      </c>
      <c r="AR176" s="1236">
        <f t="shared" si="214"/>
        <v>0</v>
      </c>
      <c r="AS176" s="1236">
        <f t="shared" si="215"/>
        <v>0</v>
      </c>
      <c r="AT176" s="1236">
        <f t="shared" si="216"/>
        <v>0</v>
      </c>
      <c r="AU176" s="1236">
        <f t="shared" si="217"/>
        <v>0</v>
      </c>
      <c r="AV176" s="1236">
        <f t="shared" si="218"/>
        <v>0</v>
      </c>
      <c r="AW176" s="1236">
        <f t="shared" si="219"/>
        <v>0</v>
      </c>
      <c r="AX176" s="1236">
        <f t="shared" si="220"/>
        <v>0</v>
      </c>
      <c r="AY176" s="1236">
        <f t="shared" si="221"/>
        <v>0</v>
      </c>
      <c r="AZ176" s="1236">
        <f t="shared" si="222"/>
        <v>0</v>
      </c>
      <c r="BA176" s="1236">
        <f t="shared" si="223"/>
        <v>0</v>
      </c>
      <c r="BB176" s="1236">
        <f t="shared" si="224"/>
        <v>0</v>
      </c>
      <c r="BC176" s="1236">
        <f t="shared" si="225"/>
        <v>0</v>
      </c>
      <c r="BD176" s="1236">
        <f t="shared" si="226"/>
        <v>0</v>
      </c>
      <c r="BE176" s="1236">
        <f t="shared" si="227"/>
        <v>0</v>
      </c>
      <c r="BF176" s="1236">
        <f t="shared" si="228"/>
        <v>0</v>
      </c>
      <c r="BG176" s="1236">
        <f t="shared" si="229"/>
        <v>0</v>
      </c>
      <c r="BH176" s="1236">
        <f t="shared" si="230"/>
        <v>0</v>
      </c>
      <c r="BI176" s="1236">
        <f t="shared" si="231"/>
        <v>0</v>
      </c>
      <c r="BJ176" s="1236">
        <f t="shared" si="232"/>
        <v>0</v>
      </c>
      <c r="BK176" s="1236">
        <f t="shared" si="233"/>
        <v>0</v>
      </c>
      <c r="BL176" s="1236">
        <f t="shared" si="234"/>
        <v>0</v>
      </c>
      <c r="BM176" s="1236">
        <f t="shared" si="235"/>
        <v>0</v>
      </c>
      <c r="BN176" s="1236">
        <f t="shared" si="236"/>
        <v>0</v>
      </c>
      <c r="BO176" s="1236">
        <f t="shared" si="237"/>
        <v>0</v>
      </c>
      <c r="BP176" s="1236">
        <f t="shared" si="238"/>
        <v>0</v>
      </c>
      <c r="BQ176" s="1236">
        <f t="shared" si="239"/>
        <v>0</v>
      </c>
      <c r="BR176" s="1236">
        <f t="shared" si="240"/>
        <v>0</v>
      </c>
      <c r="BS176" s="1236">
        <f t="shared" si="241"/>
        <v>0</v>
      </c>
      <c r="BT176" s="1236">
        <f t="shared" si="242"/>
        <v>0</v>
      </c>
      <c r="BU176" s="1236">
        <f t="shared" si="243"/>
        <v>0</v>
      </c>
      <c r="BV176" s="1236">
        <f t="shared" si="244"/>
        <v>0</v>
      </c>
      <c r="BW176" s="1236">
        <f t="shared" si="245"/>
        <v>0</v>
      </c>
      <c r="BX176" s="1236">
        <f t="shared" si="246"/>
        <v>0</v>
      </c>
      <c r="BY176" s="1236">
        <f t="shared" si="247"/>
        <v>0</v>
      </c>
      <c r="BZ176" s="1236">
        <f t="shared" si="248"/>
        <v>0</v>
      </c>
      <c r="CA176" s="1236">
        <f t="shared" si="249"/>
        <v>0</v>
      </c>
      <c r="CB176" s="1236">
        <f t="shared" si="250"/>
        <v>0</v>
      </c>
      <c r="CC176" s="1236">
        <f t="shared" si="251"/>
        <v>0</v>
      </c>
      <c r="CD176" s="1236">
        <f t="shared" si="252"/>
        <v>0</v>
      </c>
      <c r="CE176" s="1236">
        <f t="shared" si="253"/>
        <v>0</v>
      </c>
      <c r="CF176" s="1236">
        <f t="shared" si="254"/>
        <v>0</v>
      </c>
      <c r="CG176" s="1236">
        <f t="shared" si="255"/>
        <v>0</v>
      </c>
      <c r="CH176" s="1236">
        <f t="shared" si="256"/>
        <v>0</v>
      </c>
      <c r="CI176" s="1236">
        <f t="shared" si="257"/>
        <v>0</v>
      </c>
      <c r="CJ176" s="1236">
        <f t="shared" si="258"/>
        <v>0</v>
      </c>
      <c r="CK176" s="1236">
        <f t="shared" si="259"/>
        <v>0</v>
      </c>
      <c r="CL176" s="1236">
        <f t="shared" si="260"/>
        <v>0</v>
      </c>
      <c r="CM176" s="1236">
        <f t="shared" si="261"/>
        <v>0</v>
      </c>
      <c r="CN176" s="1236">
        <f t="shared" si="262"/>
        <v>0</v>
      </c>
      <c r="CO176" s="1165"/>
      <c r="CP176" s="1165"/>
      <c r="CQ176" s="1165"/>
      <c r="CR176" s="1165"/>
      <c r="CS176" s="1165"/>
      <c r="CT176" s="1165"/>
      <c r="CU176" s="1165"/>
      <c r="CV176" s="1165"/>
      <c r="CW176" s="1165"/>
      <c r="CX176" s="1165"/>
      <c r="CY176" s="1165"/>
      <c r="CZ176" s="1165"/>
      <c r="DA176" s="1165"/>
      <c r="DB176" s="1165"/>
      <c r="DC176" s="1165"/>
      <c r="DD176" s="1165"/>
      <c r="DE176" s="1165"/>
      <c r="DF176" s="1165"/>
      <c r="DG176" s="1165"/>
      <c r="DH176" s="1165"/>
      <c r="DI176" s="1165"/>
      <c r="DJ176" s="1165"/>
      <c r="DK176" s="1165"/>
      <c r="DL176" s="1165"/>
      <c r="DM176" s="1165"/>
      <c r="DN176" s="1165"/>
      <c r="DO176" s="1165"/>
      <c r="DP176" s="1165"/>
      <c r="DQ176" s="1165"/>
      <c r="DR176" s="1165"/>
      <c r="DS176" s="1165"/>
      <c r="DT176" s="1165"/>
      <c r="DU176" s="1165"/>
      <c r="DV176" s="1165"/>
      <c r="DW176" s="1165"/>
      <c r="DX176" s="1165"/>
      <c r="DY176" s="1165"/>
      <c r="DZ176" s="1165"/>
      <c r="EA176" s="1165"/>
      <c r="EB176" s="1165"/>
      <c r="EC176" s="1165"/>
      <c r="ED176" s="1165"/>
      <c r="EE176" s="1165"/>
      <c r="EF176" s="1165"/>
      <c r="EG176" s="1165"/>
      <c r="EH176" s="1165"/>
      <c r="EI176" s="1165"/>
      <c r="EJ176" s="1165"/>
      <c r="EK176" s="1165"/>
      <c r="EL176" s="1165"/>
      <c r="EM176" s="1165"/>
      <c r="EN176" s="1165"/>
      <c r="EO176" s="1165"/>
      <c r="EP176" s="1165"/>
      <c r="EQ176" s="1165"/>
      <c r="ER176" s="1165"/>
      <c r="ES176" s="1165"/>
      <c r="ET176" s="1165"/>
      <c r="EU176" s="1165"/>
      <c r="EV176" s="1165"/>
      <c r="EW176" s="1165"/>
      <c r="EX176" s="1165"/>
      <c r="EY176" s="1165"/>
      <c r="EZ176" s="1165"/>
      <c r="FA176" s="1165"/>
      <c r="FB176" s="1165"/>
      <c r="FC176" s="1165"/>
      <c r="FD176" s="1165"/>
      <c r="FE176" s="1165"/>
      <c r="FF176" s="1165"/>
    </row>
    <row r="177" spans="1:162">
      <c r="A177" s="1224"/>
      <c r="B177" s="1237" t="s">
        <v>217</v>
      </c>
      <c r="M177" s="1236">
        <f t="shared" ca="1" si="270"/>
        <v>0</v>
      </c>
      <c r="N177" s="1236">
        <f t="shared" ca="1" si="270"/>
        <v>0</v>
      </c>
      <c r="O177" s="1236">
        <f t="shared" ca="1" si="270"/>
        <v>0</v>
      </c>
      <c r="P177" s="1236">
        <f t="shared" ca="1" si="270"/>
        <v>0</v>
      </c>
      <c r="Q177" s="1236">
        <f t="shared" ca="1" si="270"/>
        <v>0</v>
      </c>
      <c r="AG177" s="1236">
        <f t="shared" si="203"/>
        <v>0</v>
      </c>
      <c r="AH177" s="1236">
        <f t="shared" si="204"/>
        <v>0</v>
      </c>
      <c r="AI177" s="1236">
        <f t="shared" si="205"/>
        <v>0</v>
      </c>
      <c r="AJ177" s="1236">
        <f t="shared" si="206"/>
        <v>0</v>
      </c>
      <c r="AK177" s="1236">
        <f t="shared" si="207"/>
        <v>0</v>
      </c>
      <c r="AL177" s="1236">
        <f t="shared" si="208"/>
        <v>0</v>
      </c>
      <c r="AM177" s="1236">
        <f t="shared" si="209"/>
        <v>0</v>
      </c>
      <c r="AN177" s="1236">
        <f t="shared" si="210"/>
        <v>0</v>
      </c>
      <c r="AO177" s="1236">
        <f t="shared" si="211"/>
        <v>0</v>
      </c>
      <c r="AP177" s="1236">
        <f t="shared" si="212"/>
        <v>0</v>
      </c>
      <c r="AQ177" s="1236">
        <f t="shared" si="213"/>
        <v>0</v>
      </c>
      <c r="AR177" s="1236">
        <f t="shared" si="214"/>
        <v>0</v>
      </c>
      <c r="AS177" s="1236">
        <f t="shared" si="215"/>
        <v>0</v>
      </c>
      <c r="AT177" s="1236">
        <f t="shared" si="216"/>
        <v>0</v>
      </c>
      <c r="AU177" s="1236">
        <f t="shared" si="217"/>
        <v>0</v>
      </c>
      <c r="AV177" s="1236">
        <f t="shared" si="218"/>
        <v>0</v>
      </c>
      <c r="AW177" s="1236">
        <f t="shared" si="219"/>
        <v>0</v>
      </c>
      <c r="AX177" s="1236">
        <f t="shared" si="220"/>
        <v>0</v>
      </c>
      <c r="AY177" s="1236">
        <f t="shared" si="221"/>
        <v>0</v>
      </c>
      <c r="AZ177" s="1236">
        <f t="shared" si="222"/>
        <v>0</v>
      </c>
      <c r="BA177" s="1236">
        <f t="shared" si="223"/>
        <v>0</v>
      </c>
      <c r="BB177" s="1236">
        <f t="shared" si="224"/>
        <v>0</v>
      </c>
      <c r="BC177" s="1236">
        <f t="shared" si="225"/>
        <v>0</v>
      </c>
      <c r="BD177" s="1236">
        <f t="shared" si="226"/>
        <v>0</v>
      </c>
      <c r="BE177" s="1236">
        <f t="shared" si="227"/>
        <v>0</v>
      </c>
      <c r="BF177" s="1236">
        <f t="shared" si="228"/>
        <v>0</v>
      </c>
      <c r="BG177" s="1236">
        <f t="shared" si="229"/>
        <v>0</v>
      </c>
      <c r="BH177" s="1236">
        <f t="shared" si="230"/>
        <v>0</v>
      </c>
      <c r="BI177" s="1236">
        <f t="shared" si="231"/>
        <v>0</v>
      </c>
      <c r="BJ177" s="1236">
        <f t="shared" si="232"/>
        <v>0</v>
      </c>
      <c r="BK177" s="1236">
        <f t="shared" si="233"/>
        <v>0</v>
      </c>
      <c r="BL177" s="1236">
        <f t="shared" si="234"/>
        <v>0</v>
      </c>
      <c r="BM177" s="1236">
        <f t="shared" si="235"/>
        <v>0</v>
      </c>
      <c r="BN177" s="1236">
        <f t="shared" si="236"/>
        <v>0</v>
      </c>
      <c r="BO177" s="1236">
        <f t="shared" si="237"/>
        <v>0</v>
      </c>
      <c r="BP177" s="1236">
        <f t="shared" si="238"/>
        <v>0</v>
      </c>
      <c r="BQ177" s="1236">
        <f t="shared" si="239"/>
        <v>0</v>
      </c>
      <c r="BR177" s="1236">
        <f t="shared" si="240"/>
        <v>0</v>
      </c>
      <c r="BS177" s="1236">
        <f t="shared" si="241"/>
        <v>0</v>
      </c>
      <c r="BT177" s="1236">
        <f t="shared" si="242"/>
        <v>0</v>
      </c>
      <c r="BU177" s="1236">
        <f t="shared" si="243"/>
        <v>0</v>
      </c>
      <c r="BV177" s="1236">
        <f t="shared" si="244"/>
        <v>0</v>
      </c>
      <c r="BW177" s="1236">
        <f t="shared" si="245"/>
        <v>0</v>
      </c>
      <c r="BX177" s="1236">
        <f t="shared" si="246"/>
        <v>0</v>
      </c>
      <c r="BY177" s="1236">
        <f t="shared" si="247"/>
        <v>0</v>
      </c>
      <c r="BZ177" s="1236">
        <f t="shared" si="248"/>
        <v>0</v>
      </c>
      <c r="CA177" s="1236">
        <f t="shared" si="249"/>
        <v>0</v>
      </c>
      <c r="CB177" s="1236">
        <f t="shared" si="250"/>
        <v>0</v>
      </c>
      <c r="CC177" s="1236">
        <f t="shared" si="251"/>
        <v>0</v>
      </c>
      <c r="CD177" s="1236">
        <f t="shared" si="252"/>
        <v>0</v>
      </c>
      <c r="CE177" s="1236">
        <f t="shared" si="253"/>
        <v>0</v>
      </c>
      <c r="CF177" s="1236">
        <f t="shared" si="254"/>
        <v>0</v>
      </c>
      <c r="CG177" s="1236">
        <f t="shared" si="255"/>
        <v>0</v>
      </c>
      <c r="CH177" s="1236">
        <f t="shared" si="256"/>
        <v>0</v>
      </c>
      <c r="CI177" s="1236">
        <f t="shared" si="257"/>
        <v>0</v>
      </c>
      <c r="CJ177" s="1236">
        <f t="shared" si="258"/>
        <v>0</v>
      </c>
      <c r="CK177" s="1236">
        <f t="shared" si="259"/>
        <v>0</v>
      </c>
      <c r="CL177" s="1236">
        <f t="shared" si="260"/>
        <v>0</v>
      </c>
      <c r="CM177" s="1236">
        <f t="shared" si="261"/>
        <v>0</v>
      </c>
      <c r="CN177" s="1236">
        <f t="shared" si="262"/>
        <v>0</v>
      </c>
      <c r="CO177" s="1165"/>
      <c r="CP177" s="1165"/>
      <c r="CQ177" s="1165"/>
      <c r="CR177" s="1165"/>
      <c r="CS177" s="1165"/>
      <c r="CT177" s="1165"/>
      <c r="CU177" s="1165"/>
      <c r="CV177" s="1165"/>
      <c r="CW177" s="1165"/>
      <c r="CX177" s="1165"/>
      <c r="CY177" s="1165"/>
      <c r="CZ177" s="1165"/>
      <c r="DA177" s="1165"/>
      <c r="DB177" s="1165"/>
      <c r="DC177" s="1165"/>
      <c r="DD177" s="1165"/>
      <c r="DE177" s="1165"/>
      <c r="DF177" s="1165"/>
      <c r="DG177" s="1165"/>
      <c r="DH177" s="1165"/>
      <c r="DI177" s="1165"/>
      <c r="DJ177" s="1165"/>
      <c r="DK177" s="1238"/>
      <c r="DL177" s="1238"/>
      <c r="DM177" s="1238"/>
      <c r="DN177" s="1238"/>
      <c r="DO177" s="1238"/>
      <c r="DP177" s="1238"/>
      <c r="DQ177" s="1238"/>
      <c r="DR177" s="1238"/>
      <c r="DS177" s="1238"/>
      <c r="DT177" s="1238"/>
      <c r="DU177" s="1238"/>
      <c r="DV177" s="1238"/>
      <c r="DW177" s="1238"/>
      <c r="DX177" s="1238"/>
      <c r="DY177" s="1238"/>
      <c r="DZ177" s="1238"/>
      <c r="EA177" s="1238"/>
      <c r="EB177" s="1238"/>
      <c r="EC177" s="1238"/>
      <c r="ED177" s="1238"/>
      <c r="EE177" s="1238"/>
      <c r="EF177" s="1238"/>
      <c r="EG177" s="1238"/>
      <c r="EH177" s="1238"/>
      <c r="EI177" s="1238"/>
      <c r="EJ177" s="1238"/>
      <c r="EK177" s="1238"/>
      <c r="EL177" s="1238"/>
      <c r="EM177" s="1238"/>
      <c r="EN177" s="1238"/>
      <c r="EO177" s="1238"/>
      <c r="EP177" s="1238"/>
      <c r="EQ177" s="1238"/>
      <c r="ER177" s="1238"/>
      <c r="ES177" s="1238"/>
      <c r="ET177" s="1238"/>
      <c r="EU177" s="1165"/>
      <c r="EV177" s="1165"/>
      <c r="EW177" s="1165"/>
      <c r="EX177" s="1165"/>
      <c r="EY177" s="1165"/>
      <c r="EZ177" s="1165"/>
      <c r="FA177" s="1165"/>
      <c r="FB177" s="1165"/>
      <c r="FC177" s="1165"/>
      <c r="FD177" s="1165"/>
      <c r="FE177" s="1165"/>
      <c r="FF177" s="1165"/>
    </row>
    <row r="178" spans="1:162">
      <c r="A178" s="1224"/>
      <c r="B178" s="1237" t="s">
        <v>218</v>
      </c>
      <c r="M178" s="1236">
        <f t="shared" ca="1" si="270"/>
        <v>0</v>
      </c>
      <c r="N178" s="1236">
        <f t="shared" ca="1" si="270"/>
        <v>0</v>
      </c>
      <c r="O178" s="1236">
        <f t="shared" ca="1" si="270"/>
        <v>0</v>
      </c>
      <c r="P178" s="1236">
        <f t="shared" ca="1" si="270"/>
        <v>0</v>
      </c>
      <c r="Q178" s="1236">
        <f t="shared" ca="1" si="270"/>
        <v>0</v>
      </c>
      <c r="AG178" s="1236">
        <f t="shared" si="203"/>
        <v>0</v>
      </c>
      <c r="AH178" s="1236">
        <f t="shared" si="204"/>
        <v>0</v>
      </c>
      <c r="AI178" s="1236">
        <f t="shared" si="205"/>
        <v>0</v>
      </c>
      <c r="AJ178" s="1236">
        <f t="shared" si="206"/>
        <v>0</v>
      </c>
      <c r="AK178" s="1236">
        <f t="shared" si="207"/>
        <v>0</v>
      </c>
      <c r="AL178" s="1236">
        <f t="shared" si="208"/>
        <v>0</v>
      </c>
      <c r="AM178" s="1236">
        <f t="shared" si="209"/>
        <v>0</v>
      </c>
      <c r="AN178" s="1236">
        <f t="shared" si="210"/>
        <v>0</v>
      </c>
      <c r="AO178" s="1236">
        <f t="shared" si="211"/>
        <v>0</v>
      </c>
      <c r="AP178" s="1236">
        <f t="shared" si="212"/>
        <v>0</v>
      </c>
      <c r="AQ178" s="1236">
        <f t="shared" si="213"/>
        <v>0</v>
      </c>
      <c r="AR178" s="1236">
        <f t="shared" si="214"/>
        <v>0</v>
      </c>
      <c r="AS178" s="1236">
        <f t="shared" si="215"/>
        <v>0</v>
      </c>
      <c r="AT178" s="1236">
        <f t="shared" si="216"/>
        <v>0</v>
      </c>
      <c r="AU178" s="1236">
        <f t="shared" si="217"/>
        <v>0</v>
      </c>
      <c r="AV178" s="1236">
        <f t="shared" si="218"/>
        <v>0</v>
      </c>
      <c r="AW178" s="1236">
        <f t="shared" si="219"/>
        <v>0</v>
      </c>
      <c r="AX178" s="1236">
        <f t="shared" si="220"/>
        <v>0</v>
      </c>
      <c r="AY178" s="1236">
        <f t="shared" si="221"/>
        <v>0</v>
      </c>
      <c r="AZ178" s="1236">
        <f t="shared" si="222"/>
        <v>0</v>
      </c>
      <c r="BA178" s="1236">
        <f t="shared" si="223"/>
        <v>0</v>
      </c>
      <c r="BB178" s="1236">
        <f t="shared" si="224"/>
        <v>0</v>
      </c>
      <c r="BC178" s="1236">
        <f t="shared" si="225"/>
        <v>0</v>
      </c>
      <c r="BD178" s="1236">
        <f t="shared" si="226"/>
        <v>0</v>
      </c>
      <c r="BE178" s="1236">
        <f t="shared" si="227"/>
        <v>0</v>
      </c>
      <c r="BF178" s="1236">
        <f t="shared" si="228"/>
        <v>0</v>
      </c>
      <c r="BG178" s="1236">
        <f t="shared" si="229"/>
        <v>0</v>
      </c>
      <c r="BH178" s="1236">
        <f t="shared" si="230"/>
        <v>0</v>
      </c>
      <c r="BI178" s="1236">
        <f t="shared" si="231"/>
        <v>0</v>
      </c>
      <c r="BJ178" s="1236">
        <f t="shared" si="232"/>
        <v>0</v>
      </c>
      <c r="BK178" s="1236">
        <f t="shared" si="233"/>
        <v>0</v>
      </c>
      <c r="BL178" s="1236">
        <f t="shared" si="234"/>
        <v>0</v>
      </c>
      <c r="BM178" s="1236">
        <f t="shared" si="235"/>
        <v>0</v>
      </c>
      <c r="BN178" s="1236">
        <f t="shared" si="236"/>
        <v>0</v>
      </c>
      <c r="BO178" s="1236">
        <f t="shared" si="237"/>
        <v>0</v>
      </c>
      <c r="BP178" s="1236">
        <f t="shared" si="238"/>
        <v>0</v>
      </c>
      <c r="BQ178" s="1236">
        <f t="shared" si="239"/>
        <v>0</v>
      </c>
      <c r="BR178" s="1236">
        <f t="shared" si="240"/>
        <v>0</v>
      </c>
      <c r="BS178" s="1236">
        <f t="shared" si="241"/>
        <v>0</v>
      </c>
      <c r="BT178" s="1236">
        <f t="shared" si="242"/>
        <v>0</v>
      </c>
      <c r="BU178" s="1236">
        <f t="shared" si="243"/>
        <v>0</v>
      </c>
      <c r="BV178" s="1236">
        <f t="shared" si="244"/>
        <v>0</v>
      </c>
      <c r="BW178" s="1236">
        <f t="shared" si="245"/>
        <v>0</v>
      </c>
      <c r="BX178" s="1236">
        <f t="shared" si="246"/>
        <v>0</v>
      </c>
      <c r="BY178" s="1236">
        <f t="shared" si="247"/>
        <v>0</v>
      </c>
      <c r="BZ178" s="1236">
        <f t="shared" si="248"/>
        <v>0</v>
      </c>
      <c r="CA178" s="1236">
        <f t="shared" si="249"/>
        <v>0</v>
      </c>
      <c r="CB178" s="1236">
        <f t="shared" si="250"/>
        <v>0</v>
      </c>
      <c r="CC178" s="1236">
        <f t="shared" si="251"/>
        <v>0</v>
      </c>
      <c r="CD178" s="1236">
        <f t="shared" si="252"/>
        <v>0</v>
      </c>
      <c r="CE178" s="1236">
        <f t="shared" si="253"/>
        <v>0</v>
      </c>
      <c r="CF178" s="1236">
        <f t="shared" si="254"/>
        <v>0</v>
      </c>
      <c r="CG178" s="1236">
        <f t="shared" si="255"/>
        <v>0</v>
      </c>
      <c r="CH178" s="1236">
        <f t="shared" si="256"/>
        <v>0</v>
      </c>
      <c r="CI178" s="1236">
        <f t="shared" si="257"/>
        <v>0</v>
      </c>
      <c r="CJ178" s="1236">
        <f t="shared" si="258"/>
        <v>0</v>
      </c>
      <c r="CK178" s="1236">
        <f t="shared" si="259"/>
        <v>0</v>
      </c>
      <c r="CL178" s="1236">
        <f t="shared" si="260"/>
        <v>0</v>
      </c>
      <c r="CM178" s="1236">
        <f t="shared" si="261"/>
        <v>0</v>
      </c>
      <c r="CN178" s="1236">
        <f t="shared" si="262"/>
        <v>0</v>
      </c>
      <c r="CO178" s="1165"/>
      <c r="CP178" s="1165"/>
      <c r="CQ178" s="1165"/>
      <c r="CR178" s="1165"/>
      <c r="CS178" s="1165"/>
      <c r="CT178" s="1165"/>
      <c r="CU178" s="1165"/>
      <c r="CV178" s="1165"/>
      <c r="CW178" s="1165"/>
      <c r="CX178" s="1165"/>
      <c r="CY178" s="1165"/>
      <c r="CZ178" s="1165"/>
      <c r="DA178" s="1165"/>
      <c r="DB178" s="1165"/>
      <c r="DC178" s="1165"/>
      <c r="DD178" s="1165"/>
      <c r="DE178" s="1165"/>
      <c r="DF178" s="1165"/>
      <c r="DG178" s="1165"/>
      <c r="DH178" s="1165"/>
      <c r="DI178" s="1165"/>
      <c r="DJ178" s="1165"/>
      <c r="EU178" s="1165"/>
      <c r="EV178" s="1165"/>
      <c r="EW178" s="1165"/>
      <c r="EX178" s="1165"/>
      <c r="EY178" s="1165"/>
      <c r="EZ178" s="1165"/>
      <c r="FA178" s="1165"/>
      <c r="FB178" s="1165"/>
      <c r="FC178" s="1165"/>
      <c r="FD178" s="1165"/>
      <c r="FE178" s="1165"/>
      <c r="FF178" s="1165"/>
    </row>
    <row r="179" spans="1:162">
      <c r="A179" s="1224"/>
      <c r="B179" s="1237" t="s">
        <v>118</v>
      </c>
      <c r="M179" s="1236">
        <f t="shared" ca="1" si="270"/>
        <v>0</v>
      </c>
      <c r="N179" s="1236">
        <f t="shared" ca="1" si="270"/>
        <v>0</v>
      </c>
      <c r="O179" s="1236">
        <f t="shared" ca="1" si="270"/>
        <v>0</v>
      </c>
      <c r="P179" s="1236">
        <f t="shared" ca="1" si="270"/>
        <v>0</v>
      </c>
      <c r="Q179" s="1236">
        <f t="shared" ca="1" si="270"/>
        <v>0</v>
      </c>
      <c r="AG179" s="1236">
        <f t="shared" si="203"/>
        <v>0</v>
      </c>
      <c r="AH179" s="1236">
        <f t="shared" si="204"/>
        <v>0</v>
      </c>
      <c r="AI179" s="1236">
        <f t="shared" si="205"/>
        <v>0</v>
      </c>
      <c r="AJ179" s="1236">
        <f t="shared" si="206"/>
        <v>0</v>
      </c>
      <c r="AK179" s="1236">
        <f t="shared" si="207"/>
        <v>0</v>
      </c>
      <c r="AL179" s="1236">
        <f t="shared" si="208"/>
        <v>0</v>
      </c>
      <c r="AM179" s="1236">
        <f t="shared" si="209"/>
        <v>0</v>
      </c>
      <c r="AN179" s="1236">
        <f t="shared" si="210"/>
        <v>0</v>
      </c>
      <c r="AO179" s="1236">
        <f t="shared" si="211"/>
        <v>0</v>
      </c>
      <c r="AP179" s="1236">
        <f t="shared" si="212"/>
        <v>0</v>
      </c>
      <c r="AQ179" s="1236">
        <f t="shared" si="213"/>
        <v>0</v>
      </c>
      <c r="AR179" s="1236">
        <f t="shared" si="214"/>
        <v>0</v>
      </c>
      <c r="AS179" s="1236">
        <f t="shared" si="215"/>
        <v>0</v>
      </c>
      <c r="AT179" s="1236">
        <f t="shared" si="216"/>
        <v>0</v>
      </c>
      <c r="AU179" s="1236">
        <f t="shared" si="217"/>
        <v>0</v>
      </c>
      <c r="AV179" s="1236">
        <f t="shared" si="218"/>
        <v>0</v>
      </c>
      <c r="AW179" s="1236">
        <f t="shared" si="219"/>
        <v>0</v>
      </c>
      <c r="AX179" s="1236">
        <f t="shared" si="220"/>
        <v>0</v>
      </c>
      <c r="AY179" s="1236">
        <f t="shared" si="221"/>
        <v>0</v>
      </c>
      <c r="AZ179" s="1236">
        <f t="shared" si="222"/>
        <v>0</v>
      </c>
      <c r="BA179" s="1236">
        <f t="shared" si="223"/>
        <v>0</v>
      </c>
      <c r="BB179" s="1236">
        <f t="shared" si="224"/>
        <v>0</v>
      </c>
      <c r="BC179" s="1236">
        <f t="shared" si="225"/>
        <v>0</v>
      </c>
      <c r="BD179" s="1236">
        <f t="shared" si="226"/>
        <v>0</v>
      </c>
      <c r="BE179" s="1236">
        <f t="shared" si="227"/>
        <v>0</v>
      </c>
      <c r="BF179" s="1236">
        <f t="shared" si="228"/>
        <v>0</v>
      </c>
      <c r="BG179" s="1236">
        <f t="shared" si="229"/>
        <v>0</v>
      </c>
      <c r="BH179" s="1236">
        <f t="shared" si="230"/>
        <v>0</v>
      </c>
      <c r="BI179" s="1236">
        <f t="shared" si="231"/>
        <v>0</v>
      </c>
      <c r="BJ179" s="1236">
        <f t="shared" si="232"/>
        <v>0</v>
      </c>
      <c r="BK179" s="1236">
        <f t="shared" si="233"/>
        <v>0</v>
      </c>
      <c r="BL179" s="1236">
        <f t="shared" si="234"/>
        <v>0</v>
      </c>
      <c r="BM179" s="1236">
        <f t="shared" si="235"/>
        <v>0</v>
      </c>
      <c r="BN179" s="1236">
        <f t="shared" si="236"/>
        <v>0</v>
      </c>
      <c r="BO179" s="1236">
        <f t="shared" si="237"/>
        <v>0</v>
      </c>
      <c r="BP179" s="1236">
        <f t="shared" si="238"/>
        <v>0</v>
      </c>
      <c r="BQ179" s="1236">
        <f t="shared" si="239"/>
        <v>0</v>
      </c>
      <c r="BR179" s="1236">
        <f t="shared" si="240"/>
        <v>0</v>
      </c>
      <c r="BS179" s="1236">
        <f t="shared" si="241"/>
        <v>0</v>
      </c>
      <c r="BT179" s="1236">
        <f t="shared" si="242"/>
        <v>0</v>
      </c>
      <c r="BU179" s="1236">
        <f t="shared" si="243"/>
        <v>0</v>
      </c>
      <c r="BV179" s="1236">
        <f t="shared" si="244"/>
        <v>0</v>
      </c>
      <c r="BW179" s="1236">
        <f t="shared" si="245"/>
        <v>0</v>
      </c>
      <c r="BX179" s="1236">
        <f t="shared" si="246"/>
        <v>0</v>
      </c>
      <c r="BY179" s="1236">
        <f t="shared" si="247"/>
        <v>0</v>
      </c>
      <c r="BZ179" s="1236">
        <f t="shared" si="248"/>
        <v>0</v>
      </c>
      <c r="CA179" s="1236">
        <f t="shared" si="249"/>
        <v>0</v>
      </c>
      <c r="CB179" s="1236">
        <f t="shared" si="250"/>
        <v>0</v>
      </c>
      <c r="CC179" s="1236">
        <f t="shared" si="251"/>
        <v>0</v>
      </c>
      <c r="CD179" s="1236">
        <f t="shared" si="252"/>
        <v>0</v>
      </c>
      <c r="CE179" s="1236">
        <f t="shared" si="253"/>
        <v>0</v>
      </c>
      <c r="CF179" s="1236">
        <f t="shared" si="254"/>
        <v>0</v>
      </c>
      <c r="CG179" s="1236">
        <f t="shared" si="255"/>
        <v>0</v>
      </c>
      <c r="CH179" s="1236">
        <f t="shared" si="256"/>
        <v>0</v>
      </c>
      <c r="CI179" s="1236">
        <f t="shared" si="257"/>
        <v>0</v>
      </c>
      <c r="CJ179" s="1236">
        <f t="shared" si="258"/>
        <v>0</v>
      </c>
      <c r="CK179" s="1236">
        <f t="shared" si="259"/>
        <v>0</v>
      </c>
      <c r="CL179" s="1236">
        <f t="shared" si="260"/>
        <v>0</v>
      </c>
      <c r="CM179" s="1236">
        <f t="shared" si="261"/>
        <v>0</v>
      </c>
      <c r="CN179" s="1236">
        <f t="shared" si="262"/>
        <v>0</v>
      </c>
      <c r="CO179" s="1165"/>
      <c r="CP179" s="1165"/>
      <c r="CQ179" s="1165"/>
      <c r="CR179" s="1165"/>
      <c r="CS179" s="1165"/>
      <c r="CT179" s="1165"/>
      <c r="CU179" s="1165"/>
      <c r="CV179" s="1165"/>
      <c r="CW179" s="1165"/>
      <c r="CX179" s="1165"/>
      <c r="CY179" s="1165"/>
      <c r="CZ179" s="1165"/>
      <c r="DA179" s="1165"/>
      <c r="DB179" s="1165"/>
      <c r="DC179" s="1165"/>
      <c r="DD179" s="1165"/>
      <c r="DE179" s="1165"/>
      <c r="DF179" s="1165"/>
      <c r="DG179" s="1165"/>
      <c r="DH179" s="1165"/>
      <c r="DI179" s="1165"/>
      <c r="DJ179" s="1165"/>
      <c r="DK179" s="1165"/>
      <c r="DL179" s="1165"/>
      <c r="DM179" s="1165"/>
      <c r="DN179" s="1165"/>
      <c r="DO179" s="1165"/>
      <c r="DP179" s="1165"/>
      <c r="DQ179" s="1165"/>
      <c r="DR179" s="1165"/>
      <c r="DS179" s="1165"/>
      <c r="DT179" s="1165"/>
      <c r="DU179" s="1165"/>
      <c r="DV179" s="1165"/>
      <c r="DW179" s="1165"/>
      <c r="DX179" s="1165"/>
      <c r="DY179" s="1165"/>
      <c r="DZ179" s="1165"/>
      <c r="EA179" s="1165"/>
      <c r="EB179" s="1165"/>
      <c r="EC179" s="1165"/>
      <c r="ED179" s="1165"/>
      <c r="EE179" s="1165"/>
      <c r="EF179" s="1165"/>
      <c r="EG179" s="1165"/>
      <c r="EH179" s="1165"/>
      <c r="EI179" s="1165"/>
      <c r="EJ179" s="1165"/>
      <c r="EK179" s="1165"/>
      <c r="EL179" s="1165"/>
      <c r="EM179" s="1165"/>
      <c r="EN179" s="1165"/>
      <c r="EO179" s="1165"/>
      <c r="EP179" s="1165"/>
      <c r="EQ179" s="1165"/>
      <c r="ER179" s="1165"/>
      <c r="ES179" s="1165"/>
      <c r="ET179" s="1165"/>
      <c r="EU179" s="1165"/>
      <c r="EV179" s="1165"/>
      <c r="EW179" s="1165"/>
      <c r="EX179" s="1165"/>
      <c r="EY179" s="1165"/>
      <c r="EZ179" s="1165"/>
      <c r="FA179" s="1165"/>
      <c r="FB179" s="1165"/>
      <c r="FC179" s="1165"/>
      <c r="FD179" s="1165"/>
      <c r="FE179" s="1165"/>
      <c r="FF179" s="1165"/>
    </row>
    <row r="180" spans="1:162" s="1231" customFormat="1">
      <c r="A180" s="1224"/>
      <c r="B180" s="1230" t="s">
        <v>177</v>
      </c>
      <c r="M180" s="1231">
        <f t="shared" ca="1" si="270"/>
        <v>0</v>
      </c>
      <c r="N180" s="1231">
        <f t="shared" ca="1" si="270"/>
        <v>0</v>
      </c>
      <c r="O180" s="1231">
        <f t="shared" ca="1" si="270"/>
        <v>0</v>
      </c>
      <c r="P180" s="1231">
        <f t="shared" ca="1" si="270"/>
        <v>0</v>
      </c>
      <c r="Q180" s="1231">
        <f t="shared" ca="1" si="270"/>
        <v>0</v>
      </c>
      <c r="R180" s="1232">
        <f t="shared" ref="R180:Y180" si="271">R182-R171</f>
        <v>59.883099999999928</v>
      </c>
      <c r="S180" s="1232">
        <f t="shared" si="271"/>
        <v>129.68599999999998</v>
      </c>
      <c r="T180" s="1232">
        <f t="shared" si="271"/>
        <v>160.0100000000001</v>
      </c>
      <c r="U180" s="1232">
        <f t="shared" si="271"/>
        <v>210.13499999999999</v>
      </c>
      <c r="V180" s="1232">
        <f t="shared" si="271"/>
        <v>184.24300000000017</v>
      </c>
      <c r="W180" s="1232">
        <f t="shared" si="271"/>
        <v>248.65800000000002</v>
      </c>
      <c r="X180" s="1232">
        <f t="shared" si="271"/>
        <v>392.93600000000015</v>
      </c>
      <c r="Y180" s="1232">
        <f t="shared" si="271"/>
        <v>417.89699999999993</v>
      </c>
      <c r="Z180" s="1232">
        <f>Z182-Z171</f>
        <v>462.1569999999997</v>
      </c>
      <c r="AG180" s="1231">
        <f t="shared" si="203"/>
        <v>0</v>
      </c>
      <c r="AH180" s="1231">
        <f t="shared" si="204"/>
        <v>0</v>
      </c>
      <c r="AI180" s="1231">
        <f t="shared" si="205"/>
        <v>0</v>
      </c>
      <c r="AJ180" s="1231">
        <f t="shared" si="206"/>
        <v>0</v>
      </c>
      <c r="AK180" s="1231">
        <f t="shared" si="207"/>
        <v>0</v>
      </c>
      <c r="AL180" s="1231">
        <f t="shared" si="208"/>
        <v>0</v>
      </c>
      <c r="AM180" s="1231">
        <f t="shared" si="209"/>
        <v>0</v>
      </c>
      <c r="AN180" s="1231">
        <f t="shared" si="210"/>
        <v>0</v>
      </c>
      <c r="AO180" s="1231">
        <f t="shared" si="211"/>
        <v>0</v>
      </c>
      <c r="AP180" s="1231">
        <f t="shared" si="212"/>
        <v>0</v>
      </c>
      <c r="AQ180" s="1231">
        <f t="shared" si="213"/>
        <v>0</v>
      </c>
      <c r="AR180" s="1231">
        <f t="shared" si="214"/>
        <v>0</v>
      </c>
      <c r="AS180" s="1231">
        <f t="shared" si="215"/>
        <v>0</v>
      </c>
      <c r="AT180" s="1231">
        <f t="shared" si="216"/>
        <v>0</v>
      </c>
      <c r="AU180" s="1231">
        <f t="shared" si="217"/>
        <v>0</v>
      </c>
      <c r="AV180" s="1231">
        <f t="shared" si="218"/>
        <v>0</v>
      </c>
      <c r="AW180" s="1231">
        <f t="shared" si="219"/>
        <v>0</v>
      </c>
      <c r="AX180" s="1231">
        <f t="shared" si="220"/>
        <v>0</v>
      </c>
      <c r="AY180" s="1231">
        <f t="shared" si="221"/>
        <v>0</v>
      </c>
      <c r="AZ180" s="1231">
        <f t="shared" si="222"/>
        <v>0</v>
      </c>
      <c r="BA180" s="1231">
        <f t="shared" si="223"/>
        <v>0</v>
      </c>
      <c r="BB180" s="1231">
        <f t="shared" si="224"/>
        <v>0</v>
      </c>
      <c r="BC180" s="1231">
        <f t="shared" si="225"/>
        <v>0</v>
      </c>
      <c r="BD180" s="1231">
        <f t="shared" si="226"/>
        <v>0</v>
      </c>
      <c r="BE180" s="1231">
        <f t="shared" si="227"/>
        <v>0</v>
      </c>
      <c r="BF180" s="1231">
        <f t="shared" si="228"/>
        <v>0</v>
      </c>
      <c r="BG180" s="1231">
        <f t="shared" si="229"/>
        <v>0</v>
      </c>
      <c r="BH180" s="1231">
        <f t="shared" si="230"/>
        <v>0</v>
      </c>
      <c r="BI180" s="1231">
        <f t="shared" si="231"/>
        <v>0</v>
      </c>
      <c r="BJ180" s="1231">
        <f t="shared" si="232"/>
        <v>0</v>
      </c>
      <c r="BK180" s="1231">
        <f t="shared" si="233"/>
        <v>0</v>
      </c>
      <c r="BL180" s="1231">
        <f t="shared" si="234"/>
        <v>0</v>
      </c>
      <c r="BM180" s="1231">
        <f t="shared" si="235"/>
        <v>0</v>
      </c>
      <c r="BN180" s="1231">
        <f t="shared" si="236"/>
        <v>0</v>
      </c>
      <c r="BO180" s="1231">
        <f t="shared" si="237"/>
        <v>0</v>
      </c>
      <c r="BP180" s="1231">
        <f t="shared" si="238"/>
        <v>0</v>
      </c>
      <c r="BQ180" s="1231">
        <f t="shared" si="239"/>
        <v>0</v>
      </c>
      <c r="BR180" s="1231">
        <f t="shared" si="240"/>
        <v>0</v>
      </c>
      <c r="BS180" s="1231">
        <f t="shared" si="241"/>
        <v>0</v>
      </c>
      <c r="BT180" s="1231">
        <f t="shared" si="242"/>
        <v>0</v>
      </c>
      <c r="BU180" s="1231">
        <f t="shared" si="243"/>
        <v>0</v>
      </c>
      <c r="BV180" s="1231">
        <f t="shared" si="244"/>
        <v>0</v>
      </c>
      <c r="BW180" s="1231">
        <f t="shared" si="245"/>
        <v>0</v>
      </c>
      <c r="BX180" s="1231">
        <f t="shared" si="246"/>
        <v>0</v>
      </c>
      <c r="BY180" s="1231">
        <f t="shared" si="247"/>
        <v>0</v>
      </c>
      <c r="BZ180" s="1231">
        <f t="shared" si="248"/>
        <v>0</v>
      </c>
      <c r="CA180" s="1231">
        <f t="shared" si="249"/>
        <v>0</v>
      </c>
      <c r="CB180" s="1231">
        <f t="shared" si="250"/>
        <v>0</v>
      </c>
      <c r="CC180" s="1231">
        <f t="shared" si="251"/>
        <v>0</v>
      </c>
      <c r="CD180" s="1231">
        <f t="shared" si="252"/>
        <v>0</v>
      </c>
      <c r="CE180" s="1231">
        <f t="shared" si="253"/>
        <v>0</v>
      </c>
      <c r="CF180" s="1231">
        <f t="shared" si="254"/>
        <v>0</v>
      </c>
      <c r="CG180" s="1231">
        <f t="shared" si="255"/>
        <v>0</v>
      </c>
      <c r="CH180" s="1231">
        <f t="shared" si="256"/>
        <v>0</v>
      </c>
      <c r="CI180" s="1231">
        <f t="shared" si="257"/>
        <v>0</v>
      </c>
      <c r="CJ180" s="1231">
        <f t="shared" si="258"/>
        <v>0</v>
      </c>
      <c r="CK180" s="1231">
        <f t="shared" si="259"/>
        <v>0</v>
      </c>
      <c r="CL180" s="1231">
        <f t="shared" si="260"/>
        <v>0</v>
      </c>
      <c r="CM180" s="1231">
        <f t="shared" si="261"/>
        <v>0</v>
      </c>
      <c r="CN180" s="1231">
        <f t="shared" si="262"/>
        <v>0</v>
      </c>
      <c r="CQ180" s="1165"/>
      <c r="CR180" s="1165"/>
      <c r="CS180" s="1165"/>
      <c r="CT180" s="1165"/>
      <c r="CU180" s="1165"/>
      <c r="CV180" s="1165"/>
      <c r="CW180" s="1165"/>
      <c r="CX180" s="1165"/>
      <c r="CY180" s="1165"/>
      <c r="CZ180" s="1165"/>
      <c r="DA180" s="1165"/>
      <c r="DB180" s="1165"/>
      <c r="DC180" s="1165"/>
      <c r="DD180" s="1165"/>
      <c r="DE180" s="1165"/>
      <c r="DF180" s="1165"/>
      <c r="DG180" s="1165"/>
      <c r="DH180" s="1165"/>
      <c r="DI180" s="1165"/>
      <c r="DJ180" s="1165"/>
      <c r="DK180" s="1232"/>
      <c r="DL180" s="1232"/>
      <c r="DM180" s="1232"/>
      <c r="DN180" s="1232"/>
      <c r="DO180" s="1232"/>
      <c r="DP180" s="1232"/>
      <c r="DQ180" s="1232"/>
      <c r="DR180" s="1232"/>
      <c r="DS180" s="1232"/>
      <c r="DT180" s="1232"/>
      <c r="DU180" s="1232"/>
      <c r="DV180" s="1232"/>
      <c r="DW180" s="1232"/>
      <c r="DX180" s="1232"/>
      <c r="DY180" s="1232"/>
      <c r="DZ180" s="1232"/>
      <c r="EA180" s="1232"/>
      <c r="EB180" s="1232"/>
      <c r="EC180" s="1232"/>
      <c r="ED180" s="1232"/>
      <c r="EE180" s="1232"/>
      <c r="EF180" s="1232"/>
      <c r="EG180" s="1232"/>
      <c r="EH180" s="1232"/>
      <c r="EI180" s="1232"/>
      <c r="EJ180" s="1232"/>
      <c r="EK180" s="1232"/>
      <c r="EL180" s="1232"/>
      <c r="EM180" s="1232"/>
      <c r="EN180" s="1232"/>
      <c r="EO180" s="1232"/>
      <c r="EP180" s="1232"/>
      <c r="EQ180" s="1232"/>
      <c r="ER180" s="1232"/>
      <c r="ES180" s="1232"/>
      <c r="ET180" s="1232"/>
      <c r="EU180" s="1165"/>
      <c r="EV180" s="1165"/>
      <c r="EW180" s="1165"/>
      <c r="EX180" s="1165"/>
      <c r="EY180" s="1165"/>
      <c r="EZ180" s="1165"/>
      <c r="FA180" s="1165"/>
      <c r="FB180" s="1165"/>
      <c r="FC180" s="1165"/>
      <c r="FD180" s="1165"/>
      <c r="FE180" s="1165"/>
      <c r="FF180" s="1165"/>
    </row>
    <row r="181" spans="1:162">
      <c r="A181" s="1224"/>
      <c r="B181" s="1237"/>
      <c r="AG181" s="1236">
        <f t="shared" si="203"/>
        <v>0</v>
      </c>
      <c r="AH181" s="1236">
        <f t="shared" si="204"/>
        <v>0</v>
      </c>
      <c r="AI181" s="1236">
        <f t="shared" si="205"/>
        <v>0</v>
      </c>
      <c r="AJ181" s="1236">
        <f t="shared" si="206"/>
        <v>0</v>
      </c>
      <c r="AK181" s="1236">
        <f t="shared" si="207"/>
        <v>0</v>
      </c>
      <c r="AL181" s="1236">
        <f t="shared" si="208"/>
        <v>0</v>
      </c>
      <c r="AM181" s="1236">
        <f t="shared" si="209"/>
        <v>0</v>
      </c>
      <c r="AN181" s="1236">
        <f t="shared" si="210"/>
        <v>0</v>
      </c>
      <c r="AO181" s="1236">
        <f t="shared" si="211"/>
        <v>0</v>
      </c>
      <c r="AP181" s="1236">
        <f t="shared" si="212"/>
        <v>0</v>
      </c>
      <c r="AQ181" s="1236">
        <f t="shared" si="213"/>
        <v>0</v>
      </c>
      <c r="AR181" s="1236">
        <f t="shared" si="214"/>
        <v>0</v>
      </c>
      <c r="AS181" s="1236">
        <f t="shared" si="215"/>
        <v>0</v>
      </c>
      <c r="AT181" s="1236">
        <f t="shared" si="216"/>
        <v>0</v>
      </c>
      <c r="AU181" s="1236">
        <f t="shared" si="217"/>
        <v>0</v>
      </c>
      <c r="AV181" s="1236">
        <f t="shared" si="218"/>
        <v>0</v>
      </c>
      <c r="AW181" s="1236">
        <f t="shared" si="219"/>
        <v>0</v>
      </c>
      <c r="AX181" s="1236">
        <f t="shared" si="220"/>
        <v>0</v>
      </c>
      <c r="AY181" s="1236">
        <f t="shared" si="221"/>
        <v>0</v>
      </c>
      <c r="AZ181" s="1236">
        <f t="shared" si="222"/>
        <v>0</v>
      </c>
      <c r="BA181" s="1236">
        <f t="shared" si="223"/>
        <v>0</v>
      </c>
      <c r="BB181" s="1236">
        <f t="shared" si="224"/>
        <v>0</v>
      </c>
      <c r="BC181" s="1236">
        <f t="shared" si="225"/>
        <v>0</v>
      </c>
      <c r="BD181" s="1236">
        <f t="shared" si="226"/>
        <v>0</v>
      </c>
      <c r="BE181" s="1236">
        <f t="shared" si="227"/>
        <v>0</v>
      </c>
      <c r="BF181" s="1236">
        <f t="shared" si="228"/>
        <v>0</v>
      </c>
      <c r="BG181" s="1236">
        <f t="shared" si="229"/>
        <v>0</v>
      </c>
      <c r="BH181" s="1236">
        <f t="shared" si="230"/>
        <v>0</v>
      </c>
      <c r="BI181" s="1236">
        <f t="shared" si="231"/>
        <v>0</v>
      </c>
      <c r="BJ181" s="1236">
        <f t="shared" si="232"/>
        <v>0</v>
      </c>
      <c r="BK181" s="1236">
        <f t="shared" si="233"/>
        <v>0</v>
      </c>
      <c r="BL181" s="1236">
        <f t="shared" si="234"/>
        <v>0</v>
      </c>
      <c r="BM181" s="1236">
        <f t="shared" si="235"/>
        <v>0</v>
      </c>
      <c r="BN181" s="1236">
        <f t="shared" si="236"/>
        <v>0</v>
      </c>
      <c r="BO181" s="1236">
        <f t="shared" si="237"/>
        <v>0</v>
      </c>
      <c r="BP181" s="1236">
        <f t="shared" si="238"/>
        <v>0</v>
      </c>
      <c r="BQ181" s="1236">
        <f t="shared" si="239"/>
        <v>0</v>
      </c>
      <c r="BR181" s="1236">
        <f t="shared" si="240"/>
        <v>0</v>
      </c>
      <c r="BS181" s="1236">
        <f t="shared" si="241"/>
        <v>0</v>
      </c>
      <c r="BT181" s="1236">
        <f t="shared" si="242"/>
        <v>0</v>
      </c>
      <c r="BU181" s="1236">
        <f t="shared" si="243"/>
        <v>0</v>
      </c>
      <c r="BV181" s="1236">
        <f t="shared" si="244"/>
        <v>0</v>
      </c>
      <c r="BW181" s="1236">
        <f t="shared" si="245"/>
        <v>0</v>
      </c>
      <c r="BX181" s="1236">
        <f t="shared" si="246"/>
        <v>0</v>
      </c>
      <c r="BY181" s="1236">
        <f t="shared" si="247"/>
        <v>0</v>
      </c>
      <c r="BZ181" s="1236">
        <f t="shared" si="248"/>
        <v>0</v>
      </c>
      <c r="CA181" s="1236">
        <f t="shared" si="249"/>
        <v>0</v>
      </c>
      <c r="CB181" s="1236">
        <f t="shared" si="250"/>
        <v>0</v>
      </c>
      <c r="CC181" s="1236">
        <f t="shared" si="251"/>
        <v>0</v>
      </c>
      <c r="CD181" s="1236">
        <f t="shared" si="252"/>
        <v>0</v>
      </c>
      <c r="CE181" s="1236">
        <f t="shared" si="253"/>
        <v>0</v>
      </c>
      <c r="CF181" s="1236">
        <f t="shared" si="254"/>
        <v>0</v>
      </c>
      <c r="CG181" s="1236">
        <f t="shared" si="255"/>
        <v>0</v>
      </c>
      <c r="CH181" s="1236">
        <f t="shared" si="256"/>
        <v>0</v>
      </c>
      <c r="CI181" s="1236">
        <f t="shared" si="257"/>
        <v>0</v>
      </c>
      <c r="CJ181" s="1236">
        <f t="shared" si="258"/>
        <v>0</v>
      </c>
      <c r="CK181" s="1236">
        <f t="shared" si="259"/>
        <v>0</v>
      </c>
      <c r="CL181" s="1236">
        <f t="shared" si="260"/>
        <v>0</v>
      </c>
      <c r="CM181" s="1236">
        <f t="shared" si="261"/>
        <v>0</v>
      </c>
      <c r="CN181" s="1236">
        <f t="shared" si="262"/>
        <v>0</v>
      </c>
      <c r="CO181" s="1165"/>
      <c r="CP181" s="1165"/>
      <c r="CQ181" s="1165"/>
      <c r="CR181" s="1165"/>
      <c r="CS181" s="1165"/>
      <c r="CT181" s="1165"/>
      <c r="CU181" s="1165"/>
      <c r="CV181" s="1165"/>
      <c r="CW181" s="1165"/>
      <c r="CX181" s="1165"/>
      <c r="CY181" s="1165"/>
      <c r="CZ181" s="1165"/>
      <c r="DA181" s="1165"/>
      <c r="DB181" s="1165"/>
      <c r="DC181" s="1165"/>
      <c r="DD181" s="1165"/>
      <c r="DE181" s="1165"/>
      <c r="DF181" s="1165"/>
      <c r="DG181" s="1165"/>
      <c r="DH181" s="1165"/>
      <c r="DI181" s="1165"/>
      <c r="DJ181" s="1165"/>
      <c r="DK181" s="1165"/>
      <c r="DL181" s="1165"/>
      <c r="DM181" s="1165"/>
      <c r="DN181" s="1165"/>
      <c r="DO181" s="1165"/>
      <c r="DP181" s="1165"/>
      <c r="DQ181" s="1165"/>
      <c r="DR181" s="1165"/>
      <c r="DS181" s="1165"/>
      <c r="DT181" s="1165"/>
      <c r="DU181" s="1165"/>
      <c r="DV181" s="1165"/>
      <c r="DW181" s="1165"/>
      <c r="DX181" s="1165"/>
      <c r="DY181" s="1165"/>
      <c r="DZ181" s="1165"/>
      <c r="EA181" s="1165"/>
      <c r="EB181" s="1165"/>
      <c r="EC181" s="1165"/>
      <c r="ED181" s="1165"/>
      <c r="EE181" s="1165"/>
      <c r="EF181" s="1165"/>
      <c r="EG181" s="1165"/>
      <c r="EH181" s="1165"/>
      <c r="EI181" s="1165"/>
      <c r="EJ181" s="1165"/>
      <c r="EK181" s="1165"/>
      <c r="EL181" s="1165"/>
      <c r="EM181" s="1165"/>
      <c r="EN181" s="1165"/>
      <c r="EO181" s="1165"/>
      <c r="EP181" s="1165"/>
      <c r="EQ181" s="1165"/>
      <c r="ER181" s="1165"/>
      <c r="ES181" s="1165"/>
      <c r="ET181" s="1165"/>
      <c r="EU181" s="1165"/>
      <c r="EV181" s="1165"/>
      <c r="EW181" s="1165"/>
      <c r="EX181" s="1165"/>
      <c r="EY181" s="1165"/>
      <c r="EZ181" s="1165"/>
      <c r="FA181" s="1165"/>
      <c r="FB181" s="1165"/>
      <c r="FC181" s="1165"/>
      <c r="FD181" s="1165"/>
      <c r="FE181" s="1165"/>
      <c r="FF181" s="1165"/>
    </row>
    <row r="182" spans="1:162" s="1231" customFormat="1">
      <c r="A182" s="1224"/>
      <c r="B182" s="1230" t="s">
        <v>344</v>
      </c>
      <c r="M182" s="1231">
        <f ca="1">OFFSET($CT182,0,M$7)</f>
        <v>0</v>
      </c>
      <c r="N182" s="1231">
        <f ca="1">OFFSET($CT182,0,N$7)</f>
        <v>0</v>
      </c>
      <c r="O182" s="1231">
        <f ca="1">OFFSET($CT182,0,O$7)</f>
        <v>0</v>
      </c>
      <c r="P182" s="1231">
        <f ca="1">OFFSET($CT182,0,P$7)</f>
        <v>0</v>
      </c>
      <c r="Q182" s="1231">
        <f ca="1">OFFSET($CT182,0,Q$7)</f>
        <v>0</v>
      </c>
      <c r="R182" s="1231">
        <f>R184-R165</f>
        <v>294.80639999999994</v>
      </c>
      <c r="S182" s="1231">
        <f t="shared" ref="S182:Y182" si="272">S184-S165</f>
        <v>230.60699999999997</v>
      </c>
      <c r="T182" s="1231">
        <f t="shared" si="272"/>
        <v>688.62200000000007</v>
      </c>
      <c r="U182" s="1231">
        <f t="shared" si="272"/>
        <v>991.673</v>
      </c>
      <c r="V182" s="1231">
        <f t="shared" si="272"/>
        <v>1311.4160000000002</v>
      </c>
      <c r="W182" s="1231">
        <f t="shared" si="272"/>
        <v>1157.9010000000001</v>
      </c>
      <c r="X182" s="1231">
        <f t="shared" si="272"/>
        <v>2731.1510000000003</v>
      </c>
      <c r="Y182" s="1231">
        <f t="shared" si="272"/>
        <v>3290.337</v>
      </c>
      <c r="Z182" s="1231">
        <f>Z184-Z165</f>
        <v>2641.5119999999997</v>
      </c>
      <c r="AG182" s="1231">
        <f t="shared" si="203"/>
        <v>0</v>
      </c>
      <c r="AH182" s="1231">
        <f t="shared" si="204"/>
        <v>0</v>
      </c>
      <c r="AI182" s="1231">
        <f t="shared" si="205"/>
        <v>0</v>
      </c>
      <c r="AJ182" s="1231">
        <f t="shared" si="206"/>
        <v>0</v>
      </c>
      <c r="AK182" s="1231">
        <f t="shared" si="207"/>
        <v>0</v>
      </c>
      <c r="AL182" s="1231">
        <f t="shared" si="208"/>
        <v>0</v>
      </c>
      <c r="AM182" s="1231">
        <f t="shared" si="209"/>
        <v>0</v>
      </c>
      <c r="AN182" s="1231">
        <f t="shared" si="210"/>
        <v>0</v>
      </c>
      <c r="AO182" s="1231">
        <f t="shared" si="211"/>
        <v>0</v>
      </c>
      <c r="AP182" s="1231">
        <f t="shared" si="212"/>
        <v>0</v>
      </c>
      <c r="AQ182" s="1231">
        <f t="shared" si="213"/>
        <v>0</v>
      </c>
      <c r="AR182" s="1231">
        <f t="shared" si="214"/>
        <v>0</v>
      </c>
      <c r="AS182" s="1231">
        <f t="shared" si="215"/>
        <v>0</v>
      </c>
      <c r="AT182" s="1231">
        <f t="shared" si="216"/>
        <v>0</v>
      </c>
      <c r="AU182" s="1231">
        <f t="shared" si="217"/>
        <v>0</v>
      </c>
      <c r="AV182" s="1231">
        <f t="shared" si="218"/>
        <v>0</v>
      </c>
      <c r="AW182" s="1231">
        <f t="shared" si="219"/>
        <v>0</v>
      </c>
      <c r="AX182" s="1231">
        <f t="shared" si="220"/>
        <v>0</v>
      </c>
      <c r="AY182" s="1231">
        <f t="shared" si="221"/>
        <v>0</v>
      </c>
      <c r="AZ182" s="1231">
        <f t="shared" si="222"/>
        <v>0</v>
      </c>
      <c r="BA182" s="1231">
        <f t="shared" si="223"/>
        <v>0</v>
      </c>
      <c r="BB182" s="1231">
        <f t="shared" si="224"/>
        <v>0</v>
      </c>
      <c r="BC182" s="1231">
        <f t="shared" si="225"/>
        <v>0</v>
      </c>
      <c r="BD182" s="1231">
        <f t="shared" si="226"/>
        <v>0</v>
      </c>
      <c r="BE182" s="1231">
        <f t="shared" si="227"/>
        <v>0</v>
      </c>
      <c r="BF182" s="1231">
        <f t="shared" si="228"/>
        <v>0</v>
      </c>
      <c r="BG182" s="1231">
        <f t="shared" si="229"/>
        <v>0</v>
      </c>
      <c r="BH182" s="1231">
        <f t="shared" si="230"/>
        <v>0</v>
      </c>
      <c r="BI182" s="1231">
        <f t="shared" si="231"/>
        <v>0</v>
      </c>
      <c r="BJ182" s="1231">
        <f t="shared" si="232"/>
        <v>0</v>
      </c>
      <c r="BK182" s="1231">
        <f t="shared" si="233"/>
        <v>0</v>
      </c>
      <c r="BL182" s="1231">
        <f t="shared" si="234"/>
        <v>0</v>
      </c>
      <c r="BM182" s="1231">
        <f t="shared" si="235"/>
        <v>0</v>
      </c>
      <c r="BN182" s="1231">
        <f t="shared" si="236"/>
        <v>0</v>
      </c>
      <c r="BO182" s="1231">
        <f t="shared" si="237"/>
        <v>0</v>
      </c>
      <c r="BP182" s="1231">
        <f t="shared" si="238"/>
        <v>0</v>
      </c>
      <c r="BQ182" s="1231">
        <f t="shared" si="239"/>
        <v>0</v>
      </c>
      <c r="BR182" s="1231">
        <f t="shared" si="240"/>
        <v>0</v>
      </c>
      <c r="BS182" s="1231">
        <f t="shared" si="241"/>
        <v>0</v>
      </c>
      <c r="BT182" s="1231">
        <f t="shared" si="242"/>
        <v>0</v>
      </c>
      <c r="BU182" s="1231">
        <f t="shared" si="243"/>
        <v>0</v>
      </c>
      <c r="BV182" s="1231">
        <f t="shared" si="244"/>
        <v>0</v>
      </c>
      <c r="BW182" s="1231">
        <f t="shared" si="245"/>
        <v>0</v>
      </c>
      <c r="BX182" s="1231">
        <f t="shared" si="246"/>
        <v>0</v>
      </c>
      <c r="BY182" s="1231">
        <f t="shared" si="247"/>
        <v>0</v>
      </c>
      <c r="BZ182" s="1231">
        <f t="shared" si="248"/>
        <v>0</v>
      </c>
      <c r="CA182" s="1231">
        <f t="shared" si="249"/>
        <v>0</v>
      </c>
      <c r="CB182" s="1231">
        <f t="shared" si="250"/>
        <v>0</v>
      </c>
      <c r="CC182" s="1231">
        <f t="shared" si="251"/>
        <v>0</v>
      </c>
      <c r="CD182" s="1231">
        <f t="shared" si="252"/>
        <v>0</v>
      </c>
      <c r="CE182" s="1231">
        <f t="shared" si="253"/>
        <v>0</v>
      </c>
      <c r="CF182" s="1231">
        <f t="shared" si="254"/>
        <v>0</v>
      </c>
      <c r="CG182" s="1231">
        <f t="shared" si="255"/>
        <v>0</v>
      </c>
      <c r="CH182" s="1231">
        <f t="shared" si="256"/>
        <v>0</v>
      </c>
      <c r="CI182" s="1231">
        <f t="shared" si="257"/>
        <v>0</v>
      </c>
      <c r="CJ182" s="1231">
        <f t="shared" si="258"/>
        <v>0</v>
      </c>
      <c r="CK182" s="1231">
        <f t="shared" si="259"/>
        <v>0</v>
      </c>
      <c r="CL182" s="1231">
        <f t="shared" si="260"/>
        <v>0</v>
      </c>
      <c r="CM182" s="1231">
        <f t="shared" si="261"/>
        <v>0</v>
      </c>
      <c r="CN182" s="1231">
        <f t="shared" si="262"/>
        <v>0</v>
      </c>
      <c r="CQ182" s="1165"/>
      <c r="CR182" s="1165"/>
      <c r="CS182" s="1165"/>
      <c r="CT182" s="1165"/>
      <c r="CU182" s="1165"/>
      <c r="CV182" s="1165"/>
      <c r="CW182" s="1165"/>
      <c r="CX182" s="1165"/>
      <c r="CY182" s="1165"/>
      <c r="CZ182" s="1165"/>
      <c r="DA182" s="1165"/>
      <c r="DB182" s="1165"/>
      <c r="DC182" s="1165"/>
      <c r="DD182" s="1165"/>
      <c r="DE182" s="1165"/>
      <c r="DF182" s="1165"/>
      <c r="DG182" s="1165"/>
      <c r="DH182" s="1165"/>
      <c r="DI182" s="1165"/>
      <c r="DJ182" s="1165"/>
      <c r="DK182" s="1232"/>
      <c r="DL182" s="1232"/>
      <c r="DM182" s="1232"/>
      <c r="DN182" s="1232"/>
      <c r="DO182" s="1232"/>
      <c r="DP182" s="1232"/>
      <c r="DQ182" s="1232"/>
      <c r="DR182" s="1232"/>
      <c r="DS182" s="1232"/>
      <c r="DT182" s="1232"/>
      <c r="DU182" s="1232"/>
      <c r="DV182" s="1232"/>
      <c r="DW182" s="1232"/>
      <c r="DX182" s="1232"/>
      <c r="DY182" s="1232"/>
      <c r="DZ182" s="1232"/>
      <c r="EA182" s="1232"/>
      <c r="EB182" s="1232"/>
      <c r="EC182" s="1232"/>
      <c r="ED182" s="1232"/>
      <c r="EE182" s="1232"/>
      <c r="EF182" s="1232"/>
      <c r="EG182" s="1232"/>
      <c r="EH182" s="1232"/>
      <c r="EI182" s="1232"/>
      <c r="EJ182" s="1232"/>
      <c r="EK182" s="1232"/>
      <c r="EL182" s="1232"/>
      <c r="EM182" s="1232"/>
      <c r="EN182" s="1232"/>
      <c r="EO182" s="1232"/>
      <c r="EP182" s="1232"/>
      <c r="EQ182" s="1232"/>
      <c r="ER182" s="1232"/>
      <c r="ES182" s="1232"/>
      <c r="ET182" s="1232"/>
      <c r="EU182" s="1165"/>
      <c r="EV182" s="1165"/>
      <c r="EW182" s="1165"/>
      <c r="EX182" s="1165"/>
      <c r="EY182" s="1165"/>
      <c r="EZ182" s="1165"/>
      <c r="FA182" s="1165"/>
      <c r="FB182" s="1165"/>
      <c r="FC182" s="1165"/>
      <c r="FD182" s="1165"/>
      <c r="FE182" s="1165"/>
      <c r="FF182" s="1165"/>
    </row>
    <row r="183" spans="1:162">
      <c r="A183" s="1224"/>
      <c r="B183" s="1237"/>
      <c r="AG183" s="1236">
        <f t="shared" si="203"/>
        <v>0</v>
      </c>
      <c r="AH183" s="1236">
        <f t="shared" si="204"/>
        <v>0</v>
      </c>
      <c r="AI183" s="1236">
        <f t="shared" si="205"/>
        <v>0</v>
      </c>
      <c r="AJ183" s="1236">
        <f t="shared" si="206"/>
        <v>0</v>
      </c>
      <c r="AK183" s="1236">
        <f t="shared" si="207"/>
        <v>0</v>
      </c>
      <c r="AL183" s="1236">
        <f t="shared" si="208"/>
        <v>0</v>
      </c>
      <c r="AM183" s="1236">
        <f t="shared" si="209"/>
        <v>0</v>
      </c>
      <c r="AN183" s="1236">
        <f t="shared" si="210"/>
        <v>0</v>
      </c>
      <c r="AO183" s="1236">
        <f t="shared" si="211"/>
        <v>0</v>
      </c>
      <c r="AP183" s="1236">
        <f t="shared" si="212"/>
        <v>0</v>
      </c>
      <c r="AQ183" s="1236">
        <f t="shared" si="213"/>
        <v>0</v>
      </c>
      <c r="AR183" s="1236">
        <f t="shared" si="214"/>
        <v>0</v>
      </c>
      <c r="AS183" s="1236">
        <f t="shared" si="215"/>
        <v>0</v>
      </c>
      <c r="AT183" s="1236">
        <f t="shared" si="216"/>
        <v>0</v>
      </c>
      <c r="AU183" s="1236">
        <f t="shared" si="217"/>
        <v>0</v>
      </c>
      <c r="AV183" s="1236">
        <f t="shared" si="218"/>
        <v>0</v>
      </c>
      <c r="AW183" s="1236">
        <f t="shared" si="219"/>
        <v>0</v>
      </c>
      <c r="AX183" s="1236">
        <f t="shared" si="220"/>
        <v>0</v>
      </c>
      <c r="AY183" s="1236">
        <f t="shared" si="221"/>
        <v>0</v>
      </c>
      <c r="AZ183" s="1236">
        <f t="shared" si="222"/>
        <v>0</v>
      </c>
      <c r="BA183" s="1236">
        <f t="shared" si="223"/>
        <v>0</v>
      </c>
      <c r="BB183" s="1236">
        <f t="shared" si="224"/>
        <v>0</v>
      </c>
      <c r="BC183" s="1236">
        <f t="shared" si="225"/>
        <v>0</v>
      </c>
      <c r="BD183" s="1236">
        <f t="shared" si="226"/>
        <v>0</v>
      </c>
      <c r="BE183" s="1236">
        <f t="shared" si="227"/>
        <v>0</v>
      </c>
      <c r="BF183" s="1236">
        <f t="shared" si="228"/>
        <v>0</v>
      </c>
      <c r="BG183" s="1236">
        <f t="shared" si="229"/>
        <v>0</v>
      </c>
      <c r="BH183" s="1236">
        <f t="shared" si="230"/>
        <v>0</v>
      </c>
      <c r="BI183" s="1236">
        <f t="shared" si="231"/>
        <v>0</v>
      </c>
      <c r="BJ183" s="1236">
        <f t="shared" si="232"/>
        <v>0</v>
      </c>
      <c r="BK183" s="1236">
        <f t="shared" si="233"/>
        <v>0</v>
      </c>
      <c r="BL183" s="1236">
        <f t="shared" si="234"/>
        <v>0</v>
      </c>
      <c r="BM183" s="1236">
        <f t="shared" si="235"/>
        <v>0</v>
      </c>
      <c r="BN183" s="1236">
        <f t="shared" si="236"/>
        <v>0</v>
      </c>
      <c r="BO183" s="1236">
        <f t="shared" si="237"/>
        <v>0</v>
      </c>
      <c r="BP183" s="1236">
        <f t="shared" si="238"/>
        <v>0</v>
      </c>
      <c r="BQ183" s="1236">
        <f t="shared" si="239"/>
        <v>0</v>
      </c>
      <c r="BR183" s="1236">
        <f t="shared" si="240"/>
        <v>0</v>
      </c>
      <c r="BS183" s="1236">
        <f t="shared" si="241"/>
        <v>0</v>
      </c>
      <c r="BT183" s="1236">
        <f t="shared" si="242"/>
        <v>0</v>
      </c>
      <c r="BU183" s="1236">
        <f t="shared" si="243"/>
        <v>0</v>
      </c>
      <c r="BV183" s="1236">
        <f t="shared" si="244"/>
        <v>0</v>
      </c>
      <c r="BW183" s="1236">
        <f t="shared" si="245"/>
        <v>0</v>
      </c>
      <c r="BX183" s="1236">
        <f t="shared" si="246"/>
        <v>0</v>
      </c>
      <c r="BY183" s="1236">
        <f t="shared" si="247"/>
        <v>0</v>
      </c>
      <c r="BZ183" s="1236">
        <f t="shared" si="248"/>
        <v>0</v>
      </c>
      <c r="CA183" s="1236">
        <f t="shared" si="249"/>
        <v>0</v>
      </c>
      <c r="CB183" s="1236">
        <f t="shared" si="250"/>
        <v>0</v>
      </c>
      <c r="CC183" s="1236">
        <f t="shared" si="251"/>
        <v>0</v>
      </c>
      <c r="CD183" s="1236">
        <f t="shared" si="252"/>
        <v>0</v>
      </c>
      <c r="CE183" s="1236">
        <f t="shared" si="253"/>
        <v>0</v>
      </c>
      <c r="CF183" s="1236">
        <f t="shared" si="254"/>
        <v>0</v>
      </c>
      <c r="CG183" s="1236">
        <f t="shared" si="255"/>
        <v>0</v>
      </c>
      <c r="CH183" s="1236">
        <f t="shared" si="256"/>
        <v>0</v>
      </c>
      <c r="CI183" s="1236">
        <f t="shared" si="257"/>
        <v>0</v>
      </c>
      <c r="CJ183" s="1236">
        <f t="shared" si="258"/>
        <v>0</v>
      </c>
      <c r="CK183" s="1236">
        <f t="shared" si="259"/>
        <v>0</v>
      </c>
      <c r="CL183" s="1236">
        <f t="shared" si="260"/>
        <v>0</v>
      </c>
      <c r="CM183" s="1236">
        <f t="shared" si="261"/>
        <v>0</v>
      </c>
      <c r="CN183" s="1236">
        <f t="shared" si="262"/>
        <v>0</v>
      </c>
      <c r="CO183" s="1165"/>
      <c r="CP183" s="1165"/>
      <c r="CQ183" s="1165"/>
      <c r="CR183" s="1165"/>
      <c r="CS183" s="1165"/>
      <c r="CT183" s="1165"/>
      <c r="CU183" s="1165"/>
      <c r="CV183" s="1165"/>
      <c r="CW183" s="1165"/>
      <c r="CX183" s="1165"/>
      <c r="CY183" s="1165"/>
      <c r="CZ183" s="1165"/>
      <c r="DA183" s="1165"/>
      <c r="DB183" s="1165"/>
      <c r="DC183" s="1165"/>
      <c r="DD183" s="1165"/>
      <c r="DE183" s="1165"/>
      <c r="DF183" s="1165"/>
      <c r="DG183" s="1165"/>
      <c r="DH183" s="1165"/>
      <c r="DI183" s="1165"/>
      <c r="DJ183" s="1165"/>
      <c r="DK183" s="1165"/>
      <c r="DL183" s="1165"/>
      <c r="DM183" s="1165"/>
      <c r="DN183" s="1165"/>
      <c r="DO183" s="1165"/>
      <c r="DP183" s="1165"/>
      <c r="DQ183" s="1165"/>
      <c r="DR183" s="1165"/>
      <c r="DS183" s="1165"/>
      <c r="DT183" s="1165"/>
      <c r="DU183" s="1165"/>
      <c r="DV183" s="1165"/>
      <c r="DW183" s="1165"/>
      <c r="DX183" s="1165"/>
      <c r="DY183" s="1165"/>
      <c r="DZ183" s="1165"/>
      <c r="EA183" s="1165"/>
      <c r="EB183" s="1165"/>
      <c r="EC183" s="1165"/>
      <c r="ED183" s="1165"/>
      <c r="EE183" s="1165"/>
      <c r="EF183" s="1165"/>
      <c r="EG183" s="1165"/>
      <c r="EH183" s="1165"/>
      <c r="EI183" s="1165"/>
      <c r="EJ183" s="1165"/>
      <c r="EK183" s="1165"/>
      <c r="EL183" s="1165"/>
      <c r="EM183" s="1165"/>
      <c r="EN183" s="1165"/>
      <c r="EO183" s="1165"/>
      <c r="EP183" s="1165"/>
      <c r="EQ183" s="1165"/>
      <c r="ER183" s="1165"/>
      <c r="ES183" s="1165"/>
      <c r="ET183" s="1165"/>
      <c r="EU183" s="1165"/>
      <c r="EV183" s="1165"/>
      <c r="EW183" s="1165"/>
      <c r="EX183" s="1165"/>
      <c r="EY183" s="1165"/>
      <c r="EZ183" s="1165"/>
      <c r="FA183" s="1165"/>
      <c r="FB183" s="1165"/>
      <c r="FC183" s="1165"/>
      <c r="FD183" s="1165"/>
      <c r="FE183" s="1165"/>
      <c r="FF183" s="1165"/>
    </row>
    <row r="184" spans="1:162" s="1231" customFormat="1">
      <c r="A184" s="1206" t="s">
        <v>596</v>
      </c>
      <c r="B184" s="1230" t="s">
        <v>189</v>
      </c>
      <c r="M184" s="1231">
        <f ca="1">OFFSET($CT184,0,M$7)</f>
        <v>0</v>
      </c>
      <c r="N184" s="1231">
        <f ca="1">OFFSET($CT184,0,N$7)</f>
        <v>0</v>
      </c>
      <c r="O184" s="1231">
        <f ca="1">OFFSET($CT184,0,O$7)</f>
        <v>0</v>
      </c>
      <c r="P184" s="1231">
        <f ca="1">OFFSET($CT184,0,P$7)</f>
        <v>0</v>
      </c>
      <c r="Q184" s="1231">
        <f ca="1">OFFSET($CT184,0,Q$7)</f>
        <v>0</v>
      </c>
      <c r="R184" s="1232">
        <v>1694.1516999999999</v>
      </c>
      <c r="S184" s="1232">
        <v>1481.931</v>
      </c>
      <c r="T184" s="1232">
        <v>1796.7080000000001</v>
      </c>
      <c r="U184" s="1232">
        <v>1930.21</v>
      </c>
      <c r="V184" s="1232">
        <v>2461.6570000000002</v>
      </c>
      <c r="W184" s="1232">
        <v>2925.0920000000001</v>
      </c>
      <c r="X184" s="1232">
        <v>4712.0510000000004</v>
      </c>
      <c r="Y184" s="1232">
        <v>5197.116</v>
      </c>
      <c r="Z184" s="1231">
        <v>5500.74</v>
      </c>
      <c r="AG184" s="1231">
        <f t="shared" si="203"/>
        <v>0</v>
      </c>
      <c r="AH184" s="1231">
        <f t="shared" si="204"/>
        <v>0</v>
      </c>
      <c r="AI184" s="1231">
        <f t="shared" si="205"/>
        <v>0</v>
      </c>
      <c r="AJ184" s="1231">
        <f t="shared" si="206"/>
        <v>0</v>
      </c>
      <c r="AK184" s="1231">
        <f t="shared" si="207"/>
        <v>0</v>
      </c>
      <c r="AL184" s="1231">
        <f t="shared" si="208"/>
        <v>0</v>
      </c>
      <c r="AM184" s="1231">
        <f t="shared" si="209"/>
        <v>0</v>
      </c>
      <c r="AN184" s="1231">
        <f t="shared" si="210"/>
        <v>0</v>
      </c>
      <c r="AO184" s="1231">
        <f t="shared" si="211"/>
        <v>0</v>
      </c>
      <c r="AP184" s="1231">
        <f t="shared" si="212"/>
        <v>0</v>
      </c>
      <c r="AQ184" s="1231">
        <f t="shared" si="213"/>
        <v>0</v>
      </c>
      <c r="AR184" s="1231">
        <f t="shared" si="214"/>
        <v>0</v>
      </c>
      <c r="AS184" s="1231">
        <f t="shared" si="215"/>
        <v>0</v>
      </c>
      <c r="AT184" s="1231">
        <f t="shared" si="216"/>
        <v>0</v>
      </c>
      <c r="AU184" s="1231">
        <f t="shared" si="217"/>
        <v>0</v>
      </c>
      <c r="AV184" s="1231">
        <f t="shared" si="218"/>
        <v>0</v>
      </c>
      <c r="AW184" s="1231">
        <f t="shared" si="219"/>
        <v>0</v>
      </c>
      <c r="AX184" s="1231">
        <f t="shared" si="220"/>
        <v>0</v>
      </c>
      <c r="AY184" s="1231">
        <f t="shared" si="221"/>
        <v>0</v>
      </c>
      <c r="AZ184" s="1231">
        <f t="shared" si="222"/>
        <v>0</v>
      </c>
      <c r="BA184" s="1231">
        <f t="shared" si="223"/>
        <v>0</v>
      </c>
      <c r="BB184" s="1231">
        <f t="shared" si="224"/>
        <v>0</v>
      </c>
      <c r="BC184" s="1231">
        <f t="shared" si="225"/>
        <v>0</v>
      </c>
      <c r="BD184" s="1231">
        <f t="shared" si="226"/>
        <v>0</v>
      </c>
      <c r="BE184" s="1231">
        <f t="shared" si="227"/>
        <v>0</v>
      </c>
      <c r="BF184" s="1231">
        <f t="shared" si="228"/>
        <v>0</v>
      </c>
      <c r="BG184" s="1231">
        <f t="shared" si="229"/>
        <v>0</v>
      </c>
      <c r="BH184" s="1231">
        <f t="shared" si="230"/>
        <v>0</v>
      </c>
      <c r="BI184" s="1231">
        <f t="shared" si="231"/>
        <v>0</v>
      </c>
      <c r="BJ184" s="1231">
        <f t="shared" si="232"/>
        <v>0</v>
      </c>
      <c r="BK184" s="1231">
        <f t="shared" si="233"/>
        <v>0</v>
      </c>
      <c r="BL184" s="1231">
        <f t="shared" si="234"/>
        <v>0</v>
      </c>
      <c r="BM184" s="1231">
        <f t="shared" si="235"/>
        <v>0</v>
      </c>
      <c r="BN184" s="1231">
        <f t="shared" si="236"/>
        <v>0</v>
      </c>
      <c r="BO184" s="1231">
        <f t="shared" si="237"/>
        <v>0</v>
      </c>
      <c r="BP184" s="1231">
        <f t="shared" si="238"/>
        <v>0</v>
      </c>
      <c r="BQ184" s="1231">
        <f t="shared" si="239"/>
        <v>0</v>
      </c>
      <c r="BR184" s="1231">
        <f t="shared" si="240"/>
        <v>0</v>
      </c>
      <c r="BS184" s="1231">
        <f t="shared" si="241"/>
        <v>0</v>
      </c>
      <c r="BT184" s="1231">
        <f t="shared" si="242"/>
        <v>0</v>
      </c>
      <c r="BU184" s="1231">
        <f t="shared" si="243"/>
        <v>0</v>
      </c>
      <c r="BV184" s="1231">
        <f t="shared" si="244"/>
        <v>0</v>
      </c>
      <c r="BW184" s="1231">
        <f t="shared" si="245"/>
        <v>0</v>
      </c>
      <c r="BX184" s="1231">
        <f t="shared" si="246"/>
        <v>0</v>
      </c>
      <c r="BY184" s="1231">
        <f t="shared" si="247"/>
        <v>0</v>
      </c>
      <c r="BZ184" s="1231">
        <f t="shared" si="248"/>
        <v>0</v>
      </c>
      <c r="CA184" s="1231">
        <f t="shared" si="249"/>
        <v>0</v>
      </c>
      <c r="CB184" s="1231">
        <f t="shared" si="250"/>
        <v>0</v>
      </c>
      <c r="CC184" s="1231">
        <f t="shared" si="251"/>
        <v>0</v>
      </c>
      <c r="CD184" s="1231">
        <f t="shared" si="252"/>
        <v>0</v>
      </c>
      <c r="CE184" s="1231">
        <f t="shared" si="253"/>
        <v>0</v>
      </c>
      <c r="CF184" s="1231">
        <f t="shared" si="254"/>
        <v>0</v>
      </c>
      <c r="CG184" s="1231">
        <f t="shared" si="255"/>
        <v>0</v>
      </c>
      <c r="CH184" s="1231">
        <f t="shared" si="256"/>
        <v>0</v>
      </c>
      <c r="CI184" s="1231">
        <f t="shared" si="257"/>
        <v>0</v>
      </c>
      <c r="CJ184" s="1231">
        <f t="shared" si="258"/>
        <v>0</v>
      </c>
      <c r="CK184" s="1231">
        <f t="shared" si="259"/>
        <v>0</v>
      </c>
      <c r="CL184" s="1231">
        <f t="shared" si="260"/>
        <v>0</v>
      </c>
      <c r="CM184" s="1231">
        <f t="shared" si="261"/>
        <v>0</v>
      </c>
      <c r="CN184" s="1231">
        <f t="shared" si="262"/>
        <v>0</v>
      </c>
      <c r="CQ184" s="1165"/>
      <c r="CR184" s="1165"/>
      <c r="CS184" s="1165"/>
      <c r="CT184" s="1165"/>
      <c r="CU184" s="1165"/>
      <c r="CV184" s="1165"/>
      <c r="CW184" s="1165"/>
      <c r="CX184" s="1165"/>
      <c r="CY184" s="1165"/>
      <c r="CZ184" s="1165"/>
      <c r="DA184" s="1165"/>
      <c r="DB184" s="1165"/>
      <c r="DC184" s="1165"/>
      <c r="DD184" s="1165"/>
      <c r="DE184" s="1165"/>
      <c r="DF184" s="1165"/>
      <c r="DG184" s="1165"/>
      <c r="DH184" s="1165"/>
      <c r="DI184" s="1165"/>
      <c r="DJ184" s="1165"/>
      <c r="DK184" s="1232"/>
      <c r="DL184" s="1232"/>
      <c r="DM184" s="1232"/>
      <c r="DN184" s="1232"/>
      <c r="DO184" s="1232"/>
      <c r="DP184" s="1232"/>
      <c r="DQ184" s="1232"/>
      <c r="DR184" s="1232"/>
      <c r="DS184" s="1232"/>
      <c r="DT184" s="1232"/>
      <c r="DU184" s="1232"/>
      <c r="DV184" s="1232"/>
      <c r="DW184" s="1232"/>
      <c r="DX184" s="1232"/>
      <c r="DY184" s="1232"/>
      <c r="DZ184" s="1232"/>
      <c r="EA184" s="1232"/>
      <c r="EB184" s="1232"/>
      <c r="EC184" s="1232"/>
      <c r="ED184" s="1232"/>
      <c r="EE184" s="1232"/>
      <c r="EF184" s="1232"/>
      <c r="EG184" s="1232"/>
      <c r="EH184" s="1232"/>
      <c r="EI184" s="1232"/>
      <c r="EJ184" s="1232"/>
      <c r="EK184" s="1232"/>
      <c r="EL184" s="1232"/>
      <c r="EM184" s="1232"/>
      <c r="EN184" s="1232"/>
      <c r="EO184" s="1232"/>
      <c r="EP184" s="1232"/>
      <c r="EQ184" s="1232"/>
      <c r="ER184" s="1232"/>
      <c r="ES184" s="1232"/>
      <c r="ET184" s="1232"/>
      <c r="EU184" s="1165"/>
      <c r="EV184" s="1165"/>
      <c r="EW184" s="1165"/>
      <c r="EX184" s="1165"/>
      <c r="EY184" s="1165"/>
      <c r="EZ184" s="1165"/>
      <c r="FA184" s="1165"/>
      <c r="FB184" s="1165"/>
      <c r="FC184" s="1165"/>
      <c r="FD184" s="1165"/>
      <c r="FE184" s="1165"/>
      <c r="FF184" s="1165"/>
    </row>
    <row r="185" spans="1:162" s="1231" customFormat="1">
      <c r="A185" s="1224"/>
      <c r="B185" s="1234" t="s">
        <v>6</v>
      </c>
      <c r="M185" s="1231" t="e">
        <f ca="1">M184-Model!#REF!</f>
        <v>#REF!</v>
      </c>
      <c r="N185" s="1231" t="e">
        <f ca="1">N184-Model!#REF!</f>
        <v>#REF!</v>
      </c>
      <c r="O185" s="1231" t="e">
        <f ca="1">O184-Model!#REF!</f>
        <v>#REF!</v>
      </c>
      <c r="P185" s="1231" t="e">
        <f ca="1">P184-Model!#REF!</f>
        <v>#REF!</v>
      </c>
      <c r="Q185" s="1231" t="e">
        <f ca="1">Q184-Model!#REF!</f>
        <v>#REF!</v>
      </c>
      <c r="U185" s="1231">
        <f>U184-Model!D138</f>
        <v>0</v>
      </c>
      <c r="V185" s="1231">
        <f>V184-Model!E138</f>
        <v>0</v>
      </c>
      <c r="W185" s="1231">
        <f>W184-Model!F138</f>
        <v>0</v>
      </c>
      <c r="X185" s="1231">
        <f>X184-Model!G138</f>
        <v>0</v>
      </c>
      <c r="Y185" s="1231">
        <f>Y184-Model!H138</f>
        <v>0</v>
      </c>
      <c r="AG185" s="1231">
        <f t="shared" si="203"/>
        <v>0</v>
      </c>
      <c r="AH185" s="1231">
        <f t="shared" si="204"/>
        <v>0</v>
      </c>
      <c r="AI185" s="1231">
        <f t="shared" si="205"/>
        <v>0</v>
      </c>
      <c r="AJ185" s="1231">
        <f t="shared" si="206"/>
        <v>0</v>
      </c>
      <c r="AK185" s="1231">
        <f t="shared" si="207"/>
        <v>0</v>
      </c>
      <c r="AL185" s="1231">
        <f t="shared" si="208"/>
        <v>0</v>
      </c>
      <c r="AM185" s="1231">
        <f t="shared" si="209"/>
        <v>0</v>
      </c>
      <c r="AN185" s="1231">
        <f t="shared" si="210"/>
        <v>0</v>
      </c>
      <c r="AO185" s="1231">
        <f t="shared" si="211"/>
        <v>0</v>
      </c>
      <c r="AP185" s="1231">
        <f t="shared" si="212"/>
        <v>0</v>
      </c>
      <c r="AQ185" s="1231">
        <f t="shared" si="213"/>
        <v>0</v>
      </c>
      <c r="AR185" s="1231">
        <f t="shared" si="214"/>
        <v>0</v>
      </c>
      <c r="AS185" s="1231">
        <f t="shared" si="215"/>
        <v>0</v>
      </c>
      <c r="AT185" s="1231">
        <f t="shared" si="216"/>
        <v>0</v>
      </c>
      <c r="AU185" s="1231">
        <f t="shared" si="217"/>
        <v>0</v>
      </c>
      <c r="AV185" s="1231">
        <f t="shared" si="218"/>
        <v>0</v>
      </c>
      <c r="AW185" s="1231">
        <f t="shared" si="219"/>
        <v>0</v>
      </c>
      <c r="AX185" s="1231">
        <f t="shared" si="220"/>
        <v>0</v>
      </c>
      <c r="AY185" s="1231">
        <f t="shared" si="221"/>
        <v>0</v>
      </c>
      <c r="AZ185" s="1231">
        <f t="shared" si="222"/>
        <v>0</v>
      </c>
      <c r="BA185" s="1231">
        <f t="shared" si="223"/>
        <v>0</v>
      </c>
      <c r="BB185" s="1231">
        <f t="shared" si="224"/>
        <v>0</v>
      </c>
      <c r="BC185" s="1231">
        <f t="shared" si="225"/>
        <v>0</v>
      </c>
      <c r="BD185" s="1231">
        <f t="shared" si="226"/>
        <v>0</v>
      </c>
      <c r="BE185" s="1231">
        <f t="shared" si="227"/>
        <v>0</v>
      </c>
      <c r="BF185" s="1231">
        <f t="shared" si="228"/>
        <v>0</v>
      </c>
      <c r="BG185" s="1231">
        <f t="shared" si="229"/>
        <v>0</v>
      </c>
      <c r="BH185" s="1231">
        <f t="shared" si="230"/>
        <v>0</v>
      </c>
      <c r="BI185" s="1231">
        <f t="shared" si="231"/>
        <v>0</v>
      </c>
      <c r="BJ185" s="1231">
        <f t="shared" si="232"/>
        <v>0</v>
      </c>
      <c r="BK185" s="1231">
        <f t="shared" si="233"/>
        <v>0</v>
      </c>
      <c r="BL185" s="1231">
        <f t="shared" si="234"/>
        <v>0</v>
      </c>
      <c r="BM185" s="1231">
        <f t="shared" si="235"/>
        <v>0</v>
      </c>
      <c r="BN185" s="1231">
        <f t="shared" si="236"/>
        <v>0</v>
      </c>
      <c r="BO185" s="1231">
        <f t="shared" si="237"/>
        <v>0</v>
      </c>
      <c r="BP185" s="1231">
        <f t="shared" si="238"/>
        <v>0</v>
      </c>
      <c r="BQ185" s="1231">
        <f t="shared" si="239"/>
        <v>0</v>
      </c>
      <c r="BR185" s="1231">
        <f t="shared" si="240"/>
        <v>0</v>
      </c>
      <c r="BS185" s="1231">
        <f t="shared" si="241"/>
        <v>0</v>
      </c>
      <c r="BT185" s="1231">
        <f t="shared" si="242"/>
        <v>0</v>
      </c>
      <c r="BU185" s="1231">
        <f t="shared" si="243"/>
        <v>0</v>
      </c>
      <c r="BV185" s="1231">
        <f t="shared" si="244"/>
        <v>0</v>
      </c>
      <c r="BW185" s="1231">
        <f t="shared" si="245"/>
        <v>0</v>
      </c>
      <c r="BX185" s="1231">
        <f t="shared" si="246"/>
        <v>0</v>
      </c>
      <c r="BY185" s="1231">
        <f t="shared" si="247"/>
        <v>0</v>
      </c>
      <c r="BZ185" s="1231">
        <f t="shared" si="248"/>
        <v>0</v>
      </c>
      <c r="CA185" s="1231">
        <f t="shared" si="249"/>
        <v>0</v>
      </c>
      <c r="CB185" s="1231">
        <f t="shared" si="250"/>
        <v>0</v>
      </c>
      <c r="CC185" s="1231">
        <f t="shared" si="251"/>
        <v>0</v>
      </c>
      <c r="CD185" s="1231">
        <f t="shared" si="252"/>
        <v>0</v>
      </c>
      <c r="CE185" s="1231">
        <f t="shared" si="253"/>
        <v>0</v>
      </c>
      <c r="CF185" s="1231">
        <f t="shared" si="254"/>
        <v>0</v>
      </c>
      <c r="CG185" s="1231">
        <f t="shared" si="255"/>
        <v>0</v>
      </c>
      <c r="CH185" s="1231">
        <f t="shared" si="256"/>
        <v>0</v>
      </c>
      <c r="CI185" s="1231">
        <f t="shared" si="257"/>
        <v>0</v>
      </c>
      <c r="CJ185" s="1231">
        <f t="shared" si="258"/>
        <v>0</v>
      </c>
      <c r="CK185" s="1231">
        <f t="shared" si="259"/>
        <v>0</v>
      </c>
      <c r="CL185" s="1231">
        <f t="shared" si="260"/>
        <v>0</v>
      </c>
      <c r="CM185" s="1231">
        <f t="shared" si="261"/>
        <v>0</v>
      </c>
      <c r="CN185" s="1231">
        <f t="shared" si="262"/>
        <v>0</v>
      </c>
      <c r="CQ185" s="1165"/>
      <c r="CR185" s="1165"/>
      <c r="CS185" s="1165"/>
      <c r="CT185" s="1165"/>
      <c r="CU185" s="1165"/>
      <c r="CV185" s="1165"/>
      <c r="CW185" s="1165"/>
      <c r="CX185" s="1165"/>
      <c r="CY185" s="1165"/>
      <c r="CZ185" s="1165"/>
      <c r="DA185" s="1165"/>
      <c r="DB185" s="1165"/>
      <c r="DC185" s="1165"/>
      <c r="DD185" s="1165"/>
      <c r="DE185" s="1165"/>
      <c r="DF185" s="1165"/>
      <c r="DG185" s="1165"/>
      <c r="DH185" s="1165"/>
      <c r="DI185" s="1165"/>
      <c r="DJ185" s="1165"/>
      <c r="DK185" s="1232"/>
      <c r="DL185" s="1232"/>
      <c r="DM185" s="1232"/>
      <c r="DN185" s="1232"/>
      <c r="DO185" s="1232"/>
      <c r="DP185" s="1232"/>
      <c r="DQ185" s="1232"/>
      <c r="DR185" s="1232"/>
      <c r="DS185" s="1232"/>
      <c r="DT185" s="1232"/>
      <c r="DU185" s="1232"/>
      <c r="DV185" s="1232"/>
      <c r="DW185" s="1232"/>
      <c r="DX185" s="1232"/>
      <c r="DY185" s="1232"/>
      <c r="DZ185" s="1232"/>
      <c r="EA185" s="1232"/>
      <c r="EB185" s="1232"/>
      <c r="EC185" s="1232"/>
      <c r="ED185" s="1232"/>
      <c r="EE185" s="1232"/>
      <c r="EF185" s="1232"/>
      <c r="EG185" s="1232"/>
      <c r="EH185" s="1232"/>
      <c r="EI185" s="1232"/>
      <c r="EJ185" s="1232"/>
      <c r="EK185" s="1232"/>
      <c r="EL185" s="1232"/>
      <c r="EM185" s="1232"/>
      <c r="EN185" s="1232"/>
      <c r="EO185" s="1232"/>
      <c r="EP185" s="1232"/>
      <c r="EQ185" s="1232"/>
      <c r="ER185" s="1232"/>
      <c r="ES185" s="1232"/>
      <c r="ET185" s="1232"/>
      <c r="EU185" s="1165"/>
      <c r="EV185" s="1165"/>
      <c r="EW185" s="1165"/>
      <c r="EX185" s="1165"/>
      <c r="EY185" s="1165"/>
      <c r="EZ185" s="1165"/>
      <c r="FA185" s="1165"/>
      <c r="FB185" s="1165"/>
      <c r="FC185" s="1165"/>
      <c r="FD185" s="1165"/>
      <c r="FE185" s="1165"/>
      <c r="FF185" s="1165"/>
    </row>
    <row r="186" spans="1:162">
      <c r="A186" s="1224"/>
      <c r="CO186" s="1165"/>
      <c r="CP186" s="1165"/>
      <c r="CQ186" s="1165"/>
      <c r="CR186" s="1165"/>
      <c r="CS186" s="1165"/>
      <c r="CT186" s="1165"/>
      <c r="CU186" s="1165"/>
      <c r="CV186" s="1165"/>
      <c r="CW186" s="1165"/>
      <c r="CX186" s="1165"/>
      <c r="CY186" s="1165"/>
      <c r="CZ186" s="1165"/>
      <c r="DA186" s="1165"/>
      <c r="DB186" s="1165"/>
      <c r="DC186" s="1165"/>
      <c r="DD186" s="1165"/>
      <c r="DE186" s="1165"/>
      <c r="DF186" s="1165"/>
      <c r="DG186" s="1165"/>
      <c r="DH186" s="1165"/>
      <c r="DI186" s="1165"/>
      <c r="DJ186" s="1165"/>
      <c r="DK186" s="1165"/>
      <c r="DL186" s="1165"/>
      <c r="DM186" s="1165"/>
      <c r="DN186" s="1165"/>
      <c r="DO186" s="1165"/>
      <c r="DP186" s="1165"/>
      <c r="DQ186" s="1165"/>
      <c r="DR186" s="1165"/>
      <c r="DS186" s="1165"/>
      <c r="DT186" s="1165"/>
      <c r="DU186" s="1165"/>
      <c r="DV186" s="1165"/>
      <c r="DW186" s="1165"/>
      <c r="DX186" s="1165"/>
      <c r="DY186" s="1165"/>
      <c r="DZ186" s="1165"/>
      <c r="EA186" s="1165"/>
      <c r="EB186" s="1165"/>
      <c r="EC186" s="1165"/>
      <c r="ED186" s="1165"/>
      <c r="EE186" s="1165"/>
      <c r="EF186" s="1165"/>
      <c r="EG186" s="1165"/>
      <c r="EH186" s="1165"/>
      <c r="EI186" s="1165"/>
      <c r="EJ186" s="1165"/>
      <c r="EK186" s="1165"/>
      <c r="EL186" s="1165"/>
      <c r="EM186" s="1165"/>
      <c r="EN186" s="1165"/>
      <c r="EO186" s="1165"/>
      <c r="EP186" s="1165"/>
      <c r="EQ186" s="1165"/>
      <c r="ER186" s="1165"/>
      <c r="ES186" s="1165"/>
      <c r="ET186" s="1165"/>
      <c r="EU186" s="1165"/>
      <c r="EV186" s="1165"/>
      <c r="EW186" s="1165"/>
      <c r="EX186" s="1165"/>
      <c r="EY186" s="1165"/>
      <c r="EZ186" s="1165"/>
      <c r="FA186" s="1165"/>
      <c r="FB186" s="1165"/>
      <c r="FC186" s="1165"/>
      <c r="FD186" s="1165"/>
      <c r="FE186" s="1165"/>
      <c r="FF186" s="1165"/>
    </row>
    <row r="187" spans="1:162">
      <c r="A187" s="1224"/>
      <c r="B187" s="1250" t="s">
        <v>58</v>
      </c>
      <c r="AG187" s="1236">
        <f t="shared" si="203"/>
        <v>0</v>
      </c>
      <c r="AH187" s="1236">
        <f t="shared" si="204"/>
        <v>0</v>
      </c>
      <c r="AI187" s="1236">
        <f t="shared" si="205"/>
        <v>0</v>
      </c>
      <c r="AJ187" s="1236">
        <f t="shared" si="206"/>
        <v>0</v>
      </c>
      <c r="AK187" s="1236">
        <f t="shared" si="207"/>
        <v>0</v>
      </c>
      <c r="AL187" s="1236">
        <f t="shared" si="208"/>
        <v>0</v>
      </c>
      <c r="AM187" s="1236">
        <f t="shared" si="209"/>
        <v>0</v>
      </c>
      <c r="AN187" s="1236">
        <f t="shared" si="210"/>
        <v>0</v>
      </c>
      <c r="AO187" s="1236">
        <f t="shared" si="211"/>
        <v>0</v>
      </c>
      <c r="AP187" s="1236">
        <f t="shared" si="212"/>
        <v>0</v>
      </c>
      <c r="AQ187" s="1236">
        <f t="shared" si="213"/>
        <v>0</v>
      </c>
      <c r="AR187" s="1236">
        <f t="shared" si="214"/>
        <v>0</v>
      </c>
      <c r="AS187" s="1236">
        <f t="shared" si="215"/>
        <v>0</v>
      </c>
      <c r="AT187" s="1236">
        <f t="shared" si="216"/>
        <v>0</v>
      </c>
      <c r="AU187" s="1236">
        <f t="shared" si="217"/>
        <v>0</v>
      </c>
      <c r="AV187" s="1236">
        <f t="shared" si="218"/>
        <v>0</v>
      </c>
      <c r="AW187" s="1236">
        <f t="shared" si="219"/>
        <v>0</v>
      </c>
      <c r="AX187" s="1236">
        <f t="shared" si="220"/>
        <v>0</v>
      </c>
      <c r="AY187" s="1236">
        <f t="shared" si="221"/>
        <v>0</v>
      </c>
      <c r="AZ187" s="1236">
        <f t="shared" si="222"/>
        <v>0</v>
      </c>
      <c r="BA187" s="1236">
        <f t="shared" si="223"/>
        <v>0</v>
      </c>
      <c r="BB187" s="1236">
        <f t="shared" si="224"/>
        <v>0</v>
      </c>
      <c r="BC187" s="1236">
        <f t="shared" si="225"/>
        <v>0</v>
      </c>
      <c r="BD187" s="1236">
        <f t="shared" si="226"/>
        <v>0</v>
      </c>
      <c r="BE187" s="1236">
        <f t="shared" si="227"/>
        <v>0</v>
      </c>
      <c r="BF187" s="1236">
        <f t="shared" si="228"/>
        <v>0</v>
      </c>
      <c r="BG187" s="1236">
        <f t="shared" si="229"/>
        <v>0</v>
      </c>
      <c r="BH187" s="1236">
        <f t="shared" si="230"/>
        <v>0</v>
      </c>
      <c r="BI187" s="1236">
        <f t="shared" si="231"/>
        <v>0</v>
      </c>
      <c r="BJ187" s="1236">
        <f t="shared" si="232"/>
        <v>0</v>
      </c>
      <c r="BK187" s="1236">
        <f t="shared" si="233"/>
        <v>0</v>
      </c>
      <c r="BL187" s="1236">
        <f t="shared" si="234"/>
        <v>0</v>
      </c>
      <c r="BM187" s="1236">
        <f t="shared" si="235"/>
        <v>0</v>
      </c>
      <c r="BN187" s="1236">
        <f t="shared" si="236"/>
        <v>0</v>
      </c>
      <c r="BO187" s="1236">
        <f t="shared" si="237"/>
        <v>0</v>
      </c>
      <c r="BP187" s="1236">
        <f t="shared" si="238"/>
        <v>0</v>
      </c>
      <c r="BQ187" s="1236">
        <f t="shared" si="239"/>
        <v>0</v>
      </c>
      <c r="BR187" s="1236">
        <f t="shared" si="240"/>
        <v>0</v>
      </c>
      <c r="BS187" s="1236">
        <f t="shared" si="241"/>
        <v>0</v>
      </c>
      <c r="BT187" s="1236">
        <f t="shared" si="242"/>
        <v>0</v>
      </c>
      <c r="BU187" s="1236">
        <f t="shared" si="243"/>
        <v>0</v>
      </c>
      <c r="BV187" s="1236">
        <f t="shared" si="244"/>
        <v>0</v>
      </c>
      <c r="BW187" s="1236">
        <f t="shared" si="245"/>
        <v>0</v>
      </c>
      <c r="BX187" s="1236">
        <f t="shared" si="246"/>
        <v>0</v>
      </c>
      <c r="BY187" s="1236">
        <f t="shared" si="247"/>
        <v>0</v>
      </c>
      <c r="BZ187" s="1236">
        <f t="shared" si="248"/>
        <v>0</v>
      </c>
      <c r="CA187" s="1236">
        <f t="shared" si="249"/>
        <v>0</v>
      </c>
      <c r="CB187" s="1236">
        <f t="shared" si="250"/>
        <v>0</v>
      </c>
      <c r="CC187" s="1236">
        <f t="shared" si="251"/>
        <v>0</v>
      </c>
      <c r="CD187" s="1236">
        <f t="shared" si="252"/>
        <v>0</v>
      </c>
      <c r="CE187" s="1236">
        <f t="shared" si="253"/>
        <v>0</v>
      </c>
      <c r="CF187" s="1236">
        <f t="shared" si="254"/>
        <v>0</v>
      </c>
      <c r="CG187" s="1236">
        <f t="shared" si="255"/>
        <v>0</v>
      </c>
      <c r="CH187" s="1236">
        <f t="shared" si="256"/>
        <v>0</v>
      </c>
      <c r="CI187" s="1236">
        <f t="shared" si="257"/>
        <v>0</v>
      </c>
      <c r="CJ187" s="1236">
        <f t="shared" si="258"/>
        <v>0</v>
      </c>
      <c r="CK187" s="1236">
        <f t="shared" si="259"/>
        <v>0</v>
      </c>
      <c r="CL187" s="1236">
        <f t="shared" si="260"/>
        <v>0</v>
      </c>
      <c r="CM187" s="1236">
        <f t="shared" si="261"/>
        <v>0</v>
      </c>
      <c r="CN187" s="1236">
        <f t="shared" si="262"/>
        <v>0</v>
      </c>
      <c r="CO187" s="1165"/>
      <c r="CP187" s="1165"/>
      <c r="CQ187" s="1165"/>
      <c r="CR187" s="1165"/>
      <c r="CS187" s="1165"/>
      <c r="CT187" s="1165"/>
      <c r="CU187" s="1165"/>
      <c r="CV187" s="1165"/>
      <c r="CW187" s="1165"/>
      <c r="CX187" s="1165"/>
      <c r="CY187" s="1165"/>
      <c r="CZ187" s="1165"/>
      <c r="DA187" s="1165"/>
      <c r="DB187" s="1165"/>
      <c r="DC187" s="1165"/>
      <c r="DD187" s="1165"/>
      <c r="DE187" s="1165"/>
      <c r="DF187" s="1165"/>
      <c r="DG187" s="1165"/>
      <c r="DH187" s="1165"/>
      <c r="DI187" s="1165"/>
      <c r="DJ187" s="1165"/>
      <c r="DK187" s="1165"/>
      <c r="DL187" s="1165"/>
      <c r="DM187" s="1165"/>
      <c r="DN187" s="1165"/>
      <c r="DO187" s="1165"/>
      <c r="DP187" s="1165"/>
      <c r="DQ187" s="1165"/>
      <c r="DR187" s="1165"/>
      <c r="DS187" s="1165"/>
      <c r="DT187" s="1165"/>
      <c r="DU187" s="1165"/>
      <c r="DV187" s="1165"/>
      <c r="DW187" s="1165"/>
      <c r="DX187" s="1165"/>
      <c r="DY187" s="1165"/>
      <c r="DZ187" s="1165"/>
      <c r="EA187" s="1165"/>
      <c r="EB187" s="1165"/>
      <c r="EC187" s="1165"/>
      <c r="ED187" s="1165"/>
      <c r="EE187" s="1165"/>
      <c r="EF187" s="1165"/>
      <c r="EG187" s="1165"/>
      <c r="EH187" s="1165"/>
      <c r="EI187" s="1165"/>
      <c r="EJ187" s="1165"/>
      <c r="EK187" s="1165"/>
      <c r="EL187" s="1165"/>
      <c r="EM187" s="1165"/>
      <c r="EN187" s="1165"/>
      <c r="EO187" s="1165"/>
      <c r="EP187" s="1165"/>
      <c r="EQ187" s="1165"/>
      <c r="ER187" s="1165"/>
      <c r="ES187" s="1165"/>
      <c r="ET187" s="1165"/>
      <c r="EU187" s="1165"/>
      <c r="EV187" s="1165"/>
      <c r="EW187" s="1165"/>
      <c r="EX187" s="1165"/>
      <c r="EY187" s="1165"/>
      <c r="EZ187" s="1165"/>
      <c r="FA187" s="1165"/>
      <c r="FB187" s="1165"/>
      <c r="FC187" s="1165"/>
      <c r="FD187" s="1165"/>
      <c r="FE187" s="1165"/>
      <c r="FF187" s="1165"/>
    </row>
    <row r="188" spans="1:162">
      <c r="A188" s="1224"/>
      <c r="B188" s="1230"/>
      <c r="AG188" s="1236">
        <f t="shared" si="203"/>
        <v>0</v>
      </c>
      <c r="AH188" s="1236">
        <f t="shared" si="204"/>
        <v>0</v>
      </c>
      <c r="AI188" s="1236">
        <f t="shared" si="205"/>
        <v>0</v>
      </c>
      <c r="AJ188" s="1236">
        <f t="shared" si="206"/>
        <v>0</v>
      </c>
      <c r="AK188" s="1236">
        <f t="shared" si="207"/>
        <v>0</v>
      </c>
      <c r="AL188" s="1236">
        <f t="shared" si="208"/>
        <v>0</v>
      </c>
      <c r="AM188" s="1236">
        <f t="shared" si="209"/>
        <v>0</v>
      </c>
      <c r="AN188" s="1236">
        <f t="shared" si="210"/>
        <v>0</v>
      </c>
      <c r="AO188" s="1236">
        <f t="shared" si="211"/>
        <v>0</v>
      </c>
      <c r="AP188" s="1236">
        <f t="shared" si="212"/>
        <v>0</v>
      </c>
      <c r="AQ188" s="1236">
        <f t="shared" si="213"/>
        <v>0</v>
      </c>
      <c r="AR188" s="1236">
        <f t="shared" si="214"/>
        <v>0</v>
      </c>
      <c r="AS188" s="1236">
        <f t="shared" si="215"/>
        <v>0</v>
      </c>
      <c r="AT188" s="1236">
        <f t="shared" si="216"/>
        <v>0</v>
      </c>
      <c r="AU188" s="1236">
        <f t="shared" si="217"/>
        <v>0</v>
      </c>
      <c r="AV188" s="1236">
        <f t="shared" si="218"/>
        <v>0</v>
      </c>
      <c r="AW188" s="1236">
        <f t="shared" si="219"/>
        <v>0</v>
      </c>
      <c r="AX188" s="1236">
        <f t="shared" si="220"/>
        <v>0</v>
      </c>
      <c r="AY188" s="1236">
        <f t="shared" si="221"/>
        <v>0</v>
      </c>
      <c r="AZ188" s="1236">
        <f t="shared" si="222"/>
        <v>0</v>
      </c>
      <c r="BA188" s="1236">
        <f t="shared" si="223"/>
        <v>0</v>
      </c>
      <c r="BB188" s="1236">
        <f t="shared" si="224"/>
        <v>0</v>
      </c>
      <c r="BC188" s="1236">
        <f t="shared" si="225"/>
        <v>0</v>
      </c>
      <c r="BD188" s="1236">
        <f t="shared" si="226"/>
        <v>0</v>
      </c>
      <c r="BE188" s="1236">
        <f t="shared" si="227"/>
        <v>0</v>
      </c>
      <c r="BF188" s="1236">
        <f t="shared" si="228"/>
        <v>0</v>
      </c>
      <c r="BG188" s="1236">
        <f t="shared" si="229"/>
        <v>0</v>
      </c>
      <c r="BH188" s="1236">
        <f t="shared" si="230"/>
        <v>0</v>
      </c>
      <c r="BI188" s="1236">
        <f t="shared" si="231"/>
        <v>0</v>
      </c>
      <c r="BJ188" s="1236">
        <f t="shared" si="232"/>
        <v>0</v>
      </c>
      <c r="BK188" s="1236">
        <f t="shared" si="233"/>
        <v>0</v>
      </c>
      <c r="BL188" s="1236">
        <f t="shared" si="234"/>
        <v>0</v>
      </c>
      <c r="BM188" s="1236">
        <f t="shared" si="235"/>
        <v>0</v>
      </c>
      <c r="BN188" s="1236">
        <f t="shared" si="236"/>
        <v>0</v>
      </c>
      <c r="BO188" s="1236">
        <f t="shared" si="237"/>
        <v>0</v>
      </c>
      <c r="BP188" s="1236">
        <f t="shared" si="238"/>
        <v>0</v>
      </c>
      <c r="BQ188" s="1236">
        <f t="shared" si="239"/>
        <v>0</v>
      </c>
      <c r="BR188" s="1236">
        <f t="shared" si="240"/>
        <v>0</v>
      </c>
      <c r="BS188" s="1236">
        <f t="shared" si="241"/>
        <v>0</v>
      </c>
      <c r="BT188" s="1236">
        <f t="shared" si="242"/>
        <v>0</v>
      </c>
      <c r="BU188" s="1236">
        <f t="shared" si="243"/>
        <v>0</v>
      </c>
      <c r="BV188" s="1236">
        <f t="shared" si="244"/>
        <v>0</v>
      </c>
      <c r="BW188" s="1236">
        <f t="shared" si="245"/>
        <v>0</v>
      </c>
      <c r="BX188" s="1236">
        <f t="shared" si="246"/>
        <v>0</v>
      </c>
      <c r="BY188" s="1236">
        <f t="shared" si="247"/>
        <v>0</v>
      </c>
      <c r="BZ188" s="1236">
        <f t="shared" si="248"/>
        <v>0</v>
      </c>
      <c r="CA188" s="1236">
        <f t="shared" si="249"/>
        <v>0</v>
      </c>
      <c r="CB188" s="1236">
        <f t="shared" si="250"/>
        <v>0</v>
      </c>
      <c r="CC188" s="1236">
        <f t="shared" si="251"/>
        <v>0</v>
      </c>
      <c r="CD188" s="1236">
        <f t="shared" si="252"/>
        <v>0</v>
      </c>
      <c r="CE188" s="1236">
        <f t="shared" si="253"/>
        <v>0</v>
      </c>
      <c r="CF188" s="1236">
        <f t="shared" si="254"/>
        <v>0</v>
      </c>
      <c r="CG188" s="1236">
        <f t="shared" si="255"/>
        <v>0</v>
      </c>
      <c r="CH188" s="1236">
        <f t="shared" si="256"/>
        <v>0</v>
      </c>
      <c r="CI188" s="1236">
        <f t="shared" si="257"/>
        <v>0</v>
      </c>
      <c r="CJ188" s="1236">
        <f t="shared" si="258"/>
        <v>0</v>
      </c>
      <c r="CK188" s="1236">
        <f t="shared" si="259"/>
        <v>0</v>
      </c>
      <c r="CL188" s="1236">
        <f t="shared" si="260"/>
        <v>0</v>
      </c>
      <c r="CM188" s="1236">
        <f t="shared" si="261"/>
        <v>0</v>
      </c>
      <c r="CN188" s="1236">
        <f t="shared" si="262"/>
        <v>0</v>
      </c>
      <c r="CO188" s="1165"/>
      <c r="CP188" s="1165"/>
      <c r="CQ188" s="1165"/>
      <c r="CR188" s="1165"/>
      <c r="CS188" s="1165"/>
      <c r="CT188" s="1165"/>
      <c r="CU188" s="1165"/>
      <c r="CV188" s="1165"/>
      <c r="CW188" s="1165"/>
      <c r="CX188" s="1165"/>
      <c r="CY188" s="1165"/>
      <c r="CZ188" s="1165"/>
      <c r="DA188" s="1165"/>
      <c r="DB188" s="1165"/>
      <c r="DC188" s="1165"/>
      <c r="DD188" s="1165"/>
      <c r="DE188" s="1165"/>
      <c r="DF188" s="1165"/>
      <c r="DG188" s="1165"/>
      <c r="DH188" s="1165"/>
      <c r="DI188" s="1165"/>
      <c r="DJ188" s="1165"/>
      <c r="DK188" s="1165"/>
      <c r="DL188" s="1165"/>
      <c r="DM188" s="1165"/>
      <c r="DN188" s="1165"/>
      <c r="DO188" s="1165"/>
      <c r="DP188" s="1165"/>
      <c r="DQ188" s="1165"/>
      <c r="DR188" s="1165"/>
      <c r="DS188" s="1165"/>
      <c r="DT188" s="1165"/>
      <c r="DU188" s="1165"/>
      <c r="DV188" s="1165"/>
      <c r="DW188" s="1165"/>
      <c r="DX188" s="1165"/>
      <c r="DY188" s="1165"/>
      <c r="DZ188" s="1165"/>
      <c r="EA188" s="1165"/>
      <c r="EB188" s="1165"/>
      <c r="EC188" s="1165"/>
      <c r="ED188" s="1165"/>
      <c r="EE188" s="1165"/>
      <c r="EF188" s="1165"/>
      <c r="EG188" s="1165"/>
      <c r="EH188" s="1165"/>
      <c r="EI188" s="1165"/>
      <c r="EJ188" s="1165"/>
      <c r="EK188" s="1165"/>
      <c r="EL188" s="1165"/>
      <c r="EM188" s="1165"/>
      <c r="EN188" s="1165"/>
      <c r="EO188" s="1165"/>
      <c r="EP188" s="1165"/>
      <c r="EQ188" s="1165"/>
      <c r="ER188" s="1165"/>
      <c r="ES188" s="1165"/>
      <c r="ET188" s="1165"/>
      <c r="EU188" s="1165"/>
      <c r="EV188" s="1165"/>
      <c r="EW188" s="1165"/>
      <c r="EX188" s="1165"/>
      <c r="EY188" s="1165"/>
      <c r="EZ188" s="1165"/>
      <c r="FA188" s="1165"/>
      <c r="FB188" s="1165"/>
      <c r="FC188" s="1165"/>
      <c r="FD188" s="1165"/>
      <c r="FE188" s="1165"/>
      <c r="FF188" s="1165"/>
    </row>
    <row r="189" spans="1:162">
      <c r="A189" s="1224"/>
      <c r="B189" s="1237" t="s">
        <v>94</v>
      </c>
      <c r="M189" s="1236">
        <f t="shared" ref="M189:Q198" ca="1" si="273">OFFSET($CT189,0,M$7)</f>
        <v>0</v>
      </c>
      <c r="N189" s="1236">
        <f t="shared" ca="1" si="273"/>
        <v>0</v>
      </c>
      <c r="O189" s="1236">
        <f t="shared" ca="1" si="273"/>
        <v>0</v>
      </c>
      <c r="P189" s="1236">
        <f t="shared" ca="1" si="273"/>
        <v>0</v>
      </c>
      <c r="Q189" s="1236">
        <f t="shared" ca="1" si="273"/>
        <v>0</v>
      </c>
      <c r="R189" s="1236">
        <f>R191</f>
        <v>-1698.9466</v>
      </c>
      <c r="S189" s="1236">
        <f t="shared" ref="S189:Y189" si="274">S191</f>
        <v>-1889.807</v>
      </c>
      <c r="T189" s="1236">
        <f t="shared" si="274"/>
        <v>-1867.0360000000001</v>
      </c>
      <c r="U189" s="1236">
        <f t="shared" si="274"/>
        <v>-1693.8589999999999</v>
      </c>
      <c r="V189" s="1236">
        <f t="shared" si="274"/>
        <v>-1540.89</v>
      </c>
      <c r="W189" s="1236">
        <f t="shared" si="274"/>
        <v>-1287.479</v>
      </c>
      <c r="X189" s="1236">
        <f t="shared" si="274"/>
        <v>-910.84900000000005</v>
      </c>
      <c r="Y189" s="1236">
        <f t="shared" si="274"/>
        <v>187.00800000000001</v>
      </c>
      <c r="AG189" s="1236">
        <f t="shared" si="203"/>
        <v>0</v>
      </c>
      <c r="AH189" s="1236">
        <f t="shared" si="204"/>
        <v>0</v>
      </c>
      <c r="AI189" s="1236">
        <f t="shared" si="205"/>
        <v>0</v>
      </c>
      <c r="AJ189" s="1236">
        <f t="shared" si="206"/>
        <v>0</v>
      </c>
      <c r="AK189" s="1236">
        <f t="shared" si="207"/>
        <v>0</v>
      </c>
      <c r="AL189" s="1236">
        <f t="shared" si="208"/>
        <v>0</v>
      </c>
      <c r="AM189" s="1236">
        <f t="shared" si="209"/>
        <v>0</v>
      </c>
      <c r="AN189" s="1236">
        <f t="shared" si="210"/>
        <v>0</v>
      </c>
      <c r="AO189" s="1236">
        <f t="shared" si="211"/>
        <v>0</v>
      </c>
      <c r="AP189" s="1236">
        <f t="shared" si="212"/>
        <v>0</v>
      </c>
      <c r="AQ189" s="1236">
        <f t="shared" si="213"/>
        <v>0</v>
      </c>
      <c r="AR189" s="1236">
        <f t="shared" si="214"/>
        <v>0</v>
      </c>
      <c r="AS189" s="1236">
        <f t="shared" si="215"/>
        <v>0</v>
      </c>
      <c r="AT189" s="1236">
        <f t="shared" si="216"/>
        <v>0</v>
      </c>
      <c r="AU189" s="1236">
        <f t="shared" si="217"/>
        <v>0</v>
      </c>
      <c r="AV189" s="1236">
        <f t="shared" si="218"/>
        <v>0</v>
      </c>
      <c r="AW189" s="1236">
        <f t="shared" si="219"/>
        <v>0</v>
      </c>
      <c r="AX189" s="1236">
        <f t="shared" si="220"/>
        <v>0</v>
      </c>
      <c r="AY189" s="1236">
        <f t="shared" si="221"/>
        <v>0</v>
      </c>
      <c r="AZ189" s="1236">
        <f t="shared" si="222"/>
        <v>0</v>
      </c>
      <c r="BA189" s="1236">
        <f t="shared" si="223"/>
        <v>0</v>
      </c>
      <c r="BB189" s="1236">
        <f t="shared" si="224"/>
        <v>0</v>
      </c>
      <c r="BC189" s="1236">
        <f t="shared" si="225"/>
        <v>0</v>
      </c>
      <c r="BD189" s="1236">
        <f t="shared" si="226"/>
        <v>0</v>
      </c>
      <c r="BE189" s="1236">
        <f t="shared" si="227"/>
        <v>0</v>
      </c>
      <c r="BF189" s="1236">
        <f t="shared" si="228"/>
        <v>0</v>
      </c>
      <c r="BG189" s="1236">
        <f t="shared" si="229"/>
        <v>0</v>
      </c>
      <c r="BH189" s="1236">
        <f t="shared" si="230"/>
        <v>0</v>
      </c>
      <c r="BI189" s="1236">
        <f t="shared" si="231"/>
        <v>0</v>
      </c>
      <c r="BJ189" s="1236">
        <f t="shared" si="232"/>
        <v>0</v>
      </c>
      <c r="BK189" s="1236">
        <f t="shared" si="233"/>
        <v>0</v>
      </c>
      <c r="BL189" s="1236">
        <f t="shared" si="234"/>
        <v>0</v>
      </c>
      <c r="BM189" s="1236">
        <f t="shared" si="235"/>
        <v>0</v>
      </c>
      <c r="BN189" s="1236">
        <f t="shared" si="236"/>
        <v>0</v>
      </c>
      <c r="BO189" s="1236">
        <f t="shared" si="237"/>
        <v>0</v>
      </c>
      <c r="BP189" s="1236">
        <f t="shared" si="238"/>
        <v>0</v>
      </c>
      <c r="BQ189" s="1236">
        <f t="shared" si="239"/>
        <v>0</v>
      </c>
      <c r="BR189" s="1236">
        <f t="shared" si="240"/>
        <v>0</v>
      </c>
      <c r="BS189" s="1236">
        <f t="shared" si="241"/>
        <v>0</v>
      </c>
      <c r="BT189" s="1236">
        <f t="shared" si="242"/>
        <v>0</v>
      </c>
      <c r="BU189" s="1236">
        <f t="shared" si="243"/>
        <v>0</v>
      </c>
      <c r="BV189" s="1236">
        <f t="shared" si="244"/>
        <v>0</v>
      </c>
      <c r="BW189" s="1236">
        <f t="shared" si="245"/>
        <v>0</v>
      </c>
      <c r="BX189" s="1236">
        <f t="shared" si="246"/>
        <v>0</v>
      </c>
      <c r="BY189" s="1236">
        <f t="shared" si="247"/>
        <v>0</v>
      </c>
      <c r="BZ189" s="1236">
        <f t="shared" si="248"/>
        <v>0</v>
      </c>
      <c r="CA189" s="1236">
        <f t="shared" si="249"/>
        <v>0</v>
      </c>
      <c r="CB189" s="1236">
        <f t="shared" si="250"/>
        <v>0</v>
      </c>
      <c r="CC189" s="1236">
        <f t="shared" si="251"/>
        <v>0</v>
      </c>
      <c r="CD189" s="1236">
        <f t="shared" si="252"/>
        <v>0</v>
      </c>
      <c r="CE189" s="1236">
        <f t="shared" si="253"/>
        <v>0</v>
      </c>
      <c r="CF189" s="1236">
        <f t="shared" si="254"/>
        <v>0</v>
      </c>
      <c r="CG189" s="1236">
        <f t="shared" si="255"/>
        <v>0</v>
      </c>
      <c r="CH189" s="1236">
        <f t="shared" si="256"/>
        <v>0</v>
      </c>
      <c r="CI189" s="1236">
        <f t="shared" si="257"/>
        <v>0</v>
      </c>
      <c r="CJ189" s="1236">
        <f t="shared" si="258"/>
        <v>0</v>
      </c>
      <c r="CK189" s="1236">
        <f t="shared" si="259"/>
        <v>0</v>
      </c>
      <c r="CL189" s="1236">
        <f t="shared" si="260"/>
        <v>0</v>
      </c>
      <c r="CM189" s="1236">
        <f t="shared" si="261"/>
        <v>0</v>
      </c>
      <c r="CN189" s="1236">
        <f t="shared" si="262"/>
        <v>0</v>
      </c>
      <c r="CO189" s="1165"/>
      <c r="CP189" s="1165"/>
      <c r="CQ189" s="1165"/>
      <c r="CR189" s="1165"/>
      <c r="CS189" s="1165"/>
      <c r="CT189" s="1165"/>
      <c r="CU189" s="1165"/>
      <c r="CV189" s="1165"/>
      <c r="CW189" s="1165"/>
      <c r="CX189" s="1165"/>
      <c r="CY189" s="1165"/>
      <c r="CZ189" s="1165"/>
      <c r="DA189" s="1165"/>
      <c r="DB189" s="1165"/>
      <c r="DC189" s="1165"/>
      <c r="DD189" s="1165"/>
      <c r="DE189" s="1165"/>
      <c r="DF189" s="1165"/>
      <c r="DG189" s="1165"/>
      <c r="DH189" s="1165"/>
      <c r="DI189" s="1165"/>
      <c r="DJ189" s="1165"/>
      <c r="DK189" s="1238"/>
      <c r="DL189" s="1238"/>
      <c r="DM189" s="1238"/>
      <c r="DN189" s="1238"/>
      <c r="DO189" s="1238"/>
      <c r="DP189" s="1238"/>
      <c r="DQ189" s="1238"/>
      <c r="DR189" s="1238"/>
      <c r="DS189" s="1238"/>
      <c r="DT189" s="1238"/>
      <c r="DU189" s="1238"/>
      <c r="DV189" s="1238"/>
      <c r="DW189" s="1238"/>
      <c r="DX189" s="1238"/>
      <c r="DY189" s="1238"/>
      <c r="DZ189" s="1238"/>
      <c r="EA189" s="1238"/>
      <c r="EB189" s="1238"/>
      <c r="EC189" s="1238"/>
      <c r="ED189" s="1238"/>
      <c r="EE189" s="1238"/>
      <c r="EF189" s="1238"/>
      <c r="EG189" s="1238"/>
      <c r="EH189" s="1238"/>
      <c r="EI189" s="1238"/>
      <c r="EJ189" s="1238"/>
      <c r="EK189" s="1238"/>
      <c r="EL189" s="1238"/>
      <c r="EM189" s="1238"/>
      <c r="EN189" s="1238"/>
      <c r="EO189" s="1238"/>
      <c r="EP189" s="1238"/>
      <c r="EQ189" s="1238"/>
      <c r="ER189" s="1238"/>
      <c r="ES189" s="1238"/>
      <c r="ET189" s="1238"/>
      <c r="EU189" s="1165"/>
      <c r="EV189" s="1165"/>
      <c r="EW189" s="1165"/>
      <c r="EX189" s="1165"/>
      <c r="EY189" s="1165"/>
      <c r="EZ189" s="1165"/>
      <c r="FA189" s="1165"/>
      <c r="FB189" s="1165"/>
      <c r="FC189" s="1165"/>
      <c r="FD189" s="1165"/>
      <c r="FE189" s="1165"/>
      <c r="FF189" s="1165"/>
    </row>
    <row r="190" spans="1:162">
      <c r="A190" s="1224"/>
      <c r="B190" s="1237" t="s">
        <v>396</v>
      </c>
      <c r="M190" s="1236">
        <f t="shared" ca="1" si="273"/>
        <v>0</v>
      </c>
      <c r="N190" s="1236">
        <f t="shared" ca="1" si="273"/>
        <v>0</v>
      </c>
      <c r="O190" s="1236">
        <f t="shared" ca="1" si="273"/>
        <v>0</v>
      </c>
      <c r="P190" s="1236">
        <f t="shared" ca="1" si="273"/>
        <v>0</v>
      </c>
      <c r="Q190" s="1236">
        <f t="shared" ca="1" si="273"/>
        <v>0</v>
      </c>
      <c r="R190" s="1236">
        <f>R191-R189</f>
        <v>0</v>
      </c>
      <c r="S190" s="1236">
        <f t="shared" ref="S190:Y190" si="275">S191-S189</f>
        <v>0</v>
      </c>
      <c r="T190" s="1236">
        <f t="shared" si="275"/>
        <v>0</v>
      </c>
      <c r="U190" s="1236">
        <f t="shared" si="275"/>
        <v>0</v>
      </c>
      <c r="V190" s="1236">
        <f t="shared" si="275"/>
        <v>0</v>
      </c>
      <c r="W190" s="1236">
        <f t="shared" si="275"/>
        <v>0</v>
      </c>
      <c r="X190" s="1236">
        <f t="shared" si="275"/>
        <v>0</v>
      </c>
      <c r="Y190" s="1236">
        <f t="shared" si="275"/>
        <v>0</v>
      </c>
      <c r="AG190" s="1236">
        <f t="shared" si="203"/>
        <v>0</v>
      </c>
      <c r="AH190" s="1236">
        <f t="shared" si="204"/>
        <v>0</v>
      </c>
      <c r="AI190" s="1236">
        <f t="shared" si="205"/>
        <v>0</v>
      </c>
      <c r="AJ190" s="1236">
        <f t="shared" si="206"/>
        <v>0</v>
      </c>
      <c r="AK190" s="1236">
        <f t="shared" si="207"/>
        <v>0</v>
      </c>
      <c r="AL190" s="1236">
        <f t="shared" si="208"/>
        <v>0</v>
      </c>
      <c r="AM190" s="1236">
        <f t="shared" si="209"/>
        <v>0</v>
      </c>
      <c r="AN190" s="1236">
        <f t="shared" si="210"/>
        <v>0</v>
      </c>
      <c r="AO190" s="1236">
        <f t="shared" si="211"/>
        <v>0</v>
      </c>
      <c r="AP190" s="1236">
        <f t="shared" si="212"/>
        <v>0</v>
      </c>
      <c r="AQ190" s="1236">
        <f t="shared" si="213"/>
        <v>0</v>
      </c>
      <c r="AR190" s="1236">
        <f t="shared" si="214"/>
        <v>0</v>
      </c>
      <c r="AS190" s="1236">
        <f t="shared" si="215"/>
        <v>0</v>
      </c>
      <c r="AT190" s="1236">
        <f t="shared" si="216"/>
        <v>0</v>
      </c>
      <c r="AU190" s="1236">
        <f t="shared" si="217"/>
        <v>0</v>
      </c>
      <c r="AV190" s="1236">
        <f t="shared" si="218"/>
        <v>0</v>
      </c>
      <c r="AW190" s="1236">
        <f t="shared" si="219"/>
        <v>0</v>
      </c>
      <c r="AX190" s="1236">
        <f t="shared" si="220"/>
        <v>0</v>
      </c>
      <c r="AY190" s="1236">
        <f t="shared" si="221"/>
        <v>0</v>
      </c>
      <c r="AZ190" s="1236">
        <f t="shared" si="222"/>
        <v>0</v>
      </c>
      <c r="BA190" s="1236">
        <f t="shared" si="223"/>
        <v>0</v>
      </c>
      <c r="BB190" s="1236">
        <f t="shared" si="224"/>
        <v>0</v>
      </c>
      <c r="BC190" s="1236">
        <f t="shared" si="225"/>
        <v>0</v>
      </c>
      <c r="BD190" s="1236">
        <f t="shared" si="226"/>
        <v>0</v>
      </c>
      <c r="BE190" s="1236">
        <f t="shared" si="227"/>
        <v>0</v>
      </c>
      <c r="BF190" s="1236">
        <f t="shared" si="228"/>
        <v>0</v>
      </c>
      <c r="BG190" s="1236">
        <f t="shared" si="229"/>
        <v>0</v>
      </c>
      <c r="BH190" s="1236">
        <f t="shared" si="230"/>
        <v>0</v>
      </c>
      <c r="BI190" s="1236">
        <f t="shared" si="231"/>
        <v>0</v>
      </c>
      <c r="BJ190" s="1236">
        <f t="shared" si="232"/>
        <v>0</v>
      </c>
      <c r="BK190" s="1236">
        <f t="shared" si="233"/>
        <v>0</v>
      </c>
      <c r="BL190" s="1236">
        <f t="shared" si="234"/>
        <v>0</v>
      </c>
      <c r="BM190" s="1236">
        <f t="shared" si="235"/>
        <v>0</v>
      </c>
      <c r="BN190" s="1236">
        <f t="shared" si="236"/>
        <v>0</v>
      </c>
      <c r="BO190" s="1236">
        <f t="shared" si="237"/>
        <v>0</v>
      </c>
      <c r="BP190" s="1236">
        <f t="shared" si="238"/>
        <v>0</v>
      </c>
      <c r="BQ190" s="1236">
        <f t="shared" si="239"/>
        <v>0</v>
      </c>
      <c r="BR190" s="1236">
        <f t="shared" si="240"/>
        <v>0</v>
      </c>
      <c r="BS190" s="1236">
        <f t="shared" si="241"/>
        <v>0</v>
      </c>
      <c r="BT190" s="1236">
        <f t="shared" si="242"/>
        <v>0</v>
      </c>
      <c r="BU190" s="1236">
        <f t="shared" si="243"/>
        <v>0</v>
      </c>
      <c r="BV190" s="1236">
        <f t="shared" si="244"/>
        <v>0</v>
      </c>
      <c r="BW190" s="1236">
        <f t="shared" si="245"/>
        <v>0</v>
      </c>
      <c r="BX190" s="1236">
        <f t="shared" si="246"/>
        <v>0</v>
      </c>
      <c r="BY190" s="1236">
        <f t="shared" si="247"/>
        <v>0</v>
      </c>
      <c r="BZ190" s="1236">
        <f t="shared" si="248"/>
        <v>0</v>
      </c>
      <c r="CA190" s="1236">
        <f t="shared" si="249"/>
        <v>0</v>
      </c>
      <c r="CB190" s="1236">
        <f t="shared" si="250"/>
        <v>0</v>
      </c>
      <c r="CC190" s="1236">
        <f t="shared" si="251"/>
        <v>0</v>
      </c>
      <c r="CD190" s="1236">
        <f t="shared" si="252"/>
        <v>0</v>
      </c>
      <c r="CE190" s="1236">
        <f t="shared" si="253"/>
        <v>0</v>
      </c>
      <c r="CF190" s="1236">
        <f t="shared" si="254"/>
        <v>0</v>
      </c>
      <c r="CG190" s="1236">
        <f t="shared" si="255"/>
        <v>0</v>
      </c>
      <c r="CH190" s="1236">
        <f t="shared" si="256"/>
        <v>0</v>
      </c>
      <c r="CI190" s="1236">
        <f t="shared" si="257"/>
        <v>0</v>
      </c>
      <c r="CJ190" s="1236">
        <f t="shared" si="258"/>
        <v>0</v>
      </c>
      <c r="CK190" s="1236">
        <f t="shared" si="259"/>
        <v>0</v>
      </c>
      <c r="CL190" s="1236">
        <f t="shared" si="260"/>
        <v>0</v>
      </c>
      <c r="CM190" s="1236">
        <f t="shared" si="261"/>
        <v>0</v>
      </c>
      <c r="CN190" s="1236">
        <f t="shared" si="262"/>
        <v>0</v>
      </c>
      <c r="CO190" s="1165"/>
      <c r="CP190" s="1165"/>
      <c r="CQ190" s="1165"/>
      <c r="CR190" s="1165"/>
      <c r="CS190" s="1165"/>
      <c r="CT190" s="1165"/>
      <c r="CU190" s="1165"/>
      <c r="CV190" s="1165"/>
      <c r="CW190" s="1165"/>
      <c r="CX190" s="1165"/>
      <c r="CY190" s="1165"/>
      <c r="CZ190" s="1165"/>
      <c r="DA190" s="1165"/>
      <c r="DB190" s="1165"/>
      <c r="DC190" s="1165"/>
      <c r="DD190" s="1165"/>
      <c r="DE190" s="1165"/>
      <c r="DF190" s="1165"/>
      <c r="DG190" s="1165"/>
      <c r="DH190" s="1165"/>
      <c r="DI190" s="1165"/>
      <c r="DJ190" s="1165"/>
      <c r="EU190" s="1165"/>
      <c r="EV190" s="1165"/>
      <c r="EW190" s="1165"/>
      <c r="EX190" s="1165"/>
      <c r="EY190" s="1165"/>
      <c r="EZ190" s="1165"/>
      <c r="FA190" s="1165"/>
      <c r="FB190" s="1165"/>
      <c r="FC190" s="1165"/>
      <c r="FD190" s="1165"/>
      <c r="FE190" s="1165"/>
      <c r="FF190" s="1165"/>
    </row>
    <row r="191" spans="1:162" s="1231" customFormat="1">
      <c r="A191" s="1205" t="s">
        <v>607</v>
      </c>
      <c r="B191" s="1230" t="s">
        <v>345</v>
      </c>
      <c r="M191" s="1231">
        <f t="shared" ca="1" si="273"/>
        <v>0</v>
      </c>
      <c r="N191" s="1231">
        <f t="shared" ca="1" si="273"/>
        <v>0</v>
      </c>
      <c r="O191" s="1231">
        <f t="shared" ca="1" si="273"/>
        <v>0</v>
      </c>
      <c r="P191" s="1231">
        <f t="shared" ca="1" si="273"/>
        <v>0</v>
      </c>
      <c r="Q191" s="1231">
        <f t="shared" ca="1" si="273"/>
        <v>0</v>
      </c>
      <c r="R191" s="1232">
        <v>-1698.9466</v>
      </c>
      <c r="S191" s="1232">
        <v>-1889.807</v>
      </c>
      <c r="T191" s="1232">
        <v>-1867.0360000000001</v>
      </c>
      <c r="U191" s="1232">
        <v>-1693.8589999999999</v>
      </c>
      <c r="V191" s="1232">
        <v>-1540.89</v>
      </c>
      <c r="W191" s="1232">
        <v>-1287.479</v>
      </c>
      <c r="X191" s="1232">
        <v>-910.84900000000005</v>
      </c>
      <c r="Y191" s="1232">
        <v>187.00800000000001</v>
      </c>
      <c r="Z191" s="1231">
        <v>331.298</v>
      </c>
      <c r="AA191" s="1232"/>
      <c r="AB191" s="1232"/>
      <c r="AC191" s="1232"/>
      <c r="AG191" s="1231">
        <f t="shared" si="203"/>
        <v>0</v>
      </c>
      <c r="AH191" s="1231">
        <f t="shared" si="204"/>
        <v>0</v>
      </c>
      <c r="AI191" s="1231">
        <f t="shared" si="205"/>
        <v>0</v>
      </c>
      <c r="AJ191" s="1231">
        <f t="shared" si="206"/>
        <v>0</v>
      </c>
      <c r="AK191" s="1231">
        <f t="shared" si="207"/>
        <v>0</v>
      </c>
      <c r="AL191" s="1231">
        <f t="shared" si="208"/>
        <v>0</v>
      </c>
      <c r="AM191" s="1231">
        <f t="shared" si="209"/>
        <v>0</v>
      </c>
      <c r="AN191" s="1231">
        <f t="shared" si="210"/>
        <v>0</v>
      </c>
      <c r="AO191" s="1231">
        <f t="shared" si="211"/>
        <v>0</v>
      </c>
      <c r="AP191" s="1231">
        <f t="shared" si="212"/>
        <v>0</v>
      </c>
      <c r="AQ191" s="1231">
        <f t="shared" si="213"/>
        <v>0</v>
      </c>
      <c r="AR191" s="1231">
        <f t="shared" si="214"/>
        <v>0</v>
      </c>
      <c r="AS191" s="1231">
        <f t="shared" si="215"/>
        <v>0</v>
      </c>
      <c r="AT191" s="1231">
        <f t="shared" si="216"/>
        <v>0</v>
      </c>
      <c r="AU191" s="1231">
        <f t="shared" si="217"/>
        <v>0</v>
      </c>
      <c r="AV191" s="1231">
        <f t="shared" si="218"/>
        <v>0</v>
      </c>
      <c r="AW191" s="1231">
        <f t="shared" si="219"/>
        <v>0</v>
      </c>
      <c r="AX191" s="1231">
        <f t="shared" si="220"/>
        <v>0</v>
      </c>
      <c r="AY191" s="1231">
        <f t="shared" si="221"/>
        <v>0</v>
      </c>
      <c r="AZ191" s="1231">
        <f t="shared" si="222"/>
        <v>0</v>
      </c>
      <c r="BA191" s="1231">
        <f t="shared" si="223"/>
        <v>0</v>
      </c>
      <c r="BB191" s="1231">
        <f t="shared" si="224"/>
        <v>0</v>
      </c>
      <c r="BC191" s="1231">
        <f t="shared" si="225"/>
        <v>0</v>
      </c>
      <c r="BD191" s="1231">
        <f t="shared" si="226"/>
        <v>0</v>
      </c>
      <c r="BE191" s="1231">
        <f t="shared" si="227"/>
        <v>0</v>
      </c>
      <c r="BF191" s="1231">
        <f t="shared" si="228"/>
        <v>0</v>
      </c>
      <c r="BG191" s="1231">
        <f t="shared" si="229"/>
        <v>0</v>
      </c>
      <c r="BH191" s="1231">
        <f t="shared" si="230"/>
        <v>0</v>
      </c>
      <c r="BI191" s="1231">
        <f t="shared" si="231"/>
        <v>0</v>
      </c>
      <c r="BJ191" s="1231">
        <f t="shared" si="232"/>
        <v>0</v>
      </c>
      <c r="BK191" s="1231">
        <f t="shared" si="233"/>
        <v>0</v>
      </c>
      <c r="BL191" s="1231">
        <f t="shared" si="234"/>
        <v>0</v>
      </c>
      <c r="BM191" s="1231">
        <f t="shared" si="235"/>
        <v>0</v>
      </c>
      <c r="BN191" s="1231">
        <f t="shared" si="236"/>
        <v>0</v>
      </c>
      <c r="BO191" s="1231">
        <f t="shared" si="237"/>
        <v>0</v>
      </c>
      <c r="BP191" s="1231">
        <f t="shared" si="238"/>
        <v>0</v>
      </c>
      <c r="BQ191" s="1231">
        <f t="shared" si="239"/>
        <v>0</v>
      </c>
      <c r="BR191" s="1231">
        <f t="shared" si="240"/>
        <v>0</v>
      </c>
      <c r="BS191" s="1231">
        <f t="shared" si="241"/>
        <v>0</v>
      </c>
      <c r="BT191" s="1231">
        <f t="shared" si="242"/>
        <v>0</v>
      </c>
      <c r="BU191" s="1231">
        <f t="shared" si="243"/>
        <v>0</v>
      </c>
      <c r="BV191" s="1231">
        <f t="shared" si="244"/>
        <v>0</v>
      </c>
      <c r="BW191" s="1231">
        <f t="shared" si="245"/>
        <v>0</v>
      </c>
      <c r="BX191" s="1231">
        <f t="shared" si="246"/>
        <v>0</v>
      </c>
      <c r="BY191" s="1231">
        <f t="shared" si="247"/>
        <v>0</v>
      </c>
      <c r="BZ191" s="1231">
        <f t="shared" si="248"/>
        <v>0</v>
      </c>
      <c r="CA191" s="1231">
        <f t="shared" si="249"/>
        <v>0</v>
      </c>
      <c r="CB191" s="1231">
        <f t="shared" si="250"/>
        <v>0</v>
      </c>
      <c r="CC191" s="1231">
        <f t="shared" si="251"/>
        <v>0</v>
      </c>
      <c r="CD191" s="1231">
        <f t="shared" si="252"/>
        <v>0</v>
      </c>
      <c r="CE191" s="1231">
        <f t="shared" si="253"/>
        <v>0</v>
      </c>
      <c r="CF191" s="1231">
        <f t="shared" si="254"/>
        <v>0</v>
      </c>
      <c r="CG191" s="1231">
        <f t="shared" si="255"/>
        <v>0</v>
      </c>
      <c r="CH191" s="1231">
        <f t="shared" si="256"/>
        <v>0</v>
      </c>
      <c r="CI191" s="1231">
        <f t="shared" si="257"/>
        <v>0</v>
      </c>
      <c r="CJ191" s="1231">
        <f t="shared" si="258"/>
        <v>0</v>
      </c>
      <c r="CK191" s="1231">
        <f t="shared" si="259"/>
        <v>0</v>
      </c>
      <c r="CL191" s="1231">
        <f t="shared" si="260"/>
        <v>0</v>
      </c>
      <c r="CM191" s="1231">
        <f t="shared" si="261"/>
        <v>0</v>
      </c>
      <c r="CN191" s="1231">
        <f t="shared" si="262"/>
        <v>0</v>
      </c>
      <c r="CQ191" s="1165"/>
      <c r="CR191" s="1165"/>
      <c r="CS191" s="1165"/>
      <c r="CT191" s="1165"/>
      <c r="CU191" s="1165"/>
      <c r="CV191" s="1165"/>
      <c r="CW191" s="1165"/>
      <c r="CX191" s="1165"/>
      <c r="CY191" s="1165"/>
      <c r="CZ191" s="1165"/>
      <c r="DA191" s="1165"/>
      <c r="DB191" s="1165"/>
      <c r="DC191" s="1165"/>
      <c r="DD191" s="1165"/>
      <c r="DE191" s="1165"/>
      <c r="DF191" s="1165"/>
      <c r="DG191" s="1165"/>
      <c r="DH191" s="1165"/>
      <c r="DI191" s="1165"/>
      <c r="DJ191" s="1165"/>
      <c r="DK191" s="1232"/>
      <c r="DL191" s="1232"/>
      <c r="DM191" s="1232"/>
      <c r="DN191" s="1232"/>
      <c r="DO191" s="1232"/>
      <c r="DP191" s="1232"/>
      <c r="DQ191" s="1232"/>
      <c r="DR191" s="1232"/>
      <c r="DS191" s="1232"/>
      <c r="DT191" s="1232"/>
      <c r="DU191" s="1232"/>
      <c r="DV191" s="1232"/>
      <c r="DW191" s="1232"/>
      <c r="DX191" s="1232"/>
      <c r="DY191" s="1232"/>
      <c r="DZ191" s="1232"/>
      <c r="EA191" s="1232"/>
      <c r="EB191" s="1232"/>
      <c r="EC191" s="1232"/>
      <c r="ED191" s="1232"/>
      <c r="EE191" s="1232"/>
      <c r="EF191" s="1232"/>
      <c r="EG191" s="1232"/>
      <c r="EH191" s="1232"/>
      <c r="EI191" s="1232"/>
      <c r="EJ191" s="1232"/>
      <c r="EK191" s="1232"/>
      <c r="EL191" s="1232"/>
      <c r="EM191" s="1232"/>
      <c r="EN191" s="1232"/>
      <c r="EO191" s="1232"/>
      <c r="EP191" s="1232"/>
      <c r="EQ191" s="1232"/>
      <c r="ER191" s="1232"/>
      <c r="ES191" s="1232"/>
      <c r="ET191" s="1232"/>
      <c r="EU191" s="1165"/>
      <c r="EV191" s="1165"/>
      <c r="EW191" s="1165"/>
      <c r="EX191" s="1165"/>
      <c r="EY191" s="1165"/>
      <c r="EZ191" s="1165"/>
      <c r="FA191" s="1165"/>
      <c r="FB191" s="1165"/>
      <c r="FC191" s="1165"/>
      <c r="FD191" s="1165"/>
      <c r="FE191" s="1165"/>
      <c r="FF191" s="1165"/>
    </row>
    <row r="192" spans="1:162">
      <c r="A192" s="1205" t="s">
        <v>605</v>
      </c>
      <c r="B192" s="1165" t="s">
        <v>868</v>
      </c>
      <c r="M192" s="1236">
        <f t="shared" ca="1" si="273"/>
        <v>0</v>
      </c>
      <c r="N192" s="1236">
        <f t="shared" ca="1" si="273"/>
        <v>0</v>
      </c>
      <c r="O192" s="1236">
        <f t="shared" ca="1" si="273"/>
        <v>0</v>
      </c>
      <c r="P192" s="1236">
        <f t="shared" ca="1" si="273"/>
        <v>0</v>
      </c>
      <c r="Q192" s="1236">
        <f t="shared" ca="1" si="273"/>
        <v>0</v>
      </c>
      <c r="R192" s="1224">
        <v>10.9336</v>
      </c>
      <c r="S192" s="1224">
        <v>10.994999999999999</v>
      </c>
      <c r="T192" s="1224">
        <v>12.8</v>
      </c>
      <c r="U192" s="1224">
        <v>12.845000000000001</v>
      </c>
      <c r="V192" s="1224">
        <v>14.342000000000001</v>
      </c>
      <c r="W192" s="1224">
        <v>16.829999999999998</v>
      </c>
      <c r="X192" s="1224">
        <v>17.012</v>
      </c>
      <c r="Y192" s="1224">
        <v>19.664000000000001</v>
      </c>
      <c r="Z192" s="1224">
        <v>20.158999999999999</v>
      </c>
      <c r="AG192" s="1236">
        <f t="shared" si="203"/>
        <v>0</v>
      </c>
      <c r="AH192" s="1236">
        <f t="shared" si="204"/>
        <v>0</v>
      </c>
      <c r="AI192" s="1236">
        <f t="shared" si="205"/>
        <v>0</v>
      </c>
      <c r="AJ192" s="1236">
        <f t="shared" si="206"/>
        <v>0</v>
      </c>
      <c r="AK192" s="1236">
        <f t="shared" si="207"/>
        <v>0</v>
      </c>
      <c r="AL192" s="1236">
        <f t="shared" si="208"/>
        <v>0</v>
      </c>
      <c r="AM192" s="1236">
        <f t="shared" si="209"/>
        <v>0</v>
      </c>
      <c r="AN192" s="1236">
        <f t="shared" si="210"/>
        <v>0</v>
      </c>
      <c r="AO192" s="1236">
        <f t="shared" si="211"/>
        <v>0</v>
      </c>
      <c r="AP192" s="1236">
        <f t="shared" si="212"/>
        <v>0</v>
      </c>
      <c r="AQ192" s="1236">
        <f t="shared" si="213"/>
        <v>0</v>
      </c>
      <c r="AR192" s="1236">
        <f t="shared" si="214"/>
        <v>0</v>
      </c>
      <c r="AS192" s="1236">
        <f t="shared" si="215"/>
        <v>0</v>
      </c>
      <c r="AT192" s="1236">
        <f t="shared" si="216"/>
        <v>0</v>
      </c>
      <c r="AU192" s="1236">
        <f t="shared" si="217"/>
        <v>0</v>
      </c>
      <c r="AV192" s="1236">
        <f t="shared" si="218"/>
        <v>0</v>
      </c>
      <c r="AW192" s="1236">
        <f t="shared" si="219"/>
        <v>0</v>
      </c>
      <c r="AX192" s="1236">
        <f t="shared" si="220"/>
        <v>0</v>
      </c>
      <c r="AY192" s="1236">
        <f t="shared" si="221"/>
        <v>0</v>
      </c>
      <c r="AZ192" s="1236">
        <f t="shared" si="222"/>
        <v>0</v>
      </c>
      <c r="BA192" s="1236">
        <f t="shared" si="223"/>
        <v>0</v>
      </c>
      <c r="BB192" s="1236">
        <f t="shared" si="224"/>
        <v>0</v>
      </c>
      <c r="BC192" s="1236">
        <f t="shared" si="225"/>
        <v>0</v>
      </c>
      <c r="BD192" s="1236">
        <f t="shared" si="226"/>
        <v>0</v>
      </c>
      <c r="BE192" s="1236">
        <f t="shared" si="227"/>
        <v>0</v>
      </c>
      <c r="BF192" s="1236">
        <f t="shared" si="228"/>
        <v>0</v>
      </c>
      <c r="BG192" s="1236">
        <f t="shared" si="229"/>
        <v>0</v>
      </c>
      <c r="BH192" s="1236">
        <f t="shared" si="230"/>
        <v>0</v>
      </c>
      <c r="BI192" s="1236">
        <f t="shared" si="231"/>
        <v>0</v>
      </c>
      <c r="BJ192" s="1236">
        <f t="shared" si="232"/>
        <v>0</v>
      </c>
      <c r="BK192" s="1236">
        <f t="shared" si="233"/>
        <v>0</v>
      </c>
      <c r="BL192" s="1236">
        <f t="shared" si="234"/>
        <v>0</v>
      </c>
      <c r="BM192" s="1236">
        <f t="shared" si="235"/>
        <v>0</v>
      </c>
      <c r="BN192" s="1236">
        <f t="shared" si="236"/>
        <v>0</v>
      </c>
      <c r="BO192" s="1236">
        <f t="shared" si="237"/>
        <v>0</v>
      </c>
      <c r="BP192" s="1236">
        <f t="shared" si="238"/>
        <v>0</v>
      </c>
      <c r="BQ192" s="1236">
        <f t="shared" si="239"/>
        <v>0</v>
      </c>
      <c r="BR192" s="1236">
        <f t="shared" si="240"/>
        <v>0</v>
      </c>
      <c r="BS192" s="1236">
        <f t="shared" si="241"/>
        <v>0</v>
      </c>
      <c r="BT192" s="1236">
        <f t="shared" si="242"/>
        <v>0</v>
      </c>
      <c r="BU192" s="1236">
        <f t="shared" si="243"/>
        <v>0</v>
      </c>
      <c r="BV192" s="1236">
        <f t="shared" si="244"/>
        <v>0</v>
      </c>
      <c r="BW192" s="1236">
        <f t="shared" si="245"/>
        <v>0</v>
      </c>
      <c r="BX192" s="1236">
        <f t="shared" si="246"/>
        <v>0</v>
      </c>
      <c r="BY192" s="1236">
        <f t="shared" si="247"/>
        <v>0</v>
      </c>
      <c r="BZ192" s="1236">
        <f t="shared" si="248"/>
        <v>0</v>
      </c>
      <c r="CA192" s="1236">
        <f t="shared" si="249"/>
        <v>0</v>
      </c>
      <c r="CB192" s="1236">
        <f t="shared" si="250"/>
        <v>0</v>
      </c>
      <c r="CC192" s="1236">
        <f t="shared" si="251"/>
        <v>0</v>
      </c>
      <c r="CD192" s="1236">
        <f t="shared" si="252"/>
        <v>0</v>
      </c>
      <c r="CE192" s="1236">
        <f t="shared" si="253"/>
        <v>0</v>
      </c>
      <c r="CF192" s="1236">
        <f t="shared" si="254"/>
        <v>0</v>
      </c>
      <c r="CG192" s="1236">
        <f t="shared" si="255"/>
        <v>0</v>
      </c>
      <c r="CH192" s="1236">
        <f t="shared" si="256"/>
        <v>0</v>
      </c>
      <c r="CI192" s="1236">
        <f t="shared" si="257"/>
        <v>0</v>
      </c>
      <c r="CJ192" s="1236">
        <f t="shared" si="258"/>
        <v>0</v>
      </c>
      <c r="CK192" s="1236">
        <f t="shared" si="259"/>
        <v>0</v>
      </c>
      <c r="CL192" s="1236">
        <f t="shared" si="260"/>
        <v>0</v>
      </c>
      <c r="CM192" s="1236">
        <f t="shared" si="261"/>
        <v>0</v>
      </c>
      <c r="CN192" s="1236">
        <f t="shared" si="262"/>
        <v>0</v>
      </c>
      <c r="CO192" s="1165"/>
      <c r="CP192" s="1165"/>
      <c r="CQ192" s="1165"/>
      <c r="CR192" s="1165"/>
      <c r="CS192" s="1165"/>
      <c r="CT192" s="1165"/>
      <c r="CU192" s="1165"/>
      <c r="CV192" s="1165"/>
      <c r="CW192" s="1165"/>
      <c r="CX192" s="1165"/>
      <c r="CY192" s="1165"/>
      <c r="CZ192" s="1165"/>
      <c r="DA192" s="1165"/>
      <c r="DB192" s="1165"/>
      <c r="DC192" s="1165"/>
      <c r="DD192" s="1165"/>
      <c r="DE192" s="1165"/>
      <c r="DF192" s="1165"/>
      <c r="DG192" s="1165"/>
      <c r="DH192" s="1165"/>
      <c r="DI192" s="1165"/>
      <c r="DJ192" s="1165"/>
      <c r="DK192" s="1238"/>
      <c r="DL192" s="1238"/>
      <c r="DM192" s="1238"/>
      <c r="DN192" s="1238"/>
      <c r="DO192" s="1238"/>
      <c r="DP192" s="1238"/>
      <c r="DQ192" s="1238"/>
      <c r="DR192" s="1238"/>
      <c r="DS192" s="1238"/>
      <c r="DT192" s="1238"/>
      <c r="DU192" s="1238"/>
      <c r="DV192" s="1238"/>
      <c r="DW192" s="1238"/>
      <c r="DX192" s="1238"/>
      <c r="DY192" s="1238"/>
      <c r="DZ192" s="1238"/>
      <c r="EA192" s="1238"/>
      <c r="EB192" s="1238"/>
      <c r="EC192" s="1238"/>
      <c r="ED192" s="1238"/>
      <c r="EE192" s="1238"/>
      <c r="EF192" s="1238"/>
      <c r="EG192" s="1238"/>
      <c r="EH192" s="1238"/>
      <c r="EI192" s="1238"/>
      <c r="EJ192" s="1238"/>
      <c r="EK192" s="1238"/>
      <c r="EL192" s="1238"/>
      <c r="EM192" s="1238"/>
      <c r="EN192" s="1238"/>
      <c r="EO192" s="1238"/>
      <c r="EP192" s="1238"/>
      <c r="EQ192" s="1238"/>
      <c r="ER192" s="1238"/>
      <c r="ES192" s="1238"/>
      <c r="ET192" s="1238"/>
      <c r="EU192" s="1165"/>
      <c r="EV192" s="1165"/>
      <c r="EW192" s="1165"/>
      <c r="EX192" s="1165"/>
      <c r="EY192" s="1165"/>
      <c r="EZ192" s="1165"/>
      <c r="FA192" s="1165"/>
      <c r="FB192" s="1165"/>
      <c r="FC192" s="1165"/>
      <c r="FD192" s="1165"/>
      <c r="FE192" s="1165"/>
      <c r="FF192" s="1165"/>
    </row>
    <row r="193" spans="1:162">
      <c r="A193" s="1205" t="s">
        <v>606</v>
      </c>
      <c r="B193" s="1165" t="s">
        <v>867</v>
      </c>
      <c r="M193" s="1236">
        <f t="shared" ca="1" si="273"/>
        <v>0</v>
      </c>
      <c r="N193" s="1236">
        <f t="shared" ca="1" si="273"/>
        <v>0</v>
      </c>
      <c r="O193" s="1236">
        <f t="shared" ca="1" si="273"/>
        <v>0</v>
      </c>
      <c r="P193" s="1236">
        <f t="shared" ca="1" si="273"/>
        <v>0</v>
      </c>
      <c r="Q193" s="1236">
        <f t="shared" ca="1" si="273"/>
        <v>0</v>
      </c>
      <c r="R193" s="1238">
        <v>3858.6426000000001</v>
      </c>
      <c r="S193" s="1238">
        <v>4082.1350000000002</v>
      </c>
      <c r="T193" s="1238">
        <v>4083.5880000000002</v>
      </c>
      <c r="U193" s="1238">
        <v>4089.846</v>
      </c>
      <c r="V193" s="1238">
        <v>4376.63</v>
      </c>
      <c r="W193" s="1238">
        <v>4903.8609999999999</v>
      </c>
      <c r="X193" s="1238">
        <v>4950.9480000000003</v>
      </c>
      <c r="Y193" s="1238">
        <v>4827.6189999999997</v>
      </c>
      <c r="Z193" s="1236">
        <v>4993.1629999999996</v>
      </c>
      <c r="AG193" s="1236">
        <f t="shared" si="203"/>
        <v>0</v>
      </c>
      <c r="AH193" s="1236">
        <f t="shared" si="204"/>
        <v>0</v>
      </c>
      <c r="AI193" s="1236">
        <f t="shared" si="205"/>
        <v>0</v>
      </c>
      <c r="AJ193" s="1236">
        <f t="shared" si="206"/>
        <v>0</v>
      </c>
      <c r="AK193" s="1236">
        <f t="shared" si="207"/>
        <v>0</v>
      </c>
      <c r="AL193" s="1236">
        <f t="shared" si="208"/>
        <v>0</v>
      </c>
      <c r="AM193" s="1236">
        <f t="shared" si="209"/>
        <v>0</v>
      </c>
      <c r="AN193" s="1236">
        <f t="shared" si="210"/>
        <v>0</v>
      </c>
      <c r="AO193" s="1236">
        <f t="shared" si="211"/>
        <v>0</v>
      </c>
      <c r="AP193" s="1236">
        <f t="shared" si="212"/>
        <v>0</v>
      </c>
      <c r="AQ193" s="1236">
        <f t="shared" si="213"/>
        <v>0</v>
      </c>
      <c r="AR193" s="1236">
        <f t="shared" si="214"/>
        <v>0</v>
      </c>
      <c r="AS193" s="1236">
        <f t="shared" si="215"/>
        <v>0</v>
      </c>
      <c r="AT193" s="1236">
        <f t="shared" si="216"/>
        <v>0</v>
      </c>
      <c r="AU193" s="1236">
        <f t="shared" si="217"/>
        <v>0</v>
      </c>
      <c r="AV193" s="1236">
        <f t="shared" si="218"/>
        <v>0</v>
      </c>
      <c r="AW193" s="1236">
        <f t="shared" si="219"/>
        <v>0</v>
      </c>
      <c r="AX193" s="1236">
        <f t="shared" si="220"/>
        <v>0</v>
      </c>
      <c r="AY193" s="1236">
        <f t="shared" si="221"/>
        <v>0</v>
      </c>
      <c r="AZ193" s="1236">
        <f t="shared" si="222"/>
        <v>0</v>
      </c>
      <c r="BA193" s="1236">
        <f t="shared" si="223"/>
        <v>0</v>
      </c>
      <c r="BB193" s="1236">
        <f t="shared" si="224"/>
        <v>0</v>
      </c>
      <c r="BC193" s="1236">
        <f t="shared" si="225"/>
        <v>0</v>
      </c>
      <c r="BD193" s="1236">
        <f t="shared" si="226"/>
        <v>0</v>
      </c>
      <c r="BE193" s="1236">
        <f t="shared" si="227"/>
        <v>0</v>
      </c>
      <c r="BF193" s="1236">
        <f t="shared" si="228"/>
        <v>0</v>
      </c>
      <c r="BG193" s="1236">
        <f t="shared" si="229"/>
        <v>0</v>
      </c>
      <c r="BH193" s="1236">
        <f t="shared" si="230"/>
        <v>0</v>
      </c>
      <c r="BI193" s="1236">
        <f t="shared" si="231"/>
        <v>0</v>
      </c>
      <c r="BJ193" s="1236">
        <f t="shared" si="232"/>
        <v>0</v>
      </c>
      <c r="BK193" s="1236">
        <f t="shared" si="233"/>
        <v>0</v>
      </c>
      <c r="BL193" s="1236">
        <f t="shared" si="234"/>
        <v>0</v>
      </c>
      <c r="BM193" s="1236">
        <f t="shared" si="235"/>
        <v>0</v>
      </c>
      <c r="BN193" s="1236">
        <f t="shared" si="236"/>
        <v>0</v>
      </c>
      <c r="BO193" s="1236">
        <f t="shared" si="237"/>
        <v>0</v>
      </c>
      <c r="BP193" s="1236">
        <f t="shared" si="238"/>
        <v>0</v>
      </c>
      <c r="BQ193" s="1236">
        <f t="shared" si="239"/>
        <v>0</v>
      </c>
      <c r="BR193" s="1236">
        <f t="shared" si="240"/>
        <v>0</v>
      </c>
      <c r="BS193" s="1236">
        <f t="shared" si="241"/>
        <v>0</v>
      </c>
      <c r="BT193" s="1236">
        <f t="shared" si="242"/>
        <v>0</v>
      </c>
      <c r="BU193" s="1236">
        <f t="shared" si="243"/>
        <v>0</v>
      </c>
      <c r="BV193" s="1236">
        <f t="shared" si="244"/>
        <v>0</v>
      </c>
      <c r="BW193" s="1236">
        <f t="shared" si="245"/>
        <v>0</v>
      </c>
      <c r="BX193" s="1236">
        <f t="shared" si="246"/>
        <v>0</v>
      </c>
      <c r="BY193" s="1236">
        <f t="shared" si="247"/>
        <v>0</v>
      </c>
      <c r="BZ193" s="1236">
        <f t="shared" si="248"/>
        <v>0</v>
      </c>
      <c r="CA193" s="1236">
        <f t="shared" si="249"/>
        <v>0</v>
      </c>
      <c r="CB193" s="1236">
        <f t="shared" si="250"/>
        <v>0</v>
      </c>
      <c r="CC193" s="1236">
        <f t="shared" si="251"/>
        <v>0</v>
      </c>
      <c r="CD193" s="1236">
        <f t="shared" si="252"/>
        <v>0</v>
      </c>
      <c r="CE193" s="1236">
        <f t="shared" si="253"/>
        <v>0</v>
      </c>
      <c r="CF193" s="1236">
        <f t="shared" si="254"/>
        <v>0</v>
      </c>
      <c r="CG193" s="1236">
        <f t="shared" si="255"/>
        <v>0</v>
      </c>
      <c r="CH193" s="1236">
        <f t="shared" si="256"/>
        <v>0</v>
      </c>
      <c r="CI193" s="1236">
        <f t="shared" si="257"/>
        <v>0</v>
      </c>
      <c r="CJ193" s="1236">
        <f t="shared" si="258"/>
        <v>0</v>
      </c>
      <c r="CK193" s="1236">
        <f t="shared" si="259"/>
        <v>0</v>
      </c>
      <c r="CL193" s="1236">
        <f t="shared" si="260"/>
        <v>0</v>
      </c>
      <c r="CM193" s="1236">
        <f t="shared" si="261"/>
        <v>0</v>
      </c>
      <c r="CN193" s="1236">
        <f t="shared" si="262"/>
        <v>0</v>
      </c>
      <c r="CO193" s="1165"/>
      <c r="CP193" s="1165"/>
      <c r="CQ193" s="1165"/>
      <c r="CR193" s="1165"/>
      <c r="CS193" s="1165"/>
      <c r="CT193" s="1165"/>
      <c r="CU193" s="1165"/>
      <c r="CV193" s="1165"/>
      <c r="CW193" s="1165"/>
      <c r="CX193" s="1165"/>
      <c r="CY193" s="1165"/>
      <c r="CZ193" s="1165"/>
      <c r="DA193" s="1165"/>
      <c r="DB193" s="1165"/>
      <c r="DC193" s="1165"/>
      <c r="DD193" s="1165"/>
      <c r="DE193" s="1165"/>
      <c r="DF193" s="1165"/>
      <c r="DG193" s="1165"/>
      <c r="DH193" s="1165"/>
      <c r="DI193" s="1165"/>
      <c r="DJ193" s="1165"/>
      <c r="DK193" s="1212"/>
      <c r="DL193" s="1212"/>
      <c r="DM193" s="1212"/>
      <c r="DN193" s="1212"/>
      <c r="DO193" s="1212"/>
      <c r="DP193" s="1212"/>
      <c r="DQ193" s="1212"/>
      <c r="DR193" s="1212"/>
      <c r="DS193" s="1212"/>
      <c r="DT193" s="1212"/>
      <c r="DU193" s="1212"/>
      <c r="DV193" s="1212"/>
      <c r="DW193" s="1212"/>
      <c r="DX193" s="1212"/>
      <c r="DY193" s="1212"/>
      <c r="DZ193" s="1212"/>
      <c r="EA193" s="1212"/>
      <c r="EB193" s="1212"/>
      <c r="EC193" s="1212"/>
      <c r="ED193" s="1212"/>
      <c r="EE193" s="1212"/>
      <c r="EF193" s="1212"/>
      <c r="EG193" s="1212"/>
      <c r="EH193" s="1212"/>
      <c r="EI193" s="1212"/>
      <c r="EJ193" s="1212"/>
      <c r="EK193" s="1212"/>
      <c r="EL193" s="1212"/>
      <c r="EM193" s="1212"/>
      <c r="EN193" s="1212"/>
      <c r="EO193" s="1212"/>
      <c r="EP193" s="1212"/>
      <c r="EQ193" s="1212"/>
      <c r="ER193" s="1212"/>
      <c r="ES193" s="1212"/>
      <c r="ET193" s="1212"/>
      <c r="EU193" s="1165"/>
      <c r="EV193" s="1165"/>
      <c r="EW193" s="1165"/>
      <c r="EX193" s="1165"/>
      <c r="EY193" s="1165"/>
      <c r="EZ193" s="1165"/>
      <c r="FA193" s="1165"/>
      <c r="FB193" s="1165"/>
      <c r="FC193" s="1165"/>
      <c r="FD193" s="1165"/>
      <c r="FE193" s="1165"/>
      <c r="FF193" s="1165"/>
    </row>
    <row r="194" spans="1:162" s="1231" customFormat="1">
      <c r="A194" s="1224"/>
      <c r="B194" s="1230" t="s">
        <v>59</v>
      </c>
      <c r="M194" s="1231">
        <f t="shared" ca="1" si="273"/>
        <v>0</v>
      </c>
      <c r="N194" s="1231">
        <f t="shared" ca="1" si="273"/>
        <v>0</v>
      </c>
      <c r="O194" s="1231">
        <f t="shared" ca="1" si="273"/>
        <v>0</v>
      </c>
      <c r="P194" s="1231">
        <f t="shared" ca="1" si="273"/>
        <v>0</v>
      </c>
      <c r="Q194" s="1231">
        <f t="shared" ca="1" si="273"/>
        <v>0</v>
      </c>
      <c r="R194" s="1232">
        <f t="shared" ref="R194:Z194" si="276">SUM(R192:R193)</f>
        <v>3869.5762</v>
      </c>
      <c r="S194" s="1232">
        <f t="shared" si="276"/>
        <v>4093.13</v>
      </c>
      <c r="T194" s="1232">
        <f t="shared" si="276"/>
        <v>4096.3879999999999</v>
      </c>
      <c r="U194" s="1232">
        <f t="shared" si="276"/>
        <v>4102.6909999999998</v>
      </c>
      <c r="V194" s="1232">
        <f t="shared" si="276"/>
        <v>4390.9719999999998</v>
      </c>
      <c r="W194" s="1232">
        <f t="shared" si="276"/>
        <v>4920.6909999999998</v>
      </c>
      <c r="X194" s="1232">
        <f t="shared" si="276"/>
        <v>4967.96</v>
      </c>
      <c r="Y194" s="1232">
        <f t="shared" si="276"/>
        <v>4847.2829999999994</v>
      </c>
      <c r="Z194" s="1232">
        <f t="shared" si="276"/>
        <v>5013.3219999999992</v>
      </c>
      <c r="AG194" s="1231">
        <f t="shared" si="203"/>
        <v>0</v>
      </c>
      <c r="AH194" s="1231">
        <f t="shared" si="204"/>
        <v>0</v>
      </c>
      <c r="AI194" s="1231">
        <f t="shared" si="205"/>
        <v>0</v>
      </c>
      <c r="AJ194" s="1231">
        <f t="shared" si="206"/>
        <v>0</v>
      </c>
      <c r="AK194" s="1231">
        <f t="shared" si="207"/>
        <v>0</v>
      </c>
      <c r="AL194" s="1231">
        <f t="shared" si="208"/>
        <v>0</v>
      </c>
      <c r="AM194" s="1231">
        <f t="shared" si="209"/>
        <v>0</v>
      </c>
      <c r="AN194" s="1231">
        <f t="shared" si="210"/>
        <v>0</v>
      </c>
      <c r="AO194" s="1231">
        <f t="shared" si="211"/>
        <v>0</v>
      </c>
      <c r="AP194" s="1231">
        <f t="shared" si="212"/>
        <v>0</v>
      </c>
      <c r="AQ194" s="1231">
        <f t="shared" si="213"/>
        <v>0</v>
      </c>
      <c r="AR194" s="1231">
        <f t="shared" si="214"/>
        <v>0</v>
      </c>
      <c r="AS194" s="1231">
        <f t="shared" si="215"/>
        <v>0</v>
      </c>
      <c r="AT194" s="1231">
        <f t="shared" si="216"/>
        <v>0</v>
      </c>
      <c r="AU194" s="1231">
        <f t="shared" si="217"/>
        <v>0</v>
      </c>
      <c r="AV194" s="1231">
        <f t="shared" si="218"/>
        <v>0</v>
      </c>
      <c r="AW194" s="1231">
        <f t="shared" si="219"/>
        <v>0</v>
      </c>
      <c r="AX194" s="1231">
        <f t="shared" si="220"/>
        <v>0</v>
      </c>
      <c r="AY194" s="1231">
        <f t="shared" si="221"/>
        <v>0</v>
      </c>
      <c r="AZ194" s="1231">
        <f t="shared" si="222"/>
        <v>0</v>
      </c>
      <c r="BA194" s="1231">
        <f t="shared" si="223"/>
        <v>0</v>
      </c>
      <c r="BB194" s="1231">
        <f t="shared" si="224"/>
        <v>0</v>
      </c>
      <c r="BC194" s="1231">
        <f t="shared" si="225"/>
        <v>0</v>
      </c>
      <c r="BD194" s="1231">
        <f t="shared" si="226"/>
        <v>0</v>
      </c>
      <c r="BE194" s="1231">
        <f t="shared" si="227"/>
        <v>0</v>
      </c>
      <c r="BF194" s="1231">
        <f t="shared" si="228"/>
        <v>0</v>
      </c>
      <c r="BG194" s="1231">
        <f t="shared" si="229"/>
        <v>0</v>
      </c>
      <c r="BH194" s="1231">
        <f t="shared" si="230"/>
        <v>0</v>
      </c>
      <c r="BI194" s="1231">
        <f t="shared" si="231"/>
        <v>0</v>
      </c>
      <c r="BJ194" s="1231">
        <f t="shared" si="232"/>
        <v>0</v>
      </c>
      <c r="BK194" s="1231">
        <f t="shared" si="233"/>
        <v>0</v>
      </c>
      <c r="BL194" s="1231">
        <f t="shared" si="234"/>
        <v>0</v>
      </c>
      <c r="BM194" s="1231">
        <f t="shared" si="235"/>
        <v>0</v>
      </c>
      <c r="BN194" s="1231">
        <f t="shared" si="236"/>
        <v>0</v>
      </c>
      <c r="BO194" s="1231">
        <f t="shared" si="237"/>
        <v>0</v>
      </c>
      <c r="BP194" s="1231">
        <f t="shared" si="238"/>
        <v>0</v>
      </c>
      <c r="BQ194" s="1231">
        <f t="shared" si="239"/>
        <v>0</v>
      </c>
      <c r="BR194" s="1231">
        <f t="shared" si="240"/>
        <v>0</v>
      </c>
      <c r="BS194" s="1231">
        <f t="shared" si="241"/>
        <v>0</v>
      </c>
      <c r="BT194" s="1231">
        <f t="shared" si="242"/>
        <v>0</v>
      </c>
      <c r="BU194" s="1231">
        <f t="shared" si="243"/>
        <v>0</v>
      </c>
      <c r="BV194" s="1231">
        <f t="shared" si="244"/>
        <v>0</v>
      </c>
      <c r="BW194" s="1231">
        <f t="shared" si="245"/>
        <v>0</v>
      </c>
      <c r="BX194" s="1231">
        <f t="shared" si="246"/>
        <v>0</v>
      </c>
      <c r="BY194" s="1231">
        <f t="shared" si="247"/>
        <v>0</v>
      </c>
      <c r="BZ194" s="1231">
        <f t="shared" si="248"/>
        <v>0</v>
      </c>
      <c r="CA194" s="1231">
        <f t="shared" si="249"/>
        <v>0</v>
      </c>
      <c r="CB194" s="1231">
        <f t="shared" si="250"/>
        <v>0</v>
      </c>
      <c r="CC194" s="1231">
        <f t="shared" si="251"/>
        <v>0</v>
      </c>
      <c r="CD194" s="1231">
        <f t="shared" si="252"/>
        <v>0</v>
      </c>
      <c r="CE194" s="1231">
        <f t="shared" si="253"/>
        <v>0</v>
      </c>
      <c r="CF194" s="1231">
        <f t="shared" si="254"/>
        <v>0</v>
      </c>
      <c r="CG194" s="1231">
        <f t="shared" si="255"/>
        <v>0</v>
      </c>
      <c r="CH194" s="1231">
        <f t="shared" si="256"/>
        <v>0</v>
      </c>
      <c r="CI194" s="1231">
        <f t="shared" si="257"/>
        <v>0</v>
      </c>
      <c r="CJ194" s="1231">
        <f t="shared" si="258"/>
        <v>0</v>
      </c>
      <c r="CK194" s="1231">
        <f t="shared" si="259"/>
        <v>0</v>
      </c>
      <c r="CL194" s="1231">
        <f t="shared" si="260"/>
        <v>0</v>
      </c>
      <c r="CM194" s="1231">
        <f t="shared" si="261"/>
        <v>0</v>
      </c>
      <c r="CN194" s="1231">
        <f t="shared" si="262"/>
        <v>0</v>
      </c>
      <c r="CQ194" s="1165"/>
      <c r="CR194" s="1165"/>
      <c r="CS194" s="1165"/>
      <c r="CT194" s="1165"/>
      <c r="CU194" s="1165"/>
      <c r="CV194" s="1165"/>
      <c r="CW194" s="1165"/>
      <c r="CX194" s="1165"/>
      <c r="CY194" s="1165"/>
      <c r="CZ194" s="1165"/>
      <c r="DA194" s="1165"/>
      <c r="DB194" s="1165"/>
      <c r="DC194" s="1165"/>
      <c r="DD194" s="1165"/>
      <c r="DE194" s="1165"/>
      <c r="DF194" s="1165"/>
      <c r="DG194" s="1165"/>
      <c r="DH194" s="1165"/>
      <c r="DI194" s="1165"/>
      <c r="DJ194" s="1165"/>
      <c r="DK194" s="1232"/>
      <c r="DL194" s="1232"/>
      <c r="DM194" s="1232"/>
      <c r="DN194" s="1232"/>
      <c r="DO194" s="1232"/>
      <c r="DP194" s="1232"/>
      <c r="DQ194" s="1232"/>
      <c r="DR194" s="1232"/>
      <c r="DS194" s="1232"/>
      <c r="DT194" s="1232"/>
      <c r="DU194" s="1232"/>
      <c r="DV194" s="1232"/>
      <c r="DW194" s="1232"/>
      <c r="DX194" s="1232"/>
      <c r="DY194" s="1232"/>
      <c r="DZ194" s="1232"/>
      <c r="EA194" s="1232"/>
      <c r="EB194" s="1232"/>
      <c r="EC194" s="1232"/>
      <c r="ED194" s="1232"/>
      <c r="EE194" s="1232"/>
      <c r="EF194" s="1232"/>
      <c r="EG194" s="1232"/>
      <c r="EH194" s="1232"/>
      <c r="EI194" s="1232"/>
      <c r="EJ194" s="1232"/>
      <c r="EK194" s="1232"/>
      <c r="EL194" s="1232"/>
      <c r="EM194" s="1232"/>
      <c r="EN194" s="1232"/>
      <c r="EO194" s="1232"/>
      <c r="EP194" s="1232"/>
      <c r="EQ194" s="1232"/>
      <c r="ER194" s="1232"/>
      <c r="ES194" s="1232"/>
      <c r="ET194" s="1232"/>
      <c r="EU194" s="1165"/>
      <c r="EV194" s="1165"/>
      <c r="EW194" s="1165"/>
      <c r="EX194" s="1165"/>
      <c r="EY194" s="1165"/>
      <c r="EZ194" s="1165"/>
      <c r="FA194" s="1165"/>
      <c r="FB194" s="1165"/>
      <c r="FC194" s="1165"/>
      <c r="FD194" s="1165"/>
      <c r="FE194" s="1165"/>
      <c r="FF194" s="1165"/>
    </row>
    <row r="195" spans="1:162">
      <c r="A195" s="1224"/>
      <c r="B195" s="1230" t="s">
        <v>92</v>
      </c>
      <c r="C195" s="1231"/>
      <c r="D195" s="1231"/>
      <c r="E195" s="1231"/>
      <c r="F195" s="1231"/>
      <c r="G195" s="1231"/>
      <c r="H195" s="1231"/>
      <c r="I195" s="1231"/>
      <c r="J195" s="1231"/>
      <c r="K195" s="1231"/>
      <c r="L195" s="1231"/>
      <c r="M195" s="1231">
        <f t="shared" ca="1" si="273"/>
        <v>0</v>
      </c>
      <c r="N195" s="1231">
        <f t="shared" ca="1" si="273"/>
        <v>0</v>
      </c>
      <c r="O195" s="1231">
        <f t="shared" ca="1" si="273"/>
        <v>0</v>
      </c>
      <c r="P195" s="1231">
        <f t="shared" ca="1" si="273"/>
        <v>0</v>
      </c>
      <c r="Q195" s="1231">
        <f t="shared" ca="1" si="273"/>
        <v>0</v>
      </c>
      <c r="R195" s="1231"/>
      <c r="S195" s="1231"/>
      <c r="T195" s="1231"/>
      <c r="U195" s="1231"/>
      <c r="V195" s="1231"/>
      <c r="W195" s="1231"/>
      <c r="X195" s="1231"/>
      <c r="Y195" s="1231"/>
      <c r="Z195" s="1231"/>
      <c r="AA195" s="1231"/>
      <c r="AB195" s="1231"/>
      <c r="AC195" s="1231"/>
      <c r="AD195" s="1231"/>
      <c r="AE195" s="1231"/>
      <c r="AF195" s="1231"/>
      <c r="AG195" s="1231">
        <f t="shared" si="203"/>
        <v>0</v>
      </c>
      <c r="AH195" s="1231">
        <f t="shared" si="204"/>
        <v>0</v>
      </c>
      <c r="AI195" s="1231">
        <f t="shared" si="205"/>
        <v>0</v>
      </c>
      <c r="AJ195" s="1231">
        <f t="shared" si="206"/>
        <v>0</v>
      </c>
      <c r="AK195" s="1231">
        <f t="shared" si="207"/>
        <v>0</v>
      </c>
      <c r="AL195" s="1231">
        <f t="shared" si="208"/>
        <v>0</v>
      </c>
      <c r="AM195" s="1231">
        <f t="shared" si="209"/>
        <v>0</v>
      </c>
      <c r="AN195" s="1231">
        <f t="shared" si="210"/>
        <v>0</v>
      </c>
      <c r="AO195" s="1231">
        <f t="shared" si="211"/>
        <v>0</v>
      </c>
      <c r="AP195" s="1231">
        <f t="shared" si="212"/>
        <v>0</v>
      </c>
      <c r="AQ195" s="1231">
        <f t="shared" si="213"/>
        <v>0</v>
      </c>
      <c r="AR195" s="1231">
        <f t="shared" si="214"/>
        <v>0</v>
      </c>
      <c r="AS195" s="1231">
        <f t="shared" si="215"/>
        <v>0</v>
      </c>
      <c r="AT195" s="1231">
        <f t="shared" si="216"/>
        <v>0</v>
      </c>
      <c r="AU195" s="1231">
        <f t="shared" si="217"/>
        <v>0</v>
      </c>
      <c r="AV195" s="1231">
        <f t="shared" si="218"/>
        <v>0</v>
      </c>
      <c r="AW195" s="1231">
        <f t="shared" si="219"/>
        <v>0</v>
      </c>
      <c r="AX195" s="1231">
        <f t="shared" si="220"/>
        <v>0</v>
      </c>
      <c r="AY195" s="1231">
        <f t="shared" si="221"/>
        <v>0</v>
      </c>
      <c r="AZ195" s="1231">
        <f t="shared" si="222"/>
        <v>0</v>
      </c>
      <c r="BA195" s="1231">
        <f t="shared" si="223"/>
        <v>0</v>
      </c>
      <c r="BB195" s="1231">
        <f t="shared" si="224"/>
        <v>0</v>
      </c>
      <c r="BC195" s="1231">
        <f t="shared" si="225"/>
        <v>0</v>
      </c>
      <c r="BD195" s="1231">
        <f t="shared" si="226"/>
        <v>0</v>
      </c>
      <c r="BE195" s="1231">
        <f t="shared" si="227"/>
        <v>0</v>
      </c>
      <c r="BF195" s="1231">
        <f t="shared" si="228"/>
        <v>0</v>
      </c>
      <c r="BG195" s="1231">
        <f t="shared" si="229"/>
        <v>0</v>
      </c>
      <c r="BH195" s="1231">
        <f t="shared" si="230"/>
        <v>0</v>
      </c>
      <c r="BI195" s="1231">
        <f t="shared" si="231"/>
        <v>0</v>
      </c>
      <c r="BJ195" s="1231">
        <f t="shared" si="232"/>
        <v>0</v>
      </c>
      <c r="BK195" s="1231">
        <f t="shared" si="233"/>
        <v>0</v>
      </c>
      <c r="BL195" s="1231">
        <f t="shared" si="234"/>
        <v>0</v>
      </c>
      <c r="BM195" s="1231">
        <f t="shared" si="235"/>
        <v>0</v>
      </c>
      <c r="BN195" s="1231">
        <f t="shared" si="236"/>
        <v>0</v>
      </c>
      <c r="BO195" s="1231">
        <f t="shared" si="237"/>
        <v>0</v>
      </c>
      <c r="BP195" s="1231">
        <f t="shared" si="238"/>
        <v>0</v>
      </c>
      <c r="BQ195" s="1231">
        <f t="shared" si="239"/>
        <v>0</v>
      </c>
      <c r="BR195" s="1231">
        <f t="shared" si="240"/>
        <v>0</v>
      </c>
      <c r="BS195" s="1231">
        <f t="shared" si="241"/>
        <v>0</v>
      </c>
      <c r="BT195" s="1231">
        <f t="shared" si="242"/>
        <v>0</v>
      </c>
      <c r="BU195" s="1231">
        <f t="shared" si="243"/>
        <v>0</v>
      </c>
      <c r="BV195" s="1231">
        <f t="shared" si="244"/>
        <v>0</v>
      </c>
      <c r="BW195" s="1231">
        <f t="shared" si="245"/>
        <v>0</v>
      </c>
      <c r="BX195" s="1231">
        <f t="shared" si="246"/>
        <v>0</v>
      </c>
      <c r="BY195" s="1231">
        <f t="shared" si="247"/>
        <v>0</v>
      </c>
      <c r="BZ195" s="1231">
        <f t="shared" si="248"/>
        <v>0</v>
      </c>
      <c r="CA195" s="1231">
        <f t="shared" si="249"/>
        <v>0</v>
      </c>
      <c r="CB195" s="1231">
        <f t="shared" si="250"/>
        <v>0</v>
      </c>
      <c r="CC195" s="1231">
        <f t="shared" si="251"/>
        <v>0</v>
      </c>
      <c r="CD195" s="1231">
        <f t="shared" si="252"/>
        <v>0</v>
      </c>
      <c r="CE195" s="1231">
        <f t="shared" si="253"/>
        <v>0</v>
      </c>
      <c r="CF195" s="1231">
        <f t="shared" si="254"/>
        <v>0</v>
      </c>
      <c r="CG195" s="1231">
        <f t="shared" si="255"/>
        <v>0</v>
      </c>
      <c r="CH195" s="1231">
        <f t="shared" si="256"/>
        <v>0</v>
      </c>
      <c r="CI195" s="1231">
        <f t="shared" si="257"/>
        <v>0</v>
      </c>
      <c r="CJ195" s="1231">
        <f t="shared" si="258"/>
        <v>0</v>
      </c>
      <c r="CK195" s="1231">
        <f t="shared" si="259"/>
        <v>0</v>
      </c>
      <c r="CL195" s="1231">
        <f t="shared" si="260"/>
        <v>0</v>
      </c>
      <c r="CM195" s="1231">
        <f t="shared" si="261"/>
        <v>0</v>
      </c>
      <c r="CN195" s="1231">
        <f t="shared" si="262"/>
        <v>0</v>
      </c>
      <c r="CO195" s="1165"/>
      <c r="CP195" s="1165"/>
      <c r="CQ195" s="1165"/>
      <c r="CR195" s="1165"/>
      <c r="CS195" s="1165"/>
      <c r="CT195" s="1165"/>
      <c r="CU195" s="1165"/>
      <c r="CV195" s="1165"/>
      <c r="CW195" s="1165"/>
      <c r="CX195" s="1165"/>
      <c r="CY195" s="1165"/>
      <c r="CZ195" s="1165"/>
      <c r="DA195" s="1165"/>
      <c r="DB195" s="1165"/>
      <c r="DC195" s="1165"/>
      <c r="DD195" s="1165"/>
      <c r="DE195" s="1165"/>
      <c r="DF195" s="1165"/>
      <c r="DG195" s="1165"/>
      <c r="DH195" s="1165"/>
      <c r="DI195" s="1165"/>
      <c r="DJ195" s="1165"/>
      <c r="DK195" s="1165"/>
      <c r="DL195" s="1165"/>
      <c r="DM195" s="1165"/>
      <c r="DN195" s="1165"/>
      <c r="DO195" s="1165"/>
      <c r="DP195" s="1165"/>
      <c r="DQ195" s="1165"/>
      <c r="DR195" s="1165"/>
      <c r="DS195" s="1165"/>
      <c r="DT195" s="1165"/>
      <c r="DU195" s="1165"/>
      <c r="DV195" s="1165"/>
      <c r="DW195" s="1165"/>
      <c r="DX195" s="1165"/>
      <c r="DY195" s="1165"/>
      <c r="DZ195" s="1165"/>
      <c r="EA195" s="1165"/>
      <c r="EB195" s="1165"/>
      <c r="EC195" s="1165"/>
      <c r="ED195" s="1165"/>
      <c r="EE195" s="1165"/>
      <c r="EF195" s="1165"/>
      <c r="EG195" s="1165"/>
      <c r="EH195" s="1165"/>
      <c r="EI195" s="1165"/>
      <c r="EJ195" s="1165"/>
      <c r="EK195" s="1165"/>
      <c r="EL195" s="1165"/>
      <c r="EM195" s="1165"/>
      <c r="EN195" s="1165"/>
      <c r="EO195" s="1165"/>
      <c r="EP195" s="1165"/>
      <c r="EQ195" s="1165"/>
      <c r="ER195" s="1165"/>
      <c r="ES195" s="1165"/>
      <c r="ET195" s="1165"/>
      <c r="EU195" s="1165"/>
      <c r="EV195" s="1165"/>
      <c r="EW195" s="1165"/>
      <c r="EX195" s="1165"/>
      <c r="EY195" s="1165"/>
      <c r="EZ195" s="1165"/>
      <c r="FA195" s="1165"/>
      <c r="FB195" s="1165"/>
      <c r="FC195" s="1165"/>
      <c r="FD195" s="1165"/>
      <c r="FE195" s="1165"/>
      <c r="FF195" s="1165"/>
    </row>
    <row r="196" spans="1:162">
      <c r="A196" s="1205" t="s">
        <v>608</v>
      </c>
      <c r="B196" s="1230" t="s">
        <v>93</v>
      </c>
      <c r="C196" s="1231"/>
      <c r="D196" s="1231"/>
      <c r="E196" s="1231"/>
      <c r="F196" s="1231"/>
      <c r="G196" s="1231"/>
      <c r="H196" s="1231"/>
      <c r="I196" s="1231"/>
      <c r="J196" s="1231"/>
      <c r="K196" s="1231"/>
      <c r="L196" s="1231"/>
      <c r="M196" s="1231">
        <f t="shared" ca="1" si="273"/>
        <v>0</v>
      </c>
      <c r="N196" s="1231">
        <f t="shared" ca="1" si="273"/>
        <v>0</v>
      </c>
      <c r="O196" s="1231">
        <f t="shared" ca="1" si="273"/>
        <v>0</v>
      </c>
      <c r="P196" s="1231">
        <f t="shared" ca="1" si="273"/>
        <v>0</v>
      </c>
      <c r="Q196" s="1231">
        <f t="shared" ca="1" si="273"/>
        <v>0</v>
      </c>
      <c r="R196" s="1238">
        <f>INDEX('Basic Data TR'!$A$1:$AMJ$9673,MATCH($A196,'Basic Data TR'!$A$1:$A$9673,0),MATCH(R$6,'Basic Data TR'!$A$1:$AMJ$1,0))</f>
        <v>0</v>
      </c>
      <c r="S196" s="1238">
        <f>INDEX('Basic Data TR'!$A$1:$AMJ$9673,MATCH($A196,'Basic Data TR'!$A$1:$A$9673,0),MATCH(S$6,'Basic Data TR'!$A$1:$AMJ$1,0))</f>
        <v>0</v>
      </c>
      <c r="T196" s="1238">
        <f>INDEX('Basic Data TR'!$A$1:$AMJ$9673,MATCH($A196,'Basic Data TR'!$A$1:$A$9673,0),MATCH(T$6,'Basic Data TR'!$A$1:$AMJ$1,0))</f>
        <v>0</v>
      </c>
      <c r="U196" s="1238">
        <f>INDEX('Basic Data TR'!$A$1:$AMJ$9673,MATCH($A196,'Basic Data TR'!$A$1:$A$9673,0),MATCH(U$6,'Basic Data TR'!$A$1:$AMJ$1,0))</f>
        <v>0</v>
      </c>
      <c r="V196" s="1238">
        <f>INDEX('Basic Data TR'!$A$1:$AMJ$9673,MATCH($A196,'Basic Data TR'!$A$1:$A$9673,0),MATCH(V$6,'Basic Data TR'!$A$1:$AMJ$1,0))</f>
        <v>0</v>
      </c>
      <c r="W196" s="1238">
        <f>INDEX('Basic Data TR'!$A$1:$AMJ$9673,MATCH($A196,'Basic Data TR'!$A$1:$A$9673,0),MATCH(W$6,'Basic Data TR'!$A$1:$AMJ$1,0))</f>
        <v>0</v>
      </c>
      <c r="X196" s="1238">
        <f>INDEX('Basic Data TR'!$A$1:$AMJ$9673,MATCH($A196,'Basic Data TR'!$A$1:$A$9673,0),MATCH(X$6,'Basic Data TR'!$A$1:$AMJ$1,0))</f>
        <v>0</v>
      </c>
      <c r="Y196" s="1238">
        <f>INDEX('Basic Data TR'!$A$1:$AMJ$9673,MATCH($A196,'Basic Data TR'!$A$1:$A$9673,0),MATCH(Y$6,'Basic Data TR'!$A$1:$AMJ$1,0))</f>
        <v>0</v>
      </c>
      <c r="Z196" s="1231">
        <v>0</v>
      </c>
      <c r="AA196" s="1231"/>
      <c r="AB196" s="1231"/>
      <c r="AC196" s="1231"/>
      <c r="AD196" s="1231"/>
      <c r="AE196" s="1231"/>
      <c r="AF196" s="1231"/>
      <c r="AG196" s="1231">
        <f t="shared" si="203"/>
        <v>0</v>
      </c>
      <c r="AH196" s="1231">
        <f t="shared" si="204"/>
        <v>0</v>
      </c>
      <c r="AI196" s="1231">
        <f t="shared" si="205"/>
        <v>0</v>
      </c>
      <c r="AJ196" s="1231">
        <f t="shared" si="206"/>
        <v>0</v>
      </c>
      <c r="AK196" s="1231">
        <f t="shared" si="207"/>
        <v>0</v>
      </c>
      <c r="AL196" s="1231">
        <f t="shared" si="208"/>
        <v>0</v>
      </c>
      <c r="AM196" s="1231">
        <f t="shared" si="209"/>
        <v>0</v>
      </c>
      <c r="AN196" s="1231">
        <f t="shared" si="210"/>
        <v>0</v>
      </c>
      <c r="AO196" s="1231">
        <f t="shared" si="211"/>
        <v>0</v>
      </c>
      <c r="AP196" s="1231">
        <f t="shared" si="212"/>
        <v>0</v>
      </c>
      <c r="AQ196" s="1231">
        <f t="shared" si="213"/>
        <v>0</v>
      </c>
      <c r="AR196" s="1231">
        <f t="shared" si="214"/>
        <v>0</v>
      </c>
      <c r="AS196" s="1231">
        <f t="shared" si="215"/>
        <v>0</v>
      </c>
      <c r="AT196" s="1231">
        <f t="shared" si="216"/>
        <v>0</v>
      </c>
      <c r="AU196" s="1231">
        <f t="shared" si="217"/>
        <v>0</v>
      </c>
      <c r="AV196" s="1231">
        <f t="shared" si="218"/>
        <v>0</v>
      </c>
      <c r="AW196" s="1231">
        <f t="shared" si="219"/>
        <v>0</v>
      </c>
      <c r="AX196" s="1231">
        <f t="shared" si="220"/>
        <v>0</v>
      </c>
      <c r="AY196" s="1231">
        <f t="shared" si="221"/>
        <v>0</v>
      </c>
      <c r="AZ196" s="1231">
        <f t="shared" si="222"/>
        <v>0</v>
      </c>
      <c r="BA196" s="1231">
        <f t="shared" si="223"/>
        <v>0</v>
      </c>
      <c r="BB196" s="1231">
        <f t="shared" si="224"/>
        <v>0</v>
      </c>
      <c r="BC196" s="1231">
        <f t="shared" si="225"/>
        <v>0</v>
      </c>
      <c r="BD196" s="1231">
        <f t="shared" si="226"/>
        <v>0</v>
      </c>
      <c r="BE196" s="1231">
        <f t="shared" si="227"/>
        <v>0</v>
      </c>
      <c r="BF196" s="1231">
        <f t="shared" si="228"/>
        <v>0</v>
      </c>
      <c r="BG196" s="1231">
        <f t="shared" si="229"/>
        <v>0</v>
      </c>
      <c r="BH196" s="1231">
        <f t="shared" si="230"/>
        <v>0</v>
      </c>
      <c r="BI196" s="1231">
        <f t="shared" si="231"/>
        <v>0</v>
      </c>
      <c r="BJ196" s="1231">
        <f t="shared" si="232"/>
        <v>0</v>
      </c>
      <c r="BK196" s="1231">
        <f t="shared" si="233"/>
        <v>0</v>
      </c>
      <c r="BL196" s="1231">
        <f t="shared" si="234"/>
        <v>0</v>
      </c>
      <c r="BM196" s="1231">
        <f t="shared" si="235"/>
        <v>0</v>
      </c>
      <c r="BN196" s="1231">
        <f t="shared" si="236"/>
        <v>0</v>
      </c>
      <c r="BO196" s="1231">
        <f t="shared" si="237"/>
        <v>0</v>
      </c>
      <c r="BP196" s="1231">
        <f t="shared" si="238"/>
        <v>0</v>
      </c>
      <c r="BQ196" s="1231">
        <f t="shared" si="239"/>
        <v>0</v>
      </c>
      <c r="BR196" s="1231">
        <f t="shared" si="240"/>
        <v>0</v>
      </c>
      <c r="BS196" s="1231">
        <f t="shared" si="241"/>
        <v>0</v>
      </c>
      <c r="BT196" s="1231">
        <f t="shared" si="242"/>
        <v>0</v>
      </c>
      <c r="BU196" s="1231">
        <f t="shared" si="243"/>
        <v>0</v>
      </c>
      <c r="BV196" s="1231">
        <f t="shared" si="244"/>
        <v>0</v>
      </c>
      <c r="BW196" s="1231">
        <f t="shared" si="245"/>
        <v>0</v>
      </c>
      <c r="BX196" s="1231">
        <f t="shared" si="246"/>
        <v>0</v>
      </c>
      <c r="BY196" s="1231">
        <f t="shared" si="247"/>
        <v>0</v>
      </c>
      <c r="BZ196" s="1231">
        <f t="shared" si="248"/>
        <v>0</v>
      </c>
      <c r="CA196" s="1231">
        <f t="shared" si="249"/>
        <v>0</v>
      </c>
      <c r="CB196" s="1231">
        <f t="shared" si="250"/>
        <v>0</v>
      </c>
      <c r="CC196" s="1231">
        <f t="shared" si="251"/>
        <v>0</v>
      </c>
      <c r="CD196" s="1231">
        <f t="shared" si="252"/>
        <v>0</v>
      </c>
      <c r="CE196" s="1231">
        <f t="shared" si="253"/>
        <v>0</v>
      </c>
      <c r="CF196" s="1231">
        <f t="shared" si="254"/>
        <v>0</v>
      </c>
      <c r="CG196" s="1231">
        <f t="shared" si="255"/>
        <v>0</v>
      </c>
      <c r="CH196" s="1231">
        <f t="shared" si="256"/>
        <v>0</v>
      </c>
      <c r="CI196" s="1231">
        <f t="shared" si="257"/>
        <v>0</v>
      </c>
      <c r="CJ196" s="1231">
        <f t="shared" si="258"/>
        <v>0</v>
      </c>
      <c r="CK196" s="1231">
        <f t="shared" si="259"/>
        <v>0</v>
      </c>
      <c r="CL196" s="1231">
        <f t="shared" si="260"/>
        <v>0</v>
      </c>
      <c r="CM196" s="1231">
        <f t="shared" si="261"/>
        <v>0</v>
      </c>
      <c r="CN196" s="1231">
        <f t="shared" si="262"/>
        <v>0</v>
      </c>
      <c r="CO196" s="1165"/>
      <c r="CP196" s="1165"/>
      <c r="CQ196" s="1165"/>
      <c r="CR196" s="1165"/>
      <c r="CS196" s="1165"/>
      <c r="CT196" s="1165"/>
      <c r="CU196" s="1165"/>
      <c r="CV196" s="1165"/>
      <c r="CW196" s="1165"/>
      <c r="CX196" s="1165"/>
      <c r="CY196" s="1165"/>
      <c r="CZ196" s="1165"/>
      <c r="DA196" s="1165"/>
      <c r="DB196" s="1165"/>
      <c r="DC196" s="1165"/>
      <c r="DD196" s="1165"/>
      <c r="DE196" s="1165"/>
      <c r="DF196" s="1165"/>
      <c r="DG196" s="1165"/>
      <c r="DH196" s="1165"/>
      <c r="DI196" s="1165"/>
      <c r="DJ196" s="1165"/>
      <c r="DK196" s="1238"/>
      <c r="DL196" s="1238"/>
      <c r="DM196" s="1238"/>
      <c r="DN196" s="1238"/>
      <c r="DO196" s="1238"/>
      <c r="DP196" s="1238"/>
      <c r="DQ196" s="1238"/>
      <c r="DR196" s="1238"/>
      <c r="DS196" s="1238"/>
      <c r="DT196" s="1238"/>
      <c r="DU196" s="1238"/>
      <c r="DV196" s="1238"/>
      <c r="DW196" s="1238"/>
      <c r="DX196" s="1238"/>
      <c r="DY196" s="1238"/>
      <c r="DZ196" s="1238"/>
      <c r="EA196" s="1238"/>
      <c r="EB196" s="1238"/>
      <c r="EC196" s="1238"/>
      <c r="ED196" s="1238"/>
      <c r="EE196" s="1238"/>
      <c r="EF196" s="1238"/>
      <c r="EG196" s="1238"/>
      <c r="EH196" s="1238"/>
      <c r="EI196" s="1238"/>
      <c r="EJ196" s="1238"/>
      <c r="EK196" s="1238"/>
      <c r="EL196" s="1238"/>
      <c r="EM196" s="1238"/>
      <c r="EN196" s="1238"/>
      <c r="EO196" s="1238"/>
      <c r="EP196" s="1238"/>
      <c r="EQ196" s="1238"/>
      <c r="ER196" s="1238"/>
      <c r="ES196" s="1238"/>
      <c r="ET196" s="1238"/>
      <c r="EU196" s="1165"/>
      <c r="EV196" s="1165"/>
      <c r="EW196" s="1165"/>
      <c r="EX196" s="1165"/>
      <c r="EY196" s="1165"/>
      <c r="EZ196" s="1165"/>
      <c r="FA196" s="1165"/>
      <c r="FB196" s="1165"/>
      <c r="FC196" s="1165"/>
      <c r="FD196" s="1165"/>
      <c r="FE196" s="1165"/>
      <c r="FF196" s="1165"/>
    </row>
    <row r="197" spans="1:162">
      <c r="A197" s="1224"/>
      <c r="B197" s="1230" t="s">
        <v>346</v>
      </c>
      <c r="M197" s="1236">
        <f t="shared" ca="1" si="273"/>
        <v>0</v>
      </c>
      <c r="N197" s="1236">
        <f t="shared" ca="1" si="273"/>
        <v>0</v>
      </c>
      <c r="O197" s="1236">
        <f t="shared" ca="1" si="273"/>
        <v>0</v>
      </c>
      <c r="P197" s="1236">
        <f t="shared" ca="1" si="273"/>
        <v>0</v>
      </c>
      <c r="Q197" s="1236">
        <f t="shared" ca="1" si="273"/>
        <v>0</v>
      </c>
      <c r="R197" s="1212">
        <f t="shared" ref="R197:Y197" si="277">R198-R191-R194-R195-R196</f>
        <v>-1.0922679999998763</v>
      </c>
      <c r="S197" s="1212">
        <f t="shared" si="277"/>
        <v>41.493000000000393</v>
      </c>
      <c r="T197" s="1212">
        <f t="shared" si="277"/>
        <v>41.923999999999978</v>
      </c>
      <c r="U197" s="1212">
        <f t="shared" si="277"/>
        <v>74.9399999999996</v>
      </c>
      <c r="V197" s="1212">
        <f t="shared" si="277"/>
        <v>98.333000000000538</v>
      </c>
      <c r="W197" s="1212">
        <f t="shared" si="277"/>
        <v>96.644000000000233</v>
      </c>
      <c r="X197" s="1212">
        <f t="shared" si="277"/>
        <v>93.563000000000102</v>
      </c>
      <c r="Y197" s="1212">
        <f t="shared" si="277"/>
        <v>198.7420000000011</v>
      </c>
      <c r="Z197" s="1212"/>
      <c r="AG197" s="1236">
        <f t="shared" si="203"/>
        <v>0</v>
      </c>
      <c r="AH197" s="1236">
        <f t="shared" si="204"/>
        <v>0</v>
      </c>
      <c r="AI197" s="1236">
        <f t="shared" si="205"/>
        <v>0</v>
      </c>
      <c r="AJ197" s="1236">
        <f t="shared" si="206"/>
        <v>0</v>
      </c>
      <c r="AK197" s="1236">
        <f t="shared" si="207"/>
        <v>0</v>
      </c>
      <c r="AL197" s="1236">
        <f t="shared" si="208"/>
        <v>0</v>
      </c>
      <c r="AM197" s="1236">
        <f t="shared" si="209"/>
        <v>0</v>
      </c>
      <c r="AN197" s="1236">
        <f t="shared" si="210"/>
        <v>0</v>
      </c>
      <c r="AO197" s="1236">
        <f t="shared" si="211"/>
        <v>0</v>
      </c>
      <c r="AP197" s="1236">
        <f t="shared" si="212"/>
        <v>0</v>
      </c>
      <c r="AQ197" s="1236">
        <f t="shared" si="213"/>
        <v>0</v>
      </c>
      <c r="AR197" s="1236">
        <f t="shared" si="214"/>
        <v>0</v>
      </c>
      <c r="AS197" s="1236">
        <f t="shared" si="215"/>
        <v>0</v>
      </c>
      <c r="AT197" s="1236">
        <f t="shared" si="216"/>
        <v>0</v>
      </c>
      <c r="AU197" s="1236">
        <f t="shared" si="217"/>
        <v>0</v>
      </c>
      <c r="AV197" s="1236">
        <f t="shared" si="218"/>
        <v>0</v>
      </c>
      <c r="AW197" s="1236">
        <f t="shared" si="219"/>
        <v>0</v>
      </c>
      <c r="AX197" s="1236">
        <f t="shared" si="220"/>
        <v>0</v>
      </c>
      <c r="AY197" s="1236">
        <f t="shared" si="221"/>
        <v>0</v>
      </c>
      <c r="AZ197" s="1236">
        <f t="shared" si="222"/>
        <v>0</v>
      </c>
      <c r="BA197" s="1236">
        <f t="shared" si="223"/>
        <v>0</v>
      </c>
      <c r="BB197" s="1236">
        <f t="shared" si="224"/>
        <v>0</v>
      </c>
      <c r="BC197" s="1236">
        <f t="shared" si="225"/>
        <v>0</v>
      </c>
      <c r="BD197" s="1236">
        <f t="shared" si="226"/>
        <v>0</v>
      </c>
      <c r="BE197" s="1236">
        <f t="shared" si="227"/>
        <v>0</v>
      </c>
      <c r="BF197" s="1236">
        <f t="shared" si="228"/>
        <v>0</v>
      </c>
      <c r="BG197" s="1236">
        <f t="shared" si="229"/>
        <v>0</v>
      </c>
      <c r="BH197" s="1236">
        <f t="shared" si="230"/>
        <v>0</v>
      </c>
      <c r="BI197" s="1236">
        <f t="shared" si="231"/>
        <v>0</v>
      </c>
      <c r="BJ197" s="1236">
        <f t="shared" si="232"/>
        <v>0</v>
      </c>
      <c r="BK197" s="1236">
        <f t="shared" si="233"/>
        <v>0</v>
      </c>
      <c r="BL197" s="1236">
        <f t="shared" si="234"/>
        <v>0</v>
      </c>
      <c r="BM197" s="1236">
        <f t="shared" si="235"/>
        <v>0</v>
      </c>
      <c r="BN197" s="1236">
        <f t="shared" si="236"/>
        <v>0</v>
      </c>
      <c r="BO197" s="1236">
        <f t="shared" si="237"/>
        <v>0</v>
      </c>
      <c r="BP197" s="1236">
        <f t="shared" si="238"/>
        <v>0</v>
      </c>
      <c r="BQ197" s="1236">
        <f t="shared" si="239"/>
        <v>0</v>
      </c>
      <c r="BR197" s="1236">
        <f t="shared" si="240"/>
        <v>0</v>
      </c>
      <c r="BS197" s="1236">
        <f t="shared" si="241"/>
        <v>0</v>
      </c>
      <c r="BT197" s="1236">
        <f t="shared" si="242"/>
        <v>0</v>
      </c>
      <c r="BU197" s="1236">
        <f t="shared" si="243"/>
        <v>0</v>
      </c>
      <c r="BV197" s="1236">
        <f t="shared" si="244"/>
        <v>0</v>
      </c>
      <c r="BW197" s="1236">
        <f t="shared" si="245"/>
        <v>0</v>
      </c>
      <c r="BX197" s="1236">
        <f t="shared" si="246"/>
        <v>0</v>
      </c>
      <c r="BY197" s="1236">
        <f t="shared" si="247"/>
        <v>0</v>
      </c>
      <c r="BZ197" s="1236">
        <f t="shared" si="248"/>
        <v>0</v>
      </c>
      <c r="CA197" s="1236">
        <f t="shared" si="249"/>
        <v>0</v>
      </c>
      <c r="CB197" s="1236">
        <f t="shared" si="250"/>
        <v>0</v>
      </c>
      <c r="CC197" s="1236">
        <f t="shared" si="251"/>
        <v>0</v>
      </c>
      <c r="CD197" s="1236">
        <f t="shared" si="252"/>
        <v>0</v>
      </c>
      <c r="CE197" s="1236">
        <f t="shared" si="253"/>
        <v>0</v>
      </c>
      <c r="CF197" s="1236">
        <f t="shared" si="254"/>
        <v>0</v>
      </c>
      <c r="CG197" s="1236">
        <f t="shared" si="255"/>
        <v>0</v>
      </c>
      <c r="CH197" s="1236">
        <f t="shared" si="256"/>
        <v>0</v>
      </c>
      <c r="CI197" s="1236">
        <f t="shared" si="257"/>
        <v>0</v>
      </c>
      <c r="CJ197" s="1236">
        <f t="shared" si="258"/>
        <v>0</v>
      </c>
      <c r="CK197" s="1236">
        <f t="shared" si="259"/>
        <v>0</v>
      </c>
      <c r="CL197" s="1236">
        <f t="shared" si="260"/>
        <v>0</v>
      </c>
      <c r="CM197" s="1236">
        <f t="shared" si="261"/>
        <v>0</v>
      </c>
      <c r="CN197" s="1236">
        <f t="shared" si="262"/>
        <v>0</v>
      </c>
      <c r="CO197" s="1165"/>
      <c r="CP197" s="1165"/>
      <c r="CQ197" s="1165"/>
      <c r="CR197" s="1165"/>
      <c r="CS197" s="1165"/>
      <c r="CT197" s="1165"/>
      <c r="CU197" s="1165"/>
      <c r="CV197" s="1165"/>
      <c r="CW197" s="1165"/>
      <c r="CX197" s="1165"/>
      <c r="CY197" s="1165"/>
      <c r="CZ197" s="1165"/>
      <c r="DA197" s="1165"/>
      <c r="DB197" s="1165"/>
      <c r="DC197" s="1165"/>
      <c r="DD197" s="1165"/>
      <c r="DE197" s="1165"/>
      <c r="DF197" s="1165"/>
      <c r="DG197" s="1165"/>
      <c r="DH197" s="1165"/>
      <c r="DI197" s="1165"/>
      <c r="DJ197" s="1165"/>
      <c r="DK197" s="1212"/>
      <c r="DL197" s="1212"/>
      <c r="DM197" s="1212"/>
      <c r="DN197" s="1212"/>
      <c r="DO197" s="1212"/>
      <c r="DP197" s="1212"/>
      <c r="DQ197" s="1212"/>
      <c r="DR197" s="1212"/>
      <c r="DS197" s="1212"/>
      <c r="DT197" s="1212"/>
      <c r="DU197" s="1212"/>
      <c r="DV197" s="1212"/>
      <c r="DW197" s="1212"/>
      <c r="DX197" s="1212"/>
      <c r="DY197" s="1212"/>
      <c r="DZ197" s="1212"/>
      <c r="EA197" s="1212"/>
      <c r="EB197" s="1212"/>
      <c r="EC197" s="1212"/>
      <c r="ED197" s="1212"/>
      <c r="EE197" s="1212"/>
      <c r="EF197" s="1212"/>
      <c r="EG197" s="1212"/>
      <c r="EH197" s="1212"/>
      <c r="EI197" s="1212"/>
      <c r="EJ197" s="1212"/>
      <c r="EK197" s="1212"/>
      <c r="EL197" s="1212"/>
      <c r="EM197" s="1212"/>
      <c r="EN197" s="1212"/>
      <c r="EO197" s="1212"/>
      <c r="EP197" s="1212"/>
      <c r="EQ197" s="1212"/>
      <c r="ER197" s="1212"/>
      <c r="ES197" s="1212"/>
      <c r="ET197" s="1212"/>
      <c r="EU197" s="1165"/>
      <c r="EV197" s="1165"/>
      <c r="EW197" s="1165"/>
      <c r="EX197" s="1165"/>
      <c r="EY197" s="1165"/>
      <c r="EZ197" s="1165"/>
      <c r="FA197" s="1165"/>
      <c r="FB197" s="1165"/>
      <c r="FC197" s="1165"/>
      <c r="FD197" s="1165"/>
      <c r="FE197" s="1165"/>
      <c r="FF197" s="1165"/>
    </row>
    <row r="198" spans="1:162" s="1231" customFormat="1">
      <c r="A198" s="1224" t="s">
        <v>347</v>
      </c>
      <c r="B198" s="1230" t="s">
        <v>347</v>
      </c>
      <c r="M198" s="1231">
        <f t="shared" ca="1" si="273"/>
        <v>0</v>
      </c>
      <c r="N198" s="1231">
        <f t="shared" ca="1" si="273"/>
        <v>0</v>
      </c>
      <c r="O198" s="1231">
        <f t="shared" ca="1" si="273"/>
        <v>0</v>
      </c>
      <c r="P198" s="1231">
        <f t="shared" ca="1" si="273"/>
        <v>0</v>
      </c>
      <c r="Q198" s="1231">
        <f t="shared" ca="1" si="273"/>
        <v>0</v>
      </c>
      <c r="R198" s="1231">
        <f>R202-R200</f>
        <v>2169.5373319999999</v>
      </c>
      <c r="S198" s="1231">
        <f t="shared" ref="S198:Z198" si="278">S202-S200</f>
        <v>2244.8160000000003</v>
      </c>
      <c r="T198" s="1231">
        <f t="shared" si="278"/>
        <v>2271.2760000000003</v>
      </c>
      <c r="U198" s="1231">
        <f t="shared" si="278"/>
        <v>2483.7719999999999</v>
      </c>
      <c r="V198" s="1231">
        <f t="shared" si="278"/>
        <v>2948.415</v>
      </c>
      <c r="W198" s="1231">
        <f t="shared" si="278"/>
        <v>3729.8560000000002</v>
      </c>
      <c r="X198" s="1231">
        <f t="shared" si="278"/>
        <v>4150.674</v>
      </c>
      <c r="Y198" s="1231">
        <f t="shared" si="278"/>
        <v>5233.0330000000004</v>
      </c>
      <c r="Z198" s="1231">
        <f t="shared" si="278"/>
        <v>6017.8140000000003</v>
      </c>
      <c r="AG198" s="1231">
        <f t="shared" si="203"/>
        <v>0</v>
      </c>
      <c r="AH198" s="1231">
        <f t="shared" si="204"/>
        <v>0</v>
      </c>
      <c r="AI198" s="1231">
        <f t="shared" si="205"/>
        <v>0</v>
      </c>
      <c r="AJ198" s="1231">
        <f t="shared" si="206"/>
        <v>0</v>
      </c>
      <c r="AK198" s="1231">
        <f t="shared" si="207"/>
        <v>0</v>
      </c>
      <c r="AL198" s="1231">
        <f t="shared" si="208"/>
        <v>0</v>
      </c>
      <c r="AM198" s="1231">
        <f t="shared" si="209"/>
        <v>0</v>
      </c>
      <c r="AN198" s="1231">
        <f t="shared" si="210"/>
        <v>0</v>
      </c>
      <c r="AO198" s="1231">
        <f t="shared" si="211"/>
        <v>0</v>
      </c>
      <c r="AP198" s="1231">
        <f t="shared" si="212"/>
        <v>0</v>
      </c>
      <c r="AQ198" s="1231">
        <f t="shared" si="213"/>
        <v>0</v>
      </c>
      <c r="AR198" s="1231">
        <f t="shared" si="214"/>
        <v>0</v>
      </c>
      <c r="AS198" s="1231">
        <f t="shared" si="215"/>
        <v>0</v>
      </c>
      <c r="AT198" s="1231">
        <f t="shared" si="216"/>
        <v>0</v>
      </c>
      <c r="AU198" s="1231">
        <f t="shared" si="217"/>
        <v>0</v>
      </c>
      <c r="AV198" s="1231">
        <f t="shared" si="218"/>
        <v>0</v>
      </c>
      <c r="AW198" s="1231">
        <f t="shared" si="219"/>
        <v>0</v>
      </c>
      <c r="AX198" s="1231">
        <f t="shared" si="220"/>
        <v>0</v>
      </c>
      <c r="AY198" s="1231">
        <f t="shared" si="221"/>
        <v>0</v>
      </c>
      <c r="AZ198" s="1231">
        <f t="shared" si="222"/>
        <v>0</v>
      </c>
      <c r="BA198" s="1231">
        <f t="shared" si="223"/>
        <v>0</v>
      </c>
      <c r="BB198" s="1231">
        <f t="shared" si="224"/>
        <v>0</v>
      </c>
      <c r="BC198" s="1231">
        <f t="shared" si="225"/>
        <v>0</v>
      </c>
      <c r="BD198" s="1231">
        <f t="shared" si="226"/>
        <v>0</v>
      </c>
      <c r="BE198" s="1231">
        <f t="shared" si="227"/>
        <v>0</v>
      </c>
      <c r="BF198" s="1231">
        <f t="shared" si="228"/>
        <v>0</v>
      </c>
      <c r="BG198" s="1231">
        <f t="shared" si="229"/>
        <v>0</v>
      </c>
      <c r="BH198" s="1231">
        <f t="shared" si="230"/>
        <v>0</v>
      </c>
      <c r="BI198" s="1231">
        <f t="shared" si="231"/>
        <v>0</v>
      </c>
      <c r="BJ198" s="1231">
        <f t="shared" si="232"/>
        <v>0</v>
      </c>
      <c r="BK198" s="1231">
        <f t="shared" si="233"/>
        <v>0</v>
      </c>
      <c r="BL198" s="1231">
        <f t="shared" si="234"/>
        <v>0</v>
      </c>
      <c r="BM198" s="1231">
        <f t="shared" si="235"/>
        <v>0</v>
      </c>
      <c r="BN198" s="1231">
        <f t="shared" si="236"/>
        <v>0</v>
      </c>
      <c r="BO198" s="1231">
        <f t="shared" si="237"/>
        <v>0</v>
      </c>
      <c r="BP198" s="1231">
        <f t="shared" si="238"/>
        <v>0</v>
      </c>
      <c r="BQ198" s="1231">
        <f t="shared" si="239"/>
        <v>0</v>
      </c>
      <c r="BR198" s="1231">
        <f t="shared" si="240"/>
        <v>0</v>
      </c>
      <c r="BS198" s="1231">
        <f t="shared" si="241"/>
        <v>0</v>
      </c>
      <c r="BT198" s="1231">
        <f t="shared" si="242"/>
        <v>0</v>
      </c>
      <c r="BU198" s="1231">
        <f t="shared" si="243"/>
        <v>0</v>
      </c>
      <c r="BV198" s="1231">
        <f t="shared" si="244"/>
        <v>0</v>
      </c>
      <c r="BW198" s="1231">
        <f t="shared" si="245"/>
        <v>0</v>
      </c>
      <c r="BX198" s="1231">
        <f t="shared" si="246"/>
        <v>0</v>
      </c>
      <c r="BY198" s="1231">
        <f t="shared" si="247"/>
        <v>0</v>
      </c>
      <c r="BZ198" s="1231">
        <f t="shared" si="248"/>
        <v>0</v>
      </c>
      <c r="CA198" s="1231">
        <f t="shared" si="249"/>
        <v>0</v>
      </c>
      <c r="CB198" s="1231">
        <f t="shared" si="250"/>
        <v>0</v>
      </c>
      <c r="CC198" s="1231">
        <f t="shared" si="251"/>
        <v>0</v>
      </c>
      <c r="CD198" s="1231">
        <f t="shared" si="252"/>
        <v>0</v>
      </c>
      <c r="CE198" s="1231">
        <f t="shared" si="253"/>
        <v>0</v>
      </c>
      <c r="CF198" s="1231">
        <f t="shared" si="254"/>
        <v>0</v>
      </c>
      <c r="CG198" s="1231">
        <f t="shared" si="255"/>
        <v>0</v>
      </c>
      <c r="CH198" s="1231">
        <f t="shared" si="256"/>
        <v>0</v>
      </c>
      <c r="CI198" s="1231">
        <f t="shared" si="257"/>
        <v>0</v>
      </c>
      <c r="CJ198" s="1231">
        <f t="shared" si="258"/>
        <v>0</v>
      </c>
      <c r="CK198" s="1231">
        <f t="shared" si="259"/>
        <v>0</v>
      </c>
      <c r="CL198" s="1231">
        <f t="shared" si="260"/>
        <v>0</v>
      </c>
      <c r="CM198" s="1231">
        <f t="shared" si="261"/>
        <v>0</v>
      </c>
      <c r="CN198" s="1231">
        <f t="shared" si="262"/>
        <v>0</v>
      </c>
      <c r="CQ198" s="1165"/>
      <c r="CR198" s="1165"/>
      <c r="CS198" s="1165"/>
      <c r="CT198" s="1165"/>
      <c r="CU198" s="1165"/>
      <c r="CV198" s="1165"/>
      <c r="CW198" s="1165"/>
      <c r="CX198" s="1165"/>
      <c r="CY198" s="1165"/>
      <c r="CZ198" s="1165"/>
      <c r="DA198" s="1165"/>
      <c r="DB198" s="1165"/>
      <c r="DC198" s="1165"/>
      <c r="DD198" s="1165"/>
      <c r="DE198" s="1165"/>
      <c r="DF198" s="1165"/>
      <c r="DG198" s="1165"/>
      <c r="DH198" s="1165"/>
      <c r="DI198" s="1165"/>
      <c r="DJ198" s="1165"/>
      <c r="DK198" s="1232"/>
      <c r="DL198" s="1232"/>
      <c r="DM198" s="1232"/>
      <c r="DN198" s="1232"/>
      <c r="DO198" s="1232"/>
      <c r="DP198" s="1232"/>
      <c r="DQ198" s="1232"/>
      <c r="DR198" s="1232"/>
      <c r="DS198" s="1232"/>
      <c r="DT198" s="1232"/>
      <c r="DU198" s="1232"/>
      <c r="DV198" s="1232"/>
      <c r="DW198" s="1232"/>
      <c r="DX198" s="1232"/>
      <c r="DY198" s="1232"/>
      <c r="DZ198" s="1232"/>
      <c r="EA198" s="1232"/>
      <c r="EB198" s="1232"/>
      <c r="EC198" s="1232"/>
      <c r="ED198" s="1232"/>
      <c r="EE198" s="1232"/>
      <c r="EF198" s="1232"/>
      <c r="EG198" s="1232"/>
      <c r="EH198" s="1232"/>
      <c r="EI198" s="1232"/>
      <c r="EJ198" s="1232"/>
      <c r="EK198" s="1232"/>
      <c r="EL198" s="1232"/>
      <c r="EM198" s="1232"/>
      <c r="EN198" s="1232"/>
      <c r="EO198" s="1232"/>
      <c r="EP198" s="1232"/>
      <c r="EQ198" s="1232"/>
      <c r="ER198" s="1232"/>
      <c r="ES198" s="1232"/>
      <c r="ET198" s="1232"/>
      <c r="EU198" s="1165"/>
      <c r="EV198" s="1165"/>
      <c r="EW198" s="1165"/>
      <c r="EX198" s="1165"/>
      <c r="EY198" s="1165"/>
      <c r="EZ198" s="1165"/>
      <c r="FA198" s="1165"/>
      <c r="FB198" s="1165"/>
      <c r="FC198" s="1165"/>
      <c r="FD198" s="1165"/>
      <c r="FE198" s="1165"/>
      <c r="FF198" s="1165"/>
    </row>
    <row r="199" spans="1:162">
      <c r="A199" s="1224"/>
      <c r="B199" s="1230"/>
      <c r="C199" s="1231"/>
      <c r="D199" s="1231"/>
      <c r="E199" s="1231"/>
      <c r="F199" s="1231"/>
      <c r="G199" s="1231"/>
      <c r="H199" s="1231"/>
      <c r="I199" s="1231"/>
      <c r="J199" s="1231"/>
      <c r="K199" s="1231"/>
      <c r="L199" s="1231"/>
      <c r="M199" s="1231"/>
      <c r="N199" s="1231"/>
      <c r="O199" s="1231"/>
      <c r="P199" s="1231"/>
      <c r="Q199" s="1231"/>
      <c r="R199" s="1231"/>
      <c r="S199" s="1231"/>
      <c r="T199" s="1231"/>
      <c r="U199" s="1231"/>
      <c r="V199" s="1231"/>
      <c r="W199" s="1231"/>
      <c r="X199" s="1231"/>
      <c r="Y199" s="1231"/>
      <c r="Z199" s="1231"/>
      <c r="AA199" s="1231"/>
      <c r="AB199" s="1231"/>
      <c r="AC199" s="1231"/>
      <c r="AD199" s="1231"/>
      <c r="AE199" s="1231"/>
      <c r="AF199" s="1231"/>
      <c r="AG199" s="1231">
        <f t="shared" si="203"/>
        <v>0</v>
      </c>
      <c r="AH199" s="1231">
        <f t="shared" si="204"/>
        <v>0</v>
      </c>
      <c r="AI199" s="1231">
        <f t="shared" si="205"/>
        <v>0</v>
      </c>
      <c r="AJ199" s="1231">
        <f t="shared" si="206"/>
        <v>0</v>
      </c>
      <c r="AK199" s="1231">
        <f t="shared" si="207"/>
        <v>0</v>
      </c>
      <c r="AL199" s="1231">
        <f t="shared" si="208"/>
        <v>0</v>
      </c>
      <c r="AM199" s="1231">
        <f t="shared" si="209"/>
        <v>0</v>
      </c>
      <c r="AN199" s="1231">
        <f t="shared" si="210"/>
        <v>0</v>
      </c>
      <c r="AO199" s="1231">
        <f t="shared" si="211"/>
        <v>0</v>
      </c>
      <c r="AP199" s="1231">
        <f t="shared" si="212"/>
        <v>0</v>
      </c>
      <c r="AQ199" s="1231">
        <f t="shared" si="213"/>
        <v>0</v>
      </c>
      <c r="AR199" s="1231">
        <f t="shared" si="214"/>
        <v>0</v>
      </c>
      <c r="AS199" s="1231">
        <f t="shared" si="215"/>
        <v>0</v>
      </c>
      <c r="AT199" s="1231">
        <f t="shared" si="216"/>
        <v>0</v>
      </c>
      <c r="AU199" s="1231">
        <f t="shared" si="217"/>
        <v>0</v>
      </c>
      <c r="AV199" s="1231">
        <f t="shared" si="218"/>
        <v>0</v>
      </c>
      <c r="AW199" s="1231">
        <f t="shared" si="219"/>
        <v>0</v>
      </c>
      <c r="AX199" s="1231">
        <f t="shared" si="220"/>
        <v>0</v>
      </c>
      <c r="AY199" s="1231">
        <f t="shared" si="221"/>
        <v>0</v>
      </c>
      <c r="AZ199" s="1231">
        <f t="shared" si="222"/>
        <v>0</v>
      </c>
      <c r="BA199" s="1231">
        <f t="shared" si="223"/>
        <v>0</v>
      </c>
      <c r="BB199" s="1231">
        <f t="shared" si="224"/>
        <v>0</v>
      </c>
      <c r="BC199" s="1231">
        <f t="shared" si="225"/>
        <v>0</v>
      </c>
      <c r="BD199" s="1231">
        <f t="shared" si="226"/>
        <v>0</v>
      </c>
      <c r="BE199" s="1231">
        <f t="shared" si="227"/>
        <v>0</v>
      </c>
      <c r="BF199" s="1231">
        <f t="shared" si="228"/>
        <v>0</v>
      </c>
      <c r="BG199" s="1231">
        <f t="shared" si="229"/>
        <v>0</v>
      </c>
      <c r="BH199" s="1231">
        <f t="shared" si="230"/>
        <v>0</v>
      </c>
      <c r="BI199" s="1231">
        <f t="shared" si="231"/>
        <v>0</v>
      </c>
      <c r="BJ199" s="1231">
        <f t="shared" si="232"/>
        <v>0</v>
      </c>
      <c r="BK199" s="1231">
        <f t="shared" si="233"/>
        <v>0</v>
      </c>
      <c r="BL199" s="1231">
        <f t="shared" si="234"/>
        <v>0</v>
      </c>
      <c r="BM199" s="1231">
        <f t="shared" si="235"/>
        <v>0</v>
      </c>
      <c r="BN199" s="1231">
        <f t="shared" si="236"/>
        <v>0</v>
      </c>
      <c r="BO199" s="1231">
        <f t="shared" si="237"/>
        <v>0</v>
      </c>
      <c r="BP199" s="1231">
        <f t="shared" si="238"/>
        <v>0</v>
      </c>
      <c r="BQ199" s="1231">
        <f t="shared" si="239"/>
        <v>0</v>
      </c>
      <c r="BR199" s="1231">
        <f t="shared" si="240"/>
        <v>0</v>
      </c>
      <c r="BS199" s="1231">
        <f t="shared" si="241"/>
        <v>0</v>
      </c>
      <c r="BT199" s="1231">
        <f t="shared" si="242"/>
        <v>0</v>
      </c>
      <c r="BU199" s="1231">
        <f t="shared" si="243"/>
        <v>0</v>
      </c>
      <c r="BV199" s="1231">
        <f t="shared" si="244"/>
        <v>0</v>
      </c>
      <c r="BW199" s="1231">
        <f t="shared" si="245"/>
        <v>0</v>
      </c>
      <c r="BX199" s="1231">
        <f t="shared" si="246"/>
        <v>0</v>
      </c>
      <c r="BY199" s="1231">
        <f t="shared" si="247"/>
        <v>0</v>
      </c>
      <c r="BZ199" s="1231">
        <f t="shared" si="248"/>
        <v>0</v>
      </c>
      <c r="CA199" s="1231">
        <f t="shared" si="249"/>
        <v>0</v>
      </c>
      <c r="CB199" s="1231">
        <f t="shared" si="250"/>
        <v>0</v>
      </c>
      <c r="CC199" s="1231">
        <f t="shared" si="251"/>
        <v>0</v>
      </c>
      <c r="CD199" s="1231">
        <f t="shared" si="252"/>
        <v>0</v>
      </c>
      <c r="CE199" s="1231">
        <f t="shared" si="253"/>
        <v>0</v>
      </c>
      <c r="CF199" s="1231">
        <f t="shared" si="254"/>
        <v>0</v>
      </c>
      <c r="CG199" s="1231">
        <f t="shared" si="255"/>
        <v>0</v>
      </c>
      <c r="CH199" s="1231">
        <f t="shared" si="256"/>
        <v>0</v>
      </c>
      <c r="CI199" s="1231">
        <f t="shared" si="257"/>
        <v>0</v>
      </c>
      <c r="CJ199" s="1231">
        <f t="shared" si="258"/>
        <v>0</v>
      </c>
      <c r="CK199" s="1231">
        <f t="shared" si="259"/>
        <v>0</v>
      </c>
      <c r="CL199" s="1231">
        <f t="shared" si="260"/>
        <v>0</v>
      </c>
      <c r="CM199" s="1231">
        <f t="shared" si="261"/>
        <v>0</v>
      </c>
      <c r="CN199" s="1231">
        <f t="shared" si="262"/>
        <v>0</v>
      </c>
      <c r="CO199" s="1165"/>
      <c r="CP199" s="1165"/>
      <c r="CQ199" s="1165"/>
      <c r="CR199" s="1165"/>
      <c r="CS199" s="1165"/>
      <c r="CT199" s="1165"/>
      <c r="CU199" s="1165"/>
      <c r="CV199" s="1165"/>
      <c r="CW199" s="1165"/>
      <c r="CX199" s="1165"/>
      <c r="CY199" s="1165"/>
      <c r="CZ199" s="1165"/>
      <c r="DA199" s="1165"/>
      <c r="DB199" s="1165"/>
      <c r="DC199" s="1165"/>
      <c r="DD199" s="1165"/>
      <c r="DE199" s="1165"/>
      <c r="DF199" s="1165"/>
      <c r="DG199" s="1165"/>
      <c r="DH199" s="1165"/>
      <c r="DI199" s="1165"/>
      <c r="DJ199" s="1165"/>
      <c r="DK199" s="1165"/>
      <c r="DL199" s="1165"/>
      <c r="DM199" s="1165"/>
      <c r="DN199" s="1165"/>
      <c r="DO199" s="1165"/>
      <c r="DP199" s="1165"/>
      <c r="DQ199" s="1165"/>
      <c r="DR199" s="1165"/>
      <c r="DS199" s="1165"/>
      <c r="DT199" s="1165"/>
      <c r="DU199" s="1165"/>
      <c r="DV199" s="1165"/>
      <c r="DW199" s="1165"/>
      <c r="DX199" s="1165"/>
      <c r="DY199" s="1165"/>
      <c r="DZ199" s="1165"/>
      <c r="EA199" s="1165"/>
      <c r="EB199" s="1165"/>
      <c r="EC199" s="1165"/>
      <c r="ED199" s="1165"/>
      <c r="EE199" s="1165"/>
      <c r="EF199" s="1165"/>
      <c r="EG199" s="1165"/>
      <c r="EH199" s="1165"/>
      <c r="EI199" s="1165"/>
      <c r="EJ199" s="1165"/>
      <c r="EK199" s="1165"/>
      <c r="EL199" s="1165"/>
      <c r="EM199" s="1165"/>
      <c r="EN199" s="1165"/>
      <c r="EO199" s="1165"/>
      <c r="EP199" s="1165"/>
      <c r="EQ199" s="1165"/>
      <c r="ER199" s="1165"/>
      <c r="ES199" s="1165"/>
      <c r="ET199" s="1165"/>
      <c r="EU199" s="1165"/>
      <c r="EV199" s="1165"/>
      <c r="EW199" s="1165"/>
      <c r="EX199" s="1165"/>
      <c r="EY199" s="1165"/>
      <c r="EZ199" s="1165"/>
      <c r="FA199" s="1165"/>
      <c r="FB199" s="1165"/>
      <c r="FC199" s="1165"/>
      <c r="FD199" s="1165"/>
      <c r="FE199" s="1165"/>
      <c r="FF199" s="1165"/>
    </row>
    <row r="200" spans="1:162">
      <c r="A200" s="1209" t="s">
        <v>491</v>
      </c>
      <c r="B200" s="1230" t="s">
        <v>167</v>
      </c>
      <c r="C200" s="1231"/>
      <c r="D200" s="1231"/>
      <c r="E200" s="1231"/>
      <c r="F200" s="1231"/>
      <c r="G200" s="1231"/>
      <c r="H200" s="1231"/>
      <c r="I200" s="1231"/>
      <c r="J200" s="1231"/>
      <c r="K200" s="1231"/>
      <c r="L200" s="1231"/>
      <c r="M200" s="1231">
        <f ca="1">OFFSET($CT200,0,M$7)</f>
        <v>0</v>
      </c>
      <c r="N200" s="1231">
        <f ca="1">OFFSET($CT200,0,N$7)</f>
        <v>0</v>
      </c>
      <c r="O200" s="1231">
        <f ca="1">OFFSET($CT200,0,O$7)</f>
        <v>0</v>
      </c>
      <c r="P200" s="1231">
        <f ca="1">OFFSET($CT200,0,P$7)</f>
        <v>0</v>
      </c>
      <c r="Q200" s="1231">
        <f ca="1">OFFSET($CT200,0,Q$7)</f>
        <v>0</v>
      </c>
      <c r="R200" s="1224">
        <v>39.004168</v>
      </c>
      <c r="S200" s="1224">
        <v>1.1819999999999999</v>
      </c>
      <c r="T200" s="1224">
        <v>5.1760000000000002</v>
      </c>
      <c r="U200" s="1224">
        <v>109.41</v>
      </c>
      <c r="V200" s="1224">
        <v>359.30700000000002</v>
      </c>
      <c r="W200" s="1224">
        <v>460.399</v>
      </c>
      <c r="X200" s="1224">
        <v>1252.5530000000001</v>
      </c>
      <c r="Y200" s="1224">
        <f>1488.302</f>
        <v>1488.3019999999999</v>
      </c>
      <c r="Z200" s="1231">
        <f>2905.766</f>
        <v>2905.7660000000001</v>
      </c>
      <c r="AA200" s="1231"/>
      <c r="AB200" s="1231"/>
      <c r="AC200" s="1231"/>
      <c r="AD200" s="1231"/>
      <c r="AE200" s="1231"/>
      <c r="AF200" s="1231"/>
      <c r="AG200" s="1231">
        <f t="shared" si="203"/>
        <v>0</v>
      </c>
      <c r="AH200" s="1231">
        <f t="shared" si="204"/>
        <v>0</v>
      </c>
      <c r="AI200" s="1231">
        <f t="shared" si="205"/>
        <v>0</v>
      </c>
      <c r="AJ200" s="1231">
        <f t="shared" si="206"/>
        <v>0</v>
      </c>
      <c r="AK200" s="1231">
        <f t="shared" si="207"/>
        <v>0</v>
      </c>
      <c r="AL200" s="1231">
        <f t="shared" si="208"/>
        <v>0</v>
      </c>
      <c r="AM200" s="1231">
        <f t="shared" si="209"/>
        <v>0</v>
      </c>
      <c r="AN200" s="1231">
        <f t="shared" si="210"/>
        <v>0</v>
      </c>
      <c r="AO200" s="1231">
        <f t="shared" si="211"/>
        <v>0</v>
      </c>
      <c r="AP200" s="1231">
        <f t="shared" si="212"/>
        <v>0</v>
      </c>
      <c r="AQ200" s="1231">
        <f t="shared" si="213"/>
        <v>0</v>
      </c>
      <c r="AR200" s="1231">
        <f t="shared" si="214"/>
        <v>0</v>
      </c>
      <c r="AS200" s="1231">
        <f t="shared" si="215"/>
        <v>0</v>
      </c>
      <c r="AT200" s="1231">
        <f t="shared" si="216"/>
        <v>0</v>
      </c>
      <c r="AU200" s="1231">
        <f t="shared" si="217"/>
        <v>0</v>
      </c>
      <c r="AV200" s="1231">
        <f t="shared" si="218"/>
        <v>0</v>
      </c>
      <c r="AW200" s="1231">
        <f t="shared" si="219"/>
        <v>0</v>
      </c>
      <c r="AX200" s="1231">
        <f t="shared" si="220"/>
        <v>0</v>
      </c>
      <c r="AY200" s="1231">
        <f t="shared" si="221"/>
        <v>0</v>
      </c>
      <c r="AZ200" s="1231">
        <f t="shared" si="222"/>
        <v>0</v>
      </c>
      <c r="BA200" s="1231">
        <f t="shared" si="223"/>
        <v>0</v>
      </c>
      <c r="BB200" s="1231">
        <f t="shared" si="224"/>
        <v>0</v>
      </c>
      <c r="BC200" s="1231">
        <f t="shared" si="225"/>
        <v>0</v>
      </c>
      <c r="BD200" s="1231">
        <f t="shared" si="226"/>
        <v>0</v>
      </c>
      <c r="BE200" s="1231">
        <f t="shared" si="227"/>
        <v>0</v>
      </c>
      <c r="BF200" s="1231">
        <f t="shared" si="228"/>
        <v>0</v>
      </c>
      <c r="BG200" s="1231">
        <f t="shared" si="229"/>
        <v>0</v>
      </c>
      <c r="BH200" s="1231">
        <f t="shared" si="230"/>
        <v>0</v>
      </c>
      <c r="BI200" s="1231">
        <f t="shared" si="231"/>
        <v>0</v>
      </c>
      <c r="BJ200" s="1231">
        <f t="shared" si="232"/>
        <v>0</v>
      </c>
      <c r="BK200" s="1231">
        <f t="shared" si="233"/>
        <v>0</v>
      </c>
      <c r="BL200" s="1231">
        <f t="shared" si="234"/>
        <v>0</v>
      </c>
      <c r="BM200" s="1231">
        <f t="shared" si="235"/>
        <v>0</v>
      </c>
      <c r="BN200" s="1231">
        <f t="shared" si="236"/>
        <v>0</v>
      </c>
      <c r="BO200" s="1231">
        <f t="shared" si="237"/>
        <v>0</v>
      </c>
      <c r="BP200" s="1231">
        <f t="shared" si="238"/>
        <v>0</v>
      </c>
      <c r="BQ200" s="1231">
        <f t="shared" si="239"/>
        <v>0</v>
      </c>
      <c r="BR200" s="1231">
        <f t="shared" si="240"/>
        <v>0</v>
      </c>
      <c r="BS200" s="1231">
        <f t="shared" si="241"/>
        <v>0</v>
      </c>
      <c r="BT200" s="1231">
        <f t="shared" si="242"/>
        <v>0</v>
      </c>
      <c r="BU200" s="1231">
        <f t="shared" si="243"/>
        <v>0</v>
      </c>
      <c r="BV200" s="1231">
        <f t="shared" si="244"/>
        <v>0</v>
      </c>
      <c r="BW200" s="1231">
        <f t="shared" si="245"/>
        <v>0</v>
      </c>
      <c r="BX200" s="1231">
        <f t="shared" si="246"/>
        <v>0</v>
      </c>
      <c r="BY200" s="1231">
        <f t="shared" si="247"/>
        <v>0</v>
      </c>
      <c r="BZ200" s="1231">
        <f t="shared" si="248"/>
        <v>0</v>
      </c>
      <c r="CA200" s="1231">
        <f t="shared" si="249"/>
        <v>0</v>
      </c>
      <c r="CB200" s="1231">
        <f t="shared" si="250"/>
        <v>0</v>
      </c>
      <c r="CC200" s="1231">
        <f t="shared" si="251"/>
        <v>0</v>
      </c>
      <c r="CD200" s="1231">
        <f t="shared" si="252"/>
        <v>0</v>
      </c>
      <c r="CE200" s="1231">
        <f t="shared" si="253"/>
        <v>0</v>
      </c>
      <c r="CF200" s="1231">
        <f t="shared" si="254"/>
        <v>0</v>
      </c>
      <c r="CG200" s="1231">
        <f t="shared" si="255"/>
        <v>0</v>
      </c>
      <c r="CH200" s="1231">
        <f t="shared" si="256"/>
        <v>0</v>
      </c>
      <c r="CI200" s="1231">
        <f t="shared" si="257"/>
        <v>0</v>
      </c>
      <c r="CJ200" s="1231">
        <f t="shared" si="258"/>
        <v>0</v>
      </c>
      <c r="CK200" s="1231">
        <f t="shared" si="259"/>
        <v>0</v>
      </c>
      <c r="CL200" s="1231">
        <f t="shared" si="260"/>
        <v>0</v>
      </c>
      <c r="CM200" s="1231">
        <f t="shared" si="261"/>
        <v>0</v>
      </c>
      <c r="CN200" s="1231">
        <f t="shared" si="262"/>
        <v>0</v>
      </c>
      <c r="CO200" s="1165"/>
      <c r="CP200" s="1165"/>
      <c r="CQ200" s="1165"/>
      <c r="CR200" s="1165"/>
      <c r="CS200" s="1165"/>
      <c r="CT200" s="1165"/>
      <c r="CU200" s="1165"/>
      <c r="CV200" s="1165"/>
      <c r="CW200" s="1165"/>
      <c r="CX200" s="1165"/>
      <c r="CY200" s="1165"/>
      <c r="CZ200" s="1165"/>
      <c r="DA200" s="1165"/>
      <c r="DB200" s="1165"/>
      <c r="DC200" s="1165"/>
      <c r="DD200" s="1165"/>
      <c r="DE200" s="1165"/>
      <c r="DF200" s="1165"/>
      <c r="DG200" s="1165"/>
      <c r="DH200" s="1165"/>
      <c r="DI200" s="1165"/>
      <c r="DJ200" s="1165"/>
      <c r="DK200" s="1232"/>
      <c r="DL200" s="1232"/>
      <c r="DM200" s="1232"/>
      <c r="DN200" s="1232"/>
      <c r="DO200" s="1232"/>
      <c r="DP200" s="1232"/>
      <c r="DQ200" s="1232"/>
      <c r="DR200" s="1232"/>
      <c r="DS200" s="1232"/>
      <c r="DT200" s="1232"/>
      <c r="DU200" s="1232"/>
      <c r="DV200" s="1232"/>
      <c r="DW200" s="1232"/>
      <c r="DX200" s="1232"/>
      <c r="DY200" s="1232"/>
      <c r="DZ200" s="1232"/>
      <c r="EA200" s="1232"/>
      <c r="EB200" s="1232"/>
      <c r="EC200" s="1232"/>
      <c r="ED200" s="1232"/>
      <c r="EE200" s="1232"/>
      <c r="EF200" s="1232"/>
      <c r="EG200" s="1232"/>
      <c r="EH200" s="1232"/>
      <c r="EI200" s="1232"/>
      <c r="EJ200" s="1232"/>
      <c r="EK200" s="1232"/>
      <c r="EL200" s="1232"/>
      <c r="EM200" s="1232"/>
      <c r="EN200" s="1232"/>
      <c r="EO200" s="1232"/>
      <c r="EP200" s="1232"/>
      <c r="EQ200" s="1232"/>
      <c r="ER200" s="1232"/>
      <c r="ES200" s="1232"/>
      <c r="ET200" s="1232"/>
      <c r="EU200" s="1165"/>
      <c r="EV200" s="1165"/>
      <c r="EW200" s="1165"/>
      <c r="EX200" s="1165"/>
      <c r="EY200" s="1165"/>
      <c r="EZ200" s="1165"/>
      <c r="FA200" s="1165"/>
      <c r="FB200" s="1165"/>
      <c r="FC200" s="1165"/>
      <c r="FD200" s="1165"/>
      <c r="FE200" s="1165"/>
      <c r="FF200" s="1165"/>
    </row>
    <row r="201" spans="1:162">
      <c r="A201" s="1224"/>
      <c r="B201" s="1237"/>
      <c r="AG201" s="1236">
        <f t="shared" si="203"/>
        <v>0</v>
      </c>
      <c r="AH201" s="1236">
        <f t="shared" si="204"/>
        <v>0</v>
      </c>
      <c r="AI201" s="1236">
        <f t="shared" si="205"/>
        <v>0</v>
      </c>
      <c r="AJ201" s="1236">
        <f t="shared" si="206"/>
        <v>0</v>
      </c>
      <c r="AK201" s="1236">
        <f t="shared" si="207"/>
        <v>0</v>
      </c>
      <c r="AL201" s="1236">
        <f t="shared" si="208"/>
        <v>0</v>
      </c>
      <c r="AM201" s="1236">
        <f t="shared" si="209"/>
        <v>0</v>
      </c>
      <c r="AN201" s="1236">
        <f t="shared" si="210"/>
        <v>0</v>
      </c>
      <c r="AO201" s="1236">
        <f t="shared" si="211"/>
        <v>0</v>
      </c>
      <c r="AP201" s="1236">
        <f t="shared" si="212"/>
        <v>0</v>
      </c>
      <c r="AQ201" s="1236">
        <f t="shared" si="213"/>
        <v>0</v>
      </c>
      <c r="AR201" s="1236">
        <f t="shared" si="214"/>
        <v>0</v>
      </c>
      <c r="AS201" s="1236">
        <f t="shared" si="215"/>
        <v>0</v>
      </c>
      <c r="AT201" s="1236">
        <f t="shared" si="216"/>
        <v>0</v>
      </c>
      <c r="AU201" s="1236">
        <f t="shared" si="217"/>
        <v>0</v>
      </c>
      <c r="AV201" s="1236">
        <f t="shared" si="218"/>
        <v>0</v>
      </c>
      <c r="AW201" s="1236">
        <f t="shared" si="219"/>
        <v>0</v>
      </c>
      <c r="AX201" s="1236">
        <f t="shared" si="220"/>
        <v>0</v>
      </c>
      <c r="AY201" s="1236">
        <f t="shared" si="221"/>
        <v>0</v>
      </c>
      <c r="AZ201" s="1236">
        <f t="shared" si="222"/>
        <v>0</v>
      </c>
      <c r="BA201" s="1236">
        <f t="shared" si="223"/>
        <v>0</v>
      </c>
      <c r="BB201" s="1236">
        <f t="shared" si="224"/>
        <v>0</v>
      </c>
      <c r="BC201" s="1236">
        <f t="shared" si="225"/>
        <v>0</v>
      </c>
      <c r="BD201" s="1236">
        <f t="shared" si="226"/>
        <v>0</v>
      </c>
      <c r="BE201" s="1236">
        <f t="shared" si="227"/>
        <v>0</v>
      </c>
      <c r="BF201" s="1236">
        <f t="shared" si="228"/>
        <v>0</v>
      </c>
      <c r="BG201" s="1236">
        <f t="shared" si="229"/>
        <v>0</v>
      </c>
      <c r="BH201" s="1236">
        <f t="shared" si="230"/>
        <v>0</v>
      </c>
      <c r="BI201" s="1236">
        <f t="shared" si="231"/>
        <v>0</v>
      </c>
      <c r="BJ201" s="1236">
        <f t="shared" si="232"/>
        <v>0</v>
      </c>
      <c r="BK201" s="1236">
        <f t="shared" si="233"/>
        <v>0</v>
      </c>
      <c r="BL201" s="1236">
        <f t="shared" si="234"/>
        <v>0</v>
      </c>
      <c r="BM201" s="1236">
        <f t="shared" si="235"/>
        <v>0</v>
      </c>
      <c r="BN201" s="1236">
        <f t="shared" si="236"/>
        <v>0</v>
      </c>
      <c r="BO201" s="1236">
        <f t="shared" si="237"/>
        <v>0</v>
      </c>
      <c r="BP201" s="1236">
        <f t="shared" si="238"/>
        <v>0</v>
      </c>
      <c r="BQ201" s="1236">
        <f t="shared" si="239"/>
        <v>0</v>
      </c>
      <c r="BR201" s="1236">
        <f t="shared" si="240"/>
        <v>0</v>
      </c>
      <c r="BS201" s="1236">
        <f t="shared" si="241"/>
        <v>0</v>
      </c>
      <c r="BT201" s="1236">
        <f t="shared" si="242"/>
        <v>0</v>
      </c>
      <c r="BU201" s="1236">
        <f t="shared" si="243"/>
        <v>0</v>
      </c>
      <c r="BV201" s="1236">
        <f t="shared" si="244"/>
        <v>0</v>
      </c>
      <c r="BW201" s="1236">
        <f t="shared" si="245"/>
        <v>0</v>
      </c>
      <c r="BX201" s="1236">
        <f t="shared" si="246"/>
        <v>0</v>
      </c>
      <c r="BY201" s="1236">
        <f t="shared" si="247"/>
        <v>0</v>
      </c>
      <c r="BZ201" s="1236">
        <f t="shared" si="248"/>
        <v>0</v>
      </c>
      <c r="CA201" s="1236">
        <f t="shared" si="249"/>
        <v>0</v>
      </c>
      <c r="CB201" s="1236">
        <f t="shared" si="250"/>
        <v>0</v>
      </c>
      <c r="CC201" s="1236">
        <f t="shared" si="251"/>
        <v>0</v>
      </c>
      <c r="CD201" s="1236">
        <f t="shared" si="252"/>
        <v>0</v>
      </c>
      <c r="CE201" s="1236">
        <f t="shared" si="253"/>
        <v>0</v>
      </c>
      <c r="CF201" s="1236">
        <f t="shared" si="254"/>
        <v>0</v>
      </c>
      <c r="CG201" s="1236">
        <f t="shared" si="255"/>
        <v>0</v>
      </c>
      <c r="CH201" s="1236">
        <f t="shared" si="256"/>
        <v>0</v>
      </c>
      <c r="CI201" s="1236">
        <f t="shared" si="257"/>
        <v>0</v>
      </c>
      <c r="CJ201" s="1236">
        <f t="shared" si="258"/>
        <v>0</v>
      </c>
      <c r="CK201" s="1236">
        <f t="shared" si="259"/>
        <v>0</v>
      </c>
      <c r="CL201" s="1236">
        <f t="shared" si="260"/>
        <v>0</v>
      </c>
      <c r="CM201" s="1236">
        <f t="shared" si="261"/>
        <v>0</v>
      </c>
      <c r="CN201" s="1236">
        <f t="shared" si="262"/>
        <v>0</v>
      </c>
      <c r="CO201" s="1165"/>
      <c r="CP201" s="1165"/>
      <c r="CQ201" s="1165"/>
      <c r="CR201" s="1165"/>
      <c r="CS201" s="1165"/>
      <c r="CT201" s="1165"/>
      <c r="CU201" s="1165"/>
      <c r="CV201" s="1165"/>
      <c r="CW201" s="1165"/>
      <c r="CX201" s="1165"/>
      <c r="CY201" s="1165"/>
      <c r="CZ201" s="1165"/>
      <c r="DA201" s="1165"/>
      <c r="DB201" s="1165"/>
      <c r="DC201" s="1165"/>
      <c r="DD201" s="1165"/>
      <c r="DE201" s="1165"/>
      <c r="DF201" s="1165"/>
      <c r="DG201" s="1165"/>
      <c r="DH201" s="1165"/>
      <c r="DI201" s="1165"/>
      <c r="DJ201" s="1165"/>
      <c r="DK201" s="1165"/>
      <c r="DL201" s="1165"/>
      <c r="DM201" s="1165"/>
      <c r="DN201" s="1165"/>
      <c r="DO201" s="1165"/>
      <c r="DP201" s="1165"/>
      <c r="DQ201" s="1165"/>
      <c r="DR201" s="1165"/>
      <c r="DS201" s="1165"/>
      <c r="DT201" s="1165"/>
      <c r="DU201" s="1165"/>
      <c r="DV201" s="1165"/>
      <c r="DW201" s="1165"/>
      <c r="DX201" s="1165"/>
      <c r="DY201" s="1165"/>
      <c r="DZ201" s="1165"/>
      <c r="EA201" s="1165"/>
      <c r="EB201" s="1165"/>
      <c r="EC201" s="1165"/>
      <c r="ED201" s="1165"/>
      <c r="EE201" s="1165"/>
      <c r="EF201" s="1165"/>
      <c r="EG201" s="1165"/>
      <c r="EH201" s="1165"/>
      <c r="EI201" s="1165"/>
      <c r="EJ201" s="1165"/>
      <c r="EK201" s="1165"/>
      <c r="EL201" s="1165"/>
      <c r="EM201" s="1165"/>
      <c r="EN201" s="1165"/>
      <c r="EO201" s="1165"/>
      <c r="EP201" s="1165"/>
      <c r="EQ201" s="1165"/>
      <c r="ER201" s="1165"/>
      <c r="ES201" s="1165"/>
      <c r="ET201" s="1165"/>
      <c r="EU201" s="1165"/>
      <c r="EV201" s="1165"/>
      <c r="EW201" s="1165"/>
      <c r="EX201" s="1165"/>
      <c r="EY201" s="1165"/>
      <c r="EZ201" s="1165"/>
      <c r="FA201" s="1165"/>
      <c r="FB201" s="1165"/>
      <c r="FC201" s="1165"/>
      <c r="FD201" s="1165"/>
      <c r="FE201" s="1165"/>
      <c r="FF201" s="1165"/>
    </row>
    <row r="202" spans="1:162" s="1231" customFormat="1">
      <c r="A202" s="1206" t="s">
        <v>615</v>
      </c>
      <c r="B202" s="1230" t="s">
        <v>190</v>
      </c>
      <c r="M202" s="1231">
        <f ca="1">OFFSET($CT202,0,M$7)</f>
        <v>0</v>
      </c>
      <c r="N202" s="1231">
        <f ca="1">OFFSET($CT202,0,N$7)</f>
        <v>0</v>
      </c>
      <c r="O202" s="1231">
        <f ca="1">OFFSET($CT202,0,O$7)</f>
        <v>0</v>
      </c>
      <c r="P202" s="1231">
        <f ca="1">OFFSET($CT202,0,P$7)</f>
        <v>0</v>
      </c>
      <c r="Q202" s="1231">
        <f ca="1">OFFSET($CT202,0,Q$7)</f>
        <v>0</v>
      </c>
      <c r="R202" s="1232">
        <v>2208.5414999999998</v>
      </c>
      <c r="S202" s="1232">
        <v>2245.998</v>
      </c>
      <c r="T202" s="1232">
        <v>2276.4520000000002</v>
      </c>
      <c r="U202" s="1232">
        <v>2593.1819999999998</v>
      </c>
      <c r="V202" s="1232">
        <v>3307.7220000000002</v>
      </c>
      <c r="W202" s="1232">
        <v>4190.2550000000001</v>
      </c>
      <c r="X202" s="1232">
        <v>5403.2269999999999</v>
      </c>
      <c r="Y202" s="1232">
        <v>6721.335</v>
      </c>
      <c r="Z202" s="1231">
        <v>8923.58</v>
      </c>
      <c r="AG202" s="1231">
        <f t="shared" si="203"/>
        <v>0</v>
      </c>
      <c r="AH202" s="1231">
        <f t="shared" si="204"/>
        <v>0</v>
      </c>
      <c r="AI202" s="1231">
        <f t="shared" si="205"/>
        <v>0</v>
      </c>
      <c r="AJ202" s="1231">
        <f t="shared" si="206"/>
        <v>0</v>
      </c>
      <c r="AK202" s="1231">
        <f t="shared" si="207"/>
        <v>0</v>
      </c>
      <c r="AL202" s="1231">
        <f t="shared" si="208"/>
        <v>0</v>
      </c>
      <c r="AM202" s="1231">
        <f t="shared" si="209"/>
        <v>0</v>
      </c>
      <c r="AN202" s="1231">
        <f t="shared" si="210"/>
        <v>0</v>
      </c>
      <c r="AO202" s="1231">
        <f t="shared" si="211"/>
        <v>0</v>
      </c>
      <c r="AP202" s="1231">
        <f t="shared" si="212"/>
        <v>0</v>
      </c>
      <c r="AQ202" s="1231">
        <f t="shared" si="213"/>
        <v>0</v>
      </c>
      <c r="AR202" s="1231">
        <f t="shared" si="214"/>
        <v>0</v>
      </c>
      <c r="AS202" s="1231">
        <f t="shared" si="215"/>
        <v>0</v>
      </c>
      <c r="AT202" s="1231">
        <f t="shared" si="216"/>
        <v>0</v>
      </c>
      <c r="AU202" s="1231">
        <f t="shared" si="217"/>
        <v>0</v>
      </c>
      <c r="AV202" s="1231">
        <f t="shared" si="218"/>
        <v>0</v>
      </c>
      <c r="AW202" s="1231">
        <f t="shared" si="219"/>
        <v>0</v>
      </c>
      <c r="AX202" s="1231">
        <f t="shared" si="220"/>
        <v>0</v>
      </c>
      <c r="AY202" s="1231">
        <f t="shared" si="221"/>
        <v>0</v>
      </c>
      <c r="AZ202" s="1231">
        <f t="shared" si="222"/>
        <v>0</v>
      </c>
      <c r="BA202" s="1231">
        <f t="shared" si="223"/>
        <v>0</v>
      </c>
      <c r="BB202" s="1231">
        <f t="shared" si="224"/>
        <v>0</v>
      </c>
      <c r="BC202" s="1231">
        <f t="shared" si="225"/>
        <v>0</v>
      </c>
      <c r="BD202" s="1231">
        <f t="shared" si="226"/>
        <v>0</v>
      </c>
      <c r="BE202" s="1231">
        <f t="shared" si="227"/>
        <v>0</v>
      </c>
      <c r="BF202" s="1231">
        <f t="shared" si="228"/>
        <v>0</v>
      </c>
      <c r="BG202" s="1231">
        <f t="shared" si="229"/>
        <v>0</v>
      </c>
      <c r="BH202" s="1231">
        <f t="shared" si="230"/>
        <v>0</v>
      </c>
      <c r="BI202" s="1231">
        <f t="shared" si="231"/>
        <v>0</v>
      </c>
      <c r="BJ202" s="1231">
        <f t="shared" si="232"/>
        <v>0</v>
      </c>
      <c r="BK202" s="1231">
        <f t="shared" si="233"/>
        <v>0</v>
      </c>
      <c r="BL202" s="1231">
        <f t="shared" si="234"/>
        <v>0</v>
      </c>
      <c r="BM202" s="1231">
        <f t="shared" si="235"/>
        <v>0</v>
      </c>
      <c r="BN202" s="1231">
        <f t="shared" si="236"/>
        <v>0</v>
      </c>
      <c r="BO202" s="1231">
        <f t="shared" si="237"/>
        <v>0</v>
      </c>
      <c r="BP202" s="1231">
        <f t="shared" si="238"/>
        <v>0</v>
      </c>
      <c r="BQ202" s="1231">
        <f t="shared" si="239"/>
        <v>0</v>
      </c>
      <c r="BR202" s="1231">
        <f t="shared" si="240"/>
        <v>0</v>
      </c>
      <c r="BS202" s="1231">
        <f t="shared" si="241"/>
        <v>0</v>
      </c>
      <c r="BT202" s="1231">
        <f t="shared" si="242"/>
        <v>0</v>
      </c>
      <c r="BU202" s="1231">
        <f t="shared" si="243"/>
        <v>0</v>
      </c>
      <c r="BV202" s="1231">
        <f t="shared" si="244"/>
        <v>0</v>
      </c>
      <c r="BW202" s="1231">
        <f t="shared" si="245"/>
        <v>0</v>
      </c>
      <c r="BX202" s="1231">
        <f t="shared" si="246"/>
        <v>0</v>
      </c>
      <c r="BY202" s="1231">
        <f t="shared" si="247"/>
        <v>0</v>
      </c>
      <c r="BZ202" s="1231">
        <f t="shared" si="248"/>
        <v>0</v>
      </c>
      <c r="CA202" s="1231">
        <f t="shared" si="249"/>
        <v>0</v>
      </c>
      <c r="CB202" s="1231">
        <f t="shared" si="250"/>
        <v>0</v>
      </c>
      <c r="CC202" s="1231">
        <f t="shared" si="251"/>
        <v>0</v>
      </c>
      <c r="CD202" s="1231">
        <f t="shared" si="252"/>
        <v>0</v>
      </c>
      <c r="CE202" s="1231">
        <f t="shared" si="253"/>
        <v>0</v>
      </c>
      <c r="CF202" s="1231">
        <f t="shared" si="254"/>
        <v>0</v>
      </c>
      <c r="CG202" s="1231">
        <f t="shared" si="255"/>
        <v>0</v>
      </c>
      <c r="CH202" s="1231">
        <f t="shared" si="256"/>
        <v>0</v>
      </c>
      <c r="CI202" s="1231">
        <f t="shared" si="257"/>
        <v>0</v>
      </c>
      <c r="CJ202" s="1231">
        <f t="shared" si="258"/>
        <v>0</v>
      </c>
      <c r="CK202" s="1231">
        <f t="shared" si="259"/>
        <v>0</v>
      </c>
      <c r="CL202" s="1231">
        <f t="shared" si="260"/>
        <v>0</v>
      </c>
      <c r="CM202" s="1231">
        <f t="shared" si="261"/>
        <v>0</v>
      </c>
      <c r="CN202" s="1231">
        <f t="shared" si="262"/>
        <v>0</v>
      </c>
      <c r="CQ202" s="1165"/>
      <c r="CR202" s="1165"/>
      <c r="CS202" s="1165"/>
      <c r="CT202" s="1165"/>
      <c r="CU202" s="1165"/>
      <c r="CV202" s="1165"/>
      <c r="CW202" s="1165"/>
      <c r="CX202" s="1165"/>
      <c r="CY202" s="1165"/>
      <c r="CZ202" s="1165"/>
      <c r="DA202" s="1165"/>
      <c r="DB202" s="1165"/>
      <c r="DC202" s="1165"/>
      <c r="DD202" s="1165"/>
      <c r="DE202" s="1165"/>
      <c r="DF202" s="1165"/>
      <c r="DG202" s="1165"/>
      <c r="DH202" s="1165"/>
      <c r="DI202" s="1165"/>
      <c r="DJ202" s="1165"/>
      <c r="DK202" s="1232"/>
      <c r="DL202" s="1232"/>
      <c r="DM202" s="1232"/>
      <c r="DN202" s="1232"/>
      <c r="DO202" s="1232"/>
      <c r="DP202" s="1232"/>
      <c r="DQ202" s="1232"/>
      <c r="DR202" s="1232"/>
      <c r="DS202" s="1232"/>
      <c r="DT202" s="1232"/>
      <c r="DU202" s="1232"/>
      <c r="DV202" s="1232"/>
      <c r="DW202" s="1232"/>
      <c r="DX202" s="1232"/>
      <c r="DY202" s="1232"/>
      <c r="DZ202" s="1232"/>
      <c r="EA202" s="1232"/>
      <c r="EB202" s="1232"/>
      <c r="EC202" s="1232"/>
      <c r="ED202" s="1232"/>
      <c r="EE202" s="1232"/>
      <c r="EF202" s="1232"/>
      <c r="EG202" s="1232"/>
      <c r="EH202" s="1232"/>
      <c r="EI202" s="1232"/>
      <c r="EJ202" s="1232"/>
      <c r="EK202" s="1232"/>
      <c r="EL202" s="1232"/>
      <c r="EM202" s="1232"/>
      <c r="EN202" s="1232"/>
      <c r="EO202" s="1232"/>
      <c r="EP202" s="1232"/>
      <c r="EQ202" s="1232"/>
      <c r="ER202" s="1232"/>
      <c r="ES202" s="1232"/>
      <c r="ET202" s="1232"/>
      <c r="EU202" s="1165"/>
      <c r="EV202" s="1165"/>
      <c r="EW202" s="1165"/>
      <c r="EX202" s="1165"/>
      <c r="EY202" s="1165"/>
      <c r="EZ202" s="1165"/>
      <c r="FA202" s="1165"/>
      <c r="FB202" s="1165"/>
      <c r="FC202" s="1165"/>
      <c r="FD202" s="1165"/>
      <c r="FE202" s="1165"/>
      <c r="FF202" s="1165"/>
    </row>
    <row r="203" spans="1:162">
      <c r="A203" s="1224"/>
      <c r="B203" s="1237"/>
      <c r="AG203" s="1236">
        <f t="shared" si="203"/>
        <v>0</v>
      </c>
      <c r="AH203" s="1236">
        <f t="shared" si="204"/>
        <v>0</v>
      </c>
      <c r="AI203" s="1236">
        <f t="shared" si="205"/>
        <v>0</v>
      </c>
      <c r="AJ203" s="1236">
        <f t="shared" si="206"/>
        <v>0</v>
      </c>
      <c r="AK203" s="1236">
        <f t="shared" si="207"/>
        <v>0</v>
      </c>
      <c r="AL203" s="1236">
        <f t="shared" si="208"/>
        <v>0</v>
      </c>
      <c r="AM203" s="1236">
        <f t="shared" si="209"/>
        <v>0</v>
      </c>
      <c r="AN203" s="1236">
        <f t="shared" si="210"/>
        <v>0</v>
      </c>
      <c r="AO203" s="1236">
        <f t="shared" si="211"/>
        <v>0</v>
      </c>
      <c r="AP203" s="1236">
        <f t="shared" si="212"/>
        <v>0</v>
      </c>
      <c r="AQ203" s="1236">
        <f t="shared" si="213"/>
        <v>0</v>
      </c>
      <c r="AR203" s="1236">
        <f t="shared" si="214"/>
        <v>0</v>
      </c>
      <c r="AS203" s="1236">
        <f t="shared" si="215"/>
        <v>0</v>
      </c>
      <c r="AT203" s="1236">
        <f t="shared" si="216"/>
        <v>0</v>
      </c>
      <c r="AU203" s="1236">
        <f t="shared" si="217"/>
        <v>0</v>
      </c>
      <c r="AV203" s="1236">
        <f t="shared" si="218"/>
        <v>0</v>
      </c>
      <c r="AW203" s="1236">
        <f t="shared" si="219"/>
        <v>0</v>
      </c>
      <c r="AX203" s="1236">
        <f t="shared" si="220"/>
        <v>0</v>
      </c>
      <c r="AY203" s="1236">
        <f t="shared" si="221"/>
        <v>0</v>
      </c>
      <c r="AZ203" s="1236">
        <f t="shared" si="222"/>
        <v>0</v>
      </c>
      <c r="BA203" s="1236">
        <f t="shared" si="223"/>
        <v>0</v>
      </c>
      <c r="BB203" s="1236">
        <f t="shared" si="224"/>
        <v>0</v>
      </c>
      <c r="BC203" s="1236">
        <f t="shared" si="225"/>
        <v>0</v>
      </c>
      <c r="BD203" s="1236">
        <f t="shared" si="226"/>
        <v>0</v>
      </c>
      <c r="BE203" s="1236">
        <f t="shared" si="227"/>
        <v>0</v>
      </c>
      <c r="BF203" s="1236">
        <f t="shared" si="228"/>
        <v>0</v>
      </c>
      <c r="BG203" s="1236">
        <f t="shared" si="229"/>
        <v>0</v>
      </c>
      <c r="BH203" s="1236">
        <f t="shared" si="230"/>
        <v>0</v>
      </c>
      <c r="BI203" s="1236">
        <f t="shared" si="231"/>
        <v>0</v>
      </c>
      <c r="BJ203" s="1236">
        <f t="shared" si="232"/>
        <v>0</v>
      </c>
      <c r="BK203" s="1236">
        <f t="shared" si="233"/>
        <v>0</v>
      </c>
      <c r="BL203" s="1236">
        <f t="shared" si="234"/>
        <v>0</v>
      </c>
      <c r="BM203" s="1236">
        <f t="shared" si="235"/>
        <v>0</v>
      </c>
      <c r="BN203" s="1236">
        <f t="shared" si="236"/>
        <v>0</v>
      </c>
      <c r="BO203" s="1236">
        <f t="shared" si="237"/>
        <v>0</v>
      </c>
      <c r="BP203" s="1236">
        <f t="shared" si="238"/>
        <v>0</v>
      </c>
      <c r="BQ203" s="1236">
        <f t="shared" si="239"/>
        <v>0</v>
      </c>
      <c r="BR203" s="1236">
        <f t="shared" si="240"/>
        <v>0</v>
      </c>
      <c r="BS203" s="1236">
        <f t="shared" si="241"/>
        <v>0</v>
      </c>
      <c r="BT203" s="1236">
        <f t="shared" si="242"/>
        <v>0</v>
      </c>
      <c r="BU203" s="1236">
        <f t="shared" si="243"/>
        <v>0</v>
      </c>
      <c r="BV203" s="1236">
        <f t="shared" si="244"/>
        <v>0</v>
      </c>
      <c r="BW203" s="1236">
        <f t="shared" si="245"/>
        <v>0</v>
      </c>
      <c r="BX203" s="1236">
        <f t="shared" si="246"/>
        <v>0</v>
      </c>
      <c r="BY203" s="1236">
        <f t="shared" si="247"/>
        <v>0</v>
      </c>
      <c r="BZ203" s="1236">
        <f t="shared" si="248"/>
        <v>0</v>
      </c>
      <c r="CA203" s="1236">
        <f t="shared" si="249"/>
        <v>0</v>
      </c>
      <c r="CB203" s="1236">
        <f t="shared" si="250"/>
        <v>0</v>
      </c>
      <c r="CC203" s="1236">
        <f t="shared" si="251"/>
        <v>0</v>
      </c>
      <c r="CD203" s="1236">
        <f t="shared" si="252"/>
        <v>0</v>
      </c>
      <c r="CE203" s="1236">
        <f t="shared" si="253"/>
        <v>0</v>
      </c>
      <c r="CF203" s="1236">
        <f t="shared" si="254"/>
        <v>0</v>
      </c>
      <c r="CG203" s="1236">
        <f t="shared" si="255"/>
        <v>0</v>
      </c>
      <c r="CH203" s="1236">
        <f t="shared" si="256"/>
        <v>0</v>
      </c>
      <c r="CI203" s="1236">
        <f t="shared" si="257"/>
        <v>0</v>
      </c>
      <c r="CJ203" s="1236">
        <f t="shared" si="258"/>
        <v>0</v>
      </c>
      <c r="CK203" s="1236">
        <f t="shared" si="259"/>
        <v>0</v>
      </c>
      <c r="CL203" s="1236">
        <f t="shared" si="260"/>
        <v>0</v>
      </c>
      <c r="CM203" s="1236">
        <f t="shared" si="261"/>
        <v>0</v>
      </c>
      <c r="CN203" s="1236">
        <f t="shared" si="262"/>
        <v>0</v>
      </c>
      <c r="CO203" s="1165"/>
      <c r="CP203" s="1165"/>
      <c r="CQ203" s="1165"/>
      <c r="CR203" s="1165"/>
      <c r="CS203" s="1165"/>
      <c r="CT203" s="1165"/>
      <c r="CU203" s="1165"/>
      <c r="CV203" s="1165"/>
      <c r="CW203" s="1165"/>
      <c r="CX203" s="1165"/>
      <c r="CY203" s="1165"/>
      <c r="CZ203" s="1165"/>
      <c r="DA203" s="1165"/>
      <c r="DB203" s="1165"/>
      <c r="DC203" s="1165"/>
      <c r="DD203" s="1165"/>
      <c r="DE203" s="1165"/>
      <c r="DF203" s="1165"/>
      <c r="DG203" s="1165"/>
      <c r="DH203" s="1165"/>
      <c r="DI203" s="1165"/>
      <c r="DJ203" s="1165"/>
      <c r="DK203" s="1165"/>
      <c r="DL203" s="1165"/>
      <c r="DM203" s="1165"/>
      <c r="DN203" s="1165"/>
      <c r="DO203" s="1165"/>
      <c r="DP203" s="1165"/>
      <c r="DQ203" s="1165"/>
      <c r="DR203" s="1165"/>
      <c r="DS203" s="1165"/>
      <c r="DT203" s="1165"/>
      <c r="DU203" s="1165"/>
      <c r="DV203" s="1165"/>
      <c r="DW203" s="1165"/>
      <c r="DX203" s="1165"/>
      <c r="DY203" s="1165"/>
      <c r="DZ203" s="1165"/>
      <c r="EA203" s="1165"/>
      <c r="EB203" s="1165"/>
      <c r="EC203" s="1165"/>
      <c r="ED203" s="1165"/>
      <c r="EE203" s="1165"/>
      <c r="EF203" s="1165"/>
      <c r="EG203" s="1165"/>
      <c r="EH203" s="1165"/>
      <c r="EI203" s="1165"/>
      <c r="EJ203" s="1165"/>
      <c r="EK203" s="1165"/>
      <c r="EL203" s="1165"/>
      <c r="EM203" s="1165"/>
      <c r="EN203" s="1165"/>
      <c r="EO203" s="1165"/>
      <c r="EP203" s="1165"/>
      <c r="EQ203" s="1165"/>
      <c r="ER203" s="1165"/>
      <c r="ES203" s="1165"/>
      <c r="ET203" s="1165"/>
      <c r="EU203" s="1165"/>
      <c r="EV203" s="1165"/>
      <c r="EW203" s="1165"/>
      <c r="EX203" s="1165"/>
      <c r="EY203" s="1165"/>
      <c r="EZ203" s="1165"/>
      <c r="FA203" s="1165"/>
      <c r="FB203" s="1165"/>
      <c r="FC203" s="1165"/>
      <c r="FD203" s="1165"/>
      <c r="FE203" s="1165"/>
      <c r="FF203" s="1165"/>
    </row>
    <row r="204" spans="1:162" s="1231" customFormat="1">
      <c r="A204" s="1224"/>
      <c r="B204" s="1230" t="s">
        <v>51</v>
      </c>
      <c r="M204" s="1231">
        <f ca="1">OFFSET($CT204,0,M$7)</f>
        <v>0</v>
      </c>
      <c r="N204" s="1231">
        <f ca="1">OFFSET($CT204,0,N$7)</f>
        <v>0</v>
      </c>
      <c r="O204" s="1231">
        <f ca="1">OFFSET($CT204,0,O$7)</f>
        <v>0</v>
      </c>
      <c r="P204" s="1231">
        <f ca="1">OFFSET($CT204,0,P$7)</f>
        <v>0</v>
      </c>
      <c r="Q204" s="1231">
        <f ca="1">OFFSET($CT204,0,Q$7)</f>
        <v>0</v>
      </c>
      <c r="R204" s="1232">
        <f t="shared" ref="R204:Y204" si="279">R184+R202</f>
        <v>3902.6931999999997</v>
      </c>
      <c r="S204" s="1232">
        <f t="shared" si="279"/>
        <v>3727.9290000000001</v>
      </c>
      <c r="T204" s="1232">
        <f t="shared" si="279"/>
        <v>4073.1600000000003</v>
      </c>
      <c r="U204" s="1232">
        <f t="shared" si="279"/>
        <v>4523.3919999999998</v>
      </c>
      <c r="V204" s="1232">
        <f t="shared" si="279"/>
        <v>5769.3790000000008</v>
      </c>
      <c r="W204" s="1232">
        <f t="shared" si="279"/>
        <v>7115.3469999999998</v>
      </c>
      <c r="X204" s="1232">
        <f t="shared" si="279"/>
        <v>10115.278</v>
      </c>
      <c r="Y204" s="1232">
        <f t="shared" si="279"/>
        <v>11918.451000000001</v>
      </c>
      <c r="AG204" s="1231">
        <f t="shared" si="203"/>
        <v>0</v>
      </c>
      <c r="AH204" s="1231">
        <f t="shared" si="204"/>
        <v>0</v>
      </c>
      <c r="AI204" s="1231">
        <f t="shared" si="205"/>
        <v>0</v>
      </c>
      <c r="AJ204" s="1231">
        <f t="shared" si="206"/>
        <v>0</v>
      </c>
      <c r="AK204" s="1231">
        <f t="shared" si="207"/>
        <v>0</v>
      </c>
      <c r="AL204" s="1231">
        <f t="shared" si="208"/>
        <v>0</v>
      </c>
      <c r="AM204" s="1231">
        <f t="shared" si="209"/>
        <v>0</v>
      </c>
      <c r="AN204" s="1231">
        <f t="shared" si="210"/>
        <v>0</v>
      </c>
      <c r="AO204" s="1231">
        <f t="shared" si="211"/>
        <v>0</v>
      </c>
      <c r="AP204" s="1231">
        <f t="shared" si="212"/>
        <v>0</v>
      </c>
      <c r="AQ204" s="1231">
        <f t="shared" si="213"/>
        <v>0</v>
      </c>
      <c r="AR204" s="1231">
        <f t="shared" si="214"/>
        <v>0</v>
      </c>
      <c r="AS204" s="1231">
        <f t="shared" si="215"/>
        <v>0</v>
      </c>
      <c r="AT204" s="1231">
        <f t="shared" si="216"/>
        <v>0</v>
      </c>
      <c r="AU204" s="1231">
        <f t="shared" si="217"/>
        <v>0</v>
      </c>
      <c r="AV204" s="1231">
        <f t="shared" si="218"/>
        <v>0</v>
      </c>
      <c r="AW204" s="1231">
        <f t="shared" si="219"/>
        <v>0</v>
      </c>
      <c r="AX204" s="1231">
        <f t="shared" si="220"/>
        <v>0</v>
      </c>
      <c r="AY204" s="1231">
        <f t="shared" si="221"/>
        <v>0</v>
      </c>
      <c r="AZ204" s="1231">
        <f t="shared" si="222"/>
        <v>0</v>
      </c>
      <c r="BA204" s="1231">
        <f t="shared" si="223"/>
        <v>0</v>
      </c>
      <c r="BB204" s="1231">
        <f t="shared" si="224"/>
        <v>0</v>
      </c>
      <c r="BC204" s="1231">
        <f t="shared" si="225"/>
        <v>0</v>
      </c>
      <c r="BD204" s="1231">
        <f t="shared" si="226"/>
        <v>0</v>
      </c>
      <c r="BE204" s="1231">
        <f t="shared" si="227"/>
        <v>0</v>
      </c>
      <c r="BF204" s="1231">
        <f t="shared" si="228"/>
        <v>0</v>
      </c>
      <c r="BG204" s="1231">
        <f t="shared" si="229"/>
        <v>0</v>
      </c>
      <c r="BH204" s="1231">
        <f t="shared" si="230"/>
        <v>0</v>
      </c>
      <c r="BI204" s="1231">
        <f t="shared" si="231"/>
        <v>0</v>
      </c>
      <c r="BJ204" s="1231">
        <f t="shared" si="232"/>
        <v>0</v>
      </c>
      <c r="BK204" s="1231">
        <f t="shared" si="233"/>
        <v>0</v>
      </c>
      <c r="BL204" s="1231">
        <f t="shared" si="234"/>
        <v>0</v>
      </c>
      <c r="BM204" s="1231">
        <f t="shared" si="235"/>
        <v>0</v>
      </c>
      <c r="BN204" s="1231">
        <f t="shared" si="236"/>
        <v>0</v>
      </c>
      <c r="BO204" s="1231">
        <f t="shared" si="237"/>
        <v>0</v>
      </c>
      <c r="BP204" s="1231">
        <f t="shared" si="238"/>
        <v>0</v>
      </c>
      <c r="BQ204" s="1231">
        <f t="shared" si="239"/>
        <v>0</v>
      </c>
      <c r="BR204" s="1231">
        <f t="shared" si="240"/>
        <v>0</v>
      </c>
      <c r="BS204" s="1231">
        <f t="shared" si="241"/>
        <v>0</v>
      </c>
      <c r="BT204" s="1231">
        <f t="shared" si="242"/>
        <v>0</v>
      </c>
      <c r="BU204" s="1231">
        <f t="shared" si="243"/>
        <v>0</v>
      </c>
      <c r="BV204" s="1231">
        <f t="shared" si="244"/>
        <v>0</v>
      </c>
      <c r="BW204" s="1231">
        <f t="shared" si="245"/>
        <v>0</v>
      </c>
      <c r="BX204" s="1231">
        <f t="shared" si="246"/>
        <v>0</v>
      </c>
      <c r="BY204" s="1231">
        <f t="shared" si="247"/>
        <v>0</v>
      </c>
      <c r="BZ204" s="1231">
        <f t="shared" si="248"/>
        <v>0</v>
      </c>
      <c r="CA204" s="1231">
        <f t="shared" si="249"/>
        <v>0</v>
      </c>
      <c r="CB204" s="1231">
        <f t="shared" si="250"/>
        <v>0</v>
      </c>
      <c r="CC204" s="1231">
        <f t="shared" si="251"/>
        <v>0</v>
      </c>
      <c r="CD204" s="1231">
        <f t="shared" si="252"/>
        <v>0</v>
      </c>
      <c r="CE204" s="1231">
        <f t="shared" si="253"/>
        <v>0</v>
      </c>
      <c r="CF204" s="1231">
        <f t="shared" si="254"/>
        <v>0</v>
      </c>
      <c r="CG204" s="1231">
        <f t="shared" si="255"/>
        <v>0</v>
      </c>
      <c r="CH204" s="1231">
        <f t="shared" si="256"/>
        <v>0</v>
      </c>
      <c r="CI204" s="1231">
        <f t="shared" si="257"/>
        <v>0</v>
      </c>
      <c r="CJ204" s="1231">
        <f t="shared" si="258"/>
        <v>0</v>
      </c>
      <c r="CK204" s="1231">
        <f t="shared" si="259"/>
        <v>0</v>
      </c>
      <c r="CL204" s="1231">
        <f t="shared" si="260"/>
        <v>0</v>
      </c>
      <c r="CM204" s="1231">
        <f t="shared" si="261"/>
        <v>0</v>
      </c>
      <c r="CN204" s="1231">
        <f t="shared" si="262"/>
        <v>0</v>
      </c>
      <c r="CQ204" s="1165"/>
      <c r="CR204" s="1165"/>
      <c r="CS204" s="1165"/>
      <c r="CT204" s="1165"/>
      <c r="CU204" s="1165"/>
      <c r="CV204" s="1165"/>
      <c r="CW204" s="1165"/>
      <c r="CX204" s="1165"/>
      <c r="CY204" s="1165"/>
      <c r="CZ204" s="1165"/>
      <c r="DA204" s="1165"/>
      <c r="DB204" s="1165"/>
      <c r="DC204" s="1165"/>
      <c r="DD204" s="1165"/>
      <c r="DE204" s="1165"/>
      <c r="DF204" s="1165"/>
      <c r="DG204" s="1165"/>
      <c r="DH204" s="1165"/>
      <c r="DI204" s="1165"/>
      <c r="DJ204" s="1165"/>
      <c r="DK204" s="1232"/>
      <c r="DL204" s="1232"/>
      <c r="DM204" s="1232"/>
      <c r="DN204" s="1232"/>
      <c r="DO204" s="1232"/>
      <c r="DP204" s="1232"/>
      <c r="DQ204" s="1232"/>
      <c r="DR204" s="1232"/>
      <c r="DS204" s="1232"/>
      <c r="DT204" s="1232"/>
      <c r="DU204" s="1232"/>
      <c r="DV204" s="1232"/>
      <c r="DW204" s="1232"/>
      <c r="DX204" s="1232"/>
      <c r="DY204" s="1232"/>
      <c r="DZ204" s="1232"/>
      <c r="EA204" s="1232"/>
      <c r="EB204" s="1232"/>
      <c r="EC204" s="1232"/>
      <c r="ED204" s="1232"/>
      <c r="EE204" s="1232"/>
      <c r="EF204" s="1232"/>
      <c r="EG204" s="1232"/>
      <c r="EH204" s="1232"/>
      <c r="EI204" s="1232"/>
      <c r="EJ204" s="1232"/>
      <c r="EK204" s="1232"/>
      <c r="EL204" s="1232"/>
      <c r="EM204" s="1232"/>
      <c r="EN204" s="1232"/>
      <c r="EO204" s="1232"/>
      <c r="EP204" s="1232"/>
      <c r="EQ204" s="1232"/>
      <c r="ER204" s="1232"/>
      <c r="ES204" s="1232"/>
      <c r="ET204" s="1232"/>
      <c r="EU204" s="1165"/>
      <c r="EV204" s="1165"/>
      <c r="EW204" s="1165"/>
      <c r="EX204" s="1165"/>
      <c r="EY204" s="1165"/>
      <c r="EZ204" s="1165"/>
      <c r="FA204" s="1165"/>
      <c r="FB204" s="1165"/>
      <c r="FC204" s="1165"/>
      <c r="FD204" s="1165"/>
      <c r="FE204" s="1165"/>
      <c r="FF204" s="1165"/>
    </row>
    <row r="205" spans="1:162" s="1235" customFormat="1">
      <c r="A205" s="1233"/>
      <c r="B205" s="1234" t="s">
        <v>6</v>
      </c>
      <c r="M205" s="1235" t="e">
        <f ca="1">Model!#REF!-M204</f>
        <v>#REF!</v>
      </c>
      <c r="N205" s="1235" t="e">
        <f ca="1">Model!#REF!-N204</f>
        <v>#REF!</v>
      </c>
      <c r="O205" s="1235" t="e">
        <f ca="1">Model!#REF!-O204</f>
        <v>#REF!</v>
      </c>
      <c r="P205" s="1235" t="e">
        <f ca="1">Model!#REF!-P204</f>
        <v>#REF!</v>
      </c>
      <c r="Q205" s="1235" t="e">
        <f ca="1">Model!#REF!-Q204</f>
        <v>#REF!</v>
      </c>
      <c r="U205" s="1235">
        <f>Model!D148-U204</f>
        <v>0</v>
      </c>
      <c r="V205" s="1235">
        <f>Model!E148-V204</f>
        <v>0</v>
      </c>
      <c r="W205" s="1235">
        <f>Model!F148-W204</f>
        <v>0</v>
      </c>
      <c r="X205" s="1235">
        <f>Model!G148-X204</f>
        <v>0</v>
      </c>
      <c r="Y205" s="1235">
        <f>Model!H148-Y204</f>
        <v>0</v>
      </c>
      <c r="AG205" s="1235">
        <f t="shared" si="203"/>
        <v>0</v>
      </c>
      <c r="AH205" s="1235">
        <f t="shared" si="204"/>
        <v>0</v>
      </c>
      <c r="AI205" s="1235">
        <f t="shared" si="205"/>
        <v>0</v>
      </c>
      <c r="AJ205" s="1235">
        <f t="shared" si="206"/>
        <v>0</v>
      </c>
      <c r="AK205" s="1235">
        <f t="shared" si="207"/>
        <v>0</v>
      </c>
      <c r="AL205" s="1235">
        <f t="shared" si="208"/>
        <v>0</v>
      </c>
      <c r="AM205" s="1235">
        <f t="shared" si="209"/>
        <v>0</v>
      </c>
      <c r="AN205" s="1235">
        <f t="shared" si="210"/>
        <v>0</v>
      </c>
      <c r="AO205" s="1235">
        <f t="shared" si="211"/>
        <v>0</v>
      </c>
      <c r="AP205" s="1235">
        <f t="shared" si="212"/>
        <v>0</v>
      </c>
      <c r="AQ205" s="1235">
        <f t="shared" si="213"/>
        <v>0</v>
      </c>
      <c r="AR205" s="1235">
        <f t="shared" si="214"/>
        <v>0</v>
      </c>
      <c r="AS205" s="1235">
        <f t="shared" si="215"/>
        <v>0</v>
      </c>
      <c r="AT205" s="1235">
        <f t="shared" si="216"/>
        <v>0</v>
      </c>
      <c r="AU205" s="1235">
        <f t="shared" si="217"/>
        <v>0</v>
      </c>
      <c r="AV205" s="1235">
        <f t="shared" si="218"/>
        <v>0</v>
      </c>
      <c r="AW205" s="1235">
        <f t="shared" si="219"/>
        <v>0</v>
      </c>
      <c r="AX205" s="1235">
        <f t="shared" si="220"/>
        <v>0</v>
      </c>
      <c r="AY205" s="1235">
        <f t="shared" si="221"/>
        <v>0</v>
      </c>
      <c r="AZ205" s="1235">
        <f t="shared" si="222"/>
        <v>0</v>
      </c>
      <c r="BA205" s="1235">
        <f t="shared" si="223"/>
        <v>0</v>
      </c>
      <c r="BB205" s="1235">
        <f t="shared" si="224"/>
        <v>0</v>
      </c>
      <c r="BC205" s="1235">
        <f t="shared" si="225"/>
        <v>0</v>
      </c>
      <c r="BD205" s="1235">
        <f t="shared" si="226"/>
        <v>0</v>
      </c>
      <c r="BE205" s="1235">
        <f t="shared" si="227"/>
        <v>0</v>
      </c>
      <c r="BF205" s="1235">
        <f t="shared" si="228"/>
        <v>0</v>
      </c>
      <c r="BG205" s="1235">
        <f t="shared" si="229"/>
        <v>0</v>
      </c>
      <c r="BH205" s="1235">
        <f t="shared" si="230"/>
        <v>0</v>
      </c>
      <c r="BI205" s="1235">
        <f t="shared" si="231"/>
        <v>0</v>
      </c>
      <c r="BJ205" s="1235">
        <f t="shared" si="232"/>
        <v>0</v>
      </c>
      <c r="BK205" s="1235">
        <f t="shared" si="233"/>
        <v>0</v>
      </c>
      <c r="BL205" s="1235">
        <f t="shared" si="234"/>
        <v>0</v>
      </c>
      <c r="BM205" s="1235">
        <f t="shared" si="235"/>
        <v>0</v>
      </c>
      <c r="BN205" s="1235">
        <f t="shared" si="236"/>
        <v>0</v>
      </c>
      <c r="BO205" s="1235">
        <f t="shared" si="237"/>
        <v>0</v>
      </c>
      <c r="BP205" s="1235">
        <f t="shared" si="238"/>
        <v>0</v>
      </c>
      <c r="BQ205" s="1235">
        <f t="shared" si="239"/>
        <v>0</v>
      </c>
      <c r="BR205" s="1235">
        <f t="shared" si="240"/>
        <v>0</v>
      </c>
      <c r="BS205" s="1235">
        <f t="shared" si="241"/>
        <v>0</v>
      </c>
      <c r="BT205" s="1235">
        <f t="shared" si="242"/>
        <v>0</v>
      </c>
      <c r="BU205" s="1235">
        <f t="shared" si="243"/>
        <v>0</v>
      </c>
      <c r="BV205" s="1235">
        <f t="shared" si="244"/>
        <v>0</v>
      </c>
      <c r="BW205" s="1235">
        <f t="shared" si="245"/>
        <v>0</v>
      </c>
      <c r="BX205" s="1235">
        <f t="shared" si="246"/>
        <v>0</v>
      </c>
      <c r="BY205" s="1235">
        <f t="shared" si="247"/>
        <v>0</v>
      </c>
      <c r="BZ205" s="1235">
        <f t="shared" si="248"/>
        <v>0</v>
      </c>
      <c r="CA205" s="1235">
        <f t="shared" si="249"/>
        <v>0</v>
      </c>
      <c r="CB205" s="1235">
        <f t="shared" si="250"/>
        <v>0</v>
      </c>
      <c r="CC205" s="1235">
        <f t="shared" si="251"/>
        <v>0</v>
      </c>
      <c r="CD205" s="1235">
        <f t="shared" si="252"/>
        <v>0</v>
      </c>
      <c r="CE205" s="1235">
        <f t="shared" si="253"/>
        <v>0</v>
      </c>
      <c r="CF205" s="1235">
        <f t="shared" si="254"/>
        <v>0</v>
      </c>
      <c r="CG205" s="1235">
        <f t="shared" si="255"/>
        <v>0</v>
      </c>
      <c r="CH205" s="1235">
        <f t="shared" si="256"/>
        <v>0</v>
      </c>
      <c r="CI205" s="1235">
        <f t="shared" si="257"/>
        <v>0</v>
      </c>
      <c r="CJ205" s="1235">
        <f t="shared" si="258"/>
        <v>0</v>
      </c>
      <c r="CK205" s="1235">
        <f t="shared" si="259"/>
        <v>0</v>
      </c>
      <c r="CL205" s="1235">
        <f t="shared" si="260"/>
        <v>0</v>
      </c>
      <c r="CM205" s="1235">
        <f t="shared" si="261"/>
        <v>0</v>
      </c>
      <c r="CN205" s="1235">
        <f t="shared" si="262"/>
        <v>0</v>
      </c>
      <c r="CO205" s="1165"/>
      <c r="CP205" s="1165"/>
      <c r="CQ205" s="1165"/>
      <c r="CR205" s="1165"/>
      <c r="CS205" s="1165"/>
      <c r="CT205" s="1165"/>
      <c r="CU205" s="1165"/>
      <c r="CV205" s="1165"/>
      <c r="CW205" s="1165"/>
      <c r="CX205" s="1165"/>
      <c r="CY205" s="1165"/>
      <c r="CZ205" s="1165"/>
      <c r="DA205" s="1165"/>
      <c r="DB205" s="1165"/>
      <c r="DC205" s="1165"/>
      <c r="DD205" s="1165"/>
      <c r="DE205" s="1165"/>
      <c r="DF205" s="1165"/>
      <c r="DG205" s="1165"/>
      <c r="DH205" s="1165"/>
      <c r="DI205" s="1165"/>
      <c r="DJ205" s="1165"/>
      <c r="DK205" s="1236"/>
      <c r="DL205" s="1236"/>
      <c r="DM205" s="1236"/>
      <c r="DN205" s="1236"/>
      <c r="DO205" s="1236"/>
      <c r="DP205" s="1236"/>
      <c r="DQ205" s="1236"/>
      <c r="DR205" s="1236"/>
      <c r="DS205" s="1236"/>
      <c r="DT205" s="1236"/>
      <c r="DU205" s="1236"/>
      <c r="DV205" s="1236"/>
      <c r="DW205" s="1236"/>
      <c r="DX205" s="1236"/>
      <c r="DY205" s="1236"/>
      <c r="DZ205" s="1236"/>
      <c r="EA205" s="1236"/>
      <c r="EB205" s="1236"/>
      <c r="EC205" s="1236"/>
      <c r="ED205" s="1236"/>
      <c r="EE205" s="1236"/>
      <c r="EF205" s="1236"/>
      <c r="EG205" s="1236"/>
      <c r="EH205" s="1236"/>
      <c r="EI205" s="1236"/>
      <c r="EJ205" s="1236"/>
      <c r="EK205" s="1236"/>
      <c r="EL205" s="1236"/>
      <c r="EM205" s="1236"/>
      <c r="EN205" s="1236"/>
      <c r="EO205" s="1236"/>
      <c r="EP205" s="1236"/>
      <c r="EQ205" s="1236"/>
      <c r="ER205" s="1236"/>
      <c r="ES205" s="1236"/>
      <c r="ET205" s="1236"/>
      <c r="EU205" s="1165"/>
      <c r="EV205" s="1165"/>
      <c r="EW205" s="1165"/>
      <c r="EX205" s="1165"/>
      <c r="EY205" s="1165"/>
      <c r="EZ205" s="1165"/>
      <c r="FA205" s="1165"/>
      <c r="FB205" s="1165"/>
      <c r="FC205" s="1165"/>
      <c r="FD205" s="1165"/>
      <c r="FE205" s="1165"/>
      <c r="FF205" s="1165"/>
    </row>
    <row r="206" spans="1:162" s="1231" customFormat="1">
      <c r="A206" s="1224"/>
      <c r="B206" s="1230"/>
      <c r="M206" s="1231">
        <f ca="1">M204-M141</f>
        <v>0</v>
      </c>
      <c r="N206" s="1231">
        <f ca="1">N204-N141</f>
        <v>0</v>
      </c>
      <c r="O206" s="1231">
        <f ca="1">O204-O141</f>
        <v>0</v>
      </c>
      <c r="P206" s="1231">
        <f ca="1">P204-P141</f>
        <v>0</v>
      </c>
      <c r="Q206" s="1231">
        <f ca="1">Q204-Q141</f>
        <v>0</v>
      </c>
      <c r="U206" s="1231">
        <f>U204-U141</f>
        <v>0</v>
      </c>
      <c r="V206" s="1231">
        <f>V204-V141</f>
        <v>0</v>
      </c>
      <c r="W206" s="1231">
        <f>W204-W141</f>
        <v>0</v>
      </c>
      <c r="X206" s="1231">
        <f>X204-X141</f>
        <v>0</v>
      </c>
      <c r="Y206" s="1231">
        <f>Y204-Y141</f>
        <v>0</v>
      </c>
      <c r="CO206" s="1165"/>
      <c r="CP206" s="1165"/>
      <c r="CQ206" s="1165"/>
      <c r="CR206" s="1165"/>
      <c r="CS206" s="1165"/>
      <c r="CT206" s="1165"/>
      <c r="CU206" s="1165"/>
      <c r="CV206" s="1165"/>
      <c r="CW206" s="1165"/>
      <c r="CX206" s="1165"/>
      <c r="CY206" s="1165"/>
      <c r="CZ206" s="1165"/>
      <c r="DA206" s="1165"/>
      <c r="DB206" s="1165"/>
      <c r="DC206" s="1165"/>
      <c r="DD206" s="1165"/>
      <c r="DE206" s="1165"/>
      <c r="DF206" s="1165"/>
      <c r="DG206" s="1165"/>
      <c r="DH206" s="1165"/>
      <c r="DI206" s="1165"/>
      <c r="DJ206" s="1165"/>
      <c r="DK206" s="1165"/>
      <c r="DL206" s="1165"/>
      <c r="DM206" s="1165"/>
      <c r="DN206" s="1165"/>
      <c r="DO206" s="1165"/>
      <c r="DP206" s="1165"/>
      <c r="DQ206" s="1165"/>
      <c r="DR206" s="1165"/>
      <c r="DS206" s="1165"/>
      <c r="DT206" s="1165"/>
      <c r="DU206" s="1165"/>
      <c r="DV206" s="1165"/>
      <c r="DW206" s="1165"/>
      <c r="DX206" s="1165"/>
      <c r="DY206" s="1165"/>
      <c r="DZ206" s="1165"/>
      <c r="EA206" s="1165"/>
      <c r="EB206" s="1165"/>
      <c r="EC206" s="1165"/>
      <c r="ED206" s="1165"/>
      <c r="EE206" s="1165"/>
      <c r="EF206" s="1165"/>
      <c r="EG206" s="1165"/>
      <c r="EH206" s="1165"/>
      <c r="EI206" s="1165"/>
      <c r="EJ206" s="1165"/>
      <c r="EK206" s="1165"/>
      <c r="EL206" s="1165"/>
      <c r="EM206" s="1165"/>
      <c r="EN206" s="1165"/>
      <c r="EO206" s="1165"/>
      <c r="EP206" s="1165"/>
      <c r="EQ206" s="1165"/>
      <c r="ER206" s="1165"/>
      <c r="ES206" s="1165"/>
      <c r="ET206" s="1165"/>
      <c r="EU206" s="1165"/>
      <c r="EV206" s="1165"/>
      <c r="EW206" s="1165"/>
      <c r="EX206" s="1165"/>
      <c r="EY206" s="1165"/>
      <c r="EZ206" s="1165"/>
      <c r="FA206" s="1165"/>
      <c r="FB206" s="1165"/>
      <c r="FC206" s="1165"/>
      <c r="FD206" s="1165"/>
      <c r="FE206" s="1165"/>
      <c r="FF206" s="1165"/>
    </row>
    <row r="207" spans="1:162">
      <c r="A207" s="1224"/>
      <c r="CO207" s="1165"/>
      <c r="CP207" s="1165"/>
      <c r="CQ207" s="1165"/>
      <c r="CR207" s="1165"/>
      <c r="CS207" s="1165"/>
      <c r="CT207" s="1165"/>
      <c r="CU207" s="1165"/>
      <c r="CV207" s="1165"/>
      <c r="CW207" s="1165"/>
      <c r="CX207" s="1165"/>
    </row>
    <row r="208" spans="1:162" s="1227" customFormat="1" ht="15.75">
      <c r="A208" s="1260"/>
      <c r="B208" s="1228" t="s">
        <v>170</v>
      </c>
      <c r="C208" s="1226" t="e">
        <f t="shared" ref="C208:AC208" si="280">C6</f>
        <v>#REF!</v>
      </c>
      <c r="D208" s="1226" t="e">
        <f t="shared" si="280"/>
        <v>#REF!</v>
      </c>
      <c r="E208" s="1226" t="e">
        <f t="shared" si="280"/>
        <v>#REF!</v>
      </c>
      <c r="F208" s="1226" t="e">
        <f t="shared" si="280"/>
        <v>#REF!</v>
      </c>
      <c r="G208" s="1226" t="e">
        <f t="shared" si="280"/>
        <v>#REF!</v>
      </c>
      <c r="H208" s="1226" t="e">
        <f t="shared" si="280"/>
        <v>#REF!</v>
      </c>
      <c r="I208" s="1226" t="e">
        <f t="shared" si="280"/>
        <v>#REF!</v>
      </c>
      <c r="J208" s="1226" t="e">
        <f t="shared" si="280"/>
        <v>#REF!</v>
      </c>
      <c r="K208" s="1226" t="e">
        <f t="shared" si="280"/>
        <v>#REF!</v>
      </c>
      <c r="L208" s="1226" t="e">
        <f t="shared" si="280"/>
        <v>#REF!</v>
      </c>
      <c r="M208" s="1226" t="e">
        <f t="shared" si="280"/>
        <v>#REF!</v>
      </c>
      <c r="N208" s="1226" t="e">
        <f t="shared" si="280"/>
        <v>#REF!</v>
      </c>
      <c r="O208" s="1226" t="e">
        <f t="shared" si="280"/>
        <v>#REF!</v>
      </c>
      <c r="P208" s="1226" t="e">
        <f t="shared" si="280"/>
        <v>#REF!</v>
      </c>
      <c r="Q208" s="1226" t="e">
        <f t="shared" si="280"/>
        <v>#REF!</v>
      </c>
      <c r="R208" s="1226">
        <f t="shared" si="280"/>
        <v>2010</v>
      </c>
      <c r="S208" s="1226">
        <f t="shared" si="280"/>
        <v>2011</v>
      </c>
      <c r="T208" s="1226">
        <f t="shared" si="280"/>
        <v>2012</v>
      </c>
      <c r="U208" s="1226">
        <f t="shared" si="280"/>
        <v>2013</v>
      </c>
      <c r="V208" s="1226">
        <f t="shared" si="280"/>
        <v>2014</v>
      </c>
      <c r="W208" s="1226">
        <f t="shared" si="280"/>
        <v>2015</v>
      </c>
      <c r="X208" s="1226">
        <f t="shared" si="280"/>
        <v>2016</v>
      </c>
      <c r="Y208" s="1226">
        <f t="shared" si="280"/>
        <v>2017</v>
      </c>
      <c r="Z208" s="1226">
        <f t="shared" si="280"/>
        <v>2018</v>
      </c>
      <c r="AA208" s="1226">
        <f t="shared" si="280"/>
        <v>2019</v>
      </c>
      <c r="AB208" s="1226">
        <f t="shared" si="280"/>
        <v>2020</v>
      </c>
      <c r="AC208" s="1226">
        <f t="shared" si="280"/>
        <v>2021</v>
      </c>
      <c r="AD208" s="1226"/>
      <c r="AE208" s="1226"/>
      <c r="AF208" s="1226"/>
      <c r="AG208" s="1226" t="e">
        <f t="shared" ref="AG208:BL208" si="281">AG6</f>
        <v>#REF!</v>
      </c>
      <c r="AH208" s="1226" t="e">
        <f t="shared" si="281"/>
        <v>#REF!</v>
      </c>
      <c r="AI208" s="1226" t="e">
        <f t="shared" si="281"/>
        <v>#REF!</v>
      </c>
      <c r="AJ208" s="1226" t="e">
        <f t="shared" si="281"/>
        <v>#REF!</v>
      </c>
      <c r="AK208" s="1226" t="e">
        <f t="shared" si="281"/>
        <v>#REF!</v>
      </c>
      <c r="AL208" s="1226" t="e">
        <f t="shared" si="281"/>
        <v>#REF!</v>
      </c>
      <c r="AM208" s="1226" t="e">
        <f t="shared" si="281"/>
        <v>#REF!</v>
      </c>
      <c r="AN208" s="1226" t="e">
        <f t="shared" si="281"/>
        <v>#REF!</v>
      </c>
      <c r="AO208" s="1226" t="e">
        <f t="shared" si="281"/>
        <v>#REF!</v>
      </c>
      <c r="AP208" s="1226" t="e">
        <f t="shared" si="281"/>
        <v>#REF!</v>
      </c>
      <c r="AQ208" s="1226" t="e">
        <f t="shared" si="281"/>
        <v>#REF!</v>
      </c>
      <c r="AR208" s="1226" t="e">
        <f t="shared" si="281"/>
        <v>#REF!</v>
      </c>
      <c r="AS208" s="1226" t="e">
        <f t="shared" si="281"/>
        <v>#REF!</v>
      </c>
      <c r="AT208" s="1226" t="e">
        <f t="shared" si="281"/>
        <v>#REF!</v>
      </c>
      <c r="AU208" s="1226" t="e">
        <f t="shared" si="281"/>
        <v>#REF!</v>
      </c>
      <c r="AV208" s="1226" t="e">
        <f t="shared" si="281"/>
        <v>#REF!</v>
      </c>
      <c r="AW208" s="1226" t="e">
        <f t="shared" si="281"/>
        <v>#REF!</v>
      </c>
      <c r="AX208" s="1226" t="e">
        <f t="shared" si="281"/>
        <v>#REF!</v>
      </c>
      <c r="AY208" s="1226" t="e">
        <f t="shared" si="281"/>
        <v>#REF!</v>
      </c>
      <c r="AZ208" s="1226" t="e">
        <f t="shared" si="281"/>
        <v>#REF!</v>
      </c>
      <c r="BA208" s="1226" t="e">
        <f t="shared" si="281"/>
        <v>#REF!</v>
      </c>
      <c r="BB208" s="1226" t="e">
        <f t="shared" si="281"/>
        <v>#REF!</v>
      </c>
      <c r="BC208" s="1226" t="e">
        <f t="shared" si="281"/>
        <v>#REF!</v>
      </c>
      <c r="BD208" s="1226" t="e">
        <f t="shared" si="281"/>
        <v>#REF!</v>
      </c>
      <c r="BE208" s="1226" t="e">
        <f t="shared" si="281"/>
        <v>#REF!</v>
      </c>
      <c r="BF208" s="1226" t="e">
        <f t="shared" si="281"/>
        <v>#REF!</v>
      </c>
      <c r="BG208" s="1226" t="e">
        <f t="shared" si="281"/>
        <v>#REF!</v>
      </c>
      <c r="BH208" s="1226" t="e">
        <f t="shared" si="281"/>
        <v>#REF!</v>
      </c>
      <c r="BI208" s="1226" t="e">
        <f t="shared" si="281"/>
        <v>#REF!</v>
      </c>
      <c r="BJ208" s="1226" t="e">
        <f t="shared" si="281"/>
        <v>#REF!</v>
      </c>
      <c r="BK208" s="1226" t="e">
        <f t="shared" si="281"/>
        <v>#REF!</v>
      </c>
      <c r="BL208" s="1226" t="e">
        <f t="shared" si="281"/>
        <v>#REF!</v>
      </c>
      <c r="BM208" s="1226" t="e">
        <f t="shared" ref="BM208:CN208" si="282">BM6</f>
        <v>#REF!</v>
      </c>
      <c r="BN208" s="1226" t="e">
        <f t="shared" si="282"/>
        <v>#REF!</v>
      </c>
      <c r="BO208" s="1226" t="e">
        <f t="shared" si="282"/>
        <v>#REF!</v>
      </c>
      <c r="BP208" s="1226" t="e">
        <f t="shared" si="282"/>
        <v>#REF!</v>
      </c>
      <c r="BQ208" s="1226" t="e">
        <f t="shared" si="282"/>
        <v>#REF!</v>
      </c>
      <c r="BR208" s="1226" t="e">
        <f t="shared" si="282"/>
        <v>#REF!</v>
      </c>
      <c r="BS208" s="1226" t="e">
        <f t="shared" si="282"/>
        <v>#REF!</v>
      </c>
      <c r="BT208" s="1226" t="e">
        <f t="shared" si="282"/>
        <v>#REF!</v>
      </c>
      <c r="BU208" s="1226" t="e">
        <f t="shared" si="282"/>
        <v>#REF!</v>
      </c>
      <c r="BV208" s="1226" t="e">
        <f t="shared" si="282"/>
        <v>#REF!</v>
      </c>
      <c r="BW208" s="1226" t="e">
        <f t="shared" si="282"/>
        <v>#REF!</v>
      </c>
      <c r="BX208" s="1226" t="e">
        <f t="shared" si="282"/>
        <v>#REF!</v>
      </c>
      <c r="BY208" s="1226" t="e">
        <f t="shared" si="282"/>
        <v>#REF!</v>
      </c>
      <c r="BZ208" s="1226" t="e">
        <f t="shared" si="282"/>
        <v>#REF!</v>
      </c>
      <c r="CA208" s="1226" t="e">
        <f t="shared" si="282"/>
        <v>#REF!</v>
      </c>
      <c r="CB208" s="1226" t="e">
        <f t="shared" si="282"/>
        <v>#REF!</v>
      </c>
      <c r="CC208" s="1226" t="e">
        <f t="shared" si="282"/>
        <v>#REF!</v>
      </c>
      <c r="CD208" s="1226" t="e">
        <f t="shared" si="282"/>
        <v>#REF!</v>
      </c>
      <c r="CE208" s="1226" t="e">
        <f t="shared" si="282"/>
        <v>#REF!</v>
      </c>
      <c r="CF208" s="1226" t="e">
        <f t="shared" si="282"/>
        <v>#REF!</v>
      </c>
      <c r="CG208" s="1226" t="e">
        <f t="shared" si="282"/>
        <v>#REF!</v>
      </c>
      <c r="CH208" s="1226" t="e">
        <f t="shared" si="282"/>
        <v>#REF!</v>
      </c>
      <c r="CI208" s="1226" t="e">
        <f t="shared" si="282"/>
        <v>#REF!</v>
      </c>
      <c r="CJ208" s="1226" t="e">
        <f t="shared" si="282"/>
        <v>#REF!</v>
      </c>
      <c r="CK208" s="1226" t="e">
        <f t="shared" si="282"/>
        <v>#REF!</v>
      </c>
      <c r="CL208" s="1226" t="e">
        <f t="shared" si="282"/>
        <v>#REF!</v>
      </c>
      <c r="CM208" s="1226" t="e">
        <f t="shared" si="282"/>
        <v>#REF!</v>
      </c>
      <c r="CN208" s="1226" t="e">
        <f t="shared" si="282"/>
        <v>#REF!</v>
      </c>
      <c r="CQ208" s="1226" t="str">
        <f>CQ$6</f>
        <v>1Q05</v>
      </c>
      <c r="CR208" s="1226" t="str">
        <f t="shared" ref="CR208:FC208" si="283">CR$6</f>
        <v>2Q05</v>
      </c>
      <c r="CS208" s="1226" t="str">
        <f t="shared" si="283"/>
        <v>3Q05</v>
      </c>
      <c r="CT208" s="1226" t="str">
        <f t="shared" si="283"/>
        <v>4Q05</v>
      </c>
      <c r="CU208" s="1226" t="str">
        <f t="shared" si="283"/>
        <v>1Q06</v>
      </c>
      <c r="CV208" s="1226" t="str">
        <f t="shared" si="283"/>
        <v>2Q06</v>
      </c>
      <c r="CW208" s="1226" t="str">
        <f t="shared" si="283"/>
        <v>3Q06</v>
      </c>
      <c r="CX208" s="1226" t="str">
        <f t="shared" si="283"/>
        <v>4Q06</v>
      </c>
      <c r="CY208" s="1226" t="str">
        <f t="shared" si="283"/>
        <v>1Q07</v>
      </c>
      <c r="CZ208" s="1226" t="str">
        <f t="shared" si="283"/>
        <v>2Q07</v>
      </c>
      <c r="DA208" s="1226" t="str">
        <f t="shared" si="283"/>
        <v>3Q07</v>
      </c>
      <c r="DB208" s="1226" t="str">
        <f t="shared" si="283"/>
        <v>4Q07</v>
      </c>
      <c r="DC208" s="1226" t="str">
        <f t="shared" si="283"/>
        <v>1Q08</v>
      </c>
      <c r="DD208" s="1226" t="str">
        <f t="shared" si="283"/>
        <v>2Q08</v>
      </c>
      <c r="DE208" s="1226" t="str">
        <f t="shared" si="283"/>
        <v>3Q08</v>
      </c>
      <c r="DF208" s="1226" t="str">
        <f t="shared" si="283"/>
        <v>4Q08</v>
      </c>
      <c r="DG208" s="1226" t="str">
        <f t="shared" si="283"/>
        <v>1Q09</v>
      </c>
      <c r="DH208" s="1226" t="str">
        <f t="shared" si="283"/>
        <v>2Q09</v>
      </c>
      <c r="DI208" s="1226" t="str">
        <f t="shared" si="283"/>
        <v>3Q09</v>
      </c>
      <c r="DJ208" s="1226" t="str">
        <f t="shared" si="283"/>
        <v>4Q09</v>
      </c>
      <c r="DK208" s="1226" t="str">
        <f t="shared" si="283"/>
        <v>1Q10</v>
      </c>
      <c r="DL208" s="1226" t="str">
        <f t="shared" si="283"/>
        <v>2Q10</v>
      </c>
      <c r="DM208" s="1226" t="str">
        <f t="shared" si="283"/>
        <v>3Q10</v>
      </c>
      <c r="DN208" s="1226" t="str">
        <f t="shared" si="283"/>
        <v>4Q10</v>
      </c>
      <c r="DO208" s="1226" t="str">
        <f t="shared" si="283"/>
        <v>1Q11</v>
      </c>
      <c r="DP208" s="1226" t="str">
        <f t="shared" si="283"/>
        <v>2Q11</v>
      </c>
      <c r="DQ208" s="1226" t="str">
        <f t="shared" si="283"/>
        <v>3Q11</v>
      </c>
      <c r="DR208" s="1226" t="str">
        <f t="shared" si="283"/>
        <v>4Q11</v>
      </c>
      <c r="DS208" s="1226" t="str">
        <f t="shared" si="283"/>
        <v>1Q12</v>
      </c>
      <c r="DT208" s="1226" t="str">
        <f t="shared" si="283"/>
        <v>2Q12</v>
      </c>
      <c r="DU208" s="1226" t="str">
        <f t="shared" si="283"/>
        <v>3Q12</v>
      </c>
      <c r="DV208" s="1226" t="str">
        <f t="shared" si="283"/>
        <v>4Q12</v>
      </c>
      <c r="DW208" s="1226" t="str">
        <f t="shared" si="283"/>
        <v>1Q13</v>
      </c>
      <c r="DX208" s="1226" t="str">
        <f t="shared" si="283"/>
        <v>2Q13</v>
      </c>
      <c r="DY208" s="1226" t="str">
        <f t="shared" si="283"/>
        <v>3Q13</v>
      </c>
      <c r="DZ208" s="1226" t="str">
        <f t="shared" si="283"/>
        <v>4Q13</v>
      </c>
      <c r="EA208" s="1226" t="str">
        <f t="shared" si="283"/>
        <v>1Q14</v>
      </c>
      <c r="EB208" s="1226" t="str">
        <f t="shared" si="283"/>
        <v>2Q14</v>
      </c>
      <c r="EC208" s="1226" t="str">
        <f t="shared" si="283"/>
        <v>3Q14</v>
      </c>
      <c r="ED208" s="1226" t="str">
        <f t="shared" si="283"/>
        <v>4Q14</v>
      </c>
      <c r="EE208" s="1226" t="str">
        <f t="shared" si="283"/>
        <v>1Q15</v>
      </c>
      <c r="EF208" s="1226" t="str">
        <f t="shared" si="283"/>
        <v>2Q15</v>
      </c>
      <c r="EG208" s="1226" t="str">
        <f t="shared" si="283"/>
        <v>3Q15</v>
      </c>
      <c r="EH208" s="1226" t="str">
        <f t="shared" si="283"/>
        <v>4Q15</v>
      </c>
      <c r="EI208" s="1226" t="str">
        <f t="shared" si="283"/>
        <v>1Q16</v>
      </c>
      <c r="EJ208" s="1226" t="str">
        <f t="shared" si="283"/>
        <v>2Q16</v>
      </c>
      <c r="EK208" s="1226" t="str">
        <f t="shared" si="283"/>
        <v>3Q16</v>
      </c>
      <c r="EL208" s="1226" t="str">
        <f t="shared" si="283"/>
        <v>4Q16</v>
      </c>
      <c r="EM208" s="1226" t="str">
        <f t="shared" si="283"/>
        <v>1Q17</v>
      </c>
      <c r="EN208" s="1226" t="str">
        <f t="shared" si="283"/>
        <v>2Q17</v>
      </c>
      <c r="EO208" s="1226" t="str">
        <f t="shared" si="283"/>
        <v>3Q17</v>
      </c>
      <c r="EP208" s="1226" t="str">
        <f t="shared" si="283"/>
        <v>4Q17</v>
      </c>
      <c r="EQ208" s="1226" t="str">
        <f t="shared" si="283"/>
        <v>1Q18</v>
      </c>
      <c r="ER208" s="1226" t="str">
        <f t="shared" si="283"/>
        <v>2Q18</v>
      </c>
      <c r="ES208" s="1226" t="str">
        <f t="shared" si="283"/>
        <v>3Q18</v>
      </c>
      <c r="ET208" s="1226" t="str">
        <f t="shared" si="283"/>
        <v>4Q18</v>
      </c>
      <c r="EU208" s="1226" t="str">
        <f t="shared" si="283"/>
        <v>1Q19E</v>
      </c>
      <c r="EV208" s="1226" t="str">
        <f t="shared" si="283"/>
        <v>2Q19E</v>
      </c>
      <c r="EW208" s="1226" t="str">
        <f t="shared" si="283"/>
        <v>3Q19E</v>
      </c>
      <c r="EX208" s="1226" t="str">
        <f t="shared" si="283"/>
        <v>4Q19E</v>
      </c>
      <c r="EY208" s="1226" t="str">
        <f t="shared" si="283"/>
        <v>1Q20E</v>
      </c>
      <c r="EZ208" s="1226" t="str">
        <f t="shared" si="283"/>
        <v>2Q20E</v>
      </c>
      <c r="FA208" s="1226" t="str">
        <f t="shared" si="283"/>
        <v>3Q20E</v>
      </c>
      <c r="FB208" s="1226" t="str">
        <f t="shared" si="283"/>
        <v>4Q20E</v>
      </c>
      <c r="FC208" s="1226" t="str">
        <f t="shared" si="283"/>
        <v>1Q21E</v>
      </c>
      <c r="FD208" s="1226" t="str">
        <f>FD$6</f>
        <v>2Q21E</v>
      </c>
      <c r="FE208" s="1226" t="str">
        <f>FE$6</f>
        <v>3Q21E</v>
      </c>
      <c r="FF208" s="1226" t="str">
        <f>FF$6</f>
        <v>4Q21E</v>
      </c>
    </row>
    <row r="209" spans="1:162">
      <c r="A209" s="1224"/>
      <c r="B209" s="1230"/>
      <c r="CO209" s="1165"/>
      <c r="CP209" s="1165"/>
      <c r="CQ209" s="1165"/>
      <c r="CR209" s="1165"/>
      <c r="CS209" s="1165"/>
      <c r="CT209" s="1165"/>
      <c r="CU209" s="1165"/>
      <c r="CV209" s="1165"/>
      <c r="CW209" s="1165"/>
      <c r="CX209" s="1165"/>
    </row>
    <row r="210" spans="1:162">
      <c r="A210" s="1224"/>
      <c r="B210" s="1230" t="s">
        <v>235</v>
      </c>
      <c r="C210" s="1231"/>
      <c r="D210" s="1231"/>
      <c r="E210" s="1231"/>
      <c r="F210" s="1231"/>
      <c r="G210" s="1231"/>
      <c r="H210" s="1231"/>
      <c r="I210" s="1231"/>
      <c r="J210" s="1231"/>
      <c r="K210" s="1231"/>
      <c r="L210" s="1231"/>
      <c r="M210" s="1231">
        <f ca="1">OFFSET($CQ210,0,M$7)+OFFSET($CR210,0,M$7)+OFFSET($CS210,0,M$7)+OFFSET($CT210,0,M$7)</f>
        <v>0</v>
      </c>
      <c r="N210" s="1231">
        <f ca="1">OFFSET($CQ210,0,N$7)+OFFSET($CR210,0,N$7)+OFFSET($CS210,0,N$7)+OFFSET($CT210,0,N$7)</f>
        <v>0</v>
      </c>
      <c r="O210" s="1231">
        <f ca="1">OFFSET($CQ210,0,O$7)+OFFSET($CR210,0,O$7)+OFFSET($CS210,0,O$7)+OFFSET($CT210,0,O$7)</f>
        <v>0</v>
      </c>
      <c r="P210" s="1231">
        <f ca="1">OFFSET($CQ210,0,P$7)+OFFSET($CR210,0,P$7)+OFFSET($CS210,0,P$7)+OFFSET($CT210,0,P$7)</f>
        <v>0</v>
      </c>
      <c r="Q210" s="1231">
        <f ca="1">OFFSET($CQ210,0,Q$7)+OFFSET($CR210,0,Q$7)+OFFSET($CS210,0,Q$7)+OFFSET($CT210,0,Q$7)</f>
        <v>0</v>
      </c>
      <c r="R210" s="1231"/>
      <c r="S210" s="1231"/>
      <c r="T210" s="1231"/>
      <c r="U210" s="1231"/>
      <c r="V210" s="1231"/>
      <c r="W210" s="1231"/>
      <c r="X210" s="1231"/>
      <c r="Y210" s="1231"/>
      <c r="Z210" s="1231"/>
      <c r="AA210" s="1231"/>
      <c r="AB210" s="1231"/>
      <c r="AC210" s="1231"/>
      <c r="AD210" s="1231"/>
      <c r="AE210" s="1231"/>
      <c r="AF210" s="1231"/>
      <c r="AG210" s="1231">
        <f ca="1">OFFSET($CQ210,0,AG$7)</f>
        <v>0</v>
      </c>
      <c r="AH210" s="1231">
        <f ca="1">OFFSET($CQ210,0,AH$7)+OFFSET($CR210,0,AH$7)</f>
        <v>0</v>
      </c>
      <c r="AI210" s="1231">
        <f ca="1">OFFSET($CQ210,0,AI$7)+OFFSET($CR210,0,AI$7)+OFFSET($CS210,0,AI$7)</f>
        <v>0</v>
      </c>
      <c r="AJ210" s="1231">
        <f ca="1">OFFSET($CQ210,0,AJ$7)+OFFSET($CR210,0,AJ$7)+OFFSET($CS210,0,AJ$7)+OFFSET($CT210,0,AJ$7)</f>
        <v>0</v>
      </c>
      <c r="AK210" s="1231">
        <f ca="1">OFFSET($CQ210,0,AK$7)</f>
        <v>0</v>
      </c>
      <c r="AL210" s="1231">
        <f ca="1">OFFSET($CQ210,0,AL$7)+OFFSET($CR210,0,AL$7)</f>
        <v>0</v>
      </c>
      <c r="AM210" s="1231">
        <f ca="1">OFFSET($CQ210,0,AM$7)+OFFSET($CR210,0,AM$7)+OFFSET($CS210,0,AM$7)</f>
        <v>0</v>
      </c>
      <c r="AN210" s="1231">
        <f ca="1">OFFSET($CQ210,0,AN$7)+OFFSET($CR210,0,AN$7)+OFFSET($CS210,0,AN$7)+OFFSET($CT210,0,AN$7)</f>
        <v>0</v>
      </c>
      <c r="AO210" s="1231">
        <f ca="1">OFFSET($CQ210,0,AO$7)</f>
        <v>0</v>
      </c>
      <c r="AP210" s="1231">
        <f ca="1">OFFSET($CQ210,0,AP$7)+OFFSET($CR210,0,AP$7)</f>
        <v>0</v>
      </c>
      <c r="AQ210" s="1231">
        <f ca="1">OFFSET($CQ210,0,AQ$7)+OFFSET($CR210,0,AQ$7)+OFFSET($CS210,0,AQ$7)</f>
        <v>0</v>
      </c>
      <c r="AR210" s="1231">
        <f ca="1">OFFSET($CQ210,0,AR$7)+OFFSET($CR210,0,AR$7)+OFFSET($CS210,0,AR$7)+OFFSET($CT210,0,AR$7)</f>
        <v>0</v>
      </c>
      <c r="AS210" s="1231">
        <f ca="1">OFFSET($CQ210,0,AS$7)</f>
        <v>0</v>
      </c>
      <c r="AT210" s="1231">
        <f ca="1">OFFSET($CQ210,0,AT$7)+OFFSET($CR210,0,AT$7)</f>
        <v>0</v>
      </c>
      <c r="AU210" s="1231">
        <f ca="1">OFFSET($CQ210,0,AU$7)+OFFSET($CR210,0,AU$7)+OFFSET($CS210,0,AU$7)</f>
        <v>0</v>
      </c>
      <c r="AV210" s="1231">
        <f ca="1">OFFSET($CQ210,0,AV$7)+OFFSET($CR210,0,AV$7)+OFFSET($CS210,0,AV$7)+OFFSET($CT210,0,AV$7)</f>
        <v>0</v>
      </c>
      <c r="AW210" s="1231">
        <f ca="1">OFFSET($CQ210,0,AW$7)</f>
        <v>0</v>
      </c>
      <c r="AX210" s="1231">
        <f ca="1">OFFSET($CQ210,0,AX$7)+OFFSET($CR210,0,AX$7)</f>
        <v>0</v>
      </c>
      <c r="AY210" s="1231">
        <f ca="1">OFFSET($CQ210,0,AY$7)+OFFSET($CR210,0,AY$7)+OFFSET($CS210,0,AY$7)</f>
        <v>0</v>
      </c>
      <c r="AZ210" s="1231">
        <f ca="1">OFFSET($CQ210,0,AZ$7)+OFFSET($CR210,0,AZ$7)+OFFSET($CS210,0,AZ$7)+OFFSET($CT210,0,AZ$7)</f>
        <v>0</v>
      </c>
      <c r="BA210" s="1231">
        <f ca="1">OFFSET($CQ210,0,BA$7)</f>
        <v>0</v>
      </c>
      <c r="BB210" s="1231">
        <f ca="1">OFFSET($CQ210,0,BB$7)+OFFSET($CR210,0,BB$7)</f>
        <v>0</v>
      </c>
      <c r="BC210" s="1231">
        <f ca="1">OFFSET($CQ210,0,BC$7)+OFFSET($CR210,0,BC$7)+OFFSET($CS210,0,BC$7)</f>
        <v>0</v>
      </c>
      <c r="BD210" s="1231">
        <f ca="1">OFFSET($CQ210,0,BD$7)+OFFSET($CR210,0,BD$7)+OFFSET($CS210,0,BD$7)+OFFSET($CT210,0,BD$7)</f>
        <v>0</v>
      </c>
      <c r="BE210" s="1231">
        <f ca="1">OFFSET($CQ210,0,BE$7)</f>
        <v>0</v>
      </c>
      <c r="BF210" s="1231">
        <f ca="1">OFFSET($CQ210,0,BF$7)+OFFSET($CR210,0,BF$7)</f>
        <v>0</v>
      </c>
      <c r="BG210" s="1231">
        <f ca="1">OFFSET($CQ210,0,BG$7)+OFFSET($CR210,0,BG$7)+OFFSET($CS210,0,BG$7)</f>
        <v>0</v>
      </c>
      <c r="BH210" s="1231">
        <f ca="1">OFFSET($CQ210,0,BH$7)+OFFSET($CR210,0,BH$7)+OFFSET($CS210,0,BH$7)+OFFSET($CT210,0,BH$7)</f>
        <v>0</v>
      </c>
      <c r="BI210" s="1231">
        <f ca="1">OFFSET($CQ210,0,BI$7)</f>
        <v>0</v>
      </c>
      <c r="BJ210" s="1231">
        <f ca="1">OFFSET($CQ210,0,BJ$7)+OFFSET($CR210,0,BJ$7)</f>
        <v>0</v>
      </c>
      <c r="BK210" s="1231">
        <f ca="1">OFFSET($CQ210,0,BK$7)+OFFSET($CR210,0,BK$7)+OFFSET($CS210,0,BK$7)</f>
        <v>0</v>
      </c>
      <c r="BL210" s="1231">
        <f ca="1">OFFSET($CQ210,0,BL$7)+OFFSET($CR210,0,BL$7)+OFFSET($CS210,0,BL$7)+OFFSET($CT210,0,BL$7)</f>
        <v>0</v>
      </c>
      <c r="BM210" s="1231">
        <f ca="1">OFFSET($CQ210,0,BM$7)</f>
        <v>0</v>
      </c>
      <c r="BN210" s="1231">
        <f ca="1">OFFSET($CQ210,0,BN$7)+OFFSET($CR210,0,BN$7)</f>
        <v>0</v>
      </c>
      <c r="BO210" s="1231">
        <f ca="1">OFFSET($CQ210,0,BO$7)+OFFSET($CR210,0,BO$7)+OFFSET($CS210,0,BO$7)</f>
        <v>0</v>
      </c>
      <c r="BP210" s="1231">
        <f ca="1">OFFSET($CQ210,0,BP$7)+OFFSET($CR210,0,BP$7)+OFFSET($CS210,0,BP$7)+OFFSET($CT210,0,BP$7)</f>
        <v>0</v>
      </c>
      <c r="BQ210" s="1231">
        <f ca="1">OFFSET($CQ210,0,BQ$7)</f>
        <v>0</v>
      </c>
      <c r="BR210" s="1231">
        <f ca="1">OFFSET($CQ210,0,BR$7)+OFFSET($CR210,0,BR$7)</f>
        <v>0</v>
      </c>
      <c r="BS210" s="1231">
        <f ca="1">OFFSET($CQ210,0,BS$7)+OFFSET($CR210,0,BS$7)+OFFSET($CS210,0,BS$7)</f>
        <v>0</v>
      </c>
      <c r="BT210" s="1231">
        <f ca="1">OFFSET($CQ210,0,BT$7)+OFFSET($CR210,0,BT$7)+OFFSET($CS210,0,BT$7)+OFFSET($CT210,0,BT$7)</f>
        <v>0</v>
      </c>
      <c r="BU210" s="1231">
        <f ca="1">OFFSET($CQ210,0,BU$7)</f>
        <v>0</v>
      </c>
      <c r="BV210" s="1231">
        <f ca="1">OFFSET($CQ210,0,BV$7)+OFFSET($CR210,0,BV$7)</f>
        <v>0</v>
      </c>
      <c r="BW210" s="1231">
        <f ca="1">OFFSET($CQ210,0,BW$7)+OFFSET($CR210,0,BW$7)+OFFSET($CS210,0,BW$7)</f>
        <v>0</v>
      </c>
      <c r="BX210" s="1231">
        <f ca="1">OFFSET($CQ210,0,BX$7)+OFFSET($CR210,0,BX$7)+OFFSET($CS210,0,BX$7)+OFFSET($CT210,0,BX$7)</f>
        <v>0</v>
      </c>
      <c r="BY210" s="1231">
        <f ca="1">OFFSET($CQ210,0,BY$7)</f>
        <v>0</v>
      </c>
      <c r="BZ210" s="1231">
        <f ca="1">OFFSET($CQ210,0,BZ$7)+OFFSET($CR210,0,BZ$7)</f>
        <v>0</v>
      </c>
      <c r="CA210" s="1231">
        <f ca="1">OFFSET($CQ210,0,CA$7)+OFFSET($CR210,0,CA$7)+OFFSET($CS210,0,CA$7)</f>
        <v>0</v>
      </c>
      <c r="CB210" s="1231">
        <f ca="1">OFFSET($CQ210,0,CB$7)+OFFSET($CR210,0,CB$7)+OFFSET($CS210,0,CB$7)+OFFSET($CT210,0,CB$7)</f>
        <v>0</v>
      </c>
      <c r="CC210" s="1231">
        <f ca="1">OFFSET($CQ210,0,CC$7)</f>
        <v>0</v>
      </c>
      <c r="CD210" s="1231">
        <f ca="1">OFFSET($CQ210,0,CD$7)+OFFSET($CR210,0,CD$7)</f>
        <v>0</v>
      </c>
      <c r="CE210" s="1231">
        <f ca="1">OFFSET($CQ210,0,CE$7)+OFFSET($CR210,0,CE$7)+OFFSET($CS210,0,CE$7)</f>
        <v>0</v>
      </c>
      <c r="CF210" s="1231">
        <f ca="1">OFFSET($CQ210,0,CF$7)+OFFSET($CR210,0,CF$7)+OFFSET($CS210,0,CF$7)+OFFSET($CT210,0,CF$7)</f>
        <v>0</v>
      </c>
      <c r="CG210" s="1231">
        <f ca="1">OFFSET($CQ210,0,CG$7)</f>
        <v>0</v>
      </c>
      <c r="CH210" s="1231">
        <f ca="1">OFFSET($CQ210,0,CH$7)+OFFSET($CR210,0,CH$7)</f>
        <v>0</v>
      </c>
      <c r="CI210" s="1231">
        <f ca="1">OFFSET($CQ210,0,CI$7)+OFFSET($CR210,0,CI$7)+OFFSET($CS210,0,CI$7)</f>
        <v>0</v>
      </c>
      <c r="CJ210" s="1231">
        <f ca="1">OFFSET($CQ210,0,CJ$7)+OFFSET($CR210,0,CJ$7)+OFFSET($CS210,0,CJ$7)+OFFSET($CT210,0,CJ$7)</f>
        <v>0</v>
      </c>
      <c r="CK210" s="1231"/>
      <c r="CL210" s="1231"/>
      <c r="CM210" s="1231"/>
      <c r="CN210" s="1231"/>
      <c r="CO210" s="1165"/>
      <c r="CP210" s="1165"/>
      <c r="CQ210" s="1231"/>
      <c r="CR210" s="1231"/>
      <c r="CS210" s="1231"/>
      <c r="CT210" s="1231"/>
      <c r="CU210" s="1231"/>
      <c r="CV210" s="1231"/>
      <c r="CW210" s="1231"/>
      <c r="CX210" s="1231"/>
      <c r="CY210" s="1231"/>
      <c r="CZ210" s="1231"/>
      <c r="DA210" s="1231"/>
      <c r="DB210" s="1231"/>
      <c r="DC210" s="1231"/>
      <c r="DD210" s="1231"/>
      <c r="DE210" s="1231"/>
      <c r="DF210" s="1231"/>
      <c r="DG210" s="1231"/>
      <c r="DH210" s="1231"/>
      <c r="DI210" s="1231"/>
      <c r="DJ210" s="1231"/>
      <c r="DK210" s="1231"/>
      <c r="DL210" s="1231"/>
      <c r="DM210" s="1231"/>
      <c r="DN210" s="1231"/>
      <c r="DO210" s="1231"/>
      <c r="DP210" s="1231"/>
      <c r="DQ210" s="1231"/>
      <c r="DR210" s="1231"/>
      <c r="DS210" s="1231"/>
      <c r="DT210" s="1231"/>
      <c r="DU210" s="1231"/>
      <c r="DV210" s="1231"/>
      <c r="DW210" s="1231"/>
      <c r="DX210" s="1231"/>
      <c r="DY210" s="1231"/>
      <c r="DZ210" s="1231"/>
      <c r="EA210" s="1231"/>
      <c r="EB210" s="1231"/>
      <c r="EC210" s="1231"/>
      <c r="ED210" s="1231"/>
      <c r="EE210" s="1231"/>
      <c r="EF210" s="1231"/>
      <c r="EG210" s="1231"/>
      <c r="EH210" s="1231"/>
      <c r="EI210" s="1231"/>
      <c r="EJ210" s="1231"/>
      <c r="EK210" s="1231"/>
      <c r="EL210" s="1231"/>
      <c r="EM210" s="1231"/>
      <c r="EN210" s="1231"/>
      <c r="EO210" s="1231"/>
      <c r="EP210" s="1231"/>
      <c r="EQ210" s="1231"/>
      <c r="ER210" s="1231"/>
      <c r="ES210" s="1231"/>
      <c r="ET210" s="1231"/>
      <c r="EU210" s="1231"/>
      <c r="EV210" s="1231"/>
      <c r="EW210" s="1231"/>
      <c r="EX210" s="1231"/>
      <c r="EY210" s="1231"/>
      <c r="EZ210" s="1231"/>
      <c r="FA210" s="1231"/>
      <c r="FB210" s="1231"/>
      <c r="FC210" s="1231"/>
      <c r="FD210" s="1231"/>
      <c r="FE210" s="1231"/>
      <c r="FF210" s="1231"/>
    </row>
    <row r="211" spans="1:162">
      <c r="A211" s="1224"/>
      <c r="B211" s="1234" t="s">
        <v>291</v>
      </c>
      <c r="C211" s="1231"/>
      <c r="D211" s="1231"/>
      <c r="E211" s="1231"/>
      <c r="F211" s="1231"/>
      <c r="G211" s="1231"/>
      <c r="H211" s="1231"/>
      <c r="I211" s="1231"/>
      <c r="J211" s="1231"/>
      <c r="K211" s="1231"/>
      <c r="L211" s="1231"/>
      <c r="M211" s="1231"/>
      <c r="N211" s="1231"/>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c r="CB211" s="1235"/>
      <c r="CC211" s="1235"/>
      <c r="CD211" s="1235"/>
      <c r="CE211" s="1235"/>
      <c r="CF211" s="1235"/>
      <c r="CG211" s="1235"/>
      <c r="CH211" s="1235"/>
      <c r="CI211" s="1235"/>
      <c r="CJ211" s="1235"/>
      <c r="CK211" s="1235"/>
      <c r="CL211" s="1235"/>
      <c r="CM211" s="1235"/>
      <c r="CN211" s="1235"/>
      <c r="CO211" s="1165"/>
      <c r="CP211" s="1165"/>
      <c r="CQ211" s="1165"/>
      <c r="CR211" s="1165"/>
      <c r="CS211" s="1165"/>
      <c r="CT211" s="1165"/>
      <c r="CU211" s="1165"/>
      <c r="CV211" s="1165"/>
      <c r="CW211" s="1165"/>
      <c r="CX211" s="1165"/>
      <c r="CY211" s="1231"/>
      <c r="CZ211" s="1231"/>
      <c r="DA211" s="1231"/>
      <c r="DB211" s="1231"/>
      <c r="DC211" s="1231"/>
      <c r="DD211" s="1231"/>
      <c r="DE211" s="1231"/>
      <c r="DF211" s="1231"/>
      <c r="DG211" s="1231"/>
      <c r="DH211" s="1231"/>
      <c r="DI211" s="1231"/>
      <c r="DJ211" s="1231"/>
    </row>
    <row r="212" spans="1:162">
      <c r="A212" s="1224"/>
      <c r="B212" s="1250" t="s">
        <v>61</v>
      </c>
      <c r="CO212" s="1165"/>
      <c r="CP212" s="1165"/>
    </row>
    <row r="213" spans="1:162">
      <c r="A213" s="1224"/>
      <c r="B213" s="1261" t="s">
        <v>62</v>
      </c>
      <c r="AG213" s="1236">
        <f ca="1">OFFSET($CQ213,0,AG$7)</f>
        <v>0</v>
      </c>
      <c r="AH213" s="1236">
        <f ca="1">OFFSET($CQ213,0,AH$7)+OFFSET($CR213,0,AH$7)</f>
        <v>0</v>
      </c>
      <c r="AI213" s="1236">
        <f ca="1">OFFSET($CQ213,0,AI$7)+OFFSET($CR213,0,AI$7)+OFFSET($CS213,0,AI$7)</f>
        <v>0</v>
      </c>
      <c r="AJ213" s="1236">
        <f ca="1">OFFSET($CQ213,0,AJ$7)+OFFSET($CR213,0,AJ$7)+OFFSET($CS213,0,AJ$7)+OFFSET($CT213,0,AJ$7)</f>
        <v>0</v>
      </c>
      <c r="AK213" s="1236">
        <f ca="1">OFFSET($CQ213,0,AK$7)</f>
        <v>0</v>
      </c>
      <c r="AL213" s="1236">
        <f ca="1">OFFSET($CQ213,0,AL$7)+OFFSET($CR213,0,AL$7)</f>
        <v>0</v>
      </c>
      <c r="AM213" s="1236">
        <f ca="1">OFFSET($CQ213,0,AM$7)+OFFSET($CR213,0,AM$7)+OFFSET($CS213,0,AM$7)</f>
        <v>0</v>
      </c>
      <c r="AN213" s="1236">
        <f ca="1">OFFSET($CQ213,0,AN$7)+OFFSET($CR213,0,AN$7)+OFFSET($CS213,0,AN$7)+OFFSET($CT213,0,AN$7)</f>
        <v>0</v>
      </c>
      <c r="AO213" s="1236">
        <f ca="1">OFFSET($CQ213,0,AO$7)</f>
        <v>0</v>
      </c>
      <c r="AP213" s="1236">
        <f ca="1">OFFSET($CQ213,0,AP$7)+OFFSET($CR213,0,AP$7)</f>
        <v>0</v>
      </c>
      <c r="AQ213" s="1236">
        <f ca="1">OFFSET($CQ213,0,AQ$7)+OFFSET($CR213,0,AQ$7)+OFFSET($CS213,0,AQ$7)</f>
        <v>0</v>
      </c>
      <c r="AR213" s="1236">
        <f ca="1">OFFSET($CQ213,0,AR$7)+OFFSET($CR213,0,AR$7)+OFFSET($CS213,0,AR$7)+OFFSET($CT213,0,AR$7)</f>
        <v>0</v>
      </c>
      <c r="AS213" s="1236">
        <f ca="1">OFFSET($CQ213,0,AS$7)</f>
        <v>0</v>
      </c>
      <c r="AT213" s="1236">
        <f ca="1">OFFSET($CQ213,0,AT$7)+OFFSET($CR213,0,AT$7)</f>
        <v>0</v>
      </c>
      <c r="AU213" s="1236">
        <f ca="1">OFFSET($CQ213,0,AU$7)+OFFSET($CR213,0,AU$7)+OFFSET($CS213,0,AU$7)</f>
        <v>0</v>
      </c>
      <c r="AV213" s="1236">
        <f ca="1">OFFSET($CQ213,0,AV$7)+OFFSET($CR213,0,AV$7)+OFFSET($CS213,0,AV$7)+OFFSET($CT213,0,AV$7)</f>
        <v>0</v>
      </c>
      <c r="AW213" s="1236">
        <f ca="1">OFFSET($CQ213,0,AW$7)</f>
        <v>0</v>
      </c>
      <c r="AX213" s="1236">
        <f ca="1">OFFSET($CQ213,0,AX$7)+OFFSET($CR213,0,AX$7)</f>
        <v>0</v>
      </c>
      <c r="AY213" s="1236">
        <f ca="1">OFFSET($CQ213,0,AY$7)+OFFSET($CR213,0,AY$7)+OFFSET($CS213,0,AY$7)</f>
        <v>0</v>
      </c>
      <c r="AZ213" s="1236">
        <f ca="1">OFFSET($CQ213,0,AZ$7)+OFFSET($CR213,0,AZ$7)+OFFSET($CS213,0,AZ$7)+OFFSET($CT213,0,AZ$7)</f>
        <v>0</v>
      </c>
      <c r="BA213" s="1236">
        <f ca="1">OFFSET($CQ213,0,BA$7)</f>
        <v>0</v>
      </c>
      <c r="BB213" s="1236">
        <f ca="1">OFFSET($CQ213,0,BB$7)+OFFSET($CR213,0,BB$7)</f>
        <v>0</v>
      </c>
      <c r="BC213" s="1236">
        <f ca="1">OFFSET($CQ213,0,BC$7)+OFFSET($CR213,0,BC$7)+OFFSET($CS213,0,BC$7)</f>
        <v>0</v>
      </c>
      <c r="BD213" s="1236">
        <f ca="1">OFFSET($CQ213,0,BD$7)+OFFSET($CR213,0,BD$7)+OFFSET($CS213,0,BD$7)+OFFSET($CT213,0,BD$7)</f>
        <v>0</v>
      </c>
      <c r="BE213" s="1236">
        <f ca="1">OFFSET($CQ213,0,BE$7)</f>
        <v>0</v>
      </c>
      <c r="BF213" s="1236">
        <f ca="1">OFFSET($CQ213,0,BF$7)+OFFSET($CR213,0,BF$7)</f>
        <v>0</v>
      </c>
      <c r="BG213" s="1236">
        <f ca="1">OFFSET($CQ213,0,BG$7)+OFFSET($CR213,0,BG$7)+OFFSET($CS213,0,BG$7)</f>
        <v>0</v>
      </c>
      <c r="BH213" s="1236">
        <f ca="1">OFFSET($CQ213,0,BH$7)+OFFSET($CR213,0,BH$7)+OFFSET($CS213,0,BH$7)+OFFSET($CT213,0,BH$7)</f>
        <v>0</v>
      </c>
      <c r="BI213" s="1236">
        <f ca="1">OFFSET($CQ213,0,BI$7)</f>
        <v>0</v>
      </c>
      <c r="BJ213" s="1236">
        <f ca="1">OFFSET($CQ213,0,BJ$7)+OFFSET($CR213,0,BJ$7)</f>
        <v>0</v>
      </c>
      <c r="BK213" s="1236">
        <f ca="1">OFFSET($CQ213,0,BK$7)+OFFSET($CR213,0,BK$7)+OFFSET($CS213,0,BK$7)</f>
        <v>0</v>
      </c>
      <c r="BL213" s="1236">
        <f ca="1">OFFSET($CQ213,0,BL$7)+OFFSET($CR213,0,BL$7)+OFFSET($CS213,0,BL$7)+OFFSET($CT213,0,BL$7)</f>
        <v>0</v>
      </c>
      <c r="BM213" s="1236">
        <f ca="1">OFFSET($CQ213,0,BM$7)</f>
        <v>0</v>
      </c>
      <c r="BN213" s="1236">
        <f ca="1">OFFSET($CQ213,0,BN$7)+OFFSET($CR213,0,BN$7)</f>
        <v>0</v>
      </c>
      <c r="BO213" s="1236">
        <f ca="1">OFFSET($CQ213,0,BO$7)+OFFSET($CR213,0,BO$7)+OFFSET($CS213,0,BO$7)</f>
        <v>0</v>
      </c>
      <c r="BP213" s="1236">
        <f ca="1">OFFSET($CQ213,0,BP$7)+OFFSET($CR213,0,BP$7)+OFFSET($CS213,0,BP$7)+OFFSET($CT213,0,BP$7)</f>
        <v>0</v>
      </c>
      <c r="BQ213" s="1236">
        <f ca="1">OFFSET($CQ213,0,BQ$7)</f>
        <v>0</v>
      </c>
      <c r="BR213" s="1236">
        <f ca="1">OFFSET($CQ213,0,BR$7)+OFFSET($CR213,0,BR$7)</f>
        <v>0</v>
      </c>
      <c r="BS213" s="1236">
        <f ca="1">OFFSET($CQ213,0,BS$7)+OFFSET($CR213,0,BS$7)+OFFSET($CS213,0,BS$7)</f>
        <v>0</v>
      </c>
      <c r="BT213" s="1236">
        <f ca="1">OFFSET($CQ213,0,BT$7)+OFFSET($CR213,0,BT$7)+OFFSET($CS213,0,BT$7)+OFFSET($CT213,0,BT$7)</f>
        <v>0</v>
      </c>
      <c r="BU213" s="1236">
        <f ca="1">OFFSET($CQ213,0,BU$7)</f>
        <v>0</v>
      </c>
      <c r="BV213" s="1236">
        <f ca="1">OFFSET($CQ213,0,BV$7)+OFFSET($CR213,0,BV$7)</f>
        <v>0</v>
      </c>
      <c r="BW213" s="1236">
        <f ca="1">OFFSET($CQ213,0,BW$7)+OFFSET($CR213,0,BW$7)+OFFSET($CS213,0,BW$7)</f>
        <v>0</v>
      </c>
      <c r="BX213" s="1236">
        <f ca="1">OFFSET($CQ213,0,BX$7)+OFFSET($CR213,0,BX$7)+OFFSET($CS213,0,BX$7)+OFFSET($CT213,0,BX$7)</f>
        <v>0</v>
      </c>
      <c r="BY213" s="1236">
        <f ca="1">OFFSET($CQ213,0,BY$7)</f>
        <v>0</v>
      </c>
      <c r="BZ213" s="1236">
        <f ca="1">OFFSET($CQ213,0,BZ$7)+OFFSET($CR213,0,BZ$7)</f>
        <v>0</v>
      </c>
      <c r="CA213" s="1236">
        <f ca="1">OFFSET($CQ213,0,CA$7)+OFFSET($CR213,0,CA$7)+OFFSET($CS213,0,CA$7)</f>
        <v>0</v>
      </c>
      <c r="CB213" s="1236">
        <f ca="1">OFFSET($CQ213,0,CB$7)+OFFSET($CR213,0,CB$7)+OFFSET($CS213,0,CB$7)+OFFSET($CT213,0,CB$7)</f>
        <v>0</v>
      </c>
      <c r="CC213" s="1236">
        <f ca="1">OFFSET($CQ213,0,CC$7)</f>
        <v>0</v>
      </c>
      <c r="CD213" s="1236">
        <f ca="1">OFFSET($CQ213,0,CD$7)+OFFSET($CR213,0,CD$7)</f>
        <v>0</v>
      </c>
      <c r="CE213" s="1236">
        <f ca="1">OFFSET($CQ213,0,CE$7)+OFFSET($CR213,0,CE$7)+OFFSET($CS213,0,CE$7)</f>
        <v>0</v>
      </c>
      <c r="CF213" s="1236">
        <f ca="1">OFFSET($CQ213,0,CF$7)+OFFSET($CR213,0,CF$7)+OFFSET($CS213,0,CF$7)+OFFSET($CT213,0,CF$7)</f>
        <v>0</v>
      </c>
      <c r="CG213" s="1236">
        <f ca="1">OFFSET($CQ213,0,CG$7)</f>
        <v>0</v>
      </c>
      <c r="CH213" s="1236">
        <f ca="1">OFFSET($CQ213,0,CH$7)+OFFSET($CR213,0,CH$7)</f>
        <v>0</v>
      </c>
      <c r="CI213" s="1236">
        <f ca="1">OFFSET($CQ213,0,CI$7)+OFFSET($CR213,0,CI$7)+OFFSET($CS213,0,CI$7)</f>
        <v>0</v>
      </c>
      <c r="CJ213" s="1236">
        <f ca="1">OFFSET($CQ213,0,CJ$7)+OFFSET($CR213,0,CJ$7)+OFFSET($CS213,0,CJ$7)+OFFSET($CT213,0,CJ$7)</f>
        <v>0</v>
      </c>
      <c r="CO213" s="1165"/>
      <c r="CP213" s="1165"/>
      <c r="CQ213" s="1165"/>
      <c r="CR213" s="1165"/>
      <c r="CS213" s="1165"/>
      <c r="CT213" s="1165"/>
      <c r="CU213" s="1165"/>
      <c r="CV213" s="1165"/>
      <c r="CW213" s="1165"/>
      <c r="CX213" s="1165"/>
    </row>
    <row r="214" spans="1:162">
      <c r="A214" s="1224"/>
      <c r="B214" s="1237" t="s">
        <v>219</v>
      </c>
      <c r="M214" s="1236">
        <f t="shared" ref="M214:Q217" ca="1" si="284">OFFSET($CQ214,0,M$7)+OFFSET($CR214,0,M$7)+OFFSET($CS214,0,M$7)+OFFSET($CT214,0,M$7)</f>
        <v>0</v>
      </c>
      <c r="N214" s="1236">
        <f t="shared" ca="1" si="284"/>
        <v>0</v>
      </c>
      <c r="O214" s="1236">
        <f t="shared" ca="1" si="284"/>
        <v>0</v>
      </c>
      <c r="P214" s="1236">
        <f t="shared" ca="1" si="284"/>
        <v>0</v>
      </c>
      <c r="Q214" s="1236">
        <f t="shared" ca="1" si="284"/>
        <v>0</v>
      </c>
      <c r="AG214" s="1236">
        <f ca="1">OFFSET($CQ214,0,AG$7)</f>
        <v>0</v>
      </c>
      <c r="AH214" s="1236">
        <f ca="1">OFFSET($CQ214,0,AH$7)+OFFSET($CR214,0,AH$7)</f>
        <v>0</v>
      </c>
      <c r="AI214" s="1236">
        <f ca="1">OFFSET($CQ214,0,AI$7)+OFFSET($CR214,0,AI$7)+OFFSET($CS214,0,AI$7)</f>
        <v>0</v>
      </c>
      <c r="AJ214" s="1236">
        <f ca="1">OFFSET($CQ214,0,AJ$7)+OFFSET($CR214,0,AJ$7)+OFFSET($CS214,0,AJ$7)+OFFSET($CT214,0,AJ$7)</f>
        <v>0</v>
      </c>
      <c r="AK214" s="1236">
        <f ca="1">OFFSET($CQ214,0,AK$7)</f>
        <v>0</v>
      </c>
      <c r="AL214" s="1236">
        <f ca="1">OFFSET($CQ214,0,AL$7)+OFFSET($CR214,0,AL$7)</f>
        <v>0</v>
      </c>
      <c r="AM214" s="1236">
        <f ca="1">OFFSET($CQ214,0,AM$7)+OFFSET($CR214,0,AM$7)+OFFSET($CS214,0,AM$7)</f>
        <v>0</v>
      </c>
      <c r="AN214" s="1236">
        <f ca="1">OFFSET($CQ214,0,AN$7)+OFFSET($CR214,0,AN$7)+OFFSET($CS214,0,AN$7)+OFFSET($CT214,0,AN$7)</f>
        <v>0</v>
      </c>
      <c r="AO214" s="1236">
        <f ca="1">OFFSET($CQ214,0,AO$7)</f>
        <v>0</v>
      </c>
      <c r="AP214" s="1236">
        <f ca="1">OFFSET($CQ214,0,AP$7)+OFFSET($CR214,0,AP$7)</f>
        <v>0</v>
      </c>
      <c r="AQ214" s="1236">
        <f ca="1">OFFSET($CQ214,0,AQ$7)+OFFSET($CR214,0,AQ$7)+OFFSET($CS214,0,AQ$7)</f>
        <v>0</v>
      </c>
      <c r="AR214" s="1236">
        <f ca="1">OFFSET($CQ214,0,AR$7)+OFFSET($CR214,0,AR$7)+OFFSET($CS214,0,AR$7)+OFFSET($CT214,0,AR$7)</f>
        <v>0</v>
      </c>
      <c r="AS214" s="1236">
        <f ca="1">OFFSET($CQ214,0,AS$7)</f>
        <v>0</v>
      </c>
      <c r="AT214" s="1236">
        <f ca="1">OFFSET($CQ214,0,AT$7)+OFFSET($CR214,0,AT$7)</f>
        <v>0</v>
      </c>
      <c r="AU214" s="1236">
        <f ca="1">OFFSET($CQ214,0,AU$7)+OFFSET($CR214,0,AU$7)+OFFSET($CS214,0,AU$7)</f>
        <v>0</v>
      </c>
      <c r="AV214" s="1236">
        <f ca="1">OFFSET($CQ214,0,AV$7)+OFFSET($CR214,0,AV$7)+OFFSET($CS214,0,AV$7)+OFFSET($CT214,0,AV$7)</f>
        <v>0</v>
      </c>
      <c r="AW214" s="1236">
        <f ca="1">OFFSET($CQ214,0,AW$7)</f>
        <v>0</v>
      </c>
      <c r="AX214" s="1236">
        <f ca="1">OFFSET($CQ214,0,AX$7)+OFFSET($CR214,0,AX$7)</f>
        <v>0</v>
      </c>
      <c r="AY214" s="1236">
        <f ca="1">OFFSET($CQ214,0,AY$7)+OFFSET($CR214,0,AY$7)+OFFSET($CS214,0,AY$7)</f>
        <v>0</v>
      </c>
      <c r="AZ214" s="1236">
        <f ca="1">OFFSET($CQ214,0,AZ$7)+OFFSET($CR214,0,AZ$7)+OFFSET($CS214,0,AZ$7)+OFFSET($CT214,0,AZ$7)</f>
        <v>0</v>
      </c>
      <c r="BA214" s="1236">
        <f ca="1">OFFSET($CQ214,0,BA$7)</f>
        <v>0</v>
      </c>
      <c r="BB214" s="1236">
        <f ca="1">OFFSET($CQ214,0,BB$7)+OFFSET($CR214,0,BB$7)</f>
        <v>0</v>
      </c>
      <c r="BC214" s="1236">
        <f ca="1">OFFSET($CQ214,0,BC$7)+OFFSET($CR214,0,BC$7)+OFFSET($CS214,0,BC$7)</f>
        <v>0</v>
      </c>
      <c r="BD214" s="1236">
        <f ca="1">OFFSET($CQ214,0,BD$7)+OFFSET($CR214,0,BD$7)+OFFSET($CS214,0,BD$7)+OFFSET($CT214,0,BD$7)</f>
        <v>0</v>
      </c>
      <c r="BE214" s="1236">
        <f ca="1">OFFSET($CQ214,0,BE$7)</f>
        <v>0</v>
      </c>
      <c r="BF214" s="1236">
        <f ca="1">OFFSET($CQ214,0,BF$7)+OFFSET($CR214,0,BF$7)</f>
        <v>0</v>
      </c>
      <c r="BG214" s="1236">
        <f ca="1">OFFSET($CQ214,0,BG$7)+OFFSET($CR214,0,BG$7)+OFFSET($CS214,0,BG$7)</f>
        <v>0</v>
      </c>
      <c r="BH214" s="1236">
        <f ca="1">OFFSET($CQ214,0,BH$7)+OFFSET($CR214,0,BH$7)+OFFSET($CS214,0,BH$7)+OFFSET($CT214,0,BH$7)</f>
        <v>0</v>
      </c>
      <c r="BI214" s="1236">
        <f ca="1">OFFSET($CQ214,0,BI$7)</f>
        <v>0</v>
      </c>
      <c r="BJ214" s="1236">
        <f ca="1">OFFSET($CQ214,0,BJ$7)+OFFSET($CR214,0,BJ$7)</f>
        <v>0</v>
      </c>
      <c r="BK214" s="1236">
        <f ca="1">OFFSET($CQ214,0,BK$7)+OFFSET($CR214,0,BK$7)+OFFSET($CS214,0,BK$7)</f>
        <v>0</v>
      </c>
      <c r="BL214" s="1236">
        <f ca="1">OFFSET($CQ214,0,BL$7)+OFFSET($CR214,0,BL$7)+OFFSET($CS214,0,BL$7)+OFFSET($CT214,0,BL$7)</f>
        <v>0</v>
      </c>
      <c r="BM214" s="1236">
        <f ca="1">OFFSET($CQ214,0,BM$7)</f>
        <v>0</v>
      </c>
      <c r="BN214" s="1236">
        <f ca="1">OFFSET($CQ214,0,BN$7)+OFFSET($CR214,0,BN$7)</f>
        <v>0</v>
      </c>
      <c r="BO214" s="1236">
        <f ca="1">OFFSET($CQ214,0,BO$7)+OFFSET($CR214,0,BO$7)+OFFSET($CS214,0,BO$7)</f>
        <v>0</v>
      </c>
      <c r="BP214" s="1236">
        <f ca="1">OFFSET($CQ214,0,BP$7)+OFFSET($CR214,0,BP$7)+OFFSET($CS214,0,BP$7)+OFFSET($CT214,0,BP$7)</f>
        <v>0</v>
      </c>
      <c r="BQ214" s="1236">
        <f ca="1">OFFSET($CQ214,0,BQ$7)</f>
        <v>0</v>
      </c>
      <c r="BR214" s="1236">
        <f ca="1">OFFSET($CQ214,0,BR$7)+OFFSET($CR214,0,BR$7)</f>
        <v>0</v>
      </c>
      <c r="BS214" s="1236">
        <f ca="1">OFFSET($CQ214,0,BS$7)+OFFSET($CR214,0,BS$7)+OFFSET($CS214,0,BS$7)</f>
        <v>0</v>
      </c>
      <c r="BT214" s="1236">
        <f ca="1">OFFSET($CQ214,0,BT$7)+OFFSET($CR214,0,BT$7)+OFFSET($CS214,0,BT$7)+OFFSET($CT214,0,BT$7)</f>
        <v>0</v>
      </c>
      <c r="BU214" s="1236">
        <f ca="1">OFFSET($CQ214,0,BU$7)</f>
        <v>0</v>
      </c>
      <c r="BV214" s="1236">
        <f ca="1">OFFSET($CQ214,0,BV$7)+OFFSET($CR214,0,BV$7)</f>
        <v>0</v>
      </c>
      <c r="BW214" s="1236">
        <f ca="1">OFFSET($CQ214,0,BW$7)+OFFSET($CR214,0,BW$7)+OFFSET($CS214,0,BW$7)</f>
        <v>0</v>
      </c>
      <c r="BX214" s="1236">
        <f ca="1">OFFSET($CQ214,0,BX$7)+OFFSET($CR214,0,BX$7)+OFFSET($CS214,0,BX$7)+OFFSET($CT214,0,BX$7)</f>
        <v>0</v>
      </c>
      <c r="BY214" s="1236">
        <f ca="1">OFFSET($CQ214,0,BY$7)</f>
        <v>0</v>
      </c>
      <c r="BZ214" s="1236">
        <f ca="1">OFFSET($CQ214,0,BZ$7)+OFFSET($CR214,0,BZ$7)</f>
        <v>0</v>
      </c>
      <c r="CA214" s="1236">
        <f ca="1">OFFSET($CQ214,0,CA$7)+OFFSET($CR214,0,CA$7)+OFFSET($CS214,0,CA$7)</f>
        <v>0</v>
      </c>
      <c r="CB214" s="1236">
        <f ca="1">OFFSET($CQ214,0,CB$7)+OFFSET($CR214,0,CB$7)+OFFSET($CS214,0,CB$7)+OFFSET($CT214,0,CB$7)</f>
        <v>0</v>
      </c>
      <c r="CC214" s="1236">
        <f ca="1">OFFSET($CQ214,0,CC$7)</f>
        <v>0</v>
      </c>
      <c r="CD214" s="1236">
        <f ca="1">OFFSET($CQ214,0,CD$7)+OFFSET($CR214,0,CD$7)</f>
        <v>0</v>
      </c>
      <c r="CE214" s="1236">
        <f ca="1">OFFSET($CQ214,0,CE$7)+OFFSET($CR214,0,CE$7)+OFFSET($CS214,0,CE$7)</f>
        <v>0</v>
      </c>
      <c r="CF214" s="1236">
        <f ca="1">OFFSET($CQ214,0,CF$7)+OFFSET($CR214,0,CF$7)+OFFSET($CS214,0,CF$7)+OFFSET($CT214,0,CF$7)</f>
        <v>0</v>
      </c>
      <c r="CG214" s="1236">
        <f ca="1">OFFSET($CQ214,0,CG$7)</f>
        <v>0</v>
      </c>
      <c r="CH214" s="1236">
        <f ca="1">OFFSET($CQ214,0,CH$7)+OFFSET($CR214,0,CH$7)</f>
        <v>0</v>
      </c>
      <c r="CI214" s="1236">
        <f ca="1">OFFSET($CQ214,0,CI$7)+OFFSET($CR214,0,CI$7)+OFFSET($CS214,0,CI$7)</f>
        <v>0</v>
      </c>
      <c r="CJ214" s="1236">
        <f ca="1">OFFSET($CQ214,0,CJ$7)+OFFSET($CR214,0,CJ$7)+OFFSET($CS214,0,CJ$7)+OFFSET($CT214,0,CJ$7)</f>
        <v>0</v>
      </c>
      <c r="CO214" s="1165"/>
      <c r="CP214" s="1165"/>
    </row>
    <row r="215" spans="1:162">
      <c r="A215" s="1224"/>
      <c r="B215" s="1237" t="s">
        <v>183</v>
      </c>
      <c r="M215" s="1236">
        <f t="shared" ca="1" si="284"/>
        <v>0</v>
      </c>
      <c r="N215" s="1236">
        <f t="shared" ca="1" si="284"/>
        <v>0</v>
      </c>
      <c r="O215" s="1236">
        <f t="shared" ca="1" si="284"/>
        <v>0</v>
      </c>
      <c r="P215" s="1236">
        <f t="shared" ca="1" si="284"/>
        <v>0</v>
      </c>
      <c r="Q215" s="1236">
        <f t="shared" ca="1" si="284"/>
        <v>0</v>
      </c>
      <c r="AG215" s="1236">
        <f ca="1">OFFSET($CQ215,0,AG$7)</f>
        <v>0</v>
      </c>
      <c r="AH215" s="1236">
        <f ca="1">OFFSET($CQ215,0,AH$7)+OFFSET($CR215,0,AH$7)</f>
        <v>0</v>
      </c>
      <c r="AI215" s="1236">
        <f ca="1">OFFSET($CQ215,0,AI$7)+OFFSET($CR215,0,AI$7)+OFFSET($CS215,0,AI$7)</f>
        <v>0</v>
      </c>
      <c r="AJ215" s="1236">
        <f ca="1">OFFSET($CQ215,0,AJ$7)+OFFSET($CR215,0,AJ$7)+OFFSET($CS215,0,AJ$7)+OFFSET($CT215,0,AJ$7)</f>
        <v>0</v>
      </c>
      <c r="AK215" s="1236">
        <f ca="1">OFFSET($CQ215,0,AK$7)</f>
        <v>0</v>
      </c>
      <c r="AL215" s="1236">
        <f ca="1">OFFSET($CQ215,0,AL$7)+OFFSET($CR215,0,AL$7)</f>
        <v>0</v>
      </c>
      <c r="AM215" s="1236">
        <f ca="1">OFFSET($CQ215,0,AM$7)+OFFSET($CR215,0,AM$7)+OFFSET($CS215,0,AM$7)</f>
        <v>0</v>
      </c>
      <c r="AN215" s="1236">
        <f ca="1">OFFSET($CQ215,0,AN$7)+OFFSET($CR215,0,AN$7)+OFFSET($CS215,0,AN$7)+OFFSET($CT215,0,AN$7)</f>
        <v>0</v>
      </c>
      <c r="AO215" s="1236">
        <f ca="1">OFFSET($CQ215,0,AO$7)</f>
        <v>0</v>
      </c>
      <c r="AP215" s="1236">
        <f ca="1">OFFSET($CQ215,0,AP$7)+OFFSET($CR215,0,AP$7)</f>
        <v>0</v>
      </c>
      <c r="AQ215" s="1236">
        <f ca="1">OFFSET($CQ215,0,AQ$7)+OFFSET($CR215,0,AQ$7)+OFFSET($CS215,0,AQ$7)</f>
        <v>0</v>
      </c>
      <c r="AR215" s="1236">
        <f ca="1">OFFSET($CQ215,0,AR$7)+OFFSET($CR215,0,AR$7)+OFFSET($CS215,0,AR$7)+OFFSET($CT215,0,AR$7)</f>
        <v>0</v>
      </c>
      <c r="AS215" s="1236">
        <f ca="1">OFFSET($CQ215,0,AS$7)</f>
        <v>0</v>
      </c>
      <c r="AT215" s="1236">
        <f ca="1">OFFSET($CQ215,0,AT$7)+OFFSET($CR215,0,AT$7)</f>
        <v>0</v>
      </c>
      <c r="AU215" s="1236">
        <f ca="1">OFFSET($CQ215,0,AU$7)+OFFSET($CR215,0,AU$7)+OFFSET($CS215,0,AU$7)</f>
        <v>0</v>
      </c>
      <c r="AV215" s="1236">
        <f ca="1">OFFSET($CQ215,0,AV$7)+OFFSET($CR215,0,AV$7)+OFFSET($CS215,0,AV$7)+OFFSET($CT215,0,AV$7)</f>
        <v>0</v>
      </c>
      <c r="AW215" s="1236">
        <f ca="1">OFFSET($CQ215,0,AW$7)</f>
        <v>0</v>
      </c>
      <c r="AX215" s="1236">
        <f ca="1">OFFSET($CQ215,0,AX$7)+OFFSET($CR215,0,AX$7)</f>
        <v>0</v>
      </c>
      <c r="AY215" s="1236">
        <f ca="1">OFFSET($CQ215,0,AY$7)+OFFSET($CR215,0,AY$7)+OFFSET($CS215,0,AY$7)</f>
        <v>0</v>
      </c>
      <c r="AZ215" s="1236">
        <f ca="1">OFFSET($CQ215,0,AZ$7)+OFFSET($CR215,0,AZ$7)+OFFSET($CS215,0,AZ$7)+OFFSET($CT215,0,AZ$7)</f>
        <v>0</v>
      </c>
      <c r="BA215" s="1236">
        <f ca="1">OFFSET($CQ215,0,BA$7)</f>
        <v>0</v>
      </c>
      <c r="BB215" s="1236">
        <f ca="1">OFFSET($CQ215,0,BB$7)+OFFSET($CR215,0,BB$7)</f>
        <v>0</v>
      </c>
      <c r="BC215" s="1236">
        <f ca="1">OFFSET($CQ215,0,BC$7)+OFFSET($CR215,0,BC$7)+OFFSET($CS215,0,BC$7)</f>
        <v>0</v>
      </c>
      <c r="BD215" s="1236">
        <f ca="1">OFFSET($CQ215,0,BD$7)+OFFSET($CR215,0,BD$7)+OFFSET($CS215,0,BD$7)+OFFSET($CT215,0,BD$7)</f>
        <v>0</v>
      </c>
      <c r="BE215" s="1236">
        <f ca="1">OFFSET($CQ215,0,BE$7)</f>
        <v>0</v>
      </c>
      <c r="BF215" s="1236">
        <f ca="1">OFFSET($CQ215,0,BF$7)+OFFSET($CR215,0,BF$7)</f>
        <v>0</v>
      </c>
      <c r="BG215" s="1236">
        <f ca="1">OFFSET($CQ215,0,BG$7)+OFFSET($CR215,0,BG$7)+OFFSET($CS215,0,BG$7)</f>
        <v>0</v>
      </c>
      <c r="BH215" s="1236">
        <f ca="1">OFFSET($CQ215,0,BH$7)+OFFSET($CR215,0,BH$7)+OFFSET($CS215,0,BH$7)+OFFSET($CT215,0,BH$7)</f>
        <v>0</v>
      </c>
      <c r="BI215" s="1236">
        <f ca="1">OFFSET($CQ215,0,BI$7)</f>
        <v>0</v>
      </c>
      <c r="BJ215" s="1236">
        <f ca="1">OFFSET($CQ215,0,BJ$7)+OFFSET($CR215,0,BJ$7)</f>
        <v>0</v>
      </c>
      <c r="BK215" s="1236">
        <f ca="1">OFFSET($CQ215,0,BK$7)+OFFSET($CR215,0,BK$7)+OFFSET($CS215,0,BK$7)</f>
        <v>0</v>
      </c>
      <c r="BL215" s="1236">
        <f ca="1">OFFSET($CQ215,0,BL$7)+OFFSET($CR215,0,BL$7)+OFFSET($CS215,0,BL$7)+OFFSET($CT215,0,BL$7)</f>
        <v>0</v>
      </c>
      <c r="BM215" s="1236">
        <f ca="1">OFFSET($CQ215,0,BM$7)</f>
        <v>0</v>
      </c>
      <c r="BN215" s="1236">
        <f ca="1">OFFSET($CQ215,0,BN$7)+OFFSET($CR215,0,BN$7)</f>
        <v>0</v>
      </c>
      <c r="BO215" s="1236">
        <f ca="1">OFFSET($CQ215,0,BO$7)+OFFSET($CR215,0,BO$7)+OFFSET($CS215,0,BO$7)</f>
        <v>0</v>
      </c>
      <c r="BP215" s="1236">
        <f ca="1">OFFSET($CQ215,0,BP$7)+OFFSET($CR215,0,BP$7)+OFFSET($CS215,0,BP$7)+OFFSET($CT215,0,BP$7)</f>
        <v>0</v>
      </c>
      <c r="BQ215" s="1236">
        <f ca="1">OFFSET($CQ215,0,BQ$7)</f>
        <v>0</v>
      </c>
      <c r="BR215" s="1236">
        <f ca="1">OFFSET($CQ215,0,BR$7)+OFFSET($CR215,0,BR$7)</f>
        <v>0</v>
      </c>
      <c r="BS215" s="1236">
        <f ca="1">OFFSET($CQ215,0,BS$7)+OFFSET($CR215,0,BS$7)+OFFSET($CS215,0,BS$7)</f>
        <v>0</v>
      </c>
      <c r="BT215" s="1236">
        <f ca="1">OFFSET($CQ215,0,BT$7)+OFFSET($CR215,0,BT$7)+OFFSET($CS215,0,BT$7)+OFFSET($CT215,0,BT$7)</f>
        <v>0</v>
      </c>
      <c r="BU215" s="1236">
        <f ca="1">OFFSET($CQ215,0,BU$7)</f>
        <v>0</v>
      </c>
      <c r="BV215" s="1236">
        <f ca="1">OFFSET($CQ215,0,BV$7)+OFFSET($CR215,0,BV$7)</f>
        <v>0</v>
      </c>
      <c r="BW215" s="1236">
        <f ca="1">OFFSET($CQ215,0,BW$7)+OFFSET($CR215,0,BW$7)+OFFSET($CS215,0,BW$7)</f>
        <v>0</v>
      </c>
      <c r="BX215" s="1236">
        <f ca="1">OFFSET($CQ215,0,BX$7)+OFFSET($CR215,0,BX$7)+OFFSET($CS215,0,BX$7)+OFFSET($CT215,0,BX$7)</f>
        <v>0</v>
      </c>
      <c r="BY215" s="1236">
        <f ca="1">OFFSET($CQ215,0,BY$7)</f>
        <v>0</v>
      </c>
      <c r="BZ215" s="1236">
        <f ca="1">OFFSET($CQ215,0,BZ$7)+OFFSET($CR215,0,BZ$7)</f>
        <v>0</v>
      </c>
      <c r="CA215" s="1236">
        <f ca="1">OFFSET($CQ215,0,CA$7)+OFFSET($CR215,0,CA$7)+OFFSET($CS215,0,CA$7)</f>
        <v>0</v>
      </c>
      <c r="CB215" s="1236">
        <f ca="1">OFFSET($CQ215,0,CB$7)+OFFSET($CR215,0,CB$7)+OFFSET($CS215,0,CB$7)+OFFSET($CT215,0,CB$7)</f>
        <v>0</v>
      </c>
      <c r="CC215" s="1236">
        <f ca="1">OFFSET($CQ215,0,CC$7)</f>
        <v>0</v>
      </c>
      <c r="CD215" s="1236">
        <f ca="1">OFFSET($CQ215,0,CD$7)+OFFSET($CR215,0,CD$7)</f>
        <v>0</v>
      </c>
      <c r="CE215" s="1236">
        <f ca="1">OFFSET($CQ215,0,CE$7)+OFFSET($CR215,0,CE$7)+OFFSET($CS215,0,CE$7)</f>
        <v>0</v>
      </c>
      <c r="CF215" s="1236">
        <f ca="1">OFFSET($CQ215,0,CF$7)+OFFSET($CR215,0,CF$7)+OFFSET($CS215,0,CF$7)+OFFSET($CT215,0,CF$7)</f>
        <v>0</v>
      </c>
      <c r="CG215" s="1236">
        <f ca="1">OFFSET($CQ215,0,CG$7)</f>
        <v>0</v>
      </c>
      <c r="CH215" s="1236">
        <f ca="1">OFFSET($CQ215,0,CH$7)+OFFSET($CR215,0,CH$7)</f>
        <v>0</v>
      </c>
      <c r="CI215" s="1236">
        <f ca="1">OFFSET($CQ215,0,CI$7)+OFFSET($CR215,0,CI$7)+OFFSET($CS215,0,CI$7)</f>
        <v>0</v>
      </c>
      <c r="CJ215" s="1236">
        <f ca="1">OFFSET($CQ215,0,CJ$7)+OFFSET($CR215,0,CJ$7)+OFFSET($CS215,0,CJ$7)+OFFSET($CT215,0,CJ$7)</f>
        <v>0</v>
      </c>
      <c r="CO215" s="1165"/>
      <c r="CP215" s="1165"/>
    </row>
    <row r="216" spans="1:162">
      <c r="A216" s="1224"/>
      <c r="B216" s="1237" t="s">
        <v>184</v>
      </c>
      <c r="M216" s="1236">
        <f t="shared" ca="1" si="284"/>
        <v>0</v>
      </c>
      <c r="N216" s="1236">
        <f t="shared" ca="1" si="284"/>
        <v>0</v>
      </c>
      <c r="O216" s="1236">
        <f t="shared" ca="1" si="284"/>
        <v>0</v>
      </c>
      <c r="P216" s="1236">
        <f t="shared" ca="1" si="284"/>
        <v>0</v>
      </c>
      <c r="Q216" s="1236">
        <f t="shared" ca="1" si="284"/>
        <v>0</v>
      </c>
      <c r="AG216" s="1236">
        <f ca="1">OFFSET($CQ216,0,AG$7)</f>
        <v>0</v>
      </c>
      <c r="AH216" s="1236">
        <f ca="1">OFFSET($CQ216,0,AH$7)+OFFSET($CR216,0,AH$7)</f>
        <v>0</v>
      </c>
      <c r="AI216" s="1236">
        <f ca="1">OFFSET($CQ216,0,AI$7)+OFFSET($CR216,0,AI$7)+OFFSET($CS216,0,AI$7)</f>
        <v>0</v>
      </c>
      <c r="AJ216" s="1236">
        <f ca="1">OFFSET($CQ216,0,AJ$7)+OFFSET($CR216,0,AJ$7)+OFFSET($CS216,0,AJ$7)+OFFSET($CT216,0,AJ$7)</f>
        <v>0</v>
      </c>
      <c r="AK216" s="1236">
        <f ca="1">OFFSET($CQ216,0,AK$7)</f>
        <v>0</v>
      </c>
      <c r="AL216" s="1236">
        <f ca="1">OFFSET($CQ216,0,AL$7)+OFFSET($CR216,0,AL$7)</f>
        <v>0</v>
      </c>
      <c r="AM216" s="1236">
        <f ca="1">OFFSET($CQ216,0,AM$7)+OFFSET($CR216,0,AM$7)+OFFSET($CS216,0,AM$7)</f>
        <v>0</v>
      </c>
      <c r="AN216" s="1236">
        <f ca="1">OFFSET($CQ216,0,AN$7)+OFFSET($CR216,0,AN$7)+OFFSET($CS216,0,AN$7)+OFFSET($CT216,0,AN$7)</f>
        <v>0</v>
      </c>
      <c r="AO216" s="1236">
        <f ca="1">OFFSET($CQ216,0,AO$7)</f>
        <v>0</v>
      </c>
      <c r="AP216" s="1236">
        <f ca="1">OFFSET($CQ216,0,AP$7)+OFFSET($CR216,0,AP$7)</f>
        <v>0</v>
      </c>
      <c r="AQ216" s="1236">
        <f ca="1">OFFSET($CQ216,0,AQ$7)+OFFSET($CR216,0,AQ$7)+OFFSET($CS216,0,AQ$7)</f>
        <v>0</v>
      </c>
      <c r="AR216" s="1236">
        <f ca="1">OFFSET($CQ216,0,AR$7)+OFFSET($CR216,0,AR$7)+OFFSET($CS216,0,AR$7)+OFFSET($CT216,0,AR$7)</f>
        <v>0</v>
      </c>
      <c r="AS216" s="1236">
        <f ca="1">OFFSET($CQ216,0,AS$7)</f>
        <v>0</v>
      </c>
      <c r="AT216" s="1236">
        <f ca="1">OFFSET($CQ216,0,AT$7)+OFFSET($CR216,0,AT$7)</f>
        <v>0</v>
      </c>
      <c r="AU216" s="1236">
        <f ca="1">OFFSET($CQ216,0,AU$7)+OFFSET($CR216,0,AU$7)+OFFSET($CS216,0,AU$7)</f>
        <v>0</v>
      </c>
      <c r="AV216" s="1236">
        <f ca="1">OFFSET($CQ216,0,AV$7)+OFFSET($CR216,0,AV$7)+OFFSET($CS216,0,AV$7)+OFFSET($CT216,0,AV$7)</f>
        <v>0</v>
      </c>
      <c r="AW216" s="1236">
        <f ca="1">OFFSET($CQ216,0,AW$7)</f>
        <v>0</v>
      </c>
      <c r="AX216" s="1236">
        <f ca="1">OFFSET($CQ216,0,AX$7)+OFFSET($CR216,0,AX$7)</f>
        <v>0</v>
      </c>
      <c r="AY216" s="1236">
        <f ca="1">OFFSET($CQ216,0,AY$7)+OFFSET($CR216,0,AY$7)+OFFSET($CS216,0,AY$7)</f>
        <v>0</v>
      </c>
      <c r="AZ216" s="1236">
        <f ca="1">OFFSET($CQ216,0,AZ$7)+OFFSET($CR216,0,AZ$7)+OFFSET($CS216,0,AZ$7)+OFFSET($CT216,0,AZ$7)</f>
        <v>0</v>
      </c>
      <c r="BA216" s="1236">
        <f ca="1">OFFSET($CQ216,0,BA$7)</f>
        <v>0</v>
      </c>
      <c r="BB216" s="1236">
        <f ca="1">OFFSET($CQ216,0,BB$7)+OFFSET($CR216,0,BB$7)</f>
        <v>0</v>
      </c>
      <c r="BC216" s="1236">
        <f ca="1">OFFSET($CQ216,0,BC$7)+OFFSET($CR216,0,BC$7)+OFFSET($CS216,0,BC$7)</f>
        <v>0</v>
      </c>
      <c r="BD216" s="1236">
        <f ca="1">OFFSET($CQ216,0,BD$7)+OFFSET($CR216,0,BD$7)+OFFSET($CS216,0,BD$7)+OFFSET($CT216,0,BD$7)</f>
        <v>0</v>
      </c>
      <c r="BE216" s="1236">
        <f ca="1">OFFSET($CQ216,0,BE$7)</f>
        <v>0</v>
      </c>
      <c r="BF216" s="1236">
        <f ca="1">OFFSET($CQ216,0,BF$7)+OFFSET($CR216,0,BF$7)</f>
        <v>0</v>
      </c>
      <c r="BG216" s="1236">
        <f ca="1">OFFSET($CQ216,0,BG$7)+OFFSET($CR216,0,BG$7)+OFFSET($CS216,0,BG$7)</f>
        <v>0</v>
      </c>
      <c r="BH216" s="1236">
        <f ca="1">OFFSET($CQ216,0,BH$7)+OFFSET($CR216,0,BH$7)+OFFSET($CS216,0,BH$7)+OFFSET($CT216,0,BH$7)</f>
        <v>0</v>
      </c>
      <c r="BI216" s="1236">
        <f ca="1">OFFSET($CQ216,0,BI$7)</f>
        <v>0</v>
      </c>
      <c r="BJ216" s="1236">
        <f ca="1">OFFSET($CQ216,0,BJ$7)+OFFSET($CR216,0,BJ$7)</f>
        <v>0</v>
      </c>
      <c r="BK216" s="1236">
        <f ca="1">OFFSET($CQ216,0,BK$7)+OFFSET($CR216,0,BK$7)+OFFSET($CS216,0,BK$7)</f>
        <v>0</v>
      </c>
      <c r="BL216" s="1236">
        <f ca="1">OFFSET($CQ216,0,BL$7)+OFFSET($CR216,0,BL$7)+OFFSET($CS216,0,BL$7)+OFFSET($CT216,0,BL$7)</f>
        <v>0</v>
      </c>
      <c r="BM216" s="1236">
        <f ca="1">OFFSET($CQ216,0,BM$7)</f>
        <v>0</v>
      </c>
      <c r="BN216" s="1236">
        <f ca="1">OFFSET($CQ216,0,BN$7)+OFFSET($CR216,0,BN$7)</f>
        <v>0</v>
      </c>
      <c r="BO216" s="1236">
        <f ca="1">OFFSET($CQ216,0,BO$7)+OFFSET($CR216,0,BO$7)+OFFSET($CS216,0,BO$7)</f>
        <v>0</v>
      </c>
      <c r="BP216" s="1236">
        <f ca="1">OFFSET($CQ216,0,BP$7)+OFFSET($CR216,0,BP$7)+OFFSET($CS216,0,BP$7)+OFFSET($CT216,0,BP$7)</f>
        <v>0</v>
      </c>
      <c r="BQ216" s="1236">
        <f ca="1">OFFSET($CQ216,0,BQ$7)</f>
        <v>0</v>
      </c>
      <c r="BR216" s="1236">
        <f ca="1">OFFSET($CQ216,0,BR$7)+OFFSET($CR216,0,BR$7)</f>
        <v>0</v>
      </c>
      <c r="BS216" s="1236">
        <f ca="1">OFFSET($CQ216,0,BS$7)+OFFSET($CR216,0,BS$7)+OFFSET($CS216,0,BS$7)</f>
        <v>0</v>
      </c>
      <c r="BT216" s="1236">
        <f ca="1">OFFSET($CQ216,0,BT$7)+OFFSET($CR216,0,BT$7)+OFFSET($CS216,0,BT$7)+OFFSET($CT216,0,BT$7)</f>
        <v>0</v>
      </c>
      <c r="BU216" s="1236">
        <f ca="1">OFFSET($CQ216,0,BU$7)</f>
        <v>0</v>
      </c>
      <c r="BV216" s="1236">
        <f ca="1">OFFSET($CQ216,0,BV$7)+OFFSET($CR216,0,BV$7)</f>
        <v>0</v>
      </c>
      <c r="BW216" s="1236">
        <f ca="1">OFFSET($CQ216,0,BW$7)+OFFSET($CR216,0,BW$7)+OFFSET($CS216,0,BW$7)</f>
        <v>0</v>
      </c>
      <c r="BX216" s="1236">
        <f ca="1">OFFSET($CQ216,0,BX$7)+OFFSET($CR216,0,BX$7)+OFFSET($CS216,0,BX$7)+OFFSET($CT216,0,BX$7)</f>
        <v>0</v>
      </c>
      <c r="BY216" s="1236">
        <f ca="1">OFFSET($CQ216,0,BY$7)</f>
        <v>0</v>
      </c>
      <c r="BZ216" s="1236">
        <f ca="1">OFFSET($CQ216,0,BZ$7)+OFFSET($CR216,0,BZ$7)</f>
        <v>0</v>
      </c>
      <c r="CA216" s="1236">
        <f ca="1">OFFSET($CQ216,0,CA$7)+OFFSET($CR216,0,CA$7)+OFFSET($CS216,0,CA$7)</f>
        <v>0</v>
      </c>
      <c r="CB216" s="1236">
        <f ca="1">OFFSET($CQ216,0,CB$7)+OFFSET($CR216,0,CB$7)+OFFSET($CS216,0,CB$7)+OFFSET($CT216,0,CB$7)</f>
        <v>0</v>
      </c>
      <c r="CC216" s="1236">
        <f ca="1">OFFSET($CQ216,0,CC$7)</f>
        <v>0</v>
      </c>
      <c r="CD216" s="1236">
        <f ca="1">OFFSET($CQ216,0,CD$7)+OFFSET($CR216,0,CD$7)</f>
        <v>0</v>
      </c>
      <c r="CE216" s="1236">
        <f ca="1">OFFSET($CQ216,0,CE$7)+OFFSET($CR216,0,CE$7)+OFFSET($CS216,0,CE$7)</f>
        <v>0</v>
      </c>
      <c r="CF216" s="1236">
        <f ca="1">OFFSET($CQ216,0,CF$7)+OFFSET($CR216,0,CF$7)+OFFSET($CS216,0,CF$7)+OFFSET($CT216,0,CF$7)</f>
        <v>0</v>
      </c>
      <c r="CG216" s="1236">
        <f ca="1">OFFSET($CQ216,0,CG$7)</f>
        <v>0</v>
      </c>
      <c r="CH216" s="1236">
        <f ca="1">OFFSET($CQ216,0,CH$7)+OFFSET($CR216,0,CH$7)</f>
        <v>0</v>
      </c>
      <c r="CI216" s="1236">
        <f ca="1">OFFSET($CQ216,0,CI$7)+OFFSET($CR216,0,CI$7)+OFFSET($CS216,0,CI$7)</f>
        <v>0</v>
      </c>
      <c r="CJ216" s="1236">
        <f ca="1">OFFSET($CQ216,0,CJ$7)+OFFSET($CR216,0,CJ$7)+OFFSET($CS216,0,CJ$7)+OFFSET($CT216,0,CJ$7)</f>
        <v>0</v>
      </c>
      <c r="CO216" s="1165"/>
      <c r="CP216" s="1165"/>
    </row>
    <row r="217" spans="1:162" s="1231" customFormat="1">
      <c r="A217" s="1224"/>
      <c r="B217" s="1230" t="s">
        <v>15</v>
      </c>
      <c r="M217" s="1231">
        <f t="shared" ca="1" si="284"/>
        <v>0</v>
      </c>
      <c r="N217" s="1231">
        <f t="shared" ca="1" si="284"/>
        <v>0</v>
      </c>
      <c r="O217" s="1231">
        <f t="shared" ca="1" si="284"/>
        <v>0</v>
      </c>
      <c r="P217" s="1231">
        <f t="shared" ca="1" si="284"/>
        <v>0</v>
      </c>
      <c r="Q217" s="1231">
        <f t="shared" ca="1" si="284"/>
        <v>0</v>
      </c>
      <c r="AG217" s="1231">
        <f ca="1">OFFSET($CQ217,0,AG$7)</f>
        <v>0</v>
      </c>
      <c r="AH217" s="1231">
        <f ca="1">OFFSET($CQ217,0,AH$7)+OFFSET($CR217,0,AH$7)</f>
        <v>0</v>
      </c>
      <c r="AI217" s="1231">
        <f ca="1">OFFSET($CQ217,0,AI$7)+OFFSET($CR217,0,AI$7)+OFFSET($CS217,0,AI$7)</f>
        <v>0</v>
      </c>
      <c r="AJ217" s="1231">
        <f ca="1">OFFSET($CQ217,0,AJ$7)+OFFSET($CR217,0,AJ$7)+OFFSET($CS217,0,AJ$7)+OFFSET($CT217,0,AJ$7)</f>
        <v>0</v>
      </c>
      <c r="AK217" s="1231">
        <f ca="1">OFFSET($CQ217,0,AK$7)</f>
        <v>0</v>
      </c>
      <c r="AL217" s="1231">
        <f ca="1">OFFSET($CQ217,0,AL$7)+OFFSET($CR217,0,AL$7)</f>
        <v>0</v>
      </c>
      <c r="AM217" s="1231">
        <f ca="1">OFFSET($CQ217,0,AM$7)+OFFSET($CR217,0,AM$7)+OFFSET($CS217,0,AM$7)</f>
        <v>0</v>
      </c>
      <c r="AN217" s="1231">
        <f ca="1">OFFSET($CQ217,0,AN$7)+OFFSET($CR217,0,AN$7)+OFFSET($CS217,0,AN$7)+OFFSET($CT217,0,AN$7)</f>
        <v>0</v>
      </c>
      <c r="AO217" s="1231">
        <f ca="1">OFFSET($CQ217,0,AO$7)</f>
        <v>0</v>
      </c>
      <c r="AP217" s="1231">
        <f ca="1">OFFSET($CQ217,0,AP$7)+OFFSET($CR217,0,AP$7)</f>
        <v>0</v>
      </c>
      <c r="AQ217" s="1231">
        <f ca="1">OFFSET($CQ217,0,AQ$7)+OFFSET($CR217,0,AQ$7)+OFFSET($CS217,0,AQ$7)</f>
        <v>0</v>
      </c>
      <c r="AR217" s="1231">
        <f ca="1">OFFSET($CQ217,0,AR$7)+OFFSET($CR217,0,AR$7)+OFFSET($CS217,0,AR$7)+OFFSET($CT217,0,AR$7)</f>
        <v>0</v>
      </c>
      <c r="AS217" s="1231">
        <f ca="1">OFFSET($CQ217,0,AS$7)</f>
        <v>0</v>
      </c>
      <c r="AT217" s="1231">
        <f ca="1">OFFSET($CQ217,0,AT$7)+OFFSET($CR217,0,AT$7)</f>
        <v>0</v>
      </c>
      <c r="AU217" s="1231">
        <f ca="1">OFFSET($CQ217,0,AU$7)+OFFSET($CR217,0,AU$7)+OFFSET($CS217,0,AU$7)</f>
        <v>0</v>
      </c>
      <c r="AV217" s="1231">
        <f ca="1">OFFSET($CQ217,0,AV$7)+OFFSET($CR217,0,AV$7)+OFFSET($CS217,0,AV$7)+OFFSET($CT217,0,AV$7)</f>
        <v>0</v>
      </c>
      <c r="AW217" s="1231">
        <f ca="1">OFFSET($CQ217,0,AW$7)</f>
        <v>0</v>
      </c>
      <c r="AX217" s="1231">
        <f ca="1">OFFSET($CQ217,0,AX$7)+OFFSET($CR217,0,AX$7)</f>
        <v>0</v>
      </c>
      <c r="AY217" s="1231">
        <f ca="1">OFFSET($CQ217,0,AY$7)+OFFSET($CR217,0,AY$7)+OFFSET($CS217,0,AY$7)</f>
        <v>0</v>
      </c>
      <c r="AZ217" s="1231">
        <f ca="1">OFFSET($CQ217,0,AZ$7)+OFFSET($CR217,0,AZ$7)+OFFSET($CS217,0,AZ$7)+OFFSET($CT217,0,AZ$7)</f>
        <v>0</v>
      </c>
      <c r="BA217" s="1231">
        <f ca="1">OFFSET($CQ217,0,BA$7)</f>
        <v>0</v>
      </c>
      <c r="BB217" s="1231">
        <f ca="1">OFFSET($CQ217,0,BB$7)+OFFSET($CR217,0,BB$7)</f>
        <v>0</v>
      </c>
      <c r="BC217" s="1231">
        <f ca="1">OFFSET($CQ217,0,BC$7)+OFFSET($CR217,0,BC$7)+OFFSET($CS217,0,BC$7)</f>
        <v>0</v>
      </c>
      <c r="BD217" s="1231">
        <f ca="1">OFFSET($CQ217,0,BD$7)+OFFSET($CR217,0,BD$7)+OFFSET($CS217,0,BD$7)+OFFSET($CT217,0,BD$7)</f>
        <v>0</v>
      </c>
      <c r="BE217" s="1231">
        <f ca="1">OFFSET($CQ217,0,BE$7)</f>
        <v>0</v>
      </c>
      <c r="BF217" s="1231">
        <f ca="1">OFFSET($CQ217,0,BF$7)+OFFSET($CR217,0,BF$7)</f>
        <v>0</v>
      </c>
      <c r="BG217" s="1231">
        <f ca="1">OFFSET($CQ217,0,BG$7)+OFFSET($CR217,0,BG$7)+OFFSET($CS217,0,BG$7)</f>
        <v>0</v>
      </c>
      <c r="BH217" s="1231">
        <f ca="1">OFFSET($CQ217,0,BH$7)+OFFSET($CR217,0,BH$7)+OFFSET($CS217,0,BH$7)+OFFSET($CT217,0,BH$7)</f>
        <v>0</v>
      </c>
      <c r="BI217" s="1231">
        <f ca="1">OFFSET($CQ217,0,BI$7)</f>
        <v>0</v>
      </c>
      <c r="BJ217" s="1231">
        <f ca="1">OFFSET($CQ217,0,BJ$7)+OFFSET($CR217,0,BJ$7)</f>
        <v>0</v>
      </c>
      <c r="BK217" s="1231">
        <f ca="1">OFFSET($CQ217,0,BK$7)+OFFSET($CR217,0,BK$7)+OFFSET($CS217,0,BK$7)</f>
        <v>0</v>
      </c>
      <c r="BL217" s="1231">
        <f ca="1">OFFSET($CQ217,0,BL$7)+OFFSET($CR217,0,BL$7)+OFFSET($CS217,0,BL$7)+OFFSET($CT217,0,BL$7)</f>
        <v>0</v>
      </c>
      <c r="BM217" s="1231">
        <f ca="1">OFFSET($CQ217,0,BM$7)</f>
        <v>0</v>
      </c>
      <c r="BN217" s="1231">
        <f ca="1">OFFSET($CQ217,0,BN$7)+OFFSET($CR217,0,BN$7)</f>
        <v>0</v>
      </c>
      <c r="BO217" s="1231">
        <f ca="1">OFFSET($CQ217,0,BO$7)+OFFSET($CR217,0,BO$7)+OFFSET($CS217,0,BO$7)</f>
        <v>0</v>
      </c>
      <c r="BP217" s="1231">
        <f ca="1">OFFSET($CQ217,0,BP$7)+OFFSET($CR217,0,BP$7)+OFFSET($CS217,0,BP$7)+OFFSET($CT217,0,BP$7)</f>
        <v>0</v>
      </c>
      <c r="BQ217" s="1231">
        <f ca="1">OFFSET($CQ217,0,BQ$7)</f>
        <v>0</v>
      </c>
      <c r="BR217" s="1231">
        <f ca="1">OFFSET($CQ217,0,BR$7)+OFFSET($CR217,0,BR$7)</f>
        <v>0</v>
      </c>
      <c r="BS217" s="1231">
        <f ca="1">OFFSET($CQ217,0,BS$7)+OFFSET($CR217,0,BS$7)+OFFSET($CS217,0,BS$7)</f>
        <v>0</v>
      </c>
      <c r="BT217" s="1231">
        <f ca="1">OFFSET($CQ217,0,BT$7)+OFFSET($CR217,0,BT$7)+OFFSET($CS217,0,BT$7)+OFFSET($CT217,0,BT$7)</f>
        <v>0</v>
      </c>
      <c r="BU217" s="1231">
        <f ca="1">OFFSET($CQ217,0,BU$7)</f>
        <v>0</v>
      </c>
      <c r="BV217" s="1231">
        <f ca="1">OFFSET($CQ217,0,BV$7)+OFFSET($CR217,0,BV$7)</f>
        <v>0</v>
      </c>
      <c r="BW217" s="1231">
        <f ca="1">OFFSET($CQ217,0,BW$7)+OFFSET($CR217,0,BW$7)+OFFSET($CS217,0,BW$7)</f>
        <v>0</v>
      </c>
      <c r="BX217" s="1231">
        <f ca="1">OFFSET($CQ217,0,BX$7)+OFFSET($CR217,0,BX$7)+OFFSET($CS217,0,BX$7)+OFFSET($CT217,0,BX$7)</f>
        <v>0</v>
      </c>
      <c r="BY217" s="1231">
        <f ca="1">OFFSET($CQ217,0,BY$7)</f>
        <v>0</v>
      </c>
      <c r="BZ217" s="1231">
        <f ca="1">OFFSET($CQ217,0,BZ$7)+OFFSET($CR217,0,BZ$7)</f>
        <v>0</v>
      </c>
      <c r="CA217" s="1231">
        <f ca="1">OFFSET($CQ217,0,CA$7)+OFFSET($CR217,0,CA$7)+OFFSET($CS217,0,CA$7)</f>
        <v>0</v>
      </c>
      <c r="CB217" s="1231">
        <f ca="1">OFFSET($CQ217,0,CB$7)+OFFSET($CR217,0,CB$7)+OFFSET($CS217,0,CB$7)+OFFSET($CT217,0,CB$7)</f>
        <v>0</v>
      </c>
      <c r="CC217" s="1231">
        <f ca="1">OFFSET($CQ217,0,CC$7)</f>
        <v>0</v>
      </c>
      <c r="CD217" s="1231">
        <f ca="1">OFFSET($CQ217,0,CD$7)+OFFSET($CR217,0,CD$7)</f>
        <v>0</v>
      </c>
      <c r="CE217" s="1231">
        <f ca="1">OFFSET($CQ217,0,CE$7)+OFFSET($CR217,0,CE$7)+OFFSET($CS217,0,CE$7)</f>
        <v>0</v>
      </c>
      <c r="CF217" s="1231">
        <f ca="1">OFFSET($CQ217,0,CF$7)+OFFSET($CR217,0,CF$7)+OFFSET($CS217,0,CF$7)+OFFSET($CT217,0,CF$7)</f>
        <v>0</v>
      </c>
      <c r="CG217" s="1231">
        <f ca="1">OFFSET($CQ217,0,CG$7)</f>
        <v>0</v>
      </c>
      <c r="CH217" s="1231">
        <f ca="1">OFFSET($CQ217,0,CH$7)+OFFSET($CR217,0,CH$7)</f>
        <v>0</v>
      </c>
      <c r="CI217" s="1231">
        <f ca="1">OFFSET($CQ217,0,CI$7)+OFFSET($CR217,0,CI$7)+OFFSET($CS217,0,CI$7)</f>
        <v>0</v>
      </c>
      <c r="CJ217" s="1231">
        <f ca="1">OFFSET($CQ217,0,CJ$7)+OFFSET($CR217,0,CJ$7)+OFFSET($CS217,0,CJ$7)+OFFSET($CT217,0,CJ$7)</f>
        <v>0</v>
      </c>
      <c r="CO217" s="1165"/>
      <c r="CP217" s="1165"/>
    </row>
    <row r="218" spans="1:162">
      <c r="A218" s="1224"/>
      <c r="B218" s="1237"/>
      <c r="CO218" s="1165"/>
      <c r="CP218" s="1165"/>
      <c r="CQ218" s="1165"/>
      <c r="CR218" s="1165"/>
      <c r="CS218" s="1165"/>
      <c r="CT218" s="1165"/>
      <c r="CU218" s="1165"/>
      <c r="CV218" s="1165"/>
      <c r="CW218" s="1165"/>
      <c r="CX218" s="1165"/>
    </row>
    <row r="219" spans="1:162">
      <c r="A219" s="1224"/>
      <c r="B219" s="1237" t="s">
        <v>160</v>
      </c>
      <c r="M219" s="1236">
        <f t="shared" ref="M219:Q223" ca="1" si="285">OFFSET($CQ219,0,M$7)+OFFSET($CR219,0,M$7)+OFFSET($CS219,0,M$7)+OFFSET($CT219,0,M$7)</f>
        <v>0</v>
      </c>
      <c r="N219" s="1236">
        <f t="shared" ca="1" si="285"/>
        <v>0</v>
      </c>
      <c r="O219" s="1236">
        <f t="shared" ca="1" si="285"/>
        <v>0</v>
      </c>
      <c r="P219" s="1236">
        <f t="shared" ca="1" si="285"/>
        <v>0</v>
      </c>
      <c r="Q219" s="1236">
        <f t="shared" ca="1" si="285"/>
        <v>0</v>
      </c>
      <c r="AG219" s="1236">
        <f ca="1">OFFSET($CQ219,0,AG$7)</f>
        <v>0</v>
      </c>
      <c r="AH219" s="1236">
        <f ca="1">OFFSET($CQ219,0,AH$7)+OFFSET($CR219,0,AH$7)</f>
        <v>0</v>
      </c>
      <c r="AI219" s="1236">
        <f ca="1">OFFSET($CQ219,0,AI$7)+OFFSET($CR219,0,AI$7)+OFFSET($CS219,0,AI$7)</f>
        <v>0</v>
      </c>
      <c r="AJ219" s="1236">
        <f ca="1">OFFSET($CQ219,0,AJ$7)+OFFSET($CR219,0,AJ$7)+OFFSET($CS219,0,AJ$7)+OFFSET($CT219,0,AJ$7)</f>
        <v>0</v>
      </c>
      <c r="AK219" s="1236">
        <f ca="1">OFFSET($CQ219,0,AK$7)</f>
        <v>0</v>
      </c>
      <c r="AL219" s="1236">
        <f ca="1">OFFSET($CQ219,0,AL$7)+OFFSET($CR219,0,AL$7)</f>
        <v>0</v>
      </c>
      <c r="AM219" s="1236">
        <f ca="1">OFFSET($CQ219,0,AM$7)+OFFSET($CR219,0,AM$7)+OFFSET($CS219,0,AM$7)</f>
        <v>0</v>
      </c>
      <c r="AN219" s="1236">
        <f ca="1">OFFSET($CQ219,0,AN$7)+OFFSET($CR219,0,AN$7)+OFFSET($CS219,0,AN$7)+OFFSET($CT219,0,AN$7)</f>
        <v>0</v>
      </c>
      <c r="AO219" s="1236">
        <f ca="1">OFFSET($CQ219,0,AO$7)</f>
        <v>0</v>
      </c>
      <c r="AP219" s="1236">
        <f ca="1">OFFSET($CQ219,0,AP$7)+OFFSET($CR219,0,AP$7)</f>
        <v>0</v>
      </c>
      <c r="AQ219" s="1236">
        <f ca="1">OFFSET($CQ219,0,AQ$7)+OFFSET($CR219,0,AQ$7)+OFFSET($CS219,0,AQ$7)</f>
        <v>0</v>
      </c>
      <c r="AR219" s="1236">
        <f ca="1">OFFSET($CQ219,0,AR$7)+OFFSET($CR219,0,AR$7)+OFFSET($CS219,0,AR$7)+OFFSET($CT219,0,AR$7)</f>
        <v>0</v>
      </c>
      <c r="AS219" s="1236">
        <f ca="1">OFFSET($CQ219,0,AS$7)</f>
        <v>0</v>
      </c>
      <c r="AT219" s="1236">
        <f ca="1">OFFSET($CQ219,0,AT$7)+OFFSET($CR219,0,AT$7)</f>
        <v>0</v>
      </c>
      <c r="AU219" s="1236">
        <f ca="1">OFFSET($CQ219,0,AU$7)+OFFSET($CR219,0,AU$7)+OFFSET($CS219,0,AU$7)</f>
        <v>0</v>
      </c>
      <c r="AV219" s="1236">
        <f ca="1">OFFSET($CQ219,0,AV$7)+OFFSET($CR219,0,AV$7)+OFFSET($CS219,0,AV$7)+OFFSET($CT219,0,AV$7)</f>
        <v>0</v>
      </c>
      <c r="AW219" s="1236">
        <f ca="1">OFFSET($CQ219,0,AW$7)</f>
        <v>0</v>
      </c>
      <c r="AX219" s="1236">
        <f ca="1">OFFSET($CQ219,0,AX$7)+OFFSET($CR219,0,AX$7)</f>
        <v>0</v>
      </c>
      <c r="AY219" s="1236">
        <f ca="1">OFFSET($CQ219,0,AY$7)+OFFSET($CR219,0,AY$7)+OFFSET($CS219,0,AY$7)</f>
        <v>0</v>
      </c>
      <c r="AZ219" s="1236">
        <f ca="1">OFFSET($CQ219,0,AZ$7)+OFFSET($CR219,0,AZ$7)+OFFSET($CS219,0,AZ$7)+OFFSET($CT219,0,AZ$7)</f>
        <v>0</v>
      </c>
      <c r="BA219" s="1236">
        <f ca="1">OFFSET($CQ219,0,BA$7)</f>
        <v>0</v>
      </c>
      <c r="BB219" s="1236">
        <f ca="1">OFFSET($CQ219,0,BB$7)+OFFSET($CR219,0,BB$7)</f>
        <v>0</v>
      </c>
      <c r="BC219" s="1236">
        <f ca="1">OFFSET($CQ219,0,BC$7)+OFFSET($CR219,0,BC$7)+OFFSET($CS219,0,BC$7)</f>
        <v>0</v>
      </c>
      <c r="BD219" s="1236">
        <f ca="1">OFFSET($CQ219,0,BD$7)+OFFSET($CR219,0,BD$7)+OFFSET($CS219,0,BD$7)+OFFSET($CT219,0,BD$7)</f>
        <v>0</v>
      </c>
      <c r="BE219" s="1236">
        <f ca="1">OFFSET($CQ219,0,BE$7)</f>
        <v>0</v>
      </c>
      <c r="BF219" s="1236">
        <f ca="1">OFFSET($CQ219,0,BF$7)+OFFSET($CR219,0,BF$7)</f>
        <v>0</v>
      </c>
      <c r="BG219" s="1236">
        <f ca="1">OFFSET($CQ219,0,BG$7)+OFFSET($CR219,0,BG$7)+OFFSET($CS219,0,BG$7)</f>
        <v>0</v>
      </c>
      <c r="BH219" s="1236">
        <f ca="1">OFFSET($CQ219,0,BH$7)+OFFSET($CR219,0,BH$7)+OFFSET($CS219,0,BH$7)+OFFSET($CT219,0,BH$7)</f>
        <v>0</v>
      </c>
      <c r="BI219" s="1236">
        <f ca="1">OFFSET($CQ219,0,BI$7)</f>
        <v>0</v>
      </c>
      <c r="BJ219" s="1236">
        <f ca="1">OFFSET($CQ219,0,BJ$7)+OFFSET($CR219,0,BJ$7)</f>
        <v>0</v>
      </c>
      <c r="BK219" s="1236">
        <f ca="1">OFFSET($CQ219,0,BK$7)+OFFSET($CR219,0,BK$7)+OFFSET($CS219,0,BK$7)</f>
        <v>0</v>
      </c>
      <c r="BL219" s="1236">
        <f ca="1">OFFSET($CQ219,0,BL$7)+OFFSET($CR219,0,BL$7)+OFFSET($CS219,0,BL$7)+OFFSET($CT219,0,BL$7)</f>
        <v>0</v>
      </c>
      <c r="BM219" s="1236">
        <f ca="1">OFFSET($CQ219,0,BM$7)</f>
        <v>0</v>
      </c>
      <c r="BN219" s="1236">
        <f ca="1">OFFSET($CQ219,0,BN$7)+OFFSET($CR219,0,BN$7)</f>
        <v>0</v>
      </c>
      <c r="BO219" s="1236">
        <f ca="1">OFFSET($CQ219,0,BO$7)+OFFSET($CR219,0,BO$7)+OFFSET($CS219,0,BO$7)</f>
        <v>0</v>
      </c>
      <c r="BP219" s="1236">
        <f ca="1">OFFSET($CQ219,0,BP$7)+OFFSET($CR219,0,BP$7)+OFFSET($CS219,0,BP$7)+OFFSET($CT219,0,BP$7)</f>
        <v>0</v>
      </c>
      <c r="BQ219" s="1236">
        <f ca="1">OFFSET($CQ219,0,BQ$7)</f>
        <v>0</v>
      </c>
      <c r="BR219" s="1236">
        <f ca="1">OFFSET($CQ219,0,BR$7)+OFFSET($CR219,0,BR$7)</f>
        <v>0</v>
      </c>
      <c r="BS219" s="1236">
        <f ca="1">OFFSET($CQ219,0,BS$7)+OFFSET($CR219,0,BS$7)+OFFSET($CS219,0,BS$7)</f>
        <v>0</v>
      </c>
      <c r="BT219" s="1236">
        <f ca="1">OFFSET($CQ219,0,BT$7)+OFFSET($CR219,0,BT$7)+OFFSET($CS219,0,BT$7)+OFFSET($CT219,0,BT$7)</f>
        <v>0</v>
      </c>
      <c r="BU219" s="1236">
        <f ca="1">OFFSET($CQ219,0,BU$7)</f>
        <v>0</v>
      </c>
      <c r="BV219" s="1236">
        <f ca="1">OFFSET($CQ219,0,BV$7)+OFFSET($CR219,0,BV$7)</f>
        <v>0</v>
      </c>
      <c r="BW219" s="1236">
        <f ca="1">OFFSET($CQ219,0,BW$7)+OFFSET($CR219,0,BW$7)+OFFSET($CS219,0,BW$7)</f>
        <v>0</v>
      </c>
      <c r="BX219" s="1236">
        <f ca="1">OFFSET($CQ219,0,BX$7)+OFFSET($CR219,0,BX$7)+OFFSET($CS219,0,BX$7)+OFFSET($CT219,0,BX$7)</f>
        <v>0</v>
      </c>
      <c r="BY219" s="1236">
        <f ca="1">OFFSET($CQ219,0,BY$7)</f>
        <v>0</v>
      </c>
      <c r="BZ219" s="1236">
        <f ca="1">OFFSET($CQ219,0,BZ$7)+OFFSET($CR219,0,BZ$7)</f>
        <v>0</v>
      </c>
      <c r="CA219" s="1236">
        <f ca="1">OFFSET($CQ219,0,CA$7)+OFFSET($CR219,0,CA$7)+OFFSET($CS219,0,CA$7)</f>
        <v>0</v>
      </c>
      <c r="CB219" s="1236">
        <f ca="1">OFFSET($CQ219,0,CB$7)+OFFSET($CR219,0,CB$7)+OFFSET($CS219,0,CB$7)+OFFSET($CT219,0,CB$7)</f>
        <v>0</v>
      </c>
      <c r="CC219" s="1236">
        <f ca="1">OFFSET($CQ219,0,CC$7)</f>
        <v>0</v>
      </c>
      <c r="CD219" s="1236">
        <f ca="1">OFFSET($CQ219,0,CD$7)+OFFSET($CR219,0,CD$7)</f>
        <v>0</v>
      </c>
      <c r="CE219" s="1236">
        <f ca="1">OFFSET($CQ219,0,CE$7)+OFFSET($CR219,0,CE$7)+OFFSET($CS219,0,CE$7)</f>
        <v>0</v>
      </c>
      <c r="CF219" s="1236">
        <f ca="1">OFFSET($CQ219,0,CF$7)+OFFSET($CR219,0,CF$7)+OFFSET($CS219,0,CF$7)+OFFSET($CT219,0,CF$7)</f>
        <v>0</v>
      </c>
      <c r="CG219" s="1236">
        <f ca="1">OFFSET($CQ219,0,CG$7)</f>
        <v>0</v>
      </c>
      <c r="CH219" s="1236">
        <f ca="1">OFFSET($CQ219,0,CH$7)+OFFSET($CR219,0,CH$7)</f>
        <v>0</v>
      </c>
      <c r="CI219" s="1236">
        <f ca="1">OFFSET($CQ219,0,CI$7)+OFFSET($CR219,0,CI$7)+OFFSET($CS219,0,CI$7)</f>
        <v>0</v>
      </c>
      <c r="CJ219" s="1236">
        <f ca="1">OFFSET($CQ219,0,CJ$7)+OFFSET($CR219,0,CJ$7)+OFFSET($CS219,0,CJ$7)+OFFSET($CT219,0,CJ$7)</f>
        <v>0</v>
      </c>
      <c r="CO219" s="1165"/>
      <c r="CP219" s="1165"/>
    </row>
    <row r="220" spans="1:162">
      <c r="A220" s="1224"/>
      <c r="B220" s="1237" t="s">
        <v>220</v>
      </c>
      <c r="M220" s="1236">
        <f t="shared" ca="1" si="285"/>
        <v>0</v>
      </c>
      <c r="N220" s="1236">
        <f t="shared" ca="1" si="285"/>
        <v>0</v>
      </c>
      <c r="O220" s="1236">
        <f t="shared" ca="1" si="285"/>
        <v>0</v>
      </c>
      <c r="P220" s="1236">
        <f t="shared" ca="1" si="285"/>
        <v>0</v>
      </c>
      <c r="Q220" s="1236">
        <f t="shared" ca="1" si="285"/>
        <v>0</v>
      </c>
      <c r="AG220" s="1236">
        <f ca="1">OFFSET($CQ220,0,AG$7)</f>
        <v>0</v>
      </c>
      <c r="AH220" s="1236">
        <f ca="1">OFFSET($CQ220,0,AH$7)+OFFSET($CR220,0,AH$7)</f>
        <v>0</v>
      </c>
      <c r="AI220" s="1236">
        <f ca="1">OFFSET($CQ220,0,AI$7)+OFFSET($CR220,0,AI$7)+OFFSET($CS220,0,AI$7)</f>
        <v>0</v>
      </c>
      <c r="AJ220" s="1236">
        <f ca="1">OFFSET($CQ220,0,AJ$7)+OFFSET($CR220,0,AJ$7)+OFFSET($CS220,0,AJ$7)+OFFSET($CT220,0,AJ$7)</f>
        <v>0</v>
      </c>
      <c r="AK220" s="1236">
        <f ca="1">OFFSET($CQ220,0,AK$7)</f>
        <v>0</v>
      </c>
      <c r="AL220" s="1236">
        <f ca="1">OFFSET($CQ220,0,AL$7)+OFFSET($CR220,0,AL$7)</f>
        <v>0</v>
      </c>
      <c r="AM220" s="1236">
        <f ca="1">OFFSET($CQ220,0,AM$7)+OFFSET($CR220,0,AM$7)+OFFSET($CS220,0,AM$7)</f>
        <v>0</v>
      </c>
      <c r="AN220" s="1236">
        <f ca="1">OFFSET($CQ220,0,AN$7)+OFFSET($CR220,0,AN$7)+OFFSET($CS220,0,AN$7)+OFFSET($CT220,0,AN$7)</f>
        <v>0</v>
      </c>
      <c r="AO220" s="1236">
        <f ca="1">OFFSET($CQ220,0,AO$7)</f>
        <v>0</v>
      </c>
      <c r="AP220" s="1236">
        <f ca="1">OFFSET($CQ220,0,AP$7)+OFFSET($CR220,0,AP$7)</f>
        <v>0</v>
      </c>
      <c r="AQ220" s="1236">
        <f ca="1">OFFSET($CQ220,0,AQ$7)+OFFSET($CR220,0,AQ$7)+OFFSET($CS220,0,AQ$7)</f>
        <v>0</v>
      </c>
      <c r="AR220" s="1236">
        <f ca="1">OFFSET($CQ220,0,AR$7)+OFFSET($CR220,0,AR$7)+OFFSET($CS220,0,AR$7)+OFFSET($CT220,0,AR$7)</f>
        <v>0</v>
      </c>
      <c r="AS220" s="1236">
        <f ca="1">OFFSET($CQ220,0,AS$7)</f>
        <v>0</v>
      </c>
      <c r="AT220" s="1236">
        <f ca="1">OFFSET($CQ220,0,AT$7)+OFFSET($CR220,0,AT$7)</f>
        <v>0</v>
      </c>
      <c r="AU220" s="1236">
        <f ca="1">OFFSET($CQ220,0,AU$7)+OFFSET($CR220,0,AU$7)+OFFSET($CS220,0,AU$7)</f>
        <v>0</v>
      </c>
      <c r="AV220" s="1236">
        <f ca="1">OFFSET($CQ220,0,AV$7)+OFFSET($CR220,0,AV$7)+OFFSET($CS220,0,AV$7)+OFFSET($CT220,0,AV$7)</f>
        <v>0</v>
      </c>
      <c r="AW220" s="1236">
        <f ca="1">OFFSET($CQ220,0,AW$7)</f>
        <v>0</v>
      </c>
      <c r="AX220" s="1236">
        <f ca="1">OFFSET($CQ220,0,AX$7)+OFFSET($CR220,0,AX$7)</f>
        <v>0</v>
      </c>
      <c r="AY220" s="1236">
        <f ca="1">OFFSET($CQ220,0,AY$7)+OFFSET($CR220,0,AY$7)+OFFSET($CS220,0,AY$7)</f>
        <v>0</v>
      </c>
      <c r="AZ220" s="1236">
        <f ca="1">OFFSET($CQ220,0,AZ$7)+OFFSET($CR220,0,AZ$7)+OFFSET($CS220,0,AZ$7)+OFFSET($CT220,0,AZ$7)</f>
        <v>0</v>
      </c>
      <c r="BA220" s="1236">
        <f ca="1">OFFSET($CQ220,0,BA$7)</f>
        <v>0</v>
      </c>
      <c r="BB220" s="1236">
        <f ca="1">OFFSET($CQ220,0,BB$7)+OFFSET($CR220,0,BB$7)</f>
        <v>0</v>
      </c>
      <c r="BC220" s="1236">
        <f ca="1">OFFSET($CQ220,0,BC$7)+OFFSET($CR220,0,BC$7)+OFFSET($CS220,0,BC$7)</f>
        <v>0</v>
      </c>
      <c r="BD220" s="1236">
        <f ca="1">OFFSET($CQ220,0,BD$7)+OFFSET($CR220,0,BD$7)+OFFSET($CS220,0,BD$7)+OFFSET($CT220,0,BD$7)</f>
        <v>0</v>
      </c>
      <c r="BE220" s="1236">
        <f ca="1">OFFSET($CQ220,0,BE$7)</f>
        <v>0</v>
      </c>
      <c r="BF220" s="1236">
        <f ca="1">OFFSET($CQ220,0,BF$7)+OFFSET($CR220,0,BF$7)</f>
        <v>0</v>
      </c>
      <c r="BG220" s="1236">
        <f ca="1">OFFSET($CQ220,0,BG$7)+OFFSET($CR220,0,BG$7)+OFFSET($CS220,0,BG$7)</f>
        <v>0</v>
      </c>
      <c r="BH220" s="1236">
        <f ca="1">OFFSET($CQ220,0,BH$7)+OFFSET($CR220,0,BH$7)+OFFSET($CS220,0,BH$7)+OFFSET($CT220,0,BH$7)</f>
        <v>0</v>
      </c>
      <c r="BI220" s="1236">
        <f ca="1">OFFSET($CQ220,0,BI$7)</f>
        <v>0</v>
      </c>
      <c r="BJ220" s="1236">
        <f ca="1">OFFSET($CQ220,0,BJ$7)+OFFSET($CR220,0,BJ$7)</f>
        <v>0</v>
      </c>
      <c r="BK220" s="1236">
        <f ca="1">OFFSET($CQ220,0,BK$7)+OFFSET($CR220,0,BK$7)+OFFSET($CS220,0,BK$7)</f>
        <v>0</v>
      </c>
      <c r="BL220" s="1236">
        <f ca="1">OFFSET($CQ220,0,BL$7)+OFFSET($CR220,0,BL$7)+OFFSET($CS220,0,BL$7)+OFFSET($CT220,0,BL$7)</f>
        <v>0</v>
      </c>
      <c r="BM220" s="1236">
        <f ca="1">OFFSET($CQ220,0,BM$7)</f>
        <v>0</v>
      </c>
      <c r="BN220" s="1236">
        <f ca="1">OFFSET($CQ220,0,BN$7)+OFFSET($CR220,0,BN$7)</f>
        <v>0</v>
      </c>
      <c r="BO220" s="1236">
        <f ca="1">OFFSET($CQ220,0,BO$7)+OFFSET($CR220,0,BO$7)+OFFSET($CS220,0,BO$7)</f>
        <v>0</v>
      </c>
      <c r="BP220" s="1236">
        <f ca="1">OFFSET($CQ220,0,BP$7)+OFFSET($CR220,0,BP$7)+OFFSET($CS220,0,BP$7)+OFFSET($CT220,0,BP$7)</f>
        <v>0</v>
      </c>
      <c r="BQ220" s="1236">
        <f ca="1">OFFSET($CQ220,0,BQ$7)</f>
        <v>0</v>
      </c>
      <c r="BR220" s="1236">
        <f ca="1">OFFSET($CQ220,0,BR$7)+OFFSET($CR220,0,BR$7)</f>
        <v>0</v>
      </c>
      <c r="BS220" s="1236">
        <f ca="1">OFFSET($CQ220,0,BS$7)+OFFSET($CR220,0,BS$7)+OFFSET($CS220,0,BS$7)</f>
        <v>0</v>
      </c>
      <c r="BT220" s="1236">
        <f ca="1">OFFSET($CQ220,0,BT$7)+OFFSET($CR220,0,BT$7)+OFFSET($CS220,0,BT$7)+OFFSET($CT220,0,BT$7)</f>
        <v>0</v>
      </c>
      <c r="BU220" s="1236">
        <f ca="1">OFFSET($CQ220,0,BU$7)</f>
        <v>0</v>
      </c>
      <c r="BV220" s="1236">
        <f ca="1">OFFSET($CQ220,0,BV$7)+OFFSET($CR220,0,BV$7)</f>
        <v>0</v>
      </c>
      <c r="BW220" s="1236">
        <f ca="1">OFFSET($CQ220,0,BW$7)+OFFSET($CR220,0,BW$7)+OFFSET($CS220,0,BW$7)</f>
        <v>0</v>
      </c>
      <c r="BX220" s="1236">
        <f ca="1">OFFSET($CQ220,0,BX$7)+OFFSET($CR220,0,BX$7)+OFFSET($CS220,0,BX$7)+OFFSET($CT220,0,BX$7)</f>
        <v>0</v>
      </c>
      <c r="BY220" s="1236">
        <f ca="1">OFFSET($CQ220,0,BY$7)</f>
        <v>0</v>
      </c>
      <c r="BZ220" s="1236">
        <f ca="1">OFFSET($CQ220,0,BZ$7)+OFFSET($CR220,0,BZ$7)</f>
        <v>0</v>
      </c>
      <c r="CA220" s="1236">
        <f ca="1">OFFSET($CQ220,0,CA$7)+OFFSET($CR220,0,CA$7)+OFFSET($CS220,0,CA$7)</f>
        <v>0</v>
      </c>
      <c r="CB220" s="1236">
        <f ca="1">OFFSET($CQ220,0,CB$7)+OFFSET($CR220,0,CB$7)+OFFSET($CS220,0,CB$7)+OFFSET($CT220,0,CB$7)</f>
        <v>0</v>
      </c>
      <c r="CC220" s="1236">
        <f ca="1">OFFSET($CQ220,0,CC$7)</f>
        <v>0</v>
      </c>
      <c r="CD220" s="1236">
        <f ca="1">OFFSET($CQ220,0,CD$7)+OFFSET($CR220,0,CD$7)</f>
        <v>0</v>
      </c>
      <c r="CE220" s="1236">
        <f ca="1">OFFSET($CQ220,0,CE$7)+OFFSET($CR220,0,CE$7)+OFFSET($CS220,0,CE$7)</f>
        <v>0</v>
      </c>
      <c r="CF220" s="1236">
        <f ca="1">OFFSET($CQ220,0,CF$7)+OFFSET($CR220,0,CF$7)+OFFSET($CS220,0,CF$7)+OFFSET($CT220,0,CF$7)</f>
        <v>0</v>
      </c>
      <c r="CG220" s="1236">
        <f ca="1">OFFSET($CQ220,0,CG$7)</f>
        <v>0</v>
      </c>
      <c r="CH220" s="1236">
        <f ca="1">OFFSET($CQ220,0,CH$7)+OFFSET($CR220,0,CH$7)</f>
        <v>0</v>
      </c>
      <c r="CI220" s="1236">
        <f ca="1">OFFSET($CQ220,0,CI$7)+OFFSET($CR220,0,CI$7)+OFFSET($CS220,0,CI$7)</f>
        <v>0</v>
      </c>
      <c r="CJ220" s="1236">
        <f ca="1">OFFSET($CQ220,0,CJ$7)+OFFSET($CR220,0,CJ$7)+OFFSET($CS220,0,CJ$7)+OFFSET($CT220,0,CJ$7)</f>
        <v>0</v>
      </c>
      <c r="CO220" s="1165"/>
      <c r="CP220" s="1165"/>
    </row>
    <row r="221" spans="1:162">
      <c r="A221" s="1224"/>
      <c r="B221" s="1237" t="s">
        <v>150</v>
      </c>
      <c r="M221" s="1236">
        <f t="shared" ca="1" si="285"/>
        <v>0</v>
      </c>
      <c r="N221" s="1236">
        <f t="shared" ca="1" si="285"/>
        <v>0</v>
      </c>
      <c r="O221" s="1236">
        <f t="shared" ca="1" si="285"/>
        <v>0</v>
      </c>
      <c r="P221" s="1236">
        <f t="shared" ca="1" si="285"/>
        <v>0</v>
      </c>
      <c r="Q221" s="1236">
        <f t="shared" ca="1" si="285"/>
        <v>0</v>
      </c>
      <c r="AG221" s="1236">
        <f ca="1">OFFSET($CQ221,0,AG$7)</f>
        <v>0</v>
      </c>
      <c r="AH221" s="1236">
        <f ca="1">OFFSET($CQ221,0,AH$7)+OFFSET($CR221,0,AH$7)</f>
        <v>0</v>
      </c>
      <c r="AI221" s="1236">
        <f ca="1">OFFSET($CQ221,0,AI$7)+OFFSET($CR221,0,AI$7)+OFFSET($CS221,0,AI$7)</f>
        <v>0</v>
      </c>
      <c r="AJ221" s="1236">
        <f ca="1">OFFSET($CQ221,0,AJ$7)+OFFSET($CR221,0,AJ$7)+OFFSET($CS221,0,AJ$7)+OFFSET($CT221,0,AJ$7)</f>
        <v>0</v>
      </c>
      <c r="AK221" s="1236">
        <f ca="1">OFFSET($CQ221,0,AK$7)</f>
        <v>0</v>
      </c>
      <c r="AL221" s="1236">
        <f ca="1">OFFSET($CQ221,0,AL$7)+OFFSET($CR221,0,AL$7)</f>
        <v>0</v>
      </c>
      <c r="AM221" s="1236">
        <f ca="1">OFFSET($CQ221,0,AM$7)+OFFSET($CR221,0,AM$7)+OFFSET($CS221,0,AM$7)</f>
        <v>0</v>
      </c>
      <c r="AN221" s="1236">
        <f ca="1">OFFSET($CQ221,0,AN$7)+OFFSET($CR221,0,AN$7)+OFFSET($CS221,0,AN$7)+OFFSET($CT221,0,AN$7)</f>
        <v>0</v>
      </c>
      <c r="AO221" s="1236">
        <f ca="1">OFFSET($CQ221,0,AO$7)</f>
        <v>0</v>
      </c>
      <c r="AP221" s="1236">
        <f ca="1">OFFSET($CQ221,0,AP$7)+OFFSET($CR221,0,AP$7)</f>
        <v>0</v>
      </c>
      <c r="AQ221" s="1236">
        <f ca="1">OFFSET($CQ221,0,AQ$7)+OFFSET($CR221,0,AQ$7)+OFFSET($CS221,0,AQ$7)</f>
        <v>0</v>
      </c>
      <c r="AR221" s="1236">
        <f ca="1">OFFSET($CQ221,0,AR$7)+OFFSET($CR221,0,AR$7)+OFFSET($CS221,0,AR$7)+OFFSET($CT221,0,AR$7)</f>
        <v>0</v>
      </c>
      <c r="AS221" s="1236">
        <f ca="1">OFFSET($CQ221,0,AS$7)</f>
        <v>0</v>
      </c>
      <c r="AT221" s="1236">
        <f ca="1">OFFSET($CQ221,0,AT$7)+OFFSET($CR221,0,AT$7)</f>
        <v>0</v>
      </c>
      <c r="AU221" s="1236">
        <f ca="1">OFFSET($CQ221,0,AU$7)+OFFSET($CR221,0,AU$7)+OFFSET($CS221,0,AU$7)</f>
        <v>0</v>
      </c>
      <c r="AV221" s="1236">
        <f ca="1">OFFSET($CQ221,0,AV$7)+OFFSET($CR221,0,AV$7)+OFFSET($CS221,0,AV$7)+OFFSET($CT221,0,AV$7)</f>
        <v>0</v>
      </c>
      <c r="AW221" s="1236">
        <f ca="1">OFFSET($CQ221,0,AW$7)</f>
        <v>0</v>
      </c>
      <c r="AX221" s="1236">
        <f ca="1">OFFSET($CQ221,0,AX$7)+OFFSET($CR221,0,AX$7)</f>
        <v>0</v>
      </c>
      <c r="AY221" s="1236">
        <f ca="1">OFFSET($CQ221,0,AY$7)+OFFSET($CR221,0,AY$7)+OFFSET($CS221,0,AY$7)</f>
        <v>0</v>
      </c>
      <c r="AZ221" s="1236">
        <f ca="1">OFFSET($CQ221,0,AZ$7)+OFFSET($CR221,0,AZ$7)+OFFSET($CS221,0,AZ$7)+OFFSET($CT221,0,AZ$7)</f>
        <v>0</v>
      </c>
      <c r="BA221" s="1236">
        <f ca="1">OFFSET($CQ221,0,BA$7)</f>
        <v>0</v>
      </c>
      <c r="BB221" s="1236">
        <f ca="1">OFFSET($CQ221,0,BB$7)+OFFSET($CR221,0,BB$7)</f>
        <v>0</v>
      </c>
      <c r="BC221" s="1236">
        <f ca="1">OFFSET($CQ221,0,BC$7)+OFFSET($CR221,0,BC$7)+OFFSET($CS221,0,BC$7)</f>
        <v>0</v>
      </c>
      <c r="BD221" s="1236">
        <f ca="1">OFFSET($CQ221,0,BD$7)+OFFSET($CR221,0,BD$7)+OFFSET($CS221,0,BD$7)+OFFSET($CT221,0,BD$7)</f>
        <v>0</v>
      </c>
      <c r="BE221" s="1236">
        <f ca="1">OFFSET($CQ221,0,BE$7)</f>
        <v>0</v>
      </c>
      <c r="BF221" s="1236">
        <f ca="1">OFFSET($CQ221,0,BF$7)+OFFSET($CR221,0,BF$7)</f>
        <v>0</v>
      </c>
      <c r="BG221" s="1236">
        <f ca="1">OFFSET($CQ221,0,BG$7)+OFFSET($CR221,0,BG$7)+OFFSET($CS221,0,BG$7)</f>
        <v>0</v>
      </c>
      <c r="BH221" s="1236">
        <f ca="1">OFFSET($CQ221,0,BH$7)+OFFSET($CR221,0,BH$7)+OFFSET($CS221,0,BH$7)+OFFSET($CT221,0,BH$7)</f>
        <v>0</v>
      </c>
      <c r="BI221" s="1236">
        <f ca="1">OFFSET($CQ221,0,BI$7)</f>
        <v>0</v>
      </c>
      <c r="BJ221" s="1236">
        <f ca="1">OFFSET($CQ221,0,BJ$7)+OFFSET($CR221,0,BJ$7)</f>
        <v>0</v>
      </c>
      <c r="BK221" s="1236">
        <f ca="1">OFFSET($CQ221,0,BK$7)+OFFSET($CR221,0,BK$7)+OFFSET($CS221,0,BK$7)</f>
        <v>0</v>
      </c>
      <c r="BL221" s="1236">
        <f ca="1">OFFSET($CQ221,0,BL$7)+OFFSET($CR221,0,BL$7)+OFFSET($CS221,0,BL$7)+OFFSET($CT221,0,BL$7)</f>
        <v>0</v>
      </c>
      <c r="BM221" s="1236">
        <f ca="1">OFFSET($CQ221,0,BM$7)</f>
        <v>0</v>
      </c>
      <c r="BN221" s="1236">
        <f ca="1">OFFSET($CQ221,0,BN$7)+OFFSET($CR221,0,BN$7)</f>
        <v>0</v>
      </c>
      <c r="BO221" s="1236">
        <f ca="1">OFFSET($CQ221,0,BO$7)+OFFSET($CR221,0,BO$7)+OFFSET($CS221,0,BO$7)</f>
        <v>0</v>
      </c>
      <c r="BP221" s="1236">
        <f ca="1">OFFSET($CQ221,0,BP$7)+OFFSET($CR221,0,BP$7)+OFFSET($CS221,0,BP$7)+OFFSET($CT221,0,BP$7)</f>
        <v>0</v>
      </c>
      <c r="BQ221" s="1236">
        <f ca="1">OFFSET($CQ221,0,BQ$7)</f>
        <v>0</v>
      </c>
      <c r="BR221" s="1236">
        <f ca="1">OFFSET($CQ221,0,BR$7)+OFFSET($CR221,0,BR$7)</f>
        <v>0</v>
      </c>
      <c r="BS221" s="1236">
        <f ca="1">OFFSET($CQ221,0,BS$7)+OFFSET($CR221,0,BS$7)+OFFSET($CS221,0,BS$7)</f>
        <v>0</v>
      </c>
      <c r="BT221" s="1236">
        <f ca="1">OFFSET($CQ221,0,BT$7)+OFFSET($CR221,0,BT$7)+OFFSET($CS221,0,BT$7)+OFFSET($CT221,0,BT$7)</f>
        <v>0</v>
      </c>
      <c r="BU221" s="1236">
        <f ca="1">OFFSET($CQ221,0,BU$7)</f>
        <v>0</v>
      </c>
      <c r="BV221" s="1236">
        <f ca="1">OFFSET($CQ221,0,BV$7)+OFFSET($CR221,0,BV$7)</f>
        <v>0</v>
      </c>
      <c r="BW221" s="1236">
        <f ca="1">OFFSET($CQ221,0,BW$7)+OFFSET($CR221,0,BW$7)+OFFSET($CS221,0,BW$7)</f>
        <v>0</v>
      </c>
      <c r="BX221" s="1236">
        <f ca="1">OFFSET($CQ221,0,BX$7)+OFFSET($CR221,0,BX$7)+OFFSET($CS221,0,BX$7)+OFFSET($CT221,0,BX$7)</f>
        <v>0</v>
      </c>
      <c r="BY221" s="1236">
        <f ca="1">OFFSET($CQ221,0,BY$7)</f>
        <v>0</v>
      </c>
      <c r="BZ221" s="1236">
        <f ca="1">OFFSET($CQ221,0,BZ$7)+OFFSET($CR221,0,BZ$7)</f>
        <v>0</v>
      </c>
      <c r="CA221" s="1236">
        <f ca="1">OFFSET($CQ221,0,CA$7)+OFFSET($CR221,0,CA$7)+OFFSET($CS221,0,CA$7)</f>
        <v>0</v>
      </c>
      <c r="CB221" s="1236">
        <f ca="1">OFFSET($CQ221,0,CB$7)+OFFSET($CR221,0,CB$7)+OFFSET($CS221,0,CB$7)+OFFSET($CT221,0,CB$7)</f>
        <v>0</v>
      </c>
      <c r="CC221" s="1236">
        <f ca="1">OFFSET($CQ221,0,CC$7)</f>
        <v>0</v>
      </c>
      <c r="CD221" s="1236">
        <f ca="1">OFFSET($CQ221,0,CD$7)+OFFSET($CR221,0,CD$7)</f>
        <v>0</v>
      </c>
      <c r="CE221" s="1236">
        <f ca="1">OFFSET($CQ221,0,CE$7)+OFFSET($CR221,0,CE$7)+OFFSET($CS221,0,CE$7)</f>
        <v>0</v>
      </c>
      <c r="CF221" s="1236">
        <f ca="1">OFFSET($CQ221,0,CF$7)+OFFSET($CR221,0,CF$7)+OFFSET($CS221,0,CF$7)+OFFSET($CT221,0,CF$7)</f>
        <v>0</v>
      </c>
      <c r="CG221" s="1236">
        <f ca="1">OFFSET($CQ221,0,CG$7)</f>
        <v>0</v>
      </c>
      <c r="CH221" s="1236">
        <f ca="1">OFFSET($CQ221,0,CH$7)+OFFSET($CR221,0,CH$7)</f>
        <v>0</v>
      </c>
      <c r="CI221" s="1236">
        <f ca="1">OFFSET($CQ221,0,CI$7)+OFFSET($CR221,0,CI$7)+OFFSET($CS221,0,CI$7)</f>
        <v>0</v>
      </c>
      <c r="CJ221" s="1236">
        <f ca="1">OFFSET($CQ221,0,CJ$7)+OFFSET($CR221,0,CJ$7)+OFFSET($CS221,0,CJ$7)+OFFSET($CT221,0,CJ$7)</f>
        <v>0</v>
      </c>
      <c r="CO221" s="1165"/>
      <c r="CP221" s="1165"/>
      <c r="CQ221" s="1165"/>
      <c r="CR221" s="1165"/>
      <c r="CS221" s="1165"/>
      <c r="CT221" s="1165"/>
      <c r="CU221" s="1165"/>
      <c r="CV221" s="1165"/>
      <c r="CW221" s="1165"/>
      <c r="CX221" s="1165"/>
    </row>
    <row r="222" spans="1:162">
      <c r="A222" s="1224"/>
      <c r="B222" s="1237" t="s">
        <v>21</v>
      </c>
      <c r="M222" s="1236">
        <f t="shared" ca="1" si="285"/>
        <v>0</v>
      </c>
      <c r="N222" s="1236">
        <f t="shared" ca="1" si="285"/>
        <v>0</v>
      </c>
      <c r="O222" s="1236">
        <f t="shared" ca="1" si="285"/>
        <v>0</v>
      </c>
      <c r="P222" s="1236">
        <f t="shared" ca="1" si="285"/>
        <v>0</v>
      </c>
      <c r="Q222" s="1236">
        <f t="shared" ca="1" si="285"/>
        <v>0</v>
      </c>
      <c r="AG222" s="1236">
        <f ca="1">OFFSET($CQ222,0,AG$7)</f>
        <v>0</v>
      </c>
      <c r="AH222" s="1236">
        <f ca="1">OFFSET($CQ222,0,AH$7)+OFFSET($CR222,0,AH$7)</f>
        <v>0</v>
      </c>
      <c r="AI222" s="1236">
        <f ca="1">OFFSET($CQ222,0,AI$7)+OFFSET($CR222,0,AI$7)+OFFSET($CS222,0,AI$7)</f>
        <v>0</v>
      </c>
      <c r="AJ222" s="1236">
        <f ca="1">OFFSET($CQ222,0,AJ$7)+OFFSET($CR222,0,AJ$7)+OFFSET($CS222,0,AJ$7)+OFFSET($CT222,0,AJ$7)</f>
        <v>0</v>
      </c>
      <c r="AK222" s="1236">
        <f ca="1">OFFSET($CQ222,0,AK$7)</f>
        <v>0</v>
      </c>
      <c r="AL222" s="1236">
        <f ca="1">OFFSET($CQ222,0,AL$7)+OFFSET($CR222,0,AL$7)</f>
        <v>0</v>
      </c>
      <c r="AM222" s="1236">
        <f ca="1">OFFSET($CQ222,0,AM$7)+OFFSET($CR222,0,AM$7)+OFFSET($CS222,0,AM$7)</f>
        <v>0</v>
      </c>
      <c r="AN222" s="1236">
        <f ca="1">OFFSET($CQ222,0,AN$7)+OFFSET($CR222,0,AN$7)+OFFSET($CS222,0,AN$7)+OFFSET($CT222,0,AN$7)</f>
        <v>0</v>
      </c>
      <c r="AO222" s="1236">
        <f ca="1">OFFSET($CQ222,0,AO$7)</f>
        <v>0</v>
      </c>
      <c r="AP222" s="1236">
        <f ca="1">OFFSET($CQ222,0,AP$7)+OFFSET($CR222,0,AP$7)</f>
        <v>0</v>
      </c>
      <c r="AQ222" s="1236">
        <f ca="1">OFFSET($CQ222,0,AQ$7)+OFFSET($CR222,0,AQ$7)+OFFSET($CS222,0,AQ$7)</f>
        <v>0</v>
      </c>
      <c r="AR222" s="1236">
        <f ca="1">OFFSET($CQ222,0,AR$7)+OFFSET($CR222,0,AR$7)+OFFSET($CS222,0,AR$7)+OFFSET($CT222,0,AR$7)</f>
        <v>0</v>
      </c>
      <c r="AS222" s="1236">
        <f ca="1">OFFSET($CQ222,0,AS$7)</f>
        <v>0</v>
      </c>
      <c r="AT222" s="1236">
        <f ca="1">OFFSET($CQ222,0,AT$7)+OFFSET($CR222,0,AT$7)</f>
        <v>0</v>
      </c>
      <c r="AU222" s="1236">
        <f ca="1">OFFSET($CQ222,0,AU$7)+OFFSET($CR222,0,AU$7)+OFFSET($CS222,0,AU$7)</f>
        <v>0</v>
      </c>
      <c r="AV222" s="1236">
        <f ca="1">OFFSET($CQ222,0,AV$7)+OFFSET($CR222,0,AV$7)+OFFSET($CS222,0,AV$7)+OFFSET($CT222,0,AV$7)</f>
        <v>0</v>
      </c>
      <c r="AW222" s="1236">
        <f ca="1">OFFSET($CQ222,0,AW$7)</f>
        <v>0</v>
      </c>
      <c r="AX222" s="1236">
        <f ca="1">OFFSET($CQ222,0,AX$7)+OFFSET($CR222,0,AX$7)</f>
        <v>0</v>
      </c>
      <c r="AY222" s="1236">
        <f ca="1">OFFSET($CQ222,0,AY$7)+OFFSET($CR222,0,AY$7)+OFFSET($CS222,0,AY$7)</f>
        <v>0</v>
      </c>
      <c r="AZ222" s="1236">
        <f ca="1">OFFSET($CQ222,0,AZ$7)+OFFSET($CR222,0,AZ$7)+OFFSET($CS222,0,AZ$7)+OFFSET($CT222,0,AZ$7)</f>
        <v>0</v>
      </c>
      <c r="BA222" s="1236">
        <f ca="1">OFFSET($CQ222,0,BA$7)</f>
        <v>0</v>
      </c>
      <c r="BB222" s="1236">
        <f ca="1">OFFSET($CQ222,0,BB$7)+OFFSET($CR222,0,BB$7)</f>
        <v>0</v>
      </c>
      <c r="BC222" s="1236">
        <f ca="1">OFFSET($CQ222,0,BC$7)+OFFSET($CR222,0,BC$7)+OFFSET($CS222,0,BC$7)</f>
        <v>0</v>
      </c>
      <c r="BD222" s="1236">
        <f ca="1">OFFSET($CQ222,0,BD$7)+OFFSET($CR222,0,BD$7)+OFFSET($CS222,0,BD$7)+OFFSET($CT222,0,BD$7)</f>
        <v>0</v>
      </c>
      <c r="BE222" s="1236">
        <f ca="1">OFFSET($CQ222,0,BE$7)</f>
        <v>0</v>
      </c>
      <c r="BF222" s="1236">
        <f ca="1">OFFSET($CQ222,0,BF$7)+OFFSET($CR222,0,BF$7)</f>
        <v>0</v>
      </c>
      <c r="BG222" s="1236">
        <f ca="1">OFFSET($CQ222,0,BG$7)+OFFSET($CR222,0,BG$7)+OFFSET($CS222,0,BG$7)</f>
        <v>0</v>
      </c>
      <c r="BH222" s="1236">
        <f ca="1">OFFSET($CQ222,0,BH$7)+OFFSET($CR222,0,BH$7)+OFFSET($CS222,0,BH$7)+OFFSET($CT222,0,BH$7)</f>
        <v>0</v>
      </c>
      <c r="BI222" s="1236">
        <f ca="1">OFFSET($CQ222,0,BI$7)</f>
        <v>0</v>
      </c>
      <c r="BJ222" s="1236">
        <f ca="1">OFFSET($CQ222,0,BJ$7)+OFFSET($CR222,0,BJ$7)</f>
        <v>0</v>
      </c>
      <c r="BK222" s="1236">
        <f ca="1">OFFSET($CQ222,0,BK$7)+OFFSET($CR222,0,BK$7)+OFFSET($CS222,0,BK$7)</f>
        <v>0</v>
      </c>
      <c r="BL222" s="1236">
        <f ca="1">OFFSET($CQ222,0,BL$7)+OFFSET($CR222,0,BL$7)+OFFSET($CS222,0,BL$7)+OFFSET($CT222,0,BL$7)</f>
        <v>0</v>
      </c>
      <c r="BM222" s="1236">
        <f ca="1">OFFSET($CQ222,0,BM$7)</f>
        <v>0</v>
      </c>
      <c r="BN222" s="1236">
        <f ca="1">OFFSET($CQ222,0,BN$7)+OFFSET($CR222,0,BN$7)</f>
        <v>0</v>
      </c>
      <c r="BO222" s="1236">
        <f ca="1">OFFSET($CQ222,0,BO$7)+OFFSET($CR222,0,BO$7)+OFFSET($CS222,0,BO$7)</f>
        <v>0</v>
      </c>
      <c r="BP222" s="1236">
        <f ca="1">OFFSET($CQ222,0,BP$7)+OFFSET($CR222,0,BP$7)+OFFSET($CS222,0,BP$7)+OFFSET($CT222,0,BP$7)</f>
        <v>0</v>
      </c>
      <c r="BQ222" s="1236">
        <f ca="1">OFFSET($CQ222,0,BQ$7)</f>
        <v>0</v>
      </c>
      <c r="BR222" s="1236">
        <f ca="1">OFFSET($CQ222,0,BR$7)+OFFSET($CR222,0,BR$7)</f>
        <v>0</v>
      </c>
      <c r="BS222" s="1236">
        <f ca="1">OFFSET($CQ222,0,BS$7)+OFFSET($CR222,0,BS$7)+OFFSET($CS222,0,BS$7)</f>
        <v>0</v>
      </c>
      <c r="BT222" s="1236">
        <f ca="1">OFFSET($CQ222,0,BT$7)+OFFSET($CR222,0,BT$7)+OFFSET($CS222,0,BT$7)+OFFSET($CT222,0,BT$7)</f>
        <v>0</v>
      </c>
      <c r="BU222" s="1236">
        <f ca="1">OFFSET($CQ222,0,BU$7)</f>
        <v>0</v>
      </c>
      <c r="BV222" s="1236">
        <f ca="1">OFFSET($CQ222,0,BV$7)+OFFSET($CR222,0,BV$7)</f>
        <v>0</v>
      </c>
      <c r="BW222" s="1236">
        <f ca="1">OFFSET($CQ222,0,BW$7)+OFFSET($CR222,0,BW$7)+OFFSET($CS222,0,BW$7)</f>
        <v>0</v>
      </c>
      <c r="BX222" s="1236">
        <f ca="1">OFFSET($CQ222,0,BX$7)+OFFSET($CR222,0,BX$7)+OFFSET($CS222,0,BX$7)+OFFSET($CT222,0,BX$7)</f>
        <v>0</v>
      </c>
      <c r="BY222" s="1236">
        <f ca="1">OFFSET($CQ222,0,BY$7)</f>
        <v>0</v>
      </c>
      <c r="BZ222" s="1236">
        <f ca="1">OFFSET($CQ222,0,BZ$7)+OFFSET($CR222,0,BZ$7)</f>
        <v>0</v>
      </c>
      <c r="CA222" s="1236">
        <f ca="1">OFFSET($CQ222,0,CA$7)+OFFSET($CR222,0,CA$7)+OFFSET($CS222,0,CA$7)</f>
        <v>0</v>
      </c>
      <c r="CB222" s="1236">
        <f ca="1">OFFSET($CQ222,0,CB$7)+OFFSET($CR222,0,CB$7)+OFFSET($CS222,0,CB$7)+OFFSET($CT222,0,CB$7)</f>
        <v>0</v>
      </c>
      <c r="CC222" s="1236">
        <f ca="1">OFFSET($CQ222,0,CC$7)</f>
        <v>0</v>
      </c>
      <c r="CD222" s="1236">
        <f ca="1">OFFSET($CQ222,0,CD$7)+OFFSET($CR222,0,CD$7)</f>
        <v>0</v>
      </c>
      <c r="CE222" s="1236">
        <f ca="1">OFFSET($CQ222,0,CE$7)+OFFSET($CR222,0,CE$7)+OFFSET($CS222,0,CE$7)</f>
        <v>0</v>
      </c>
      <c r="CF222" s="1236">
        <f ca="1">OFFSET($CQ222,0,CF$7)+OFFSET($CR222,0,CF$7)+OFFSET($CS222,0,CF$7)+OFFSET($CT222,0,CF$7)</f>
        <v>0</v>
      </c>
      <c r="CG222" s="1236">
        <f ca="1">OFFSET($CQ222,0,CG$7)</f>
        <v>0</v>
      </c>
      <c r="CH222" s="1236">
        <f ca="1">OFFSET($CQ222,0,CH$7)+OFFSET($CR222,0,CH$7)</f>
        <v>0</v>
      </c>
      <c r="CI222" s="1236">
        <f ca="1">OFFSET($CQ222,0,CI$7)+OFFSET($CR222,0,CI$7)+OFFSET($CS222,0,CI$7)</f>
        <v>0</v>
      </c>
      <c r="CJ222" s="1236">
        <f ca="1">OFFSET($CQ222,0,CJ$7)+OFFSET($CR222,0,CJ$7)+OFFSET($CS222,0,CJ$7)+OFFSET($CT222,0,CJ$7)</f>
        <v>0</v>
      </c>
      <c r="CO222" s="1165"/>
      <c r="CP222" s="1165"/>
    </row>
    <row r="223" spans="1:162">
      <c r="A223" s="1224"/>
      <c r="B223" s="1230" t="s">
        <v>107</v>
      </c>
      <c r="C223" s="1231"/>
      <c r="D223" s="1231"/>
      <c r="E223" s="1231"/>
      <c r="F223" s="1231"/>
      <c r="G223" s="1231"/>
      <c r="H223" s="1231"/>
      <c r="I223" s="1231"/>
      <c r="J223" s="1231"/>
      <c r="K223" s="1231"/>
      <c r="L223" s="1231"/>
      <c r="M223" s="1231">
        <f t="shared" ca="1" si="285"/>
        <v>0</v>
      </c>
      <c r="N223" s="1231">
        <f t="shared" ca="1" si="285"/>
        <v>0</v>
      </c>
      <c r="O223" s="1231">
        <f t="shared" ca="1" si="285"/>
        <v>0</v>
      </c>
      <c r="P223" s="1231">
        <f t="shared" ca="1" si="285"/>
        <v>0</v>
      </c>
      <c r="Q223" s="1231">
        <f t="shared" ca="1" si="285"/>
        <v>0</v>
      </c>
      <c r="R223" s="1231"/>
      <c r="S223" s="1231"/>
      <c r="T223" s="1231"/>
      <c r="U223" s="1231"/>
      <c r="V223" s="1231"/>
      <c r="W223" s="1231"/>
      <c r="X223" s="1231"/>
      <c r="Y223" s="1231"/>
      <c r="Z223" s="1231"/>
      <c r="AA223" s="1231"/>
      <c r="AB223" s="1231"/>
      <c r="AC223" s="1231"/>
      <c r="AD223" s="1231"/>
      <c r="AE223" s="1231"/>
      <c r="AF223" s="1231"/>
      <c r="AG223" s="1231">
        <f ca="1">OFFSET($CQ223,0,AG$7)</f>
        <v>0</v>
      </c>
      <c r="AH223" s="1231">
        <f ca="1">OFFSET($CQ223,0,AH$7)+OFFSET($CR223,0,AH$7)</f>
        <v>0</v>
      </c>
      <c r="AI223" s="1231">
        <f ca="1">OFFSET($CQ223,0,AI$7)+OFFSET($CR223,0,AI$7)+OFFSET($CS223,0,AI$7)</f>
        <v>0</v>
      </c>
      <c r="AJ223" s="1231">
        <f ca="1">OFFSET($CQ223,0,AJ$7)+OFFSET($CR223,0,AJ$7)+OFFSET($CS223,0,AJ$7)+OFFSET($CT223,0,AJ$7)</f>
        <v>0</v>
      </c>
      <c r="AK223" s="1231">
        <f ca="1">OFFSET($CQ223,0,AK$7)</f>
        <v>0</v>
      </c>
      <c r="AL223" s="1231">
        <f ca="1">OFFSET($CQ223,0,AL$7)+OFFSET($CR223,0,AL$7)</f>
        <v>0</v>
      </c>
      <c r="AM223" s="1231">
        <f ca="1">OFFSET($CQ223,0,AM$7)+OFFSET($CR223,0,AM$7)+OFFSET($CS223,0,AM$7)</f>
        <v>0</v>
      </c>
      <c r="AN223" s="1231">
        <f ca="1">OFFSET($CQ223,0,AN$7)+OFFSET($CR223,0,AN$7)+OFFSET($CS223,0,AN$7)+OFFSET($CT223,0,AN$7)</f>
        <v>0</v>
      </c>
      <c r="AO223" s="1231">
        <f ca="1">OFFSET($CQ223,0,AO$7)</f>
        <v>0</v>
      </c>
      <c r="AP223" s="1231">
        <f ca="1">OFFSET($CQ223,0,AP$7)+OFFSET($CR223,0,AP$7)</f>
        <v>0</v>
      </c>
      <c r="AQ223" s="1231">
        <f ca="1">OFFSET($CQ223,0,AQ$7)+OFFSET($CR223,0,AQ$7)+OFFSET($CS223,0,AQ$7)</f>
        <v>0</v>
      </c>
      <c r="AR223" s="1231">
        <f ca="1">OFFSET($CQ223,0,AR$7)+OFFSET($CR223,0,AR$7)+OFFSET($CS223,0,AR$7)+OFFSET($CT223,0,AR$7)</f>
        <v>0</v>
      </c>
      <c r="AS223" s="1231">
        <f ca="1">OFFSET($CQ223,0,AS$7)</f>
        <v>0</v>
      </c>
      <c r="AT223" s="1231">
        <f ca="1">OFFSET($CQ223,0,AT$7)+OFFSET($CR223,0,AT$7)</f>
        <v>0</v>
      </c>
      <c r="AU223" s="1231">
        <f ca="1">OFFSET($CQ223,0,AU$7)+OFFSET($CR223,0,AU$7)+OFFSET($CS223,0,AU$7)</f>
        <v>0</v>
      </c>
      <c r="AV223" s="1231">
        <f ca="1">OFFSET($CQ223,0,AV$7)+OFFSET($CR223,0,AV$7)+OFFSET($CS223,0,AV$7)+OFFSET($CT223,0,AV$7)</f>
        <v>0</v>
      </c>
      <c r="AW223" s="1231">
        <f ca="1">OFFSET($CQ223,0,AW$7)</f>
        <v>0</v>
      </c>
      <c r="AX223" s="1231">
        <f ca="1">OFFSET($CQ223,0,AX$7)+OFFSET($CR223,0,AX$7)</f>
        <v>0</v>
      </c>
      <c r="AY223" s="1231">
        <f ca="1">OFFSET($CQ223,0,AY$7)+OFFSET($CR223,0,AY$7)+OFFSET($CS223,0,AY$7)</f>
        <v>0</v>
      </c>
      <c r="AZ223" s="1231">
        <f ca="1">OFFSET($CQ223,0,AZ$7)+OFFSET($CR223,0,AZ$7)+OFFSET($CS223,0,AZ$7)+OFFSET($CT223,0,AZ$7)</f>
        <v>0</v>
      </c>
      <c r="BA223" s="1231">
        <f ca="1">OFFSET($CQ223,0,BA$7)</f>
        <v>0</v>
      </c>
      <c r="BB223" s="1231">
        <f ca="1">OFFSET($CQ223,0,BB$7)+OFFSET($CR223,0,BB$7)</f>
        <v>0</v>
      </c>
      <c r="BC223" s="1231">
        <f ca="1">OFFSET($CQ223,0,BC$7)+OFFSET($CR223,0,BC$7)+OFFSET($CS223,0,BC$7)</f>
        <v>0</v>
      </c>
      <c r="BD223" s="1231">
        <f ca="1">OFFSET($CQ223,0,BD$7)+OFFSET($CR223,0,BD$7)+OFFSET($CS223,0,BD$7)+OFFSET($CT223,0,BD$7)</f>
        <v>0</v>
      </c>
      <c r="BE223" s="1231">
        <f ca="1">OFFSET($CQ223,0,BE$7)</f>
        <v>0</v>
      </c>
      <c r="BF223" s="1231">
        <f ca="1">OFFSET($CQ223,0,BF$7)+OFFSET($CR223,0,BF$7)</f>
        <v>0</v>
      </c>
      <c r="BG223" s="1231">
        <f ca="1">OFFSET($CQ223,0,BG$7)+OFFSET($CR223,0,BG$7)+OFFSET($CS223,0,BG$7)</f>
        <v>0</v>
      </c>
      <c r="BH223" s="1231">
        <f ca="1">OFFSET($CQ223,0,BH$7)+OFFSET($CR223,0,BH$7)+OFFSET($CS223,0,BH$7)+OFFSET($CT223,0,BH$7)</f>
        <v>0</v>
      </c>
      <c r="BI223" s="1231">
        <f ca="1">OFFSET($CQ223,0,BI$7)</f>
        <v>0</v>
      </c>
      <c r="BJ223" s="1231">
        <f ca="1">OFFSET($CQ223,0,BJ$7)+OFFSET($CR223,0,BJ$7)</f>
        <v>0</v>
      </c>
      <c r="BK223" s="1231">
        <f ca="1">OFFSET($CQ223,0,BK$7)+OFFSET($CR223,0,BK$7)+OFFSET($CS223,0,BK$7)</f>
        <v>0</v>
      </c>
      <c r="BL223" s="1231">
        <f ca="1">OFFSET($CQ223,0,BL$7)+OFFSET($CR223,0,BL$7)+OFFSET($CS223,0,BL$7)+OFFSET($CT223,0,BL$7)</f>
        <v>0</v>
      </c>
      <c r="BM223" s="1231">
        <f ca="1">OFFSET($CQ223,0,BM$7)</f>
        <v>0</v>
      </c>
      <c r="BN223" s="1231">
        <f ca="1">OFFSET($CQ223,0,BN$7)+OFFSET($CR223,0,BN$7)</f>
        <v>0</v>
      </c>
      <c r="BO223" s="1231">
        <f ca="1">OFFSET($CQ223,0,BO$7)+OFFSET($CR223,0,BO$7)+OFFSET($CS223,0,BO$7)</f>
        <v>0</v>
      </c>
      <c r="BP223" s="1231">
        <f ca="1">OFFSET($CQ223,0,BP$7)+OFFSET($CR223,0,BP$7)+OFFSET($CS223,0,BP$7)+OFFSET($CT223,0,BP$7)</f>
        <v>0</v>
      </c>
      <c r="BQ223" s="1231">
        <f ca="1">OFFSET($CQ223,0,BQ$7)</f>
        <v>0</v>
      </c>
      <c r="BR223" s="1231">
        <f ca="1">OFFSET($CQ223,0,BR$7)+OFFSET($CR223,0,BR$7)</f>
        <v>0</v>
      </c>
      <c r="BS223" s="1231">
        <f ca="1">OFFSET($CQ223,0,BS$7)+OFFSET($CR223,0,BS$7)+OFFSET($CS223,0,BS$7)</f>
        <v>0</v>
      </c>
      <c r="BT223" s="1231">
        <f ca="1">OFFSET($CQ223,0,BT$7)+OFFSET($CR223,0,BT$7)+OFFSET($CS223,0,BT$7)+OFFSET($CT223,0,BT$7)</f>
        <v>0</v>
      </c>
      <c r="BU223" s="1231">
        <f ca="1">OFFSET($CQ223,0,BU$7)</f>
        <v>0</v>
      </c>
      <c r="BV223" s="1231">
        <f ca="1">OFFSET($CQ223,0,BV$7)+OFFSET($CR223,0,BV$7)</f>
        <v>0</v>
      </c>
      <c r="BW223" s="1231">
        <f ca="1">OFFSET($CQ223,0,BW$7)+OFFSET($CR223,0,BW$7)+OFFSET($CS223,0,BW$7)</f>
        <v>0</v>
      </c>
      <c r="BX223" s="1231">
        <f ca="1">OFFSET($CQ223,0,BX$7)+OFFSET($CR223,0,BX$7)+OFFSET($CS223,0,BX$7)+OFFSET($CT223,0,BX$7)</f>
        <v>0</v>
      </c>
      <c r="BY223" s="1231">
        <f ca="1">OFFSET($CQ223,0,BY$7)</f>
        <v>0</v>
      </c>
      <c r="BZ223" s="1231">
        <f ca="1">OFFSET($CQ223,0,BZ$7)+OFFSET($CR223,0,BZ$7)</f>
        <v>0</v>
      </c>
      <c r="CA223" s="1231">
        <f ca="1">OFFSET($CQ223,0,CA$7)+OFFSET($CR223,0,CA$7)+OFFSET($CS223,0,CA$7)</f>
        <v>0</v>
      </c>
      <c r="CB223" s="1231">
        <f ca="1">OFFSET($CQ223,0,CB$7)+OFFSET($CR223,0,CB$7)+OFFSET($CS223,0,CB$7)+OFFSET($CT223,0,CB$7)</f>
        <v>0</v>
      </c>
      <c r="CC223" s="1231">
        <f ca="1">OFFSET($CQ223,0,CC$7)</f>
        <v>0</v>
      </c>
      <c r="CD223" s="1231">
        <f ca="1">OFFSET($CQ223,0,CD$7)+OFFSET($CR223,0,CD$7)</f>
        <v>0</v>
      </c>
      <c r="CE223" s="1231">
        <f ca="1">OFFSET($CQ223,0,CE$7)+OFFSET($CR223,0,CE$7)+OFFSET($CS223,0,CE$7)</f>
        <v>0</v>
      </c>
      <c r="CF223" s="1231">
        <f ca="1">OFFSET($CQ223,0,CF$7)+OFFSET($CR223,0,CF$7)+OFFSET($CS223,0,CF$7)+OFFSET($CT223,0,CF$7)</f>
        <v>0</v>
      </c>
      <c r="CG223" s="1231">
        <f ca="1">OFFSET($CQ223,0,CG$7)</f>
        <v>0</v>
      </c>
      <c r="CH223" s="1231">
        <f ca="1">OFFSET($CQ223,0,CH$7)+OFFSET($CR223,0,CH$7)</f>
        <v>0</v>
      </c>
      <c r="CI223" s="1231">
        <f ca="1">OFFSET($CQ223,0,CI$7)+OFFSET($CR223,0,CI$7)+OFFSET($CS223,0,CI$7)</f>
        <v>0</v>
      </c>
      <c r="CJ223" s="1231">
        <f ca="1">OFFSET($CQ223,0,CJ$7)+OFFSET($CR223,0,CJ$7)+OFFSET($CS223,0,CJ$7)+OFFSET($CT223,0,CJ$7)</f>
        <v>0</v>
      </c>
      <c r="CK223" s="1231"/>
      <c r="CL223" s="1231"/>
      <c r="CM223" s="1231"/>
      <c r="CN223" s="1231"/>
      <c r="CO223" s="1165"/>
      <c r="CP223" s="1165"/>
      <c r="CQ223" s="1231"/>
      <c r="CR223" s="1231"/>
      <c r="CS223" s="1231"/>
      <c r="CT223" s="1231"/>
      <c r="CU223" s="1231"/>
      <c r="CV223" s="1231"/>
      <c r="CW223" s="1231"/>
      <c r="CX223" s="1231"/>
      <c r="CY223" s="1231"/>
      <c r="CZ223" s="1231"/>
      <c r="DA223" s="1231"/>
      <c r="DB223" s="1231"/>
      <c r="DC223" s="1231"/>
      <c r="DD223" s="1231"/>
      <c r="DE223" s="1231"/>
      <c r="DF223" s="1231"/>
      <c r="DG223" s="1231"/>
      <c r="DH223" s="1231"/>
      <c r="DI223" s="1231"/>
      <c r="DJ223" s="1231"/>
      <c r="DK223" s="1231"/>
      <c r="DL223" s="1231"/>
      <c r="DM223" s="1231"/>
      <c r="DN223" s="1231"/>
      <c r="DO223" s="1231"/>
      <c r="DP223" s="1231"/>
      <c r="DQ223" s="1231"/>
      <c r="DR223" s="1231"/>
      <c r="DS223" s="1231"/>
      <c r="DT223" s="1231"/>
      <c r="DU223" s="1231"/>
      <c r="DV223" s="1231"/>
      <c r="DW223" s="1231"/>
      <c r="DX223" s="1231"/>
      <c r="DY223" s="1231"/>
      <c r="DZ223" s="1231"/>
      <c r="EA223" s="1231"/>
      <c r="EB223" s="1231"/>
      <c r="EC223" s="1231"/>
      <c r="ED223" s="1231"/>
      <c r="EE223" s="1231"/>
      <c r="EF223" s="1231"/>
      <c r="EG223" s="1231"/>
      <c r="EH223" s="1231"/>
      <c r="EI223" s="1231"/>
      <c r="EJ223" s="1231"/>
      <c r="EK223" s="1231"/>
      <c r="EL223" s="1231"/>
      <c r="EM223" s="1231"/>
      <c r="EN223" s="1231"/>
      <c r="EO223" s="1231"/>
      <c r="EP223" s="1231"/>
      <c r="EQ223" s="1231"/>
      <c r="ER223" s="1231"/>
      <c r="ES223" s="1231"/>
      <c r="ET223" s="1231"/>
      <c r="EU223" s="1231"/>
      <c r="EV223" s="1231"/>
      <c r="EW223" s="1231"/>
      <c r="EX223" s="1231"/>
      <c r="EY223" s="1231"/>
      <c r="EZ223" s="1231"/>
      <c r="FA223" s="1231"/>
      <c r="FB223" s="1231"/>
      <c r="FC223" s="1231"/>
      <c r="FD223" s="1231"/>
      <c r="FE223" s="1231"/>
      <c r="FF223" s="1231"/>
    </row>
    <row r="224" spans="1:162">
      <c r="A224" s="1224"/>
      <c r="B224" s="1230"/>
      <c r="C224" s="1231"/>
      <c r="D224" s="1231"/>
      <c r="E224" s="1231"/>
      <c r="F224" s="1231"/>
      <c r="G224" s="1231"/>
      <c r="H224" s="1231"/>
      <c r="I224" s="1231"/>
      <c r="J224" s="1231"/>
      <c r="K224" s="1231"/>
      <c r="L224" s="1231"/>
      <c r="M224" s="1231"/>
      <c r="N224" s="1231"/>
      <c r="O224" s="1231"/>
      <c r="P224" s="1231"/>
      <c r="Q224" s="1231"/>
      <c r="R224" s="1231"/>
      <c r="S224" s="1231"/>
      <c r="T224" s="1231"/>
      <c r="U224" s="1231"/>
      <c r="V224" s="1231"/>
      <c r="W224" s="1231"/>
      <c r="X224" s="1231"/>
      <c r="Y224" s="1231"/>
      <c r="Z224" s="1231"/>
      <c r="AA224" s="1231"/>
      <c r="AB224" s="1231"/>
      <c r="AC224" s="1231"/>
      <c r="AD224" s="1231"/>
      <c r="AE224" s="1231"/>
      <c r="AF224" s="1231"/>
      <c r="AG224" s="1231"/>
      <c r="AH224" s="1231"/>
      <c r="AI224" s="1231"/>
      <c r="AJ224" s="1231"/>
      <c r="AK224" s="1231"/>
      <c r="AL224" s="1231"/>
      <c r="AM224" s="1231"/>
      <c r="AN224" s="1231"/>
      <c r="AO224" s="1231"/>
      <c r="AP224" s="1231"/>
      <c r="AQ224" s="1231"/>
      <c r="AR224" s="1231"/>
      <c r="AS224" s="1231"/>
      <c r="AT224" s="1231"/>
      <c r="AU224" s="1231"/>
      <c r="AV224" s="1231"/>
      <c r="AW224" s="1231"/>
      <c r="AX224" s="1231"/>
      <c r="AY224" s="1231"/>
      <c r="AZ224" s="1231"/>
      <c r="BA224" s="1231"/>
      <c r="BB224" s="1231"/>
      <c r="BC224" s="1231"/>
      <c r="BD224" s="1231"/>
      <c r="BE224" s="1231"/>
      <c r="BF224" s="1231"/>
      <c r="BG224" s="1231"/>
      <c r="BH224" s="1231"/>
      <c r="BI224" s="1231"/>
      <c r="BJ224" s="1231"/>
      <c r="BK224" s="1231"/>
      <c r="BL224" s="1231"/>
      <c r="BM224" s="1231"/>
      <c r="BN224" s="1231"/>
      <c r="BO224" s="1231"/>
      <c r="BP224" s="1231"/>
      <c r="BQ224" s="1231"/>
      <c r="BR224" s="1231"/>
      <c r="BS224" s="1231"/>
      <c r="BT224" s="1231"/>
      <c r="BU224" s="1231"/>
      <c r="BV224" s="1231"/>
      <c r="BW224" s="1231"/>
      <c r="BX224" s="1231"/>
      <c r="BY224" s="1231"/>
      <c r="BZ224" s="1231"/>
      <c r="CA224" s="1231"/>
      <c r="CB224" s="1231"/>
      <c r="CC224" s="1231"/>
      <c r="CD224" s="1231"/>
      <c r="CE224" s="1231"/>
      <c r="CF224" s="1231"/>
      <c r="CG224" s="1231"/>
      <c r="CH224" s="1231"/>
      <c r="CI224" s="1231"/>
      <c r="CJ224" s="1231"/>
      <c r="CK224" s="1231"/>
      <c r="CL224" s="1231"/>
      <c r="CM224" s="1231"/>
      <c r="CN224" s="1231"/>
      <c r="CO224" s="1165"/>
      <c r="CP224" s="1165"/>
      <c r="CQ224" s="1165"/>
      <c r="CR224" s="1165"/>
      <c r="CS224" s="1165"/>
      <c r="CT224" s="1165"/>
      <c r="CU224" s="1165"/>
      <c r="CV224" s="1165"/>
      <c r="CW224" s="1165"/>
      <c r="CX224" s="1165"/>
      <c r="CY224" s="1231"/>
      <c r="CZ224" s="1231"/>
      <c r="DA224" s="1231"/>
      <c r="DB224" s="1231"/>
      <c r="DC224" s="1231"/>
      <c r="DD224" s="1231"/>
      <c r="DE224" s="1231"/>
      <c r="DF224" s="1231"/>
      <c r="DG224" s="1231"/>
      <c r="DH224" s="1231"/>
      <c r="DI224" s="1231"/>
      <c r="DJ224" s="1231"/>
      <c r="DK224" s="1231"/>
      <c r="DL224" s="1231"/>
      <c r="DM224" s="1231"/>
      <c r="DN224" s="1231"/>
      <c r="DO224" s="1231"/>
      <c r="DP224" s="1231"/>
      <c r="DQ224" s="1231"/>
      <c r="DR224" s="1231"/>
      <c r="DS224" s="1231"/>
      <c r="DT224" s="1231"/>
      <c r="DU224" s="1231"/>
      <c r="DV224" s="1231"/>
      <c r="DW224" s="1231"/>
      <c r="DX224" s="1231"/>
      <c r="DY224" s="1231"/>
      <c r="DZ224" s="1231"/>
      <c r="EA224" s="1231"/>
      <c r="EB224" s="1231"/>
      <c r="EC224" s="1231"/>
      <c r="ED224" s="1231"/>
      <c r="EE224" s="1231"/>
      <c r="EF224" s="1231"/>
      <c r="EG224" s="1231"/>
      <c r="EH224" s="1231"/>
      <c r="EI224" s="1231"/>
      <c r="EJ224" s="1231"/>
      <c r="EK224" s="1231"/>
      <c r="EL224" s="1231"/>
      <c r="EM224" s="1231"/>
      <c r="EN224" s="1231"/>
      <c r="EO224" s="1231"/>
      <c r="EP224" s="1231"/>
      <c r="EQ224" s="1231"/>
      <c r="ER224" s="1231"/>
      <c r="ES224" s="1231"/>
      <c r="ET224" s="1231"/>
      <c r="EU224" s="1231"/>
      <c r="EV224" s="1231"/>
      <c r="EW224" s="1231"/>
      <c r="EX224" s="1231"/>
      <c r="EY224" s="1231"/>
      <c r="EZ224" s="1231"/>
      <c r="FA224" s="1231"/>
      <c r="FB224" s="1231"/>
      <c r="FC224" s="1231"/>
      <c r="FD224" s="1231"/>
      <c r="FE224" s="1231"/>
      <c r="FF224" s="1231"/>
    </row>
    <row r="225" spans="1:162">
      <c r="A225" s="1224"/>
      <c r="B225" s="1237" t="s">
        <v>22</v>
      </c>
      <c r="M225" s="1236">
        <f t="shared" ref="M225:Q230" ca="1" si="286">OFFSET($CQ225,0,M$7)+OFFSET($CR225,0,M$7)+OFFSET($CS225,0,M$7)+OFFSET($CT225,0,M$7)</f>
        <v>0</v>
      </c>
      <c r="N225" s="1236">
        <f t="shared" ca="1" si="286"/>
        <v>0</v>
      </c>
      <c r="O225" s="1236">
        <f t="shared" ca="1" si="286"/>
        <v>0</v>
      </c>
      <c r="P225" s="1236">
        <f t="shared" ca="1" si="286"/>
        <v>0</v>
      </c>
      <c r="Q225" s="1236">
        <f t="shared" ca="1" si="286"/>
        <v>0</v>
      </c>
      <c r="AG225" s="1236">
        <f t="shared" ref="AG225:AG230" ca="1" si="287">OFFSET($CQ225,0,AG$7)</f>
        <v>0</v>
      </c>
      <c r="AH225" s="1236">
        <f t="shared" ref="AH225:AH230" ca="1" si="288">OFFSET($CQ225,0,AH$7)+OFFSET($CR225,0,AH$7)</f>
        <v>0</v>
      </c>
      <c r="AI225" s="1236">
        <f t="shared" ref="AI225:AI230" ca="1" si="289">OFFSET($CQ225,0,AI$7)+OFFSET($CR225,0,AI$7)+OFFSET($CS225,0,AI$7)</f>
        <v>0</v>
      </c>
      <c r="AJ225" s="1236">
        <f t="shared" ref="AJ225:AJ230" ca="1" si="290">OFFSET($CQ225,0,AJ$7)+OFFSET($CR225,0,AJ$7)+OFFSET($CS225,0,AJ$7)+OFFSET($CT225,0,AJ$7)</f>
        <v>0</v>
      </c>
      <c r="AK225" s="1236">
        <f t="shared" ref="AK225:AK230" ca="1" si="291">OFFSET($CQ225,0,AK$7)</f>
        <v>0</v>
      </c>
      <c r="AL225" s="1236">
        <f t="shared" ref="AL225:AL230" ca="1" si="292">OFFSET($CQ225,0,AL$7)+OFFSET($CR225,0,AL$7)</f>
        <v>0</v>
      </c>
      <c r="AM225" s="1236">
        <f t="shared" ref="AM225:AM230" ca="1" si="293">OFFSET($CQ225,0,AM$7)+OFFSET($CR225,0,AM$7)+OFFSET($CS225,0,AM$7)</f>
        <v>0</v>
      </c>
      <c r="AN225" s="1236">
        <f t="shared" ref="AN225:AN230" ca="1" si="294">OFFSET($CQ225,0,AN$7)+OFFSET($CR225,0,AN$7)+OFFSET($CS225,0,AN$7)+OFFSET($CT225,0,AN$7)</f>
        <v>0</v>
      </c>
      <c r="AO225" s="1236">
        <f t="shared" ref="AO225:AO230" ca="1" si="295">OFFSET($CQ225,0,AO$7)</f>
        <v>0</v>
      </c>
      <c r="AP225" s="1236">
        <f t="shared" ref="AP225:AP230" ca="1" si="296">OFFSET($CQ225,0,AP$7)+OFFSET($CR225,0,AP$7)</f>
        <v>0</v>
      </c>
      <c r="AQ225" s="1236">
        <f t="shared" ref="AQ225:AQ230" ca="1" si="297">OFFSET($CQ225,0,AQ$7)+OFFSET($CR225,0,AQ$7)+OFFSET($CS225,0,AQ$7)</f>
        <v>0</v>
      </c>
      <c r="AR225" s="1236">
        <f t="shared" ref="AR225:AR230" ca="1" si="298">OFFSET($CQ225,0,AR$7)+OFFSET($CR225,0,AR$7)+OFFSET($CS225,0,AR$7)+OFFSET($CT225,0,AR$7)</f>
        <v>0</v>
      </c>
      <c r="AS225" s="1236">
        <f t="shared" ref="AS225:AS230" ca="1" si="299">OFFSET($CQ225,0,AS$7)</f>
        <v>0</v>
      </c>
      <c r="AT225" s="1236">
        <f t="shared" ref="AT225:AT230" ca="1" si="300">OFFSET($CQ225,0,AT$7)+OFFSET($CR225,0,AT$7)</f>
        <v>0</v>
      </c>
      <c r="AU225" s="1236">
        <f t="shared" ref="AU225:AU230" ca="1" si="301">OFFSET($CQ225,0,AU$7)+OFFSET($CR225,0,AU$7)+OFFSET($CS225,0,AU$7)</f>
        <v>0</v>
      </c>
      <c r="AV225" s="1236">
        <f t="shared" ref="AV225:AV230" ca="1" si="302">OFFSET($CQ225,0,AV$7)+OFFSET($CR225,0,AV$7)+OFFSET($CS225,0,AV$7)+OFFSET($CT225,0,AV$7)</f>
        <v>0</v>
      </c>
      <c r="AW225" s="1236">
        <f t="shared" ref="AW225:AW230" ca="1" si="303">OFFSET($CQ225,0,AW$7)</f>
        <v>0</v>
      </c>
      <c r="AX225" s="1236">
        <f t="shared" ref="AX225:AX230" ca="1" si="304">OFFSET($CQ225,0,AX$7)+OFFSET($CR225,0,AX$7)</f>
        <v>0</v>
      </c>
      <c r="AY225" s="1236">
        <f t="shared" ref="AY225:AY230" ca="1" si="305">OFFSET($CQ225,0,AY$7)+OFFSET($CR225,0,AY$7)+OFFSET($CS225,0,AY$7)</f>
        <v>0</v>
      </c>
      <c r="AZ225" s="1236">
        <f t="shared" ref="AZ225:AZ230" ca="1" si="306">OFFSET($CQ225,0,AZ$7)+OFFSET($CR225,0,AZ$7)+OFFSET($CS225,0,AZ$7)+OFFSET($CT225,0,AZ$7)</f>
        <v>0</v>
      </c>
      <c r="BA225" s="1236">
        <f t="shared" ref="BA225:BA230" ca="1" si="307">OFFSET($CQ225,0,BA$7)</f>
        <v>0</v>
      </c>
      <c r="BB225" s="1236">
        <f t="shared" ref="BB225:BB230" ca="1" si="308">OFFSET($CQ225,0,BB$7)+OFFSET($CR225,0,BB$7)</f>
        <v>0</v>
      </c>
      <c r="BC225" s="1236">
        <f t="shared" ref="BC225:BC230" ca="1" si="309">OFFSET($CQ225,0,BC$7)+OFFSET($CR225,0,BC$7)+OFFSET($CS225,0,BC$7)</f>
        <v>0</v>
      </c>
      <c r="BD225" s="1236">
        <f t="shared" ref="BD225:BD230" ca="1" si="310">OFFSET($CQ225,0,BD$7)+OFFSET($CR225,0,BD$7)+OFFSET($CS225,0,BD$7)+OFFSET($CT225,0,BD$7)</f>
        <v>0</v>
      </c>
      <c r="BE225" s="1236">
        <f t="shared" ref="BE225:BE230" ca="1" si="311">OFFSET($CQ225,0,BE$7)</f>
        <v>0</v>
      </c>
      <c r="BF225" s="1236">
        <f t="shared" ref="BF225:BF230" ca="1" si="312">OFFSET($CQ225,0,BF$7)+OFFSET($CR225,0,BF$7)</f>
        <v>0</v>
      </c>
      <c r="BG225" s="1236">
        <f t="shared" ref="BG225:BG230" ca="1" si="313">OFFSET($CQ225,0,BG$7)+OFFSET($CR225,0,BG$7)+OFFSET($CS225,0,BG$7)</f>
        <v>0</v>
      </c>
      <c r="BH225" s="1236">
        <f t="shared" ref="BH225:BH230" ca="1" si="314">OFFSET($CQ225,0,BH$7)+OFFSET($CR225,0,BH$7)+OFFSET($CS225,0,BH$7)+OFFSET($CT225,0,BH$7)</f>
        <v>0</v>
      </c>
      <c r="BI225" s="1236">
        <f t="shared" ref="BI225:BI230" ca="1" si="315">OFFSET($CQ225,0,BI$7)</f>
        <v>0</v>
      </c>
      <c r="BJ225" s="1236">
        <f t="shared" ref="BJ225:BJ230" ca="1" si="316">OFFSET($CQ225,0,BJ$7)+OFFSET($CR225,0,BJ$7)</f>
        <v>0</v>
      </c>
      <c r="BK225" s="1236">
        <f t="shared" ref="BK225:BK230" ca="1" si="317">OFFSET($CQ225,0,BK$7)+OFFSET($CR225,0,BK$7)+OFFSET($CS225,0,BK$7)</f>
        <v>0</v>
      </c>
      <c r="BL225" s="1236">
        <f t="shared" ref="BL225:BL230" ca="1" si="318">OFFSET($CQ225,0,BL$7)+OFFSET($CR225,0,BL$7)+OFFSET($CS225,0,BL$7)+OFFSET($CT225,0,BL$7)</f>
        <v>0</v>
      </c>
      <c r="BM225" s="1236">
        <f t="shared" ref="BM225:BM230" ca="1" si="319">OFFSET($CQ225,0,BM$7)</f>
        <v>0</v>
      </c>
      <c r="BN225" s="1236">
        <f t="shared" ref="BN225:BN230" ca="1" si="320">OFFSET($CQ225,0,BN$7)+OFFSET($CR225,0,BN$7)</f>
        <v>0</v>
      </c>
      <c r="BO225" s="1236">
        <f t="shared" ref="BO225:BO230" ca="1" si="321">OFFSET($CQ225,0,BO$7)+OFFSET($CR225,0,BO$7)+OFFSET($CS225,0,BO$7)</f>
        <v>0</v>
      </c>
      <c r="BP225" s="1236">
        <f t="shared" ref="BP225:BP230" ca="1" si="322">OFFSET($CQ225,0,BP$7)+OFFSET($CR225,0,BP$7)+OFFSET($CS225,0,BP$7)+OFFSET($CT225,0,BP$7)</f>
        <v>0</v>
      </c>
      <c r="BQ225" s="1236">
        <f t="shared" ref="BQ225:BQ230" ca="1" si="323">OFFSET($CQ225,0,BQ$7)</f>
        <v>0</v>
      </c>
      <c r="BR225" s="1236">
        <f t="shared" ref="BR225:BR230" ca="1" si="324">OFFSET($CQ225,0,BR$7)+OFFSET($CR225,0,BR$7)</f>
        <v>0</v>
      </c>
      <c r="BS225" s="1236">
        <f t="shared" ref="BS225:BS230" ca="1" si="325">OFFSET($CQ225,0,BS$7)+OFFSET($CR225,0,BS$7)+OFFSET($CS225,0,BS$7)</f>
        <v>0</v>
      </c>
      <c r="BT225" s="1236">
        <f t="shared" ref="BT225:BT230" ca="1" si="326">OFFSET($CQ225,0,BT$7)+OFFSET($CR225,0,BT$7)+OFFSET($CS225,0,BT$7)+OFFSET($CT225,0,BT$7)</f>
        <v>0</v>
      </c>
      <c r="BU225" s="1236">
        <f t="shared" ref="BU225:BU230" ca="1" si="327">OFFSET($CQ225,0,BU$7)</f>
        <v>0</v>
      </c>
      <c r="BV225" s="1236">
        <f t="shared" ref="BV225:BV230" ca="1" si="328">OFFSET($CQ225,0,BV$7)+OFFSET($CR225,0,BV$7)</f>
        <v>0</v>
      </c>
      <c r="BW225" s="1236">
        <f t="shared" ref="BW225:BW230" ca="1" si="329">OFFSET($CQ225,0,BW$7)+OFFSET($CR225,0,BW$7)+OFFSET($CS225,0,BW$7)</f>
        <v>0</v>
      </c>
      <c r="BX225" s="1236">
        <f t="shared" ref="BX225:BX230" ca="1" si="330">OFFSET($CQ225,0,BX$7)+OFFSET($CR225,0,BX$7)+OFFSET($CS225,0,BX$7)+OFFSET($CT225,0,BX$7)</f>
        <v>0</v>
      </c>
      <c r="BY225" s="1236">
        <f t="shared" ref="BY225:BY230" ca="1" si="331">OFFSET($CQ225,0,BY$7)</f>
        <v>0</v>
      </c>
      <c r="BZ225" s="1236">
        <f t="shared" ref="BZ225:BZ230" ca="1" si="332">OFFSET($CQ225,0,BZ$7)+OFFSET($CR225,0,BZ$7)</f>
        <v>0</v>
      </c>
      <c r="CA225" s="1236">
        <f t="shared" ref="CA225:CA230" ca="1" si="333">OFFSET($CQ225,0,CA$7)+OFFSET($CR225,0,CA$7)+OFFSET($CS225,0,CA$7)</f>
        <v>0</v>
      </c>
      <c r="CB225" s="1236">
        <f t="shared" ref="CB225:CB230" ca="1" si="334">OFFSET($CQ225,0,CB$7)+OFFSET($CR225,0,CB$7)+OFFSET($CS225,0,CB$7)+OFFSET($CT225,0,CB$7)</f>
        <v>0</v>
      </c>
      <c r="CC225" s="1236">
        <f t="shared" ref="CC225:CC230" ca="1" si="335">OFFSET($CQ225,0,CC$7)</f>
        <v>0</v>
      </c>
      <c r="CD225" s="1236">
        <f t="shared" ref="CD225:CD230" ca="1" si="336">OFFSET($CQ225,0,CD$7)+OFFSET($CR225,0,CD$7)</f>
        <v>0</v>
      </c>
      <c r="CE225" s="1236">
        <f t="shared" ref="CE225:CE230" ca="1" si="337">OFFSET($CQ225,0,CE$7)+OFFSET($CR225,0,CE$7)+OFFSET($CS225,0,CE$7)</f>
        <v>0</v>
      </c>
      <c r="CF225" s="1236">
        <f t="shared" ref="CF225:CF230" ca="1" si="338">OFFSET($CQ225,0,CF$7)+OFFSET($CR225,0,CF$7)+OFFSET($CS225,0,CF$7)+OFFSET($CT225,0,CF$7)</f>
        <v>0</v>
      </c>
      <c r="CG225" s="1236">
        <f t="shared" ref="CG225:CG230" ca="1" si="339">OFFSET($CQ225,0,CG$7)</f>
        <v>0</v>
      </c>
      <c r="CH225" s="1236">
        <f t="shared" ref="CH225:CH230" ca="1" si="340">OFFSET($CQ225,0,CH$7)+OFFSET($CR225,0,CH$7)</f>
        <v>0</v>
      </c>
      <c r="CI225" s="1236">
        <f t="shared" ref="CI225:CI230" ca="1" si="341">OFFSET($CQ225,0,CI$7)+OFFSET($CR225,0,CI$7)+OFFSET($CS225,0,CI$7)</f>
        <v>0</v>
      </c>
      <c r="CJ225" s="1236">
        <f t="shared" ref="CJ225:CJ230" ca="1" si="342">OFFSET($CQ225,0,CJ$7)+OFFSET($CR225,0,CJ$7)+OFFSET($CS225,0,CJ$7)+OFFSET($CT225,0,CJ$7)</f>
        <v>0</v>
      </c>
      <c r="CO225" s="1165"/>
      <c r="CP225" s="1165"/>
      <c r="CQ225" s="1165"/>
      <c r="CR225" s="1165"/>
      <c r="CS225" s="1165"/>
      <c r="CT225" s="1165"/>
      <c r="CU225" s="1165"/>
      <c r="CV225" s="1165"/>
      <c r="CW225" s="1165"/>
      <c r="CX225" s="1165"/>
    </row>
    <row r="226" spans="1:162" s="1231" customFormat="1">
      <c r="A226" s="1224"/>
      <c r="B226" s="1237" t="s">
        <v>23</v>
      </c>
      <c r="C226" s="1236"/>
      <c r="D226" s="1236"/>
      <c r="E226" s="1236"/>
      <c r="F226" s="1236"/>
      <c r="G226" s="1236"/>
      <c r="H226" s="1236"/>
      <c r="I226" s="1236"/>
      <c r="J226" s="1236"/>
      <c r="K226" s="1236"/>
      <c r="L226" s="1236"/>
      <c r="M226" s="1236">
        <f t="shared" ca="1" si="286"/>
        <v>0</v>
      </c>
      <c r="N226" s="1236">
        <f t="shared" ca="1" si="286"/>
        <v>0</v>
      </c>
      <c r="O226" s="1236">
        <f t="shared" ca="1" si="286"/>
        <v>0</v>
      </c>
      <c r="P226" s="1236">
        <f t="shared" ca="1" si="286"/>
        <v>0</v>
      </c>
      <c r="Q226" s="1236">
        <f t="shared" ca="1" si="286"/>
        <v>0</v>
      </c>
      <c r="R226" s="1236"/>
      <c r="S226" s="1236"/>
      <c r="T226" s="1236"/>
      <c r="U226" s="1236"/>
      <c r="V226" s="1236"/>
      <c r="W226" s="1236"/>
      <c r="X226" s="1236"/>
      <c r="Y226" s="1236"/>
      <c r="Z226" s="1236"/>
      <c r="AA226" s="1236"/>
      <c r="AB226" s="1236"/>
      <c r="AC226" s="1236"/>
      <c r="AD226" s="1236"/>
      <c r="AE226" s="1236"/>
      <c r="AF226" s="1236"/>
      <c r="AG226" s="1236">
        <f t="shared" ca="1" si="287"/>
        <v>0</v>
      </c>
      <c r="AH226" s="1236">
        <f t="shared" ca="1" si="288"/>
        <v>0</v>
      </c>
      <c r="AI226" s="1236">
        <f t="shared" ca="1" si="289"/>
        <v>0</v>
      </c>
      <c r="AJ226" s="1236">
        <f t="shared" ca="1" si="290"/>
        <v>0</v>
      </c>
      <c r="AK226" s="1236">
        <f t="shared" ca="1" si="291"/>
        <v>0</v>
      </c>
      <c r="AL226" s="1236">
        <f t="shared" ca="1" si="292"/>
        <v>0</v>
      </c>
      <c r="AM226" s="1236">
        <f t="shared" ca="1" si="293"/>
        <v>0</v>
      </c>
      <c r="AN226" s="1236">
        <f t="shared" ca="1" si="294"/>
        <v>0</v>
      </c>
      <c r="AO226" s="1236">
        <f t="shared" ca="1" si="295"/>
        <v>0</v>
      </c>
      <c r="AP226" s="1236">
        <f t="shared" ca="1" si="296"/>
        <v>0</v>
      </c>
      <c r="AQ226" s="1236">
        <f t="shared" ca="1" si="297"/>
        <v>0</v>
      </c>
      <c r="AR226" s="1236">
        <f t="shared" ca="1" si="298"/>
        <v>0</v>
      </c>
      <c r="AS226" s="1236">
        <f t="shared" ca="1" si="299"/>
        <v>0</v>
      </c>
      <c r="AT226" s="1236">
        <f t="shared" ca="1" si="300"/>
        <v>0</v>
      </c>
      <c r="AU226" s="1236">
        <f t="shared" ca="1" si="301"/>
        <v>0</v>
      </c>
      <c r="AV226" s="1236">
        <f t="shared" ca="1" si="302"/>
        <v>0</v>
      </c>
      <c r="AW226" s="1236">
        <f t="shared" ca="1" si="303"/>
        <v>0</v>
      </c>
      <c r="AX226" s="1236">
        <f t="shared" ca="1" si="304"/>
        <v>0</v>
      </c>
      <c r="AY226" s="1236">
        <f t="shared" ca="1" si="305"/>
        <v>0</v>
      </c>
      <c r="AZ226" s="1236">
        <f t="shared" ca="1" si="306"/>
        <v>0</v>
      </c>
      <c r="BA226" s="1236">
        <f t="shared" ca="1" si="307"/>
        <v>0</v>
      </c>
      <c r="BB226" s="1236">
        <f t="shared" ca="1" si="308"/>
        <v>0</v>
      </c>
      <c r="BC226" s="1236">
        <f t="shared" ca="1" si="309"/>
        <v>0</v>
      </c>
      <c r="BD226" s="1236">
        <f t="shared" ca="1" si="310"/>
        <v>0</v>
      </c>
      <c r="BE226" s="1236">
        <f t="shared" ca="1" si="311"/>
        <v>0</v>
      </c>
      <c r="BF226" s="1236">
        <f t="shared" ca="1" si="312"/>
        <v>0</v>
      </c>
      <c r="BG226" s="1236">
        <f t="shared" ca="1" si="313"/>
        <v>0</v>
      </c>
      <c r="BH226" s="1236">
        <f t="shared" ca="1" si="314"/>
        <v>0</v>
      </c>
      <c r="BI226" s="1236">
        <f t="shared" ca="1" si="315"/>
        <v>0</v>
      </c>
      <c r="BJ226" s="1236">
        <f t="shared" ca="1" si="316"/>
        <v>0</v>
      </c>
      <c r="BK226" s="1236">
        <f t="shared" ca="1" si="317"/>
        <v>0</v>
      </c>
      <c r="BL226" s="1236">
        <f t="shared" ca="1" si="318"/>
        <v>0</v>
      </c>
      <c r="BM226" s="1236">
        <f t="shared" ca="1" si="319"/>
        <v>0</v>
      </c>
      <c r="BN226" s="1236">
        <f t="shared" ca="1" si="320"/>
        <v>0</v>
      </c>
      <c r="BO226" s="1236">
        <f t="shared" ca="1" si="321"/>
        <v>0</v>
      </c>
      <c r="BP226" s="1236">
        <f t="shared" ca="1" si="322"/>
        <v>0</v>
      </c>
      <c r="BQ226" s="1236">
        <f t="shared" ca="1" si="323"/>
        <v>0</v>
      </c>
      <c r="BR226" s="1236">
        <f t="shared" ca="1" si="324"/>
        <v>0</v>
      </c>
      <c r="BS226" s="1236">
        <f t="shared" ca="1" si="325"/>
        <v>0</v>
      </c>
      <c r="BT226" s="1236">
        <f t="shared" ca="1" si="326"/>
        <v>0</v>
      </c>
      <c r="BU226" s="1236">
        <f t="shared" ca="1" si="327"/>
        <v>0</v>
      </c>
      <c r="BV226" s="1236">
        <f t="shared" ca="1" si="328"/>
        <v>0</v>
      </c>
      <c r="BW226" s="1236">
        <f t="shared" ca="1" si="329"/>
        <v>0</v>
      </c>
      <c r="BX226" s="1236">
        <f t="shared" ca="1" si="330"/>
        <v>0</v>
      </c>
      <c r="BY226" s="1236">
        <f t="shared" ca="1" si="331"/>
        <v>0</v>
      </c>
      <c r="BZ226" s="1236">
        <f t="shared" ca="1" si="332"/>
        <v>0</v>
      </c>
      <c r="CA226" s="1236">
        <f t="shared" ca="1" si="333"/>
        <v>0</v>
      </c>
      <c r="CB226" s="1236">
        <f t="shared" ca="1" si="334"/>
        <v>0</v>
      </c>
      <c r="CC226" s="1236">
        <f t="shared" ca="1" si="335"/>
        <v>0</v>
      </c>
      <c r="CD226" s="1236">
        <f t="shared" ca="1" si="336"/>
        <v>0</v>
      </c>
      <c r="CE226" s="1236">
        <f t="shared" ca="1" si="337"/>
        <v>0</v>
      </c>
      <c r="CF226" s="1236">
        <f t="shared" ca="1" si="338"/>
        <v>0</v>
      </c>
      <c r="CG226" s="1236">
        <f t="shared" ca="1" si="339"/>
        <v>0</v>
      </c>
      <c r="CH226" s="1236">
        <f t="shared" ca="1" si="340"/>
        <v>0</v>
      </c>
      <c r="CI226" s="1236">
        <f t="shared" ca="1" si="341"/>
        <v>0</v>
      </c>
      <c r="CJ226" s="1236">
        <f t="shared" ca="1" si="342"/>
        <v>0</v>
      </c>
      <c r="CK226" s="1236"/>
      <c r="CL226" s="1236"/>
      <c r="CM226" s="1236"/>
      <c r="CN226" s="1236"/>
      <c r="CO226" s="1165"/>
      <c r="CP226" s="1165"/>
      <c r="CQ226" s="1165"/>
      <c r="CR226" s="1165"/>
      <c r="CS226" s="1165"/>
      <c r="CT226" s="1165"/>
      <c r="CU226" s="1165"/>
      <c r="CV226" s="1165"/>
      <c r="CW226" s="1165"/>
      <c r="CX226" s="1165"/>
      <c r="CY226" s="1236"/>
      <c r="CZ226" s="1236"/>
      <c r="DA226" s="1236"/>
      <c r="DB226" s="1236"/>
      <c r="DC226" s="1236"/>
      <c r="DD226" s="1236"/>
      <c r="DE226" s="1236"/>
      <c r="DF226" s="1236"/>
      <c r="DG226" s="1236"/>
      <c r="DH226" s="1236"/>
      <c r="DI226" s="1236"/>
      <c r="DJ226" s="1236"/>
      <c r="DK226" s="1236"/>
      <c r="DL226" s="1236"/>
      <c r="DM226" s="1236"/>
      <c r="DN226" s="1236"/>
      <c r="DO226" s="1236"/>
      <c r="DP226" s="1236"/>
      <c r="DQ226" s="1236"/>
      <c r="DR226" s="1236"/>
      <c r="DS226" s="1236"/>
      <c r="DT226" s="1236"/>
      <c r="DU226" s="1236"/>
      <c r="DV226" s="1236"/>
      <c r="DW226" s="1236"/>
      <c r="DX226" s="1236"/>
      <c r="DY226" s="1236"/>
      <c r="DZ226" s="1236"/>
      <c r="EA226" s="1236"/>
      <c r="EB226" s="1236"/>
      <c r="EC226" s="1236"/>
      <c r="ED226" s="1236"/>
      <c r="EE226" s="1236"/>
      <c r="EF226" s="1236"/>
      <c r="EG226" s="1236"/>
      <c r="EH226" s="1236"/>
      <c r="EI226" s="1236"/>
      <c r="EJ226" s="1236"/>
      <c r="EK226" s="1236"/>
      <c r="EL226" s="1236"/>
      <c r="EM226" s="1236"/>
      <c r="EN226" s="1236"/>
      <c r="EO226" s="1236"/>
      <c r="EP226" s="1236"/>
      <c r="EQ226" s="1236"/>
      <c r="ER226" s="1236"/>
      <c r="ES226" s="1236"/>
      <c r="ET226" s="1236"/>
      <c r="EU226" s="1236"/>
      <c r="EV226" s="1236"/>
      <c r="EW226" s="1236"/>
      <c r="EX226" s="1236"/>
      <c r="EY226" s="1236"/>
      <c r="EZ226" s="1236"/>
      <c r="FA226" s="1236"/>
      <c r="FB226" s="1236"/>
      <c r="FC226" s="1236"/>
      <c r="FD226" s="1236"/>
      <c r="FE226" s="1236"/>
      <c r="FF226" s="1236"/>
    </row>
    <row r="227" spans="1:162" s="1231" customFormat="1">
      <c r="A227" s="1224"/>
      <c r="B227" s="1237" t="s">
        <v>24</v>
      </c>
      <c r="C227" s="1236"/>
      <c r="D227" s="1236"/>
      <c r="E227" s="1236"/>
      <c r="F227" s="1236"/>
      <c r="G227" s="1236"/>
      <c r="H227" s="1236"/>
      <c r="I227" s="1236"/>
      <c r="J227" s="1236"/>
      <c r="K227" s="1236"/>
      <c r="L227" s="1236"/>
      <c r="M227" s="1236">
        <f t="shared" ca="1" si="286"/>
        <v>0</v>
      </c>
      <c r="N227" s="1236">
        <f t="shared" ca="1" si="286"/>
        <v>0</v>
      </c>
      <c r="O227" s="1236">
        <f t="shared" ca="1" si="286"/>
        <v>0</v>
      </c>
      <c r="P227" s="1236">
        <f t="shared" ca="1" si="286"/>
        <v>0</v>
      </c>
      <c r="Q227" s="1236">
        <f t="shared" ca="1" si="286"/>
        <v>0</v>
      </c>
      <c r="R227" s="1236"/>
      <c r="S227" s="1236"/>
      <c r="T227" s="1236"/>
      <c r="U227" s="1236"/>
      <c r="V227" s="1236"/>
      <c r="W227" s="1236"/>
      <c r="X227" s="1236"/>
      <c r="Y227" s="1236"/>
      <c r="Z227" s="1236"/>
      <c r="AA227" s="1236"/>
      <c r="AB227" s="1236"/>
      <c r="AC227" s="1236"/>
      <c r="AD227" s="1236"/>
      <c r="AE227" s="1236"/>
      <c r="AF227" s="1236"/>
      <c r="AG227" s="1236">
        <f t="shared" ca="1" si="287"/>
        <v>0</v>
      </c>
      <c r="AH227" s="1236">
        <f t="shared" ca="1" si="288"/>
        <v>0</v>
      </c>
      <c r="AI227" s="1236">
        <f t="shared" ca="1" si="289"/>
        <v>0</v>
      </c>
      <c r="AJ227" s="1236">
        <f t="shared" ca="1" si="290"/>
        <v>0</v>
      </c>
      <c r="AK227" s="1236">
        <f t="shared" ca="1" si="291"/>
        <v>0</v>
      </c>
      <c r="AL227" s="1236">
        <f t="shared" ca="1" si="292"/>
        <v>0</v>
      </c>
      <c r="AM227" s="1236">
        <f t="shared" ca="1" si="293"/>
        <v>0</v>
      </c>
      <c r="AN227" s="1236">
        <f t="shared" ca="1" si="294"/>
        <v>0</v>
      </c>
      <c r="AO227" s="1236">
        <f t="shared" ca="1" si="295"/>
        <v>0</v>
      </c>
      <c r="AP227" s="1236">
        <f t="shared" ca="1" si="296"/>
        <v>0</v>
      </c>
      <c r="AQ227" s="1236">
        <f t="shared" ca="1" si="297"/>
        <v>0</v>
      </c>
      <c r="AR227" s="1236">
        <f t="shared" ca="1" si="298"/>
        <v>0</v>
      </c>
      <c r="AS227" s="1236">
        <f t="shared" ca="1" si="299"/>
        <v>0</v>
      </c>
      <c r="AT227" s="1236">
        <f t="shared" ca="1" si="300"/>
        <v>0</v>
      </c>
      <c r="AU227" s="1236">
        <f t="shared" ca="1" si="301"/>
        <v>0</v>
      </c>
      <c r="AV227" s="1236">
        <f t="shared" ca="1" si="302"/>
        <v>0</v>
      </c>
      <c r="AW227" s="1236">
        <f t="shared" ca="1" si="303"/>
        <v>0</v>
      </c>
      <c r="AX227" s="1236">
        <f t="shared" ca="1" si="304"/>
        <v>0</v>
      </c>
      <c r="AY227" s="1236">
        <f t="shared" ca="1" si="305"/>
        <v>0</v>
      </c>
      <c r="AZ227" s="1236">
        <f t="shared" ca="1" si="306"/>
        <v>0</v>
      </c>
      <c r="BA227" s="1236">
        <f t="shared" ca="1" si="307"/>
        <v>0</v>
      </c>
      <c r="BB227" s="1236">
        <f t="shared" ca="1" si="308"/>
        <v>0</v>
      </c>
      <c r="BC227" s="1236">
        <f t="shared" ca="1" si="309"/>
        <v>0</v>
      </c>
      <c r="BD227" s="1236">
        <f t="shared" ca="1" si="310"/>
        <v>0</v>
      </c>
      <c r="BE227" s="1236">
        <f t="shared" ca="1" si="311"/>
        <v>0</v>
      </c>
      <c r="BF227" s="1236">
        <f t="shared" ca="1" si="312"/>
        <v>0</v>
      </c>
      <c r="BG227" s="1236">
        <f t="shared" ca="1" si="313"/>
        <v>0</v>
      </c>
      <c r="BH227" s="1236">
        <f t="shared" ca="1" si="314"/>
        <v>0</v>
      </c>
      <c r="BI227" s="1236">
        <f t="shared" ca="1" si="315"/>
        <v>0</v>
      </c>
      <c r="BJ227" s="1236">
        <f t="shared" ca="1" si="316"/>
        <v>0</v>
      </c>
      <c r="BK227" s="1236">
        <f t="shared" ca="1" si="317"/>
        <v>0</v>
      </c>
      <c r="BL227" s="1236">
        <f t="shared" ca="1" si="318"/>
        <v>0</v>
      </c>
      <c r="BM227" s="1236">
        <f t="shared" ca="1" si="319"/>
        <v>0</v>
      </c>
      <c r="BN227" s="1236">
        <f t="shared" ca="1" si="320"/>
        <v>0</v>
      </c>
      <c r="BO227" s="1236">
        <f t="shared" ca="1" si="321"/>
        <v>0</v>
      </c>
      <c r="BP227" s="1236">
        <f t="shared" ca="1" si="322"/>
        <v>0</v>
      </c>
      <c r="BQ227" s="1236">
        <f t="shared" ca="1" si="323"/>
        <v>0</v>
      </c>
      <c r="BR227" s="1236">
        <f t="shared" ca="1" si="324"/>
        <v>0</v>
      </c>
      <c r="BS227" s="1236">
        <f t="shared" ca="1" si="325"/>
        <v>0</v>
      </c>
      <c r="BT227" s="1236">
        <f t="shared" ca="1" si="326"/>
        <v>0</v>
      </c>
      <c r="BU227" s="1236">
        <f t="shared" ca="1" si="327"/>
        <v>0</v>
      </c>
      <c r="BV227" s="1236">
        <f t="shared" ca="1" si="328"/>
        <v>0</v>
      </c>
      <c r="BW227" s="1236">
        <f t="shared" ca="1" si="329"/>
        <v>0</v>
      </c>
      <c r="BX227" s="1236">
        <f t="shared" ca="1" si="330"/>
        <v>0</v>
      </c>
      <c r="BY227" s="1236">
        <f t="shared" ca="1" si="331"/>
        <v>0</v>
      </c>
      <c r="BZ227" s="1236">
        <f t="shared" ca="1" si="332"/>
        <v>0</v>
      </c>
      <c r="CA227" s="1236">
        <f t="shared" ca="1" si="333"/>
        <v>0</v>
      </c>
      <c r="CB227" s="1236">
        <f t="shared" ca="1" si="334"/>
        <v>0</v>
      </c>
      <c r="CC227" s="1236">
        <f t="shared" ca="1" si="335"/>
        <v>0</v>
      </c>
      <c r="CD227" s="1236">
        <f t="shared" ca="1" si="336"/>
        <v>0</v>
      </c>
      <c r="CE227" s="1236">
        <f t="shared" ca="1" si="337"/>
        <v>0</v>
      </c>
      <c r="CF227" s="1236">
        <f t="shared" ca="1" si="338"/>
        <v>0</v>
      </c>
      <c r="CG227" s="1236">
        <f t="shared" ca="1" si="339"/>
        <v>0</v>
      </c>
      <c r="CH227" s="1236">
        <f t="shared" ca="1" si="340"/>
        <v>0</v>
      </c>
      <c r="CI227" s="1236">
        <f t="shared" ca="1" si="341"/>
        <v>0</v>
      </c>
      <c r="CJ227" s="1236">
        <f t="shared" ca="1" si="342"/>
        <v>0</v>
      </c>
      <c r="CK227" s="1236"/>
      <c r="CL227" s="1236"/>
      <c r="CM227" s="1236"/>
      <c r="CN227" s="1236"/>
      <c r="CO227" s="1165"/>
      <c r="CP227" s="1165"/>
      <c r="CQ227" s="1236"/>
      <c r="CR227" s="1236"/>
      <c r="CS227" s="1236"/>
      <c r="CT227" s="1236"/>
      <c r="CU227" s="1236"/>
      <c r="CV227" s="1236"/>
      <c r="CW227" s="1236"/>
      <c r="CX227" s="1236"/>
      <c r="CY227" s="1236"/>
      <c r="CZ227" s="1236"/>
      <c r="DA227" s="1236"/>
      <c r="DB227" s="1236"/>
      <c r="DC227" s="1236"/>
      <c r="DD227" s="1236"/>
      <c r="DE227" s="1236"/>
      <c r="DF227" s="1236"/>
      <c r="DG227" s="1236"/>
      <c r="DH227" s="1236"/>
      <c r="DI227" s="1236"/>
      <c r="DJ227" s="1236"/>
      <c r="DK227" s="1236"/>
      <c r="DL227" s="1236"/>
      <c r="DM227" s="1236"/>
      <c r="DN227" s="1236"/>
      <c r="DO227" s="1236"/>
      <c r="DP227" s="1236"/>
      <c r="DQ227" s="1236"/>
      <c r="DR227" s="1236"/>
      <c r="DS227" s="1236"/>
      <c r="DT227" s="1236"/>
      <c r="DU227" s="1236"/>
      <c r="DV227" s="1236"/>
      <c r="DW227" s="1236"/>
      <c r="DX227" s="1236"/>
      <c r="DY227" s="1236"/>
      <c r="DZ227" s="1236"/>
      <c r="EA227" s="1236"/>
      <c r="EB227" s="1236"/>
      <c r="EC227" s="1236"/>
      <c r="ED227" s="1236"/>
      <c r="EE227" s="1236"/>
      <c r="EF227" s="1236"/>
      <c r="EG227" s="1236"/>
      <c r="EH227" s="1236"/>
      <c r="EI227" s="1236"/>
      <c r="EJ227" s="1236"/>
      <c r="EK227" s="1236"/>
      <c r="EL227" s="1236"/>
      <c r="EM227" s="1236"/>
      <c r="EN227" s="1236"/>
      <c r="EO227" s="1236"/>
      <c r="EP227" s="1236"/>
      <c r="EQ227" s="1236"/>
      <c r="ER227" s="1236"/>
      <c r="ES227" s="1236"/>
      <c r="ET227" s="1236"/>
      <c r="EU227" s="1236"/>
      <c r="EV227" s="1236"/>
      <c r="EW227" s="1236"/>
      <c r="EX227" s="1236"/>
      <c r="EY227" s="1236"/>
      <c r="EZ227" s="1236"/>
      <c r="FA227" s="1236"/>
      <c r="FB227" s="1236"/>
      <c r="FC227" s="1236"/>
      <c r="FD227" s="1236"/>
      <c r="FE227" s="1236"/>
      <c r="FF227" s="1236"/>
    </row>
    <row r="228" spans="1:162">
      <c r="A228" s="1224"/>
      <c r="B228" s="1237" t="s">
        <v>221</v>
      </c>
      <c r="M228" s="1236">
        <f t="shared" ca="1" si="286"/>
        <v>0</v>
      </c>
      <c r="N228" s="1236">
        <f t="shared" ca="1" si="286"/>
        <v>0</v>
      </c>
      <c r="O228" s="1236">
        <f t="shared" ca="1" si="286"/>
        <v>0</v>
      </c>
      <c r="P228" s="1236">
        <f t="shared" ca="1" si="286"/>
        <v>0</v>
      </c>
      <c r="Q228" s="1236">
        <f t="shared" ca="1" si="286"/>
        <v>0</v>
      </c>
      <c r="AG228" s="1236">
        <f t="shared" ca="1" si="287"/>
        <v>0</v>
      </c>
      <c r="AH228" s="1236">
        <f t="shared" ca="1" si="288"/>
        <v>0</v>
      </c>
      <c r="AI228" s="1236">
        <f t="shared" ca="1" si="289"/>
        <v>0</v>
      </c>
      <c r="AJ228" s="1236">
        <f t="shared" ca="1" si="290"/>
        <v>0</v>
      </c>
      <c r="AK228" s="1236">
        <f t="shared" ca="1" si="291"/>
        <v>0</v>
      </c>
      <c r="AL228" s="1236">
        <f t="shared" ca="1" si="292"/>
        <v>0</v>
      </c>
      <c r="AM228" s="1236">
        <f t="shared" ca="1" si="293"/>
        <v>0</v>
      </c>
      <c r="AN228" s="1236">
        <f t="shared" ca="1" si="294"/>
        <v>0</v>
      </c>
      <c r="AO228" s="1236">
        <f t="shared" ca="1" si="295"/>
        <v>0</v>
      </c>
      <c r="AP228" s="1236">
        <f t="shared" ca="1" si="296"/>
        <v>0</v>
      </c>
      <c r="AQ228" s="1236">
        <f t="shared" ca="1" si="297"/>
        <v>0</v>
      </c>
      <c r="AR228" s="1236">
        <f t="shared" ca="1" si="298"/>
        <v>0</v>
      </c>
      <c r="AS228" s="1236">
        <f t="shared" ca="1" si="299"/>
        <v>0</v>
      </c>
      <c r="AT228" s="1236">
        <f t="shared" ca="1" si="300"/>
        <v>0</v>
      </c>
      <c r="AU228" s="1236">
        <f t="shared" ca="1" si="301"/>
        <v>0</v>
      </c>
      <c r="AV228" s="1236">
        <f t="shared" ca="1" si="302"/>
        <v>0</v>
      </c>
      <c r="AW228" s="1236">
        <f t="shared" ca="1" si="303"/>
        <v>0</v>
      </c>
      <c r="AX228" s="1236">
        <f t="shared" ca="1" si="304"/>
        <v>0</v>
      </c>
      <c r="AY228" s="1236">
        <f t="shared" ca="1" si="305"/>
        <v>0</v>
      </c>
      <c r="AZ228" s="1236">
        <f t="shared" ca="1" si="306"/>
        <v>0</v>
      </c>
      <c r="BA228" s="1236">
        <f t="shared" ca="1" si="307"/>
        <v>0</v>
      </c>
      <c r="BB228" s="1236">
        <f t="shared" ca="1" si="308"/>
        <v>0</v>
      </c>
      <c r="BC228" s="1236">
        <f t="shared" ca="1" si="309"/>
        <v>0</v>
      </c>
      <c r="BD228" s="1236">
        <f t="shared" ca="1" si="310"/>
        <v>0</v>
      </c>
      <c r="BE228" s="1236">
        <f t="shared" ca="1" si="311"/>
        <v>0</v>
      </c>
      <c r="BF228" s="1236">
        <f t="shared" ca="1" si="312"/>
        <v>0</v>
      </c>
      <c r="BG228" s="1236">
        <f t="shared" ca="1" si="313"/>
        <v>0</v>
      </c>
      <c r="BH228" s="1236">
        <f t="shared" ca="1" si="314"/>
        <v>0</v>
      </c>
      <c r="BI228" s="1236">
        <f t="shared" ca="1" si="315"/>
        <v>0</v>
      </c>
      <c r="BJ228" s="1236">
        <f t="shared" ca="1" si="316"/>
        <v>0</v>
      </c>
      <c r="BK228" s="1236">
        <f t="shared" ca="1" si="317"/>
        <v>0</v>
      </c>
      <c r="BL228" s="1236">
        <f t="shared" ca="1" si="318"/>
        <v>0</v>
      </c>
      <c r="BM228" s="1236">
        <f t="shared" ca="1" si="319"/>
        <v>0</v>
      </c>
      <c r="BN228" s="1236">
        <f t="shared" ca="1" si="320"/>
        <v>0</v>
      </c>
      <c r="BO228" s="1236">
        <f t="shared" ca="1" si="321"/>
        <v>0</v>
      </c>
      <c r="BP228" s="1236">
        <f t="shared" ca="1" si="322"/>
        <v>0</v>
      </c>
      <c r="BQ228" s="1236">
        <f t="shared" ca="1" si="323"/>
        <v>0</v>
      </c>
      <c r="BR228" s="1236">
        <f t="shared" ca="1" si="324"/>
        <v>0</v>
      </c>
      <c r="BS228" s="1236">
        <f t="shared" ca="1" si="325"/>
        <v>0</v>
      </c>
      <c r="BT228" s="1236">
        <f t="shared" ca="1" si="326"/>
        <v>0</v>
      </c>
      <c r="BU228" s="1236">
        <f t="shared" ca="1" si="327"/>
        <v>0</v>
      </c>
      <c r="BV228" s="1236">
        <f t="shared" ca="1" si="328"/>
        <v>0</v>
      </c>
      <c r="BW228" s="1236">
        <f t="shared" ca="1" si="329"/>
        <v>0</v>
      </c>
      <c r="BX228" s="1236">
        <f t="shared" ca="1" si="330"/>
        <v>0</v>
      </c>
      <c r="BY228" s="1236">
        <f t="shared" ca="1" si="331"/>
        <v>0</v>
      </c>
      <c r="BZ228" s="1236">
        <f t="shared" ca="1" si="332"/>
        <v>0</v>
      </c>
      <c r="CA228" s="1236">
        <f t="shared" ca="1" si="333"/>
        <v>0</v>
      </c>
      <c r="CB228" s="1236">
        <f t="shared" ca="1" si="334"/>
        <v>0</v>
      </c>
      <c r="CC228" s="1236">
        <f t="shared" ca="1" si="335"/>
        <v>0</v>
      </c>
      <c r="CD228" s="1236">
        <f t="shared" ca="1" si="336"/>
        <v>0</v>
      </c>
      <c r="CE228" s="1236">
        <f t="shared" ca="1" si="337"/>
        <v>0</v>
      </c>
      <c r="CF228" s="1236">
        <f t="shared" ca="1" si="338"/>
        <v>0</v>
      </c>
      <c r="CG228" s="1236">
        <f t="shared" ca="1" si="339"/>
        <v>0</v>
      </c>
      <c r="CH228" s="1236">
        <f t="shared" ca="1" si="340"/>
        <v>0</v>
      </c>
      <c r="CI228" s="1236">
        <f t="shared" ca="1" si="341"/>
        <v>0</v>
      </c>
      <c r="CJ228" s="1236">
        <f t="shared" ca="1" si="342"/>
        <v>0</v>
      </c>
      <c r="CO228" s="1165"/>
      <c r="CP228" s="1165"/>
    </row>
    <row r="229" spans="1:162">
      <c r="A229" s="1224"/>
      <c r="B229" s="1237" t="s">
        <v>222</v>
      </c>
      <c r="M229" s="1236">
        <f t="shared" ca="1" si="286"/>
        <v>0</v>
      </c>
      <c r="N229" s="1236">
        <f t="shared" ca="1" si="286"/>
        <v>0</v>
      </c>
      <c r="O229" s="1236">
        <f t="shared" ca="1" si="286"/>
        <v>0</v>
      </c>
      <c r="P229" s="1236">
        <f t="shared" ca="1" si="286"/>
        <v>0</v>
      </c>
      <c r="Q229" s="1236">
        <f t="shared" ca="1" si="286"/>
        <v>0</v>
      </c>
      <c r="AG229" s="1236">
        <f t="shared" ca="1" si="287"/>
        <v>0</v>
      </c>
      <c r="AH229" s="1236">
        <f t="shared" ca="1" si="288"/>
        <v>0</v>
      </c>
      <c r="AI229" s="1236">
        <f t="shared" ca="1" si="289"/>
        <v>0</v>
      </c>
      <c r="AJ229" s="1236">
        <f t="shared" ca="1" si="290"/>
        <v>0</v>
      </c>
      <c r="AK229" s="1236">
        <f t="shared" ca="1" si="291"/>
        <v>0</v>
      </c>
      <c r="AL229" s="1236">
        <f t="shared" ca="1" si="292"/>
        <v>0</v>
      </c>
      <c r="AM229" s="1236">
        <f t="shared" ca="1" si="293"/>
        <v>0</v>
      </c>
      <c r="AN229" s="1236">
        <f t="shared" ca="1" si="294"/>
        <v>0</v>
      </c>
      <c r="AO229" s="1236">
        <f t="shared" ca="1" si="295"/>
        <v>0</v>
      </c>
      <c r="AP229" s="1236">
        <f t="shared" ca="1" si="296"/>
        <v>0</v>
      </c>
      <c r="AQ229" s="1236">
        <f t="shared" ca="1" si="297"/>
        <v>0</v>
      </c>
      <c r="AR229" s="1236">
        <f t="shared" ca="1" si="298"/>
        <v>0</v>
      </c>
      <c r="AS229" s="1236">
        <f t="shared" ca="1" si="299"/>
        <v>0</v>
      </c>
      <c r="AT229" s="1236">
        <f t="shared" ca="1" si="300"/>
        <v>0</v>
      </c>
      <c r="AU229" s="1236">
        <f t="shared" ca="1" si="301"/>
        <v>0</v>
      </c>
      <c r="AV229" s="1236">
        <f t="shared" ca="1" si="302"/>
        <v>0</v>
      </c>
      <c r="AW229" s="1236">
        <f t="shared" ca="1" si="303"/>
        <v>0</v>
      </c>
      <c r="AX229" s="1236">
        <f t="shared" ca="1" si="304"/>
        <v>0</v>
      </c>
      <c r="AY229" s="1236">
        <f t="shared" ca="1" si="305"/>
        <v>0</v>
      </c>
      <c r="AZ229" s="1236">
        <f t="shared" ca="1" si="306"/>
        <v>0</v>
      </c>
      <c r="BA229" s="1236">
        <f t="shared" ca="1" si="307"/>
        <v>0</v>
      </c>
      <c r="BB229" s="1236">
        <f t="shared" ca="1" si="308"/>
        <v>0</v>
      </c>
      <c r="BC229" s="1236">
        <f t="shared" ca="1" si="309"/>
        <v>0</v>
      </c>
      <c r="BD229" s="1236">
        <f t="shared" ca="1" si="310"/>
        <v>0</v>
      </c>
      <c r="BE229" s="1236">
        <f t="shared" ca="1" si="311"/>
        <v>0</v>
      </c>
      <c r="BF229" s="1236">
        <f t="shared" ca="1" si="312"/>
        <v>0</v>
      </c>
      <c r="BG229" s="1236">
        <f t="shared" ca="1" si="313"/>
        <v>0</v>
      </c>
      <c r="BH229" s="1236">
        <f t="shared" ca="1" si="314"/>
        <v>0</v>
      </c>
      <c r="BI229" s="1236">
        <f t="shared" ca="1" si="315"/>
        <v>0</v>
      </c>
      <c r="BJ229" s="1236">
        <f t="shared" ca="1" si="316"/>
        <v>0</v>
      </c>
      <c r="BK229" s="1236">
        <f t="shared" ca="1" si="317"/>
        <v>0</v>
      </c>
      <c r="BL229" s="1236">
        <f t="shared" ca="1" si="318"/>
        <v>0</v>
      </c>
      <c r="BM229" s="1236">
        <f t="shared" ca="1" si="319"/>
        <v>0</v>
      </c>
      <c r="BN229" s="1236">
        <f t="shared" ca="1" si="320"/>
        <v>0</v>
      </c>
      <c r="BO229" s="1236">
        <f t="shared" ca="1" si="321"/>
        <v>0</v>
      </c>
      <c r="BP229" s="1236">
        <f t="shared" ca="1" si="322"/>
        <v>0</v>
      </c>
      <c r="BQ229" s="1236">
        <f t="shared" ca="1" si="323"/>
        <v>0</v>
      </c>
      <c r="BR229" s="1236">
        <f t="shared" ca="1" si="324"/>
        <v>0</v>
      </c>
      <c r="BS229" s="1236">
        <f t="shared" ca="1" si="325"/>
        <v>0</v>
      </c>
      <c r="BT229" s="1236">
        <f t="shared" ca="1" si="326"/>
        <v>0</v>
      </c>
      <c r="BU229" s="1236">
        <f t="shared" ca="1" si="327"/>
        <v>0</v>
      </c>
      <c r="BV229" s="1236">
        <f t="shared" ca="1" si="328"/>
        <v>0</v>
      </c>
      <c r="BW229" s="1236">
        <f t="shared" ca="1" si="329"/>
        <v>0</v>
      </c>
      <c r="BX229" s="1236">
        <f t="shared" ca="1" si="330"/>
        <v>0</v>
      </c>
      <c r="BY229" s="1236">
        <f t="shared" ca="1" si="331"/>
        <v>0</v>
      </c>
      <c r="BZ229" s="1236">
        <f t="shared" ca="1" si="332"/>
        <v>0</v>
      </c>
      <c r="CA229" s="1236">
        <f t="shared" ca="1" si="333"/>
        <v>0</v>
      </c>
      <c r="CB229" s="1236">
        <f t="shared" ca="1" si="334"/>
        <v>0</v>
      </c>
      <c r="CC229" s="1236">
        <f t="shared" ca="1" si="335"/>
        <v>0</v>
      </c>
      <c r="CD229" s="1236">
        <f t="shared" ca="1" si="336"/>
        <v>0</v>
      </c>
      <c r="CE229" s="1236">
        <f t="shared" ca="1" si="337"/>
        <v>0</v>
      </c>
      <c r="CF229" s="1236">
        <f t="shared" ca="1" si="338"/>
        <v>0</v>
      </c>
      <c r="CG229" s="1236">
        <f t="shared" ca="1" si="339"/>
        <v>0</v>
      </c>
      <c r="CH229" s="1236">
        <f t="shared" ca="1" si="340"/>
        <v>0</v>
      </c>
      <c r="CI229" s="1236">
        <f t="shared" ca="1" si="341"/>
        <v>0</v>
      </c>
      <c r="CJ229" s="1236">
        <f t="shared" ca="1" si="342"/>
        <v>0</v>
      </c>
      <c r="CO229" s="1165"/>
      <c r="CP229" s="1165"/>
    </row>
    <row r="230" spans="1:162">
      <c r="A230" s="1224"/>
      <c r="B230" s="1237" t="s">
        <v>223</v>
      </c>
      <c r="M230" s="1236">
        <f t="shared" ca="1" si="286"/>
        <v>0</v>
      </c>
      <c r="N230" s="1236">
        <f t="shared" ca="1" si="286"/>
        <v>0</v>
      </c>
      <c r="O230" s="1236">
        <f t="shared" ca="1" si="286"/>
        <v>0</v>
      </c>
      <c r="P230" s="1236">
        <f t="shared" ca="1" si="286"/>
        <v>0</v>
      </c>
      <c r="Q230" s="1236">
        <f t="shared" ca="1" si="286"/>
        <v>0</v>
      </c>
      <c r="AG230" s="1236">
        <f t="shared" ca="1" si="287"/>
        <v>0</v>
      </c>
      <c r="AH230" s="1236">
        <f t="shared" ca="1" si="288"/>
        <v>0</v>
      </c>
      <c r="AI230" s="1236">
        <f t="shared" ca="1" si="289"/>
        <v>0</v>
      </c>
      <c r="AJ230" s="1236">
        <f t="shared" ca="1" si="290"/>
        <v>0</v>
      </c>
      <c r="AK230" s="1236">
        <f t="shared" ca="1" si="291"/>
        <v>0</v>
      </c>
      <c r="AL230" s="1236">
        <f t="shared" ca="1" si="292"/>
        <v>0</v>
      </c>
      <c r="AM230" s="1236">
        <f t="shared" ca="1" si="293"/>
        <v>0</v>
      </c>
      <c r="AN230" s="1236">
        <f t="shared" ca="1" si="294"/>
        <v>0</v>
      </c>
      <c r="AO230" s="1236">
        <f t="shared" ca="1" si="295"/>
        <v>0</v>
      </c>
      <c r="AP230" s="1236">
        <f t="shared" ca="1" si="296"/>
        <v>0</v>
      </c>
      <c r="AQ230" s="1236">
        <f t="shared" ca="1" si="297"/>
        <v>0</v>
      </c>
      <c r="AR230" s="1236">
        <f t="shared" ca="1" si="298"/>
        <v>0</v>
      </c>
      <c r="AS230" s="1236">
        <f t="shared" ca="1" si="299"/>
        <v>0</v>
      </c>
      <c r="AT230" s="1236">
        <f t="shared" ca="1" si="300"/>
        <v>0</v>
      </c>
      <c r="AU230" s="1236">
        <f t="shared" ca="1" si="301"/>
        <v>0</v>
      </c>
      <c r="AV230" s="1236">
        <f t="shared" ca="1" si="302"/>
        <v>0</v>
      </c>
      <c r="AW230" s="1236">
        <f t="shared" ca="1" si="303"/>
        <v>0</v>
      </c>
      <c r="AX230" s="1236">
        <f t="shared" ca="1" si="304"/>
        <v>0</v>
      </c>
      <c r="AY230" s="1236">
        <f t="shared" ca="1" si="305"/>
        <v>0</v>
      </c>
      <c r="AZ230" s="1236">
        <f t="shared" ca="1" si="306"/>
        <v>0</v>
      </c>
      <c r="BA230" s="1236">
        <f t="shared" ca="1" si="307"/>
        <v>0</v>
      </c>
      <c r="BB230" s="1236">
        <f t="shared" ca="1" si="308"/>
        <v>0</v>
      </c>
      <c r="BC230" s="1236">
        <f t="shared" ca="1" si="309"/>
        <v>0</v>
      </c>
      <c r="BD230" s="1236">
        <f t="shared" ca="1" si="310"/>
        <v>0</v>
      </c>
      <c r="BE230" s="1236">
        <f t="shared" ca="1" si="311"/>
        <v>0</v>
      </c>
      <c r="BF230" s="1236">
        <f t="shared" ca="1" si="312"/>
        <v>0</v>
      </c>
      <c r="BG230" s="1236">
        <f t="shared" ca="1" si="313"/>
        <v>0</v>
      </c>
      <c r="BH230" s="1236">
        <f t="shared" ca="1" si="314"/>
        <v>0</v>
      </c>
      <c r="BI230" s="1236">
        <f t="shared" ca="1" si="315"/>
        <v>0</v>
      </c>
      <c r="BJ230" s="1236">
        <f t="shared" ca="1" si="316"/>
        <v>0</v>
      </c>
      <c r="BK230" s="1236">
        <f t="shared" ca="1" si="317"/>
        <v>0</v>
      </c>
      <c r="BL230" s="1236">
        <f t="shared" ca="1" si="318"/>
        <v>0</v>
      </c>
      <c r="BM230" s="1236">
        <f t="shared" ca="1" si="319"/>
        <v>0</v>
      </c>
      <c r="BN230" s="1236">
        <f t="shared" ca="1" si="320"/>
        <v>0</v>
      </c>
      <c r="BO230" s="1236">
        <f t="shared" ca="1" si="321"/>
        <v>0</v>
      </c>
      <c r="BP230" s="1236">
        <f t="shared" ca="1" si="322"/>
        <v>0</v>
      </c>
      <c r="BQ230" s="1236">
        <f t="shared" ca="1" si="323"/>
        <v>0</v>
      </c>
      <c r="BR230" s="1236">
        <f t="shared" ca="1" si="324"/>
        <v>0</v>
      </c>
      <c r="BS230" s="1236">
        <f t="shared" ca="1" si="325"/>
        <v>0</v>
      </c>
      <c r="BT230" s="1236">
        <f t="shared" ca="1" si="326"/>
        <v>0</v>
      </c>
      <c r="BU230" s="1236">
        <f t="shared" ca="1" si="327"/>
        <v>0</v>
      </c>
      <c r="BV230" s="1236">
        <f t="shared" ca="1" si="328"/>
        <v>0</v>
      </c>
      <c r="BW230" s="1236">
        <f t="shared" ca="1" si="329"/>
        <v>0</v>
      </c>
      <c r="BX230" s="1236">
        <f t="shared" ca="1" si="330"/>
        <v>0</v>
      </c>
      <c r="BY230" s="1236">
        <f t="shared" ca="1" si="331"/>
        <v>0</v>
      </c>
      <c r="BZ230" s="1236">
        <f t="shared" ca="1" si="332"/>
        <v>0</v>
      </c>
      <c r="CA230" s="1236">
        <f t="shared" ca="1" si="333"/>
        <v>0</v>
      </c>
      <c r="CB230" s="1236">
        <f t="shared" ca="1" si="334"/>
        <v>0</v>
      </c>
      <c r="CC230" s="1236">
        <f t="shared" ca="1" si="335"/>
        <v>0</v>
      </c>
      <c r="CD230" s="1236">
        <f t="shared" ca="1" si="336"/>
        <v>0</v>
      </c>
      <c r="CE230" s="1236">
        <f t="shared" ca="1" si="337"/>
        <v>0</v>
      </c>
      <c r="CF230" s="1236">
        <f t="shared" ca="1" si="338"/>
        <v>0</v>
      </c>
      <c r="CG230" s="1236">
        <f t="shared" ca="1" si="339"/>
        <v>0</v>
      </c>
      <c r="CH230" s="1236">
        <f t="shared" ca="1" si="340"/>
        <v>0</v>
      </c>
      <c r="CI230" s="1236">
        <f t="shared" ca="1" si="341"/>
        <v>0</v>
      </c>
      <c r="CJ230" s="1236">
        <f t="shared" ca="1" si="342"/>
        <v>0</v>
      </c>
      <c r="CO230" s="1165"/>
      <c r="CP230" s="1165"/>
    </row>
    <row r="231" spans="1:162">
      <c r="A231" s="1224"/>
      <c r="CO231" s="1165"/>
      <c r="CP231" s="1165"/>
      <c r="CQ231" s="1165"/>
      <c r="CR231" s="1165"/>
      <c r="CS231" s="1165"/>
      <c r="CT231" s="1165"/>
      <c r="CU231" s="1165"/>
      <c r="CV231" s="1165"/>
      <c r="CW231" s="1165"/>
      <c r="CX231" s="1165"/>
    </row>
    <row r="232" spans="1:162">
      <c r="A232" s="1224"/>
      <c r="B232" s="1250" t="s">
        <v>63</v>
      </c>
      <c r="CO232" s="1165"/>
      <c r="CP232" s="1165"/>
    </row>
    <row r="233" spans="1:162">
      <c r="A233" s="1224"/>
      <c r="B233" s="1230" t="s">
        <v>145</v>
      </c>
      <c r="C233" s="1231"/>
      <c r="D233" s="1231"/>
      <c r="E233" s="1231"/>
      <c r="F233" s="1231"/>
      <c r="G233" s="1231"/>
      <c r="H233" s="1231"/>
      <c r="I233" s="1231"/>
      <c r="J233" s="1231"/>
      <c r="K233" s="1231"/>
      <c r="L233" s="1231"/>
      <c r="M233" s="1231">
        <f ca="1">OFFSET($CQ233,0,M$7)+OFFSET($CR233,0,M$7)+OFFSET($CS233,0,M$7)+OFFSET($CT233,0,M$7)</f>
        <v>0</v>
      </c>
      <c r="N233" s="1231">
        <f ca="1">OFFSET($CQ233,0,N$7)+OFFSET($CR233,0,N$7)+OFFSET($CS233,0,N$7)+OFFSET($CT233,0,N$7)</f>
        <v>0</v>
      </c>
      <c r="O233" s="1231">
        <f ca="1">OFFSET($CQ233,0,O$7)+OFFSET($CR233,0,O$7)+OFFSET($CS233,0,O$7)+OFFSET($CT233,0,O$7)</f>
        <v>0</v>
      </c>
      <c r="P233" s="1231">
        <f ca="1">OFFSET($CQ233,0,P$7)+OFFSET($CR233,0,P$7)+OFFSET($CS233,0,P$7)+OFFSET($CT233,0,P$7)</f>
        <v>0</v>
      </c>
      <c r="Q233" s="1231">
        <f ca="1">OFFSET($CQ233,0,Q$7)+OFFSET($CR233,0,Q$7)+OFFSET($CS233,0,Q$7)+OFFSET($CT233,0,Q$7)</f>
        <v>0</v>
      </c>
      <c r="R233" s="1231"/>
      <c r="S233" s="1231"/>
      <c r="T233" s="1231"/>
      <c r="U233" s="1231"/>
      <c r="V233" s="1231"/>
      <c r="W233" s="1231"/>
      <c r="X233" s="1231"/>
      <c r="Y233" s="1231"/>
      <c r="Z233" s="1231"/>
      <c r="AA233" s="1231"/>
      <c r="AB233" s="1231"/>
      <c r="AC233" s="1231"/>
      <c r="AD233" s="1231"/>
      <c r="AE233" s="1231"/>
      <c r="AF233" s="1231"/>
      <c r="AG233" s="1231">
        <f ca="1">OFFSET($CQ233,0,AG$7)</f>
        <v>0</v>
      </c>
      <c r="AH233" s="1231">
        <f ca="1">OFFSET($CQ233,0,AH$7)+OFFSET($CR233,0,AH$7)</f>
        <v>0</v>
      </c>
      <c r="AI233" s="1231">
        <f ca="1">OFFSET($CQ233,0,AI$7)+OFFSET($CR233,0,AI$7)+OFFSET($CS233,0,AI$7)</f>
        <v>0</v>
      </c>
      <c r="AJ233" s="1231">
        <f ca="1">OFFSET($CQ233,0,AJ$7)+OFFSET($CR233,0,AJ$7)+OFFSET($CS233,0,AJ$7)+OFFSET($CT233,0,AJ$7)</f>
        <v>0</v>
      </c>
      <c r="AK233" s="1231">
        <f ca="1">OFFSET($CQ233,0,AK$7)</f>
        <v>0</v>
      </c>
      <c r="AL233" s="1231">
        <f ca="1">OFFSET($CQ233,0,AL$7)+OFFSET($CR233,0,AL$7)</f>
        <v>0</v>
      </c>
      <c r="AM233" s="1231">
        <f ca="1">OFFSET($CQ233,0,AM$7)+OFFSET($CR233,0,AM$7)+OFFSET($CS233,0,AM$7)</f>
        <v>0</v>
      </c>
      <c r="AN233" s="1231">
        <f ca="1">OFFSET($CQ233,0,AN$7)+OFFSET($CR233,0,AN$7)+OFFSET($CS233,0,AN$7)+OFFSET($CT233,0,AN$7)</f>
        <v>0</v>
      </c>
      <c r="AO233" s="1231">
        <f ca="1">OFFSET($CQ233,0,AO$7)</f>
        <v>0</v>
      </c>
      <c r="AP233" s="1231">
        <f ca="1">OFFSET($CQ233,0,AP$7)+OFFSET($CR233,0,AP$7)</f>
        <v>0</v>
      </c>
      <c r="AQ233" s="1231">
        <f ca="1">OFFSET($CQ233,0,AQ$7)+OFFSET($CR233,0,AQ$7)+OFFSET($CS233,0,AQ$7)</f>
        <v>0</v>
      </c>
      <c r="AR233" s="1231">
        <f ca="1">OFFSET($CQ233,0,AR$7)+OFFSET($CR233,0,AR$7)+OFFSET($CS233,0,AR$7)+OFFSET($CT233,0,AR$7)</f>
        <v>0</v>
      </c>
      <c r="AS233" s="1231">
        <f ca="1">OFFSET($CQ233,0,AS$7)</f>
        <v>0</v>
      </c>
      <c r="AT233" s="1231">
        <f ca="1">OFFSET($CQ233,0,AT$7)+OFFSET($CR233,0,AT$7)</f>
        <v>0</v>
      </c>
      <c r="AU233" s="1231">
        <f ca="1">OFFSET($CQ233,0,AU$7)+OFFSET($CR233,0,AU$7)+OFFSET($CS233,0,AU$7)</f>
        <v>0</v>
      </c>
      <c r="AV233" s="1231">
        <f ca="1">OFFSET($CQ233,0,AV$7)+OFFSET($CR233,0,AV$7)+OFFSET($CS233,0,AV$7)+OFFSET($CT233,0,AV$7)</f>
        <v>0</v>
      </c>
      <c r="AW233" s="1231">
        <f ca="1">OFFSET($CQ233,0,AW$7)</f>
        <v>0</v>
      </c>
      <c r="AX233" s="1231">
        <f ca="1">OFFSET($CQ233,0,AX$7)+OFFSET($CR233,0,AX$7)</f>
        <v>0</v>
      </c>
      <c r="AY233" s="1231">
        <f ca="1">OFFSET($CQ233,0,AY$7)+OFFSET($CR233,0,AY$7)+OFFSET($CS233,0,AY$7)</f>
        <v>0</v>
      </c>
      <c r="AZ233" s="1231">
        <f ca="1">OFFSET($CQ233,0,AZ$7)+OFFSET($CR233,0,AZ$7)+OFFSET($CS233,0,AZ$7)+OFFSET($CT233,0,AZ$7)</f>
        <v>0</v>
      </c>
      <c r="BA233" s="1231">
        <f ca="1">OFFSET($CQ233,0,BA$7)</f>
        <v>0</v>
      </c>
      <c r="BB233" s="1231">
        <f ca="1">OFFSET($CQ233,0,BB$7)+OFFSET($CR233,0,BB$7)</f>
        <v>0</v>
      </c>
      <c r="BC233" s="1231">
        <f ca="1">OFFSET($CQ233,0,BC$7)+OFFSET($CR233,0,BC$7)+OFFSET($CS233,0,BC$7)</f>
        <v>0</v>
      </c>
      <c r="BD233" s="1231">
        <f ca="1">OFFSET($CQ233,0,BD$7)+OFFSET($CR233,0,BD$7)+OFFSET($CS233,0,BD$7)+OFFSET($CT233,0,BD$7)</f>
        <v>0</v>
      </c>
      <c r="BE233" s="1231">
        <f ca="1">OFFSET($CQ233,0,BE$7)</f>
        <v>0</v>
      </c>
      <c r="BF233" s="1231">
        <f ca="1">OFFSET($CQ233,0,BF$7)+OFFSET($CR233,0,BF$7)</f>
        <v>0</v>
      </c>
      <c r="BG233" s="1231">
        <f ca="1">OFFSET($CQ233,0,BG$7)+OFFSET($CR233,0,BG$7)+OFFSET($CS233,0,BG$7)</f>
        <v>0</v>
      </c>
      <c r="BH233" s="1231">
        <f ca="1">OFFSET($CQ233,0,BH$7)+OFFSET($CR233,0,BH$7)+OFFSET($CS233,0,BH$7)+OFFSET($CT233,0,BH$7)</f>
        <v>0</v>
      </c>
      <c r="BI233" s="1231">
        <f ca="1">OFFSET($CQ233,0,BI$7)</f>
        <v>0</v>
      </c>
      <c r="BJ233" s="1231">
        <f ca="1">OFFSET($CQ233,0,BJ$7)+OFFSET($CR233,0,BJ$7)</f>
        <v>0</v>
      </c>
      <c r="BK233" s="1231">
        <f ca="1">OFFSET($CQ233,0,BK$7)+OFFSET($CR233,0,BK$7)+OFFSET($CS233,0,BK$7)</f>
        <v>0</v>
      </c>
      <c r="BL233" s="1231">
        <f ca="1">OFFSET($CQ233,0,BL$7)+OFFSET($CR233,0,BL$7)+OFFSET($CS233,0,BL$7)+OFFSET($CT233,0,BL$7)</f>
        <v>0</v>
      </c>
      <c r="BM233" s="1231">
        <f ca="1">OFFSET($CQ233,0,BM$7)</f>
        <v>0</v>
      </c>
      <c r="BN233" s="1231">
        <f ca="1">OFFSET($CQ233,0,BN$7)+OFFSET($CR233,0,BN$7)</f>
        <v>0</v>
      </c>
      <c r="BO233" s="1231">
        <f ca="1">OFFSET($CQ233,0,BO$7)+OFFSET($CR233,0,BO$7)+OFFSET($CS233,0,BO$7)</f>
        <v>0</v>
      </c>
      <c r="BP233" s="1231">
        <f ca="1">OFFSET($CQ233,0,BP$7)+OFFSET($CR233,0,BP$7)+OFFSET($CS233,0,BP$7)+OFFSET($CT233,0,BP$7)</f>
        <v>0</v>
      </c>
      <c r="BQ233" s="1231">
        <f ca="1">OFFSET($CQ233,0,BQ$7)</f>
        <v>0</v>
      </c>
      <c r="BR233" s="1231">
        <f ca="1">OFFSET($CQ233,0,BR$7)+OFFSET($CR233,0,BR$7)</f>
        <v>0</v>
      </c>
      <c r="BS233" s="1231">
        <f ca="1">OFFSET($CQ233,0,BS$7)+OFFSET($CR233,0,BS$7)+OFFSET($CS233,0,BS$7)</f>
        <v>0</v>
      </c>
      <c r="BT233" s="1231">
        <f ca="1">OFFSET($CQ233,0,BT$7)+OFFSET($CR233,0,BT$7)+OFFSET($CS233,0,BT$7)+OFFSET($CT233,0,BT$7)</f>
        <v>0</v>
      </c>
      <c r="BU233" s="1231">
        <f ca="1">OFFSET($CQ233,0,BU$7)</f>
        <v>0</v>
      </c>
      <c r="BV233" s="1231">
        <f ca="1">OFFSET($CQ233,0,BV$7)+OFFSET($CR233,0,BV$7)</f>
        <v>0</v>
      </c>
      <c r="BW233" s="1231">
        <f ca="1">OFFSET($CQ233,0,BW$7)+OFFSET($CR233,0,BW$7)+OFFSET($CS233,0,BW$7)</f>
        <v>0</v>
      </c>
      <c r="BX233" s="1231">
        <f ca="1">OFFSET($CQ233,0,BX$7)+OFFSET($CR233,0,BX$7)+OFFSET($CS233,0,BX$7)+OFFSET($CT233,0,BX$7)</f>
        <v>0</v>
      </c>
      <c r="BY233" s="1231">
        <f ca="1">OFFSET($CQ233,0,BY$7)</f>
        <v>0</v>
      </c>
      <c r="BZ233" s="1231">
        <f ca="1">OFFSET($CQ233,0,BZ$7)+OFFSET($CR233,0,BZ$7)</f>
        <v>0</v>
      </c>
      <c r="CA233" s="1231">
        <f ca="1">OFFSET($CQ233,0,CA$7)+OFFSET($CR233,0,CA$7)+OFFSET($CS233,0,CA$7)</f>
        <v>0</v>
      </c>
      <c r="CB233" s="1231">
        <f ca="1">OFFSET($CQ233,0,CB$7)+OFFSET($CR233,0,CB$7)+OFFSET($CS233,0,CB$7)+OFFSET($CT233,0,CB$7)</f>
        <v>0</v>
      </c>
      <c r="CC233" s="1231">
        <f ca="1">OFFSET($CQ233,0,CC$7)</f>
        <v>0</v>
      </c>
      <c r="CD233" s="1231">
        <f ca="1">OFFSET($CQ233,0,CD$7)+OFFSET($CR233,0,CD$7)</f>
        <v>0</v>
      </c>
      <c r="CE233" s="1231">
        <f ca="1">OFFSET($CQ233,0,CE$7)+OFFSET($CR233,0,CE$7)+OFFSET($CS233,0,CE$7)</f>
        <v>0</v>
      </c>
      <c r="CF233" s="1231">
        <f ca="1">OFFSET($CQ233,0,CF$7)+OFFSET($CR233,0,CF$7)+OFFSET($CS233,0,CF$7)+OFFSET($CT233,0,CF$7)</f>
        <v>0</v>
      </c>
      <c r="CG233" s="1231">
        <f ca="1">OFFSET($CQ233,0,CG$7)</f>
        <v>0</v>
      </c>
      <c r="CH233" s="1231">
        <f ca="1">OFFSET($CQ233,0,CH$7)+OFFSET($CR233,0,CH$7)</f>
        <v>0</v>
      </c>
      <c r="CI233" s="1231">
        <f ca="1">OFFSET($CQ233,0,CI$7)+OFFSET($CR233,0,CI$7)+OFFSET($CS233,0,CI$7)</f>
        <v>0</v>
      </c>
      <c r="CJ233" s="1231">
        <f ca="1">OFFSET($CQ233,0,CJ$7)+OFFSET($CR233,0,CJ$7)+OFFSET($CS233,0,CJ$7)+OFFSET($CT233,0,CJ$7)</f>
        <v>0</v>
      </c>
      <c r="CK233" s="1231"/>
      <c r="CL233" s="1231"/>
      <c r="CM233" s="1231"/>
      <c r="CN233" s="1231"/>
      <c r="CO233" s="1165"/>
      <c r="CP233" s="1165"/>
    </row>
    <row r="234" spans="1:162">
      <c r="A234" s="1224"/>
      <c r="CO234" s="1165"/>
      <c r="CP234" s="1165"/>
      <c r="CQ234" s="1165"/>
      <c r="CR234" s="1165"/>
      <c r="CS234" s="1165"/>
      <c r="CT234" s="1165"/>
      <c r="CU234" s="1165"/>
      <c r="CV234" s="1165"/>
      <c r="CW234" s="1165"/>
      <c r="CX234" s="1165"/>
    </row>
    <row r="235" spans="1:162">
      <c r="A235" s="1224"/>
      <c r="B235" s="1237" t="s">
        <v>118</v>
      </c>
      <c r="AG235" s="1236">
        <f ca="1">OFFSET($CQ235,0,AG$7)</f>
        <v>0</v>
      </c>
      <c r="AH235" s="1236">
        <f ca="1">OFFSET($CQ235,0,AH$7)+OFFSET($CR235,0,AH$7)</f>
        <v>0</v>
      </c>
      <c r="AI235" s="1236">
        <f ca="1">OFFSET($CQ235,0,AI$7)+OFFSET($CR235,0,AI$7)+OFFSET($CS235,0,AI$7)</f>
        <v>0</v>
      </c>
      <c r="AJ235" s="1236">
        <f ca="1">OFFSET($CQ235,0,AJ$7)+OFFSET($CR235,0,AJ$7)+OFFSET($CS235,0,AJ$7)+OFFSET($CT235,0,AJ$7)</f>
        <v>0</v>
      </c>
      <c r="AK235" s="1236">
        <f ca="1">OFFSET($CQ235,0,AK$7)</f>
        <v>0</v>
      </c>
      <c r="AL235" s="1236">
        <f ca="1">OFFSET($CQ235,0,AL$7)+OFFSET($CR235,0,AL$7)</f>
        <v>0</v>
      </c>
      <c r="AM235" s="1236">
        <f ca="1">OFFSET($CQ235,0,AM$7)+OFFSET($CR235,0,AM$7)+OFFSET($CS235,0,AM$7)</f>
        <v>0</v>
      </c>
      <c r="AN235" s="1236">
        <f ca="1">OFFSET($CQ235,0,AN$7)+OFFSET($CR235,0,AN$7)+OFFSET($CS235,0,AN$7)+OFFSET($CT235,0,AN$7)</f>
        <v>0</v>
      </c>
      <c r="AO235" s="1236">
        <f ca="1">OFFSET($CQ235,0,AO$7)</f>
        <v>0</v>
      </c>
      <c r="AP235" s="1236">
        <f ca="1">OFFSET($CQ235,0,AP$7)+OFFSET($CR235,0,AP$7)</f>
        <v>0</v>
      </c>
      <c r="AQ235" s="1236">
        <f ca="1">OFFSET($CQ235,0,AQ$7)+OFFSET($CR235,0,AQ$7)+OFFSET($CS235,0,AQ$7)</f>
        <v>0</v>
      </c>
      <c r="AR235" s="1236">
        <f ca="1">OFFSET($CQ235,0,AR$7)+OFFSET($CR235,0,AR$7)+OFFSET($CS235,0,AR$7)+OFFSET($CT235,0,AR$7)</f>
        <v>0</v>
      </c>
      <c r="AS235" s="1236">
        <f ca="1">OFFSET($CQ235,0,AS$7)</f>
        <v>0</v>
      </c>
      <c r="AT235" s="1236">
        <f ca="1">OFFSET($CQ235,0,AT$7)+OFFSET($CR235,0,AT$7)</f>
        <v>0</v>
      </c>
      <c r="AU235" s="1236">
        <f ca="1">OFFSET($CQ235,0,AU$7)+OFFSET($CR235,0,AU$7)+OFFSET($CS235,0,AU$7)</f>
        <v>0</v>
      </c>
      <c r="AV235" s="1236">
        <f ca="1">OFFSET($CQ235,0,AV$7)+OFFSET($CR235,0,AV$7)+OFFSET($CS235,0,AV$7)+OFFSET($CT235,0,AV$7)</f>
        <v>0</v>
      </c>
      <c r="AW235" s="1236">
        <f ca="1">OFFSET($CQ235,0,AW$7)</f>
        <v>0</v>
      </c>
      <c r="AX235" s="1236">
        <f ca="1">OFFSET($CQ235,0,AX$7)+OFFSET($CR235,0,AX$7)</f>
        <v>0</v>
      </c>
      <c r="AY235" s="1236">
        <f ca="1">OFFSET($CQ235,0,AY$7)+OFFSET($CR235,0,AY$7)+OFFSET($CS235,0,AY$7)</f>
        <v>0</v>
      </c>
      <c r="AZ235" s="1236">
        <f ca="1">OFFSET($CQ235,0,AZ$7)+OFFSET($CR235,0,AZ$7)+OFFSET($CS235,0,AZ$7)+OFFSET($CT235,0,AZ$7)</f>
        <v>0</v>
      </c>
      <c r="BA235" s="1236">
        <f ca="1">OFFSET($CQ235,0,BA$7)</f>
        <v>0</v>
      </c>
      <c r="BB235" s="1236">
        <f ca="1">OFFSET($CQ235,0,BB$7)+OFFSET($CR235,0,BB$7)</f>
        <v>0</v>
      </c>
      <c r="BC235" s="1236">
        <f ca="1">OFFSET($CQ235,0,BC$7)+OFFSET($CR235,0,BC$7)+OFFSET($CS235,0,BC$7)</f>
        <v>0</v>
      </c>
      <c r="BD235" s="1236">
        <f ca="1">OFFSET($CQ235,0,BD$7)+OFFSET($CR235,0,BD$7)+OFFSET($CS235,0,BD$7)+OFFSET($CT235,0,BD$7)</f>
        <v>0</v>
      </c>
      <c r="BE235" s="1236">
        <f ca="1">OFFSET($CQ235,0,BE$7)</f>
        <v>0</v>
      </c>
      <c r="BF235" s="1236">
        <f ca="1">OFFSET($CQ235,0,BF$7)+OFFSET($CR235,0,BF$7)</f>
        <v>0</v>
      </c>
      <c r="BG235" s="1236">
        <f ca="1">OFFSET($CQ235,0,BG$7)+OFFSET($CR235,0,BG$7)+OFFSET($CS235,0,BG$7)</f>
        <v>0</v>
      </c>
      <c r="BH235" s="1236">
        <f ca="1">OFFSET($CQ235,0,BH$7)+OFFSET($CR235,0,BH$7)+OFFSET($CS235,0,BH$7)+OFFSET($CT235,0,BH$7)</f>
        <v>0</v>
      </c>
      <c r="BI235" s="1236">
        <f ca="1">OFFSET($CQ235,0,BI$7)</f>
        <v>0</v>
      </c>
      <c r="BJ235" s="1236">
        <f ca="1">OFFSET($CQ235,0,BJ$7)+OFFSET($CR235,0,BJ$7)</f>
        <v>0</v>
      </c>
      <c r="BK235" s="1236">
        <f ca="1">OFFSET($CQ235,0,BK$7)+OFFSET($CR235,0,BK$7)+OFFSET($CS235,0,BK$7)</f>
        <v>0</v>
      </c>
      <c r="BL235" s="1236">
        <f ca="1">OFFSET($CQ235,0,BL$7)+OFFSET($CR235,0,BL$7)+OFFSET($CS235,0,BL$7)+OFFSET($CT235,0,BL$7)</f>
        <v>0</v>
      </c>
      <c r="BM235" s="1236">
        <f ca="1">OFFSET($CQ235,0,BM$7)</f>
        <v>0</v>
      </c>
      <c r="BN235" s="1236">
        <f ca="1">OFFSET($CQ235,0,BN$7)+OFFSET($CR235,0,BN$7)</f>
        <v>0</v>
      </c>
      <c r="BO235" s="1236">
        <f ca="1">OFFSET($CQ235,0,BO$7)+OFFSET($CR235,0,BO$7)+OFFSET($CS235,0,BO$7)</f>
        <v>0</v>
      </c>
      <c r="BP235" s="1236">
        <f ca="1">OFFSET($CQ235,0,BP$7)+OFFSET($CR235,0,BP$7)+OFFSET($CS235,0,BP$7)+OFFSET($CT235,0,BP$7)</f>
        <v>0</v>
      </c>
      <c r="BQ235" s="1236">
        <f ca="1">OFFSET($CQ235,0,BQ$7)</f>
        <v>0</v>
      </c>
      <c r="BR235" s="1236">
        <f ca="1">OFFSET($CQ235,0,BR$7)+OFFSET($CR235,0,BR$7)</f>
        <v>0</v>
      </c>
      <c r="BS235" s="1236">
        <f ca="1">OFFSET($CQ235,0,BS$7)+OFFSET($CR235,0,BS$7)+OFFSET($CS235,0,BS$7)</f>
        <v>0</v>
      </c>
      <c r="BT235" s="1236">
        <f ca="1">OFFSET($CQ235,0,BT$7)+OFFSET($CR235,0,BT$7)+OFFSET($CS235,0,BT$7)+OFFSET($CT235,0,BT$7)</f>
        <v>0</v>
      </c>
      <c r="BU235" s="1236">
        <f ca="1">OFFSET($CQ235,0,BU$7)</f>
        <v>0</v>
      </c>
      <c r="BV235" s="1236">
        <f ca="1">OFFSET($CQ235,0,BV$7)+OFFSET($CR235,0,BV$7)</f>
        <v>0</v>
      </c>
      <c r="BW235" s="1236">
        <f ca="1">OFFSET($CQ235,0,BW$7)+OFFSET($CR235,0,BW$7)+OFFSET($CS235,0,BW$7)</f>
        <v>0</v>
      </c>
      <c r="BX235" s="1236">
        <f ca="1">OFFSET($CQ235,0,BX$7)+OFFSET($CR235,0,BX$7)+OFFSET($CS235,0,BX$7)+OFFSET($CT235,0,BX$7)</f>
        <v>0</v>
      </c>
      <c r="BY235" s="1236">
        <f ca="1">OFFSET($CQ235,0,BY$7)</f>
        <v>0</v>
      </c>
      <c r="BZ235" s="1236">
        <f ca="1">OFFSET($CQ235,0,BZ$7)+OFFSET($CR235,0,BZ$7)</f>
        <v>0</v>
      </c>
      <c r="CA235" s="1236">
        <f ca="1">OFFSET($CQ235,0,CA$7)+OFFSET($CR235,0,CA$7)+OFFSET($CS235,0,CA$7)</f>
        <v>0</v>
      </c>
      <c r="CB235" s="1236">
        <f ca="1">OFFSET($CQ235,0,CB$7)+OFFSET($CR235,0,CB$7)+OFFSET($CS235,0,CB$7)+OFFSET($CT235,0,CB$7)</f>
        <v>0</v>
      </c>
      <c r="CC235" s="1236">
        <f ca="1">OFFSET($CQ235,0,CC$7)</f>
        <v>0</v>
      </c>
      <c r="CD235" s="1236">
        <f ca="1">OFFSET($CQ235,0,CD$7)+OFFSET($CR235,0,CD$7)</f>
        <v>0</v>
      </c>
      <c r="CE235" s="1236">
        <f ca="1">OFFSET($CQ235,0,CE$7)+OFFSET($CR235,0,CE$7)+OFFSET($CS235,0,CE$7)</f>
        <v>0</v>
      </c>
      <c r="CF235" s="1236">
        <f ca="1">OFFSET($CQ235,0,CF$7)+OFFSET($CR235,0,CF$7)+OFFSET($CS235,0,CF$7)+OFFSET($CT235,0,CF$7)</f>
        <v>0</v>
      </c>
      <c r="CG235" s="1236">
        <f ca="1">OFFSET($CQ235,0,CG$7)</f>
        <v>0</v>
      </c>
      <c r="CH235" s="1236">
        <f ca="1">OFFSET($CQ235,0,CH$7)+OFFSET($CR235,0,CH$7)</f>
        <v>0</v>
      </c>
      <c r="CI235" s="1236">
        <f ca="1">OFFSET($CQ235,0,CI$7)+OFFSET($CR235,0,CI$7)+OFFSET($CS235,0,CI$7)</f>
        <v>0</v>
      </c>
      <c r="CJ235" s="1236">
        <f ca="1">OFFSET($CQ235,0,CJ$7)+OFFSET($CR235,0,CJ$7)+OFFSET($CS235,0,CJ$7)+OFFSET($CT235,0,CJ$7)</f>
        <v>0</v>
      </c>
      <c r="CO235" s="1165"/>
      <c r="CP235" s="1165"/>
      <c r="CQ235" s="1165"/>
      <c r="CR235" s="1165"/>
      <c r="CS235" s="1165"/>
      <c r="CT235" s="1165"/>
      <c r="CU235" s="1165"/>
      <c r="CV235" s="1165"/>
      <c r="CW235" s="1165"/>
      <c r="CX235" s="1165"/>
    </row>
    <row r="236" spans="1:162">
      <c r="A236" s="1224"/>
      <c r="B236" s="1237" t="s">
        <v>118</v>
      </c>
      <c r="AG236" s="1236">
        <f ca="1">OFFSET($CQ236,0,AG$7)</f>
        <v>0</v>
      </c>
      <c r="AH236" s="1236">
        <f ca="1">OFFSET($CQ236,0,AH$7)+OFFSET($CR236,0,AH$7)</f>
        <v>0</v>
      </c>
      <c r="AI236" s="1236">
        <f ca="1">OFFSET($CQ236,0,AI$7)+OFFSET($CR236,0,AI$7)+OFFSET($CS236,0,AI$7)</f>
        <v>0</v>
      </c>
      <c r="AJ236" s="1236">
        <f ca="1">OFFSET($CQ236,0,AJ$7)+OFFSET($CR236,0,AJ$7)+OFFSET($CS236,0,AJ$7)+OFFSET($CT236,0,AJ$7)</f>
        <v>0</v>
      </c>
      <c r="AK236" s="1236">
        <f ca="1">OFFSET($CQ236,0,AK$7)</f>
        <v>0</v>
      </c>
      <c r="AL236" s="1236">
        <f ca="1">OFFSET($CQ236,0,AL$7)+OFFSET($CR236,0,AL$7)</f>
        <v>0</v>
      </c>
      <c r="AM236" s="1236">
        <f ca="1">OFFSET($CQ236,0,AM$7)+OFFSET($CR236,0,AM$7)+OFFSET($CS236,0,AM$7)</f>
        <v>0</v>
      </c>
      <c r="AN236" s="1236">
        <f ca="1">OFFSET($CQ236,0,AN$7)+OFFSET($CR236,0,AN$7)+OFFSET($CS236,0,AN$7)+OFFSET($CT236,0,AN$7)</f>
        <v>0</v>
      </c>
      <c r="AO236" s="1236">
        <f ca="1">OFFSET($CQ236,0,AO$7)</f>
        <v>0</v>
      </c>
      <c r="AP236" s="1236">
        <f ca="1">OFFSET($CQ236,0,AP$7)+OFFSET($CR236,0,AP$7)</f>
        <v>0</v>
      </c>
      <c r="AQ236" s="1236">
        <f ca="1">OFFSET($CQ236,0,AQ$7)+OFFSET($CR236,0,AQ$7)+OFFSET($CS236,0,AQ$7)</f>
        <v>0</v>
      </c>
      <c r="AR236" s="1236">
        <f ca="1">OFFSET($CQ236,0,AR$7)+OFFSET($CR236,0,AR$7)+OFFSET($CS236,0,AR$7)+OFFSET($CT236,0,AR$7)</f>
        <v>0</v>
      </c>
      <c r="AS236" s="1236">
        <f ca="1">OFFSET($CQ236,0,AS$7)</f>
        <v>0</v>
      </c>
      <c r="AT236" s="1236">
        <f ca="1">OFFSET($CQ236,0,AT$7)+OFFSET($CR236,0,AT$7)</f>
        <v>0</v>
      </c>
      <c r="AU236" s="1236">
        <f ca="1">OFFSET($CQ236,0,AU$7)+OFFSET($CR236,0,AU$7)+OFFSET($CS236,0,AU$7)</f>
        <v>0</v>
      </c>
      <c r="AV236" s="1236">
        <f ca="1">OFFSET($CQ236,0,AV$7)+OFFSET($CR236,0,AV$7)+OFFSET($CS236,0,AV$7)+OFFSET($CT236,0,AV$7)</f>
        <v>0</v>
      </c>
      <c r="AW236" s="1236">
        <f ca="1">OFFSET($CQ236,0,AW$7)</f>
        <v>0</v>
      </c>
      <c r="AX236" s="1236">
        <f ca="1">OFFSET($CQ236,0,AX$7)+OFFSET($CR236,0,AX$7)</f>
        <v>0</v>
      </c>
      <c r="AY236" s="1236">
        <f ca="1">OFFSET($CQ236,0,AY$7)+OFFSET($CR236,0,AY$7)+OFFSET($CS236,0,AY$7)</f>
        <v>0</v>
      </c>
      <c r="AZ236" s="1236">
        <f ca="1">OFFSET($CQ236,0,AZ$7)+OFFSET($CR236,0,AZ$7)+OFFSET($CS236,0,AZ$7)+OFFSET($CT236,0,AZ$7)</f>
        <v>0</v>
      </c>
      <c r="BA236" s="1236">
        <f ca="1">OFFSET($CQ236,0,BA$7)</f>
        <v>0</v>
      </c>
      <c r="BB236" s="1236">
        <f ca="1">OFFSET($CQ236,0,BB$7)+OFFSET($CR236,0,BB$7)</f>
        <v>0</v>
      </c>
      <c r="BC236" s="1236">
        <f ca="1">OFFSET($CQ236,0,BC$7)+OFFSET($CR236,0,BC$7)+OFFSET($CS236,0,BC$7)</f>
        <v>0</v>
      </c>
      <c r="BD236" s="1236">
        <f ca="1">OFFSET($CQ236,0,BD$7)+OFFSET($CR236,0,BD$7)+OFFSET($CS236,0,BD$7)+OFFSET($CT236,0,BD$7)</f>
        <v>0</v>
      </c>
      <c r="BE236" s="1236">
        <f ca="1">OFFSET($CQ236,0,BE$7)</f>
        <v>0</v>
      </c>
      <c r="BF236" s="1236">
        <f ca="1">OFFSET($CQ236,0,BF$7)+OFFSET($CR236,0,BF$7)</f>
        <v>0</v>
      </c>
      <c r="BG236" s="1236">
        <f ca="1">OFFSET($CQ236,0,BG$7)+OFFSET($CR236,0,BG$7)+OFFSET($CS236,0,BG$7)</f>
        <v>0</v>
      </c>
      <c r="BH236" s="1236">
        <f ca="1">OFFSET($CQ236,0,BH$7)+OFFSET($CR236,0,BH$7)+OFFSET($CS236,0,BH$7)+OFFSET($CT236,0,BH$7)</f>
        <v>0</v>
      </c>
      <c r="BI236" s="1236">
        <f ca="1">OFFSET($CQ236,0,BI$7)</f>
        <v>0</v>
      </c>
      <c r="BJ236" s="1236">
        <f ca="1">OFFSET($CQ236,0,BJ$7)+OFFSET($CR236,0,BJ$7)</f>
        <v>0</v>
      </c>
      <c r="BK236" s="1236">
        <f ca="1">OFFSET($CQ236,0,BK$7)+OFFSET($CR236,0,BK$7)+OFFSET($CS236,0,BK$7)</f>
        <v>0</v>
      </c>
      <c r="BL236" s="1236">
        <f ca="1">OFFSET($CQ236,0,BL$7)+OFFSET($CR236,0,BL$7)+OFFSET($CS236,0,BL$7)+OFFSET($CT236,0,BL$7)</f>
        <v>0</v>
      </c>
      <c r="BM236" s="1236">
        <f ca="1">OFFSET($CQ236,0,BM$7)</f>
        <v>0</v>
      </c>
      <c r="BN236" s="1236">
        <f ca="1">OFFSET($CQ236,0,BN$7)+OFFSET($CR236,0,BN$7)</f>
        <v>0</v>
      </c>
      <c r="BO236" s="1236">
        <f ca="1">OFFSET($CQ236,0,BO$7)+OFFSET($CR236,0,BO$7)+OFFSET($CS236,0,BO$7)</f>
        <v>0</v>
      </c>
      <c r="BP236" s="1236">
        <f ca="1">OFFSET($CQ236,0,BP$7)+OFFSET($CR236,0,BP$7)+OFFSET($CS236,0,BP$7)+OFFSET($CT236,0,BP$7)</f>
        <v>0</v>
      </c>
      <c r="BQ236" s="1236">
        <f ca="1">OFFSET($CQ236,0,BQ$7)</f>
        <v>0</v>
      </c>
      <c r="BR236" s="1236">
        <f ca="1">OFFSET($CQ236,0,BR$7)+OFFSET($CR236,0,BR$7)</f>
        <v>0</v>
      </c>
      <c r="BS236" s="1236">
        <f ca="1">OFFSET($CQ236,0,BS$7)+OFFSET($CR236,0,BS$7)+OFFSET($CS236,0,BS$7)</f>
        <v>0</v>
      </c>
      <c r="BT236" s="1236">
        <f ca="1">OFFSET($CQ236,0,BT$7)+OFFSET($CR236,0,BT$7)+OFFSET($CS236,0,BT$7)+OFFSET($CT236,0,BT$7)</f>
        <v>0</v>
      </c>
      <c r="BU236" s="1236">
        <f ca="1">OFFSET($CQ236,0,BU$7)</f>
        <v>0</v>
      </c>
      <c r="BV236" s="1236">
        <f ca="1">OFFSET($CQ236,0,BV$7)+OFFSET($CR236,0,BV$7)</f>
        <v>0</v>
      </c>
      <c r="BW236" s="1236">
        <f ca="1">OFFSET($CQ236,0,BW$7)+OFFSET($CR236,0,BW$7)+OFFSET($CS236,0,BW$7)</f>
        <v>0</v>
      </c>
      <c r="BX236" s="1236">
        <f ca="1">OFFSET($CQ236,0,BX$7)+OFFSET($CR236,0,BX$7)+OFFSET($CS236,0,BX$7)+OFFSET($CT236,0,BX$7)</f>
        <v>0</v>
      </c>
      <c r="BY236" s="1236">
        <f ca="1">OFFSET($CQ236,0,BY$7)</f>
        <v>0</v>
      </c>
      <c r="BZ236" s="1236">
        <f ca="1">OFFSET($CQ236,0,BZ$7)+OFFSET($CR236,0,BZ$7)</f>
        <v>0</v>
      </c>
      <c r="CA236" s="1236">
        <f ca="1">OFFSET($CQ236,0,CA$7)+OFFSET($CR236,0,CA$7)+OFFSET($CS236,0,CA$7)</f>
        <v>0</v>
      </c>
      <c r="CB236" s="1236">
        <f ca="1">OFFSET($CQ236,0,CB$7)+OFFSET($CR236,0,CB$7)+OFFSET($CS236,0,CB$7)+OFFSET($CT236,0,CB$7)</f>
        <v>0</v>
      </c>
      <c r="CC236" s="1236">
        <f ca="1">OFFSET($CQ236,0,CC$7)</f>
        <v>0</v>
      </c>
      <c r="CD236" s="1236">
        <f ca="1">OFFSET($CQ236,0,CD$7)+OFFSET($CR236,0,CD$7)</f>
        <v>0</v>
      </c>
      <c r="CE236" s="1236">
        <f ca="1">OFFSET($CQ236,0,CE$7)+OFFSET($CR236,0,CE$7)+OFFSET($CS236,0,CE$7)</f>
        <v>0</v>
      </c>
      <c r="CF236" s="1236">
        <f ca="1">OFFSET($CQ236,0,CF$7)+OFFSET($CR236,0,CF$7)+OFFSET($CS236,0,CF$7)+OFFSET($CT236,0,CF$7)</f>
        <v>0</v>
      </c>
      <c r="CG236" s="1236">
        <f ca="1">OFFSET($CQ236,0,CG$7)</f>
        <v>0</v>
      </c>
      <c r="CH236" s="1236">
        <f ca="1">OFFSET($CQ236,0,CH$7)+OFFSET($CR236,0,CH$7)</f>
        <v>0</v>
      </c>
      <c r="CI236" s="1236">
        <f ca="1">OFFSET($CQ236,0,CI$7)+OFFSET($CR236,0,CI$7)+OFFSET($CS236,0,CI$7)</f>
        <v>0</v>
      </c>
      <c r="CJ236" s="1236">
        <f ca="1">OFFSET($CQ236,0,CJ$7)+OFFSET($CR236,0,CJ$7)+OFFSET($CS236,0,CJ$7)+OFFSET($CT236,0,CJ$7)</f>
        <v>0</v>
      </c>
      <c r="CO236" s="1165"/>
      <c r="CP236" s="1165"/>
    </row>
    <row r="237" spans="1:162">
      <c r="A237" s="1224"/>
      <c r="B237" s="1230" t="s">
        <v>53</v>
      </c>
      <c r="C237" s="1231"/>
      <c r="D237" s="1231"/>
      <c r="E237" s="1231"/>
      <c r="F237" s="1231"/>
      <c r="G237" s="1231"/>
      <c r="H237" s="1231"/>
      <c r="I237" s="1231"/>
      <c r="J237" s="1231"/>
      <c r="K237" s="1231"/>
      <c r="L237" s="1231"/>
      <c r="M237" s="1231">
        <f ca="1">OFFSET($CQ237,0,M$7)+OFFSET($CR237,0,M$7)+OFFSET($CS237,0,M$7)+OFFSET($CT237,0,M$7)</f>
        <v>0</v>
      </c>
      <c r="N237" s="1231">
        <f ca="1">OFFSET($CQ237,0,N$7)+OFFSET($CR237,0,N$7)+OFFSET($CS237,0,N$7)+OFFSET($CT237,0,N$7)</f>
        <v>0</v>
      </c>
      <c r="O237" s="1231">
        <f ca="1">OFFSET($CQ237,0,O$7)+OFFSET($CR237,0,O$7)+OFFSET($CS237,0,O$7)+OFFSET($CT237,0,O$7)</f>
        <v>0</v>
      </c>
      <c r="P237" s="1231">
        <f ca="1">OFFSET($CQ237,0,P$7)+OFFSET($CR237,0,P$7)+OFFSET($CS237,0,P$7)+OFFSET($CT237,0,P$7)</f>
        <v>0</v>
      </c>
      <c r="Q237" s="1231">
        <f ca="1">OFFSET($CQ237,0,Q$7)+OFFSET($CR237,0,Q$7)+OFFSET($CS237,0,Q$7)+OFFSET($CT237,0,Q$7)</f>
        <v>0</v>
      </c>
      <c r="R237" s="1231"/>
      <c r="S237" s="1231"/>
      <c r="T237" s="1231"/>
      <c r="U237" s="1231"/>
      <c r="V237" s="1231"/>
      <c r="W237" s="1231"/>
      <c r="X237" s="1231"/>
      <c r="Y237" s="1231"/>
      <c r="Z237" s="1231"/>
      <c r="AA237" s="1231"/>
      <c r="AB237" s="1231"/>
      <c r="AC237" s="1231"/>
      <c r="AD237" s="1231"/>
      <c r="AE237" s="1231"/>
      <c r="AF237" s="1231"/>
      <c r="AG237" s="1231">
        <f ca="1">OFFSET($CQ237,0,AG$7)</f>
        <v>0</v>
      </c>
      <c r="AH237" s="1231">
        <f ca="1">OFFSET($CQ237,0,AH$7)+OFFSET($CR237,0,AH$7)</f>
        <v>0</v>
      </c>
      <c r="AI237" s="1231">
        <f ca="1">OFFSET($CQ237,0,AI$7)+OFFSET($CR237,0,AI$7)+OFFSET($CS237,0,AI$7)</f>
        <v>0</v>
      </c>
      <c r="AJ237" s="1231">
        <f ca="1">OFFSET($CQ237,0,AJ$7)+OFFSET($CR237,0,AJ$7)+OFFSET($CS237,0,AJ$7)+OFFSET($CT237,0,AJ$7)</f>
        <v>0</v>
      </c>
      <c r="AK237" s="1231">
        <f ca="1">OFFSET($CQ237,0,AK$7)</f>
        <v>0</v>
      </c>
      <c r="AL237" s="1231">
        <f ca="1">OFFSET($CQ237,0,AL$7)+OFFSET($CR237,0,AL$7)</f>
        <v>0</v>
      </c>
      <c r="AM237" s="1231">
        <f ca="1">OFFSET($CQ237,0,AM$7)+OFFSET($CR237,0,AM$7)+OFFSET($CS237,0,AM$7)</f>
        <v>0</v>
      </c>
      <c r="AN237" s="1231">
        <f ca="1">OFFSET($CQ237,0,AN$7)+OFFSET($CR237,0,AN$7)+OFFSET($CS237,0,AN$7)+OFFSET($CT237,0,AN$7)</f>
        <v>0</v>
      </c>
      <c r="AO237" s="1231">
        <f ca="1">OFFSET($CQ237,0,AO$7)</f>
        <v>0</v>
      </c>
      <c r="AP237" s="1231">
        <f ca="1">OFFSET($CQ237,0,AP$7)+OFFSET($CR237,0,AP$7)</f>
        <v>0</v>
      </c>
      <c r="AQ237" s="1231">
        <f ca="1">OFFSET($CQ237,0,AQ$7)+OFFSET($CR237,0,AQ$7)+OFFSET($CS237,0,AQ$7)</f>
        <v>0</v>
      </c>
      <c r="AR237" s="1231">
        <f ca="1">OFFSET($CQ237,0,AR$7)+OFFSET($CR237,0,AR$7)+OFFSET($CS237,0,AR$7)+OFFSET($CT237,0,AR$7)</f>
        <v>0</v>
      </c>
      <c r="AS237" s="1231">
        <f ca="1">OFFSET($CQ237,0,AS$7)</f>
        <v>0</v>
      </c>
      <c r="AT237" s="1231">
        <f ca="1">OFFSET($CQ237,0,AT$7)+OFFSET($CR237,0,AT$7)</f>
        <v>0</v>
      </c>
      <c r="AU237" s="1231">
        <f ca="1">OFFSET($CQ237,0,AU$7)+OFFSET($CR237,0,AU$7)+OFFSET($CS237,0,AU$7)</f>
        <v>0</v>
      </c>
      <c r="AV237" s="1231">
        <f ca="1">OFFSET($CQ237,0,AV$7)+OFFSET($CR237,0,AV$7)+OFFSET($CS237,0,AV$7)+OFFSET($CT237,0,AV$7)</f>
        <v>0</v>
      </c>
      <c r="AW237" s="1231">
        <f ca="1">OFFSET($CQ237,0,AW$7)</f>
        <v>0</v>
      </c>
      <c r="AX237" s="1231">
        <f ca="1">OFFSET($CQ237,0,AX$7)+OFFSET($CR237,0,AX$7)</f>
        <v>0</v>
      </c>
      <c r="AY237" s="1231">
        <f ca="1">OFFSET($CQ237,0,AY$7)+OFFSET($CR237,0,AY$7)+OFFSET($CS237,0,AY$7)</f>
        <v>0</v>
      </c>
      <c r="AZ237" s="1231">
        <f ca="1">OFFSET($CQ237,0,AZ$7)+OFFSET($CR237,0,AZ$7)+OFFSET($CS237,0,AZ$7)+OFFSET($CT237,0,AZ$7)</f>
        <v>0</v>
      </c>
      <c r="BA237" s="1231">
        <f ca="1">OFFSET($CQ237,0,BA$7)</f>
        <v>0</v>
      </c>
      <c r="BB237" s="1231">
        <f ca="1">OFFSET($CQ237,0,BB$7)+OFFSET($CR237,0,BB$7)</f>
        <v>0</v>
      </c>
      <c r="BC237" s="1231">
        <f ca="1">OFFSET($CQ237,0,BC$7)+OFFSET($CR237,0,BC$7)+OFFSET($CS237,0,BC$7)</f>
        <v>0</v>
      </c>
      <c r="BD237" s="1231">
        <f ca="1">OFFSET($CQ237,0,BD$7)+OFFSET($CR237,0,BD$7)+OFFSET($CS237,0,BD$7)+OFFSET($CT237,0,BD$7)</f>
        <v>0</v>
      </c>
      <c r="BE237" s="1231">
        <f ca="1">OFFSET($CQ237,0,BE$7)</f>
        <v>0</v>
      </c>
      <c r="BF237" s="1231">
        <f ca="1">OFFSET($CQ237,0,BF$7)+OFFSET($CR237,0,BF$7)</f>
        <v>0</v>
      </c>
      <c r="BG237" s="1231">
        <f ca="1">OFFSET($CQ237,0,BG$7)+OFFSET($CR237,0,BG$7)+OFFSET($CS237,0,BG$7)</f>
        <v>0</v>
      </c>
      <c r="BH237" s="1231">
        <f ca="1">OFFSET($CQ237,0,BH$7)+OFFSET($CR237,0,BH$7)+OFFSET($CS237,0,BH$7)+OFFSET($CT237,0,BH$7)</f>
        <v>0</v>
      </c>
      <c r="BI237" s="1231">
        <f ca="1">OFFSET($CQ237,0,BI$7)</f>
        <v>0</v>
      </c>
      <c r="BJ237" s="1231">
        <f ca="1">OFFSET($CQ237,0,BJ$7)+OFFSET($CR237,0,BJ$7)</f>
        <v>0</v>
      </c>
      <c r="BK237" s="1231">
        <f ca="1">OFFSET($CQ237,0,BK$7)+OFFSET($CR237,0,BK$7)+OFFSET($CS237,0,BK$7)</f>
        <v>0</v>
      </c>
      <c r="BL237" s="1231">
        <f ca="1">OFFSET($CQ237,0,BL$7)+OFFSET($CR237,0,BL$7)+OFFSET($CS237,0,BL$7)+OFFSET($CT237,0,BL$7)</f>
        <v>0</v>
      </c>
      <c r="BM237" s="1231">
        <f ca="1">OFFSET($CQ237,0,BM$7)</f>
        <v>0</v>
      </c>
      <c r="BN237" s="1231">
        <f ca="1">OFFSET($CQ237,0,BN$7)+OFFSET($CR237,0,BN$7)</f>
        <v>0</v>
      </c>
      <c r="BO237" s="1231">
        <f ca="1">OFFSET($CQ237,0,BO$7)+OFFSET($CR237,0,BO$7)+OFFSET($CS237,0,BO$7)</f>
        <v>0</v>
      </c>
      <c r="BP237" s="1231">
        <f ca="1">OFFSET($CQ237,0,BP$7)+OFFSET($CR237,0,BP$7)+OFFSET($CS237,0,BP$7)+OFFSET($CT237,0,BP$7)</f>
        <v>0</v>
      </c>
      <c r="BQ237" s="1231">
        <f ca="1">OFFSET($CQ237,0,BQ$7)</f>
        <v>0</v>
      </c>
      <c r="BR237" s="1231">
        <f ca="1">OFFSET($CQ237,0,BR$7)+OFFSET($CR237,0,BR$7)</f>
        <v>0</v>
      </c>
      <c r="BS237" s="1231">
        <f ca="1">OFFSET($CQ237,0,BS$7)+OFFSET($CR237,0,BS$7)+OFFSET($CS237,0,BS$7)</f>
        <v>0</v>
      </c>
      <c r="BT237" s="1231">
        <f ca="1">OFFSET($CQ237,0,BT$7)+OFFSET($CR237,0,BT$7)+OFFSET($CS237,0,BT$7)+OFFSET($CT237,0,BT$7)</f>
        <v>0</v>
      </c>
      <c r="BU237" s="1231">
        <f ca="1">OFFSET($CQ237,0,BU$7)</f>
        <v>0</v>
      </c>
      <c r="BV237" s="1231">
        <f ca="1">OFFSET($CQ237,0,BV$7)+OFFSET($CR237,0,BV$7)</f>
        <v>0</v>
      </c>
      <c r="BW237" s="1231">
        <f ca="1">OFFSET($CQ237,0,BW$7)+OFFSET($CR237,0,BW$7)+OFFSET($CS237,0,BW$7)</f>
        <v>0</v>
      </c>
      <c r="BX237" s="1231">
        <f ca="1">OFFSET($CQ237,0,BX$7)+OFFSET($CR237,0,BX$7)+OFFSET($CS237,0,BX$7)+OFFSET($CT237,0,BX$7)</f>
        <v>0</v>
      </c>
      <c r="BY237" s="1231">
        <f ca="1">OFFSET($CQ237,0,BY$7)</f>
        <v>0</v>
      </c>
      <c r="BZ237" s="1231">
        <f ca="1">OFFSET($CQ237,0,BZ$7)+OFFSET($CR237,0,BZ$7)</f>
        <v>0</v>
      </c>
      <c r="CA237" s="1231">
        <f ca="1">OFFSET($CQ237,0,CA$7)+OFFSET($CR237,0,CA$7)+OFFSET($CS237,0,CA$7)</f>
        <v>0</v>
      </c>
      <c r="CB237" s="1231">
        <f ca="1">OFFSET($CQ237,0,CB$7)+OFFSET($CR237,0,CB$7)+OFFSET($CS237,0,CB$7)+OFFSET($CT237,0,CB$7)</f>
        <v>0</v>
      </c>
      <c r="CC237" s="1231">
        <f ca="1">OFFSET($CQ237,0,CC$7)</f>
        <v>0</v>
      </c>
      <c r="CD237" s="1231">
        <f ca="1">OFFSET($CQ237,0,CD$7)+OFFSET($CR237,0,CD$7)</f>
        <v>0</v>
      </c>
      <c r="CE237" s="1231">
        <f ca="1">OFFSET($CQ237,0,CE$7)+OFFSET($CR237,0,CE$7)+OFFSET($CS237,0,CE$7)</f>
        <v>0</v>
      </c>
      <c r="CF237" s="1231">
        <f ca="1">OFFSET($CQ237,0,CF$7)+OFFSET($CR237,0,CF$7)+OFFSET($CS237,0,CF$7)+OFFSET($CT237,0,CF$7)</f>
        <v>0</v>
      </c>
      <c r="CG237" s="1231">
        <f ca="1">OFFSET($CQ237,0,CG$7)</f>
        <v>0</v>
      </c>
      <c r="CH237" s="1231">
        <f ca="1">OFFSET($CQ237,0,CH$7)+OFFSET($CR237,0,CH$7)</f>
        <v>0</v>
      </c>
      <c r="CI237" s="1231">
        <f ca="1">OFFSET($CQ237,0,CI$7)+OFFSET($CR237,0,CI$7)+OFFSET($CS237,0,CI$7)</f>
        <v>0</v>
      </c>
      <c r="CJ237" s="1231">
        <f ca="1">OFFSET($CQ237,0,CJ$7)+OFFSET($CR237,0,CJ$7)+OFFSET($CS237,0,CJ$7)+OFFSET($CT237,0,CJ$7)</f>
        <v>0</v>
      </c>
      <c r="CK237" s="1231"/>
      <c r="CL237" s="1231"/>
      <c r="CM237" s="1231"/>
      <c r="CN237" s="1231"/>
      <c r="CO237" s="1165"/>
      <c r="CP237" s="1165"/>
      <c r="CQ237" s="1231"/>
      <c r="CR237" s="1231"/>
      <c r="CS237" s="1231"/>
      <c r="CT237" s="1231"/>
      <c r="CU237" s="1231"/>
      <c r="CV237" s="1231"/>
      <c r="CW237" s="1231"/>
      <c r="CX237" s="1231"/>
      <c r="CY237" s="1231"/>
      <c r="CZ237" s="1231"/>
      <c r="DA237" s="1231"/>
      <c r="DB237" s="1231"/>
      <c r="DC237" s="1231"/>
      <c r="DD237" s="1231"/>
      <c r="DE237" s="1231"/>
      <c r="DF237" s="1231"/>
      <c r="DG237" s="1231"/>
      <c r="DH237" s="1231"/>
      <c r="DI237" s="1231"/>
      <c r="DJ237" s="1231"/>
      <c r="DK237" s="1231"/>
      <c r="DL237" s="1231"/>
      <c r="DM237" s="1231"/>
      <c r="DN237" s="1231"/>
      <c r="DO237" s="1231"/>
      <c r="DP237" s="1231"/>
      <c r="DQ237" s="1231"/>
      <c r="DR237" s="1231"/>
      <c r="DS237" s="1231"/>
      <c r="DT237" s="1231"/>
      <c r="DU237" s="1231"/>
      <c r="DV237" s="1231"/>
      <c r="DW237" s="1231"/>
      <c r="DX237" s="1231"/>
      <c r="DY237" s="1231"/>
      <c r="DZ237" s="1231"/>
      <c r="EA237" s="1231"/>
      <c r="EB237" s="1231"/>
      <c r="EC237" s="1231"/>
      <c r="ED237" s="1231"/>
      <c r="EE237" s="1231"/>
      <c r="EF237" s="1231"/>
      <c r="EG237" s="1231"/>
      <c r="EH237" s="1231"/>
      <c r="EI237" s="1231"/>
      <c r="EJ237" s="1231"/>
      <c r="EK237" s="1231"/>
      <c r="EL237" s="1231"/>
      <c r="EM237" s="1231"/>
      <c r="EN237" s="1231"/>
      <c r="EO237" s="1231"/>
      <c r="EP237" s="1231"/>
      <c r="EQ237" s="1231"/>
      <c r="ER237" s="1231"/>
      <c r="ES237" s="1231"/>
      <c r="ET237" s="1231"/>
      <c r="EU237" s="1231"/>
      <c r="EV237" s="1231"/>
      <c r="EW237" s="1231"/>
      <c r="EX237" s="1231"/>
      <c r="EY237" s="1231"/>
      <c r="EZ237" s="1231"/>
      <c r="FA237" s="1231"/>
      <c r="FB237" s="1231"/>
      <c r="FC237" s="1231"/>
      <c r="FD237" s="1231"/>
      <c r="FE237" s="1231"/>
      <c r="FF237" s="1231"/>
    </row>
    <row r="238" spans="1:162">
      <c r="A238" s="1224"/>
      <c r="CO238" s="1165"/>
      <c r="CP238" s="1165"/>
      <c r="CQ238" s="1165"/>
      <c r="CR238" s="1165"/>
      <c r="CS238" s="1165"/>
      <c r="CT238" s="1165"/>
      <c r="CU238" s="1165"/>
      <c r="CV238" s="1165"/>
      <c r="CW238" s="1165"/>
      <c r="CX238" s="1165"/>
    </row>
    <row r="239" spans="1:162">
      <c r="A239" s="1224"/>
      <c r="B239" s="1237" t="s">
        <v>118</v>
      </c>
      <c r="AG239" s="1236">
        <f ca="1">OFFSET($CQ239,0,AG$7)</f>
        <v>0</v>
      </c>
      <c r="AH239" s="1236">
        <f ca="1">OFFSET($CQ239,0,AH$7)+OFFSET($CR239,0,AH$7)</f>
        <v>0</v>
      </c>
      <c r="AI239" s="1236">
        <f ca="1">OFFSET($CQ239,0,AI$7)+OFFSET($CR239,0,AI$7)+OFFSET($CS239,0,AI$7)</f>
        <v>0</v>
      </c>
      <c r="AJ239" s="1236">
        <f ca="1">OFFSET($CQ239,0,AJ$7)+OFFSET($CR239,0,AJ$7)+OFFSET($CS239,0,AJ$7)+OFFSET($CT239,0,AJ$7)</f>
        <v>0</v>
      </c>
      <c r="AK239" s="1236">
        <f ca="1">OFFSET($CQ239,0,AK$7)</f>
        <v>0</v>
      </c>
      <c r="AL239" s="1236">
        <f ca="1">OFFSET($CQ239,0,AL$7)+OFFSET($CR239,0,AL$7)</f>
        <v>0</v>
      </c>
      <c r="AM239" s="1236">
        <f ca="1">OFFSET($CQ239,0,AM$7)+OFFSET($CR239,0,AM$7)+OFFSET($CS239,0,AM$7)</f>
        <v>0</v>
      </c>
      <c r="AN239" s="1236">
        <f ca="1">OFFSET($CQ239,0,AN$7)+OFFSET($CR239,0,AN$7)+OFFSET($CS239,0,AN$7)+OFFSET($CT239,0,AN$7)</f>
        <v>0</v>
      </c>
      <c r="AO239" s="1236">
        <f ca="1">OFFSET($CQ239,0,AO$7)</f>
        <v>0</v>
      </c>
      <c r="AP239" s="1236">
        <f ca="1">OFFSET($CQ239,0,AP$7)+OFFSET($CR239,0,AP$7)</f>
        <v>0</v>
      </c>
      <c r="AQ239" s="1236">
        <f ca="1">OFFSET($CQ239,0,AQ$7)+OFFSET($CR239,0,AQ$7)+OFFSET($CS239,0,AQ$7)</f>
        <v>0</v>
      </c>
      <c r="AR239" s="1236">
        <f ca="1">OFFSET($CQ239,0,AR$7)+OFFSET($CR239,0,AR$7)+OFFSET($CS239,0,AR$7)+OFFSET($CT239,0,AR$7)</f>
        <v>0</v>
      </c>
      <c r="AS239" s="1236">
        <f ca="1">OFFSET($CQ239,0,AS$7)</f>
        <v>0</v>
      </c>
      <c r="AT239" s="1236">
        <f ca="1">OFFSET($CQ239,0,AT$7)+OFFSET($CR239,0,AT$7)</f>
        <v>0</v>
      </c>
      <c r="AU239" s="1236">
        <f ca="1">OFFSET($CQ239,0,AU$7)+OFFSET($CR239,0,AU$7)+OFFSET($CS239,0,AU$7)</f>
        <v>0</v>
      </c>
      <c r="AV239" s="1236">
        <f ca="1">OFFSET($CQ239,0,AV$7)+OFFSET($CR239,0,AV$7)+OFFSET($CS239,0,AV$7)+OFFSET($CT239,0,AV$7)</f>
        <v>0</v>
      </c>
      <c r="AW239" s="1236">
        <f ca="1">OFFSET($CQ239,0,AW$7)</f>
        <v>0</v>
      </c>
      <c r="AX239" s="1236">
        <f ca="1">OFFSET($CQ239,0,AX$7)+OFFSET($CR239,0,AX$7)</f>
        <v>0</v>
      </c>
      <c r="AY239" s="1236">
        <f ca="1">OFFSET($CQ239,0,AY$7)+OFFSET($CR239,0,AY$7)+OFFSET($CS239,0,AY$7)</f>
        <v>0</v>
      </c>
      <c r="AZ239" s="1236">
        <f ca="1">OFFSET($CQ239,0,AZ$7)+OFFSET($CR239,0,AZ$7)+OFFSET($CS239,0,AZ$7)+OFFSET($CT239,0,AZ$7)</f>
        <v>0</v>
      </c>
      <c r="BA239" s="1236">
        <f ca="1">OFFSET($CQ239,0,BA$7)</f>
        <v>0</v>
      </c>
      <c r="BB239" s="1236">
        <f ca="1">OFFSET($CQ239,0,BB$7)+OFFSET($CR239,0,BB$7)</f>
        <v>0</v>
      </c>
      <c r="BC239" s="1236">
        <f ca="1">OFFSET($CQ239,0,BC$7)+OFFSET($CR239,0,BC$7)+OFFSET($CS239,0,BC$7)</f>
        <v>0</v>
      </c>
      <c r="BD239" s="1236">
        <f ca="1">OFFSET($CQ239,0,BD$7)+OFFSET($CR239,0,BD$7)+OFFSET($CS239,0,BD$7)+OFFSET($CT239,0,BD$7)</f>
        <v>0</v>
      </c>
      <c r="BE239" s="1236">
        <f ca="1">OFFSET($CQ239,0,BE$7)</f>
        <v>0</v>
      </c>
      <c r="BF239" s="1236">
        <f ca="1">OFFSET($CQ239,0,BF$7)+OFFSET($CR239,0,BF$7)</f>
        <v>0</v>
      </c>
      <c r="BG239" s="1236">
        <f ca="1">OFFSET($CQ239,0,BG$7)+OFFSET($CR239,0,BG$7)+OFFSET($CS239,0,BG$7)</f>
        <v>0</v>
      </c>
      <c r="BH239" s="1236">
        <f ca="1">OFFSET($CQ239,0,BH$7)+OFFSET($CR239,0,BH$7)+OFFSET($CS239,0,BH$7)+OFFSET($CT239,0,BH$7)</f>
        <v>0</v>
      </c>
      <c r="BI239" s="1236">
        <f ca="1">OFFSET($CQ239,0,BI$7)</f>
        <v>0</v>
      </c>
      <c r="BJ239" s="1236">
        <f ca="1">OFFSET($CQ239,0,BJ$7)+OFFSET($CR239,0,BJ$7)</f>
        <v>0</v>
      </c>
      <c r="BK239" s="1236">
        <f ca="1">OFFSET($CQ239,0,BK$7)+OFFSET($CR239,0,BK$7)+OFFSET($CS239,0,BK$7)</f>
        <v>0</v>
      </c>
      <c r="BL239" s="1236">
        <f ca="1">OFFSET($CQ239,0,BL$7)+OFFSET($CR239,0,BL$7)+OFFSET($CS239,0,BL$7)+OFFSET($CT239,0,BL$7)</f>
        <v>0</v>
      </c>
      <c r="BM239" s="1236">
        <f ca="1">OFFSET($CQ239,0,BM$7)</f>
        <v>0</v>
      </c>
      <c r="BN239" s="1236">
        <f ca="1">OFFSET($CQ239,0,BN$7)+OFFSET($CR239,0,BN$7)</f>
        <v>0</v>
      </c>
      <c r="BO239" s="1236">
        <f ca="1">OFFSET($CQ239,0,BO$7)+OFFSET($CR239,0,BO$7)+OFFSET($CS239,0,BO$7)</f>
        <v>0</v>
      </c>
      <c r="BP239" s="1236">
        <f ca="1">OFFSET($CQ239,0,BP$7)+OFFSET($CR239,0,BP$7)+OFFSET($CS239,0,BP$7)+OFFSET($CT239,0,BP$7)</f>
        <v>0</v>
      </c>
      <c r="BQ239" s="1236">
        <f ca="1">OFFSET($CQ239,0,BQ$7)</f>
        <v>0</v>
      </c>
      <c r="BR239" s="1236">
        <f ca="1">OFFSET($CQ239,0,BR$7)+OFFSET($CR239,0,BR$7)</f>
        <v>0</v>
      </c>
      <c r="BS239" s="1236">
        <f ca="1">OFFSET($CQ239,0,BS$7)+OFFSET($CR239,0,BS$7)+OFFSET($CS239,0,BS$7)</f>
        <v>0</v>
      </c>
      <c r="BT239" s="1236">
        <f ca="1">OFFSET($CQ239,0,BT$7)+OFFSET($CR239,0,BT$7)+OFFSET($CS239,0,BT$7)+OFFSET($CT239,0,BT$7)</f>
        <v>0</v>
      </c>
      <c r="BU239" s="1236">
        <f ca="1">OFFSET($CQ239,0,BU$7)</f>
        <v>0</v>
      </c>
      <c r="BV239" s="1236">
        <f ca="1">OFFSET($CQ239,0,BV$7)+OFFSET($CR239,0,BV$7)</f>
        <v>0</v>
      </c>
      <c r="BW239" s="1236">
        <f ca="1">OFFSET($CQ239,0,BW$7)+OFFSET($CR239,0,BW$7)+OFFSET($CS239,0,BW$7)</f>
        <v>0</v>
      </c>
      <c r="BX239" s="1236">
        <f ca="1">OFFSET($CQ239,0,BX$7)+OFFSET($CR239,0,BX$7)+OFFSET($CS239,0,BX$7)+OFFSET($CT239,0,BX$7)</f>
        <v>0</v>
      </c>
      <c r="BY239" s="1236">
        <f ca="1">OFFSET($CQ239,0,BY$7)</f>
        <v>0</v>
      </c>
      <c r="BZ239" s="1236">
        <f ca="1">OFFSET($CQ239,0,BZ$7)+OFFSET($CR239,0,BZ$7)</f>
        <v>0</v>
      </c>
      <c r="CA239" s="1236">
        <f ca="1">OFFSET($CQ239,0,CA$7)+OFFSET($CR239,0,CA$7)+OFFSET($CS239,0,CA$7)</f>
        <v>0</v>
      </c>
      <c r="CB239" s="1236">
        <f ca="1">OFFSET($CQ239,0,CB$7)+OFFSET($CR239,0,CB$7)+OFFSET($CS239,0,CB$7)+OFFSET($CT239,0,CB$7)</f>
        <v>0</v>
      </c>
      <c r="CC239" s="1236">
        <f ca="1">OFFSET($CQ239,0,CC$7)</f>
        <v>0</v>
      </c>
      <c r="CD239" s="1236">
        <f ca="1">OFFSET($CQ239,0,CD$7)+OFFSET($CR239,0,CD$7)</f>
        <v>0</v>
      </c>
      <c r="CE239" s="1236">
        <f ca="1">OFFSET($CQ239,0,CE$7)+OFFSET($CR239,0,CE$7)+OFFSET($CS239,0,CE$7)</f>
        <v>0</v>
      </c>
      <c r="CF239" s="1236">
        <f ca="1">OFFSET($CQ239,0,CF$7)+OFFSET($CR239,0,CF$7)+OFFSET($CS239,0,CF$7)+OFFSET($CT239,0,CF$7)</f>
        <v>0</v>
      </c>
      <c r="CG239" s="1236">
        <f ca="1">OFFSET($CQ239,0,CG$7)</f>
        <v>0</v>
      </c>
      <c r="CH239" s="1236">
        <f ca="1">OFFSET($CQ239,0,CH$7)+OFFSET($CR239,0,CH$7)</f>
        <v>0</v>
      </c>
      <c r="CI239" s="1236">
        <f ca="1">OFFSET($CQ239,0,CI$7)+OFFSET($CR239,0,CI$7)+OFFSET($CS239,0,CI$7)</f>
        <v>0</v>
      </c>
      <c r="CJ239" s="1236">
        <f ca="1">OFFSET($CQ239,0,CJ$7)+OFFSET($CR239,0,CJ$7)+OFFSET($CS239,0,CJ$7)+OFFSET($CT239,0,CJ$7)</f>
        <v>0</v>
      </c>
      <c r="CO239" s="1165"/>
      <c r="CP239" s="1165"/>
      <c r="CQ239" s="1165"/>
      <c r="CR239" s="1165"/>
      <c r="CS239" s="1165"/>
      <c r="CT239" s="1165"/>
      <c r="CU239" s="1165"/>
      <c r="CV239" s="1165"/>
      <c r="CW239" s="1165"/>
      <c r="CX239" s="1165"/>
    </row>
    <row r="240" spans="1:162">
      <c r="A240" s="1224"/>
      <c r="B240" s="1237" t="s">
        <v>118</v>
      </c>
      <c r="AG240" s="1236">
        <f ca="1">OFFSET($CQ240,0,AG$7)</f>
        <v>0</v>
      </c>
      <c r="AH240" s="1236">
        <f ca="1">OFFSET($CQ240,0,AH$7)+OFFSET($CR240,0,AH$7)</f>
        <v>0</v>
      </c>
      <c r="AI240" s="1236">
        <f ca="1">OFFSET($CQ240,0,AI$7)+OFFSET($CR240,0,AI$7)+OFFSET($CS240,0,AI$7)</f>
        <v>0</v>
      </c>
      <c r="AJ240" s="1236">
        <f ca="1">OFFSET($CQ240,0,AJ$7)+OFFSET($CR240,0,AJ$7)+OFFSET($CS240,0,AJ$7)+OFFSET($CT240,0,AJ$7)</f>
        <v>0</v>
      </c>
      <c r="AK240" s="1236">
        <f ca="1">OFFSET($CQ240,0,AK$7)</f>
        <v>0</v>
      </c>
      <c r="AL240" s="1236">
        <f ca="1">OFFSET($CQ240,0,AL$7)+OFFSET($CR240,0,AL$7)</f>
        <v>0</v>
      </c>
      <c r="AM240" s="1236">
        <f ca="1">OFFSET($CQ240,0,AM$7)+OFFSET($CR240,0,AM$7)+OFFSET($CS240,0,AM$7)</f>
        <v>0</v>
      </c>
      <c r="AN240" s="1236">
        <f ca="1">OFFSET($CQ240,0,AN$7)+OFFSET($CR240,0,AN$7)+OFFSET($CS240,0,AN$7)+OFFSET($CT240,0,AN$7)</f>
        <v>0</v>
      </c>
      <c r="AO240" s="1236">
        <f ca="1">OFFSET($CQ240,0,AO$7)</f>
        <v>0</v>
      </c>
      <c r="AP240" s="1236">
        <f ca="1">OFFSET($CQ240,0,AP$7)+OFFSET($CR240,0,AP$7)</f>
        <v>0</v>
      </c>
      <c r="AQ240" s="1236">
        <f ca="1">OFFSET($CQ240,0,AQ$7)+OFFSET($CR240,0,AQ$7)+OFFSET($CS240,0,AQ$7)</f>
        <v>0</v>
      </c>
      <c r="AR240" s="1236">
        <f ca="1">OFFSET($CQ240,0,AR$7)+OFFSET($CR240,0,AR$7)+OFFSET($CS240,0,AR$7)+OFFSET($CT240,0,AR$7)</f>
        <v>0</v>
      </c>
      <c r="AS240" s="1236">
        <f ca="1">OFFSET($CQ240,0,AS$7)</f>
        <v>0</v>
      </c>
      <c r="AT240" s="1236">
        <f ca="1">OFFSET($CQ240,0,AT$7)+OFFSET($CR240,0,AT$7)</f>
        <v>0</v>
      </c>
      <c r="AU240" s="1236">
        <f ca="1">OFFSET($CQ240,0,AU$7)+OFFSET($CR240,0,AU$7)+OFFSET($CS240,0,AU$7)</f>
        <v>0</v>
      </c>
      <c r="AV240" s="1236">
        <f ca="1">OFFSET($CQ240,0,AV$7)+OFFSET($CR240,0,AV$7)+OFFSET($CS240,0,AV$7)+OFFSET($CT240,0,AV$7)</f>
        <v>0</v>
      </c>
      <c r="AW240" s="1236">
        <f ca="1">OFFSET($CQ240,0,AW$7)</f>
        <v>0</v>
      </c>
      <c r="AX240" s="1236">
        <f ca="1">OFFSET($CQ240,0,AX$7)+OFFSET($CR240,0,AX$7)</f>
        <v>0</v>
      </c>
      <c r="AY240" s="1236">
        <f ca="1">OFFSET($CQ240,0,AY$7)+OFFSET($CR240,0,AY$7)+OFFSET($CS240,0,AY$7)</f>
        <v>0</v>
      </c>
      <c r="AZ240" s="1236">
        <f ca="1">OFFSET($CQ240,0,AZ$7)+OFFSET($CR240,0,AZ$7)+OFFSET($CS240,0,AZ$7)+OFFSET($CT240,0,AZ$7)</f>
        <v>0</v>
      </c>
      <c r="BA240" s="1236">
        <f ca="1">OFFSET($CQ240,0,BA$7)</f>
        <v>0</v>
      </c>
      <c r="BB240" s="1236">
        <f ca="1">OFFSET($CQ240,0,BB$7)+OFFSET($CR240,0,BB$7)</f>
        <v>0</v>
      </c>
      <c r="BC240" s="1236">
        <f ca="1">OFFSET($CQ240,0,BC$7)+OFFSET($CR240,0,BC$7)+OFFSET($CS240,0,BC$7)</f>
        <v>0</v>
      </c>
      <c r="BD240" s="1236">
        <f ca="1">OFFSET($CQ240,0,BD$7)+OFFSET($CR240,0,BD$7)+OFFSET($CS240,0,BD$7)+OFFSET($CT240,0,BD$7)</f>
        <v>0</v>
      </c>
      <c r="BE240" s="1236">
        <f ca="1">OFFSET($CQ240,0,BE$7)</f>
        <v>0</v>
      </c>
      <c r="BF240" s="1236">
        <f ca="1">OFFSET($CQ240,0,BF$7)+OFFSET($CR240,0,BF$7)</f>
        <v>0</v>
      </c>
      <c r="BG240" s="1236">
        <f ca="1">OFFSET($CQ240,0,BG$7)+OFFSET($CR240,0,BG$7)+OFFSET($CS240,0,BG$7)</f>
        <v>0</v>
      </c>
      <c r="BH240" s="1236">
        <f ca="1">OFFSET($CQ240,0,BH$7)+OFFSET($CR240,0,BH$7)+OFFSET($CS240,0,BH$7)+OFFSET($CT240,0,BH$7)</f>
        <v>0</v>
      </c>
      <c r="BI240" s="1236">
        <f ca="1">OFFSET($CQ240,0,BI$7)</f>
        <v>0</v>
      </c>
      <c r="BJ240" s="1236">
        <f ca="1">OFFSET($CQ240,0,BJ$7)+OFFSET($CR240,0,BJ$7)</f>
        <v>0</v>
      </c>
      <c r="BK240" s="1236">
        <f ca="1">OFFSET($CQ240,0,BK$7)+OFFSET($CR240,0,BK$7)+OFFSET($CS240,0,BK$7)</f>
        <v>0</v>
      </c>
      <c r="BL240" s="1236">
        <f ca="1">OFFSET($CQ240,0,BL$7)+OFFSET($CR240,0,BL$7)+OFFSET($CS240,0,BL$7)+OFFSET($CT240,0,BL$7)</f>
        <v>0</v>
      </c>
      <c r="BM240" s="1236">
        <f ca="1">OFFSET($CQ240,0,BM$7)</f>
        <v>0</v>
      </c>
      <c r="BN240" s="1236">
        <f ca="1">OFFSET($CQ240,0,BN$7)+OFFSET($CR240,0,BN$7)</f>
        <v>0</v>
      </c>
      <c r="BO240" s="1236">
        <f ca="1">OFFSET($CQ240,0,BO$7)+OFFSET($CR240,0,BO$7)+OFFSET($CS240,0,BO$7)</f>
        <v>0</v>
      </c>
      <c r="BP240" s="1236">
        <f ca="1">OFFSET($CQ240,0,BP$7)+OFFSET($CR240,0,BP$7)+OFFSET($CS240,0,BP$7)+OFFSET($CT240,0,BP$7)</f>
        <v>0</v>
      </c>
      <c r="BQ240" s="1236">
        <f ca="1">OFFSET($CQ240,0,BQ$7)</f>
        <v>0</v>
      </c>
      <c r="BR240" s="1236">
        <f ca="1">OFFSET($CQ240,0,BR$7)+OFFSET($CR240,0,BR$7)</f>
        <v>0</v>
      </c>
      <c r="BS240" s="1236">
        <f ca="1">OFFSET($CQ240,0,BS$7)+OFFSET($CR240,0,BS$7)+OFFSET($CS240,0,BS$7)</f>
        <v>0</v>
      </c>
      <c r="BT240" s="1236">
        <f ca="1">OFFSET($CQ240,0,BT$7)+OFFSET($CR240,0,BT$7)+OFFSET($CS240,0,BT$7)+OFFSET($CT240,0,BT$7)</f>
        <v>0</v>
      </c>
      <c r="BU240" s="1236">
        <f ca="1">OFFSET($CQ240,0,BU$7)</f>
        <v>0</v>
      </c>
      <c r="BV240" s="1236">
        <f ca="1">OFFSET($CQ240,0,BV$7)+OFFSET($CR240,0,BV$7)</f>
        <v>0</v>
      </c>
      <c r="BW240" s="1236">
        <f ca="1">OFFSET($CQ240,0,BW$7)+OFFSET($CR240,0,BW$7)+OFFSET($CS240,0,BW$7)</f>
        <v>0</v>
      </c>
      <c r="BX240" s="1236">
        <f ca="1">OFFSET($CQ240,0,BX$7)+OFFSET($CR240,0,BX$7)+OFFSET($CS240,0,BX$7)+OFFSET($CT240,0,BX$7)</f>
        <v>0</v>
      </c>
      <c r="BY240" s="1236">
        <f ca="1">OFFSET($CQ240,0,BY$7)</f>
        <v>0</v>
      </c>
      <c r="BZ240" s="1236">
        <f ca="1">OFFSET($CQ240,0,BZ$7)+OFFSET($CR240,0,BZ$7)</f>
        <v>0</v>
      </c>
      <c r="CA240" s="1236">
        <f ca="1">OFFSET($CQ240,0,CA$7)+OFFSET($CR240,0,CA$7)+OFFSET($CS240,0,CA$7)</f>
        <v>0</v>
      </c>
      <c r="CB240" s="1236">
        <f ca="1">OFFSET($CQ240,0,CB$7)+OFFSET($CR240,0,CB$7)+OFFSET($CS240,0,CB$7)+OFFSET($CT240,0,CB$7)</f>
        <v>0</v>
      </c>
      <c r="CC240" s="1236">
        <f ca="1">OFFSET($CQ240,0,CC$7)</f>
        <v>0</v>
      </c>
      <c r="CD240" s="1236">
        <f ca="1">OFFSET($CQ240,0,CD$7)+OFFSET($CR240,0,CD$7)</f>
        <v>0</v>
      </c>
      <c r="CE240" s="1236">
        <f ca="1">OFFSET($CQ240,0,CE$7)+OFFSET($CR240,0,CE$7)+OFFSET($CS240,0,CE$7)</f>
        <v>0</v>
      </c>
      <c r="CF240" s="1236">
        <f ca="1">OFFSET($CQ240,0,CF$7)+OFFSET($CR240,0,CF$7)+OFFSET($CS240,0,CF$7)+OFFSET($CT240,0,CF$7)</f>
        <v>0</v>
      </c>
      <c r="CG240" s="1236">
        <f ca="1">OFFSET($CQ240,0,CG$7)</f>
        <v>0</v>
      </c>
      <c r="CH240" s="1236">
        <f ca="1">OFFSET($CQ240,0,CH$7)+OFFSET($CR240,0,CH$7)</f>
        <v>0</v>
      </c>
      <c r="CI240" s="1236">
        <f ca="1">OFFSET($CQ240,0,CI$7)+OFFSET($CR240,0,CI$7)+OFFSET($CS240,0,CI$7)</f>
        <v>0</v>
      </c>
      <c r="CJ240" s="1236">
        <f ca="1">OFFSET($CQ240,0,CJ$7)+OFFSET($CR240,0,CJ$7)+OFFSET($CS240,0,CJ$7)+OFFSET($CT240,0,CJ$7)</f>
        <v>0</v>
      </c>
      <c r="CO240" s="1165"/>
      <c r="CP240" s="1165"/>
    </row>
    <row r="241" spans="1:162">
      <c r="A241" s="1224"/>
      <c r="B241" s="1230" t="s">
        <v>54</v>
      </c>
      <c r="C241" s="1231"/>
      <c r="D241" s="1231"/>
      <c r="E241" s="1231"/>
      <c r="F241" s="1231"/>
      <c r="G241" s="1231"/>
      <c r="H241" s="1231"/>
      <c r="I241" s="1231"/>
      <c r="J241" s="1231"/>
      <c r="K241" s="1231"/>
      <c r="L241" s="1231"/>
      <c r="M241" s="1231">
        <f ca="1">OFFSET($CQ241,0,M$7)+OFFSET($CR241,0,M$7)+OFFSET($CS241,0,M$7)+OFFSET($CT241,0,M$7)</f>
        <v>0</v>
      </c>
      <c r="N241" s="1231">
        <f ca="1">OFFSET($CQ241,0,N$7)+OFFSET($CR241,0,N$7)+OFFSET($CS241,0,N$7)+OFFSET($CT241,0,N$7)</f>
        <v>0</v>
      </c>
      <c r="O241" s="1231">
        <f ca="1">OFFSET($CQ241,0,O$7)+OFFSET($CR241,0,O$7)+OFFSET($CS241,0,O$7)+OFFSET($CT241,0,O$7)</f>
        <v>0</v>
      </c>
      <c r="P241" s="1231">
        <f ca="1">OFFSET($CQ241,0,P$7)+OFFSET($CR241,0,P$7)+OFFSET($CS241,0,P$7)+OFFSET($CT241,0,P$7)</f>
        <v>0</v>
      </c>
      <c r="Q241" s="1231">
        <f ca="1">OFFSET($CQ241,0,Q$7)+OFFSET($CR241,0,Q$7)+OFFSET($CS241,0,Q$7)+OFFSET($CT241,0,Q$7)</f>
        <v>0</v>
      </c>
      <c r="R241" s="1231"/>
      <c r="S241" s="1231"/>
      <c r="T241" s="1231"/>
      <c r="U241" s="1231"/>
      <c r="V241" s="1231"/>
      <c r="W241" s="1231"/>
      <c r="X241" s="1231"/>
      <c r="Y241" s="1231"/>
      <c r="Z241" s="1231"/>
      <c r="AA241" s="1231"/>
      <c r="AB241" s="1231"/>
      <c r="AC241" s="1231"/>
      <c r="AD241" s="1231"/>
      <c r="AE241" s="1231"/>
      <c r="AF241" s="1231"/>
      <c r="AG241" s="1231">
        <f ca="1">OFFSET($CQ241,0,AG$7)</f>
        <v>0</v>
      </c>
      <c r="AH241" s="1231">
        <f ca="1">OFFSET($CQ241,0,AH$7)+OFFSET($CR241,0,AH$7)</f>
        <v>0</v>
      </c>
      <c r="AI241" s="1231">
        <f ca="1">OFFSET($CQ241,0,AI$7)+OFFSET($CR241,0,AI$7)+OFFSET($CS241,0,AI$7)</f>
        <v>0</v>
      </c>
      <c r="AJ241" s="1231">
        <f ca="1">OFFSET($CQ241,0,AJ$7)+OFFSET($CR241,0,AJ$7)+OFFSET($CS241,0,AJ$7)+OFFSET($CT241,0,AJ$7)</f>
        <v>0</v>
      </c>
      <c r="AK241" s="1231">
        <f ca="1">OFFSET($CQ241,0,AK$7)</f>
        <v>0</v>
      </c>
      <c r="AL241" s="1231">
        <f ca="1">OFFSET($CQ241,0,AL$7)+OFFSET($CR241,0,AL$7)</f>
        <v>0</v>
      </c>
      <c r="AM241" s="1231">
        <f ca="1">OFFSET($CQ241,0,AM$7)+OFFSET($CR241,0,AM$7)+OFFSET($CS241,0,AM$7)</f>
        <v>0</v>
      </c>
      <c r="AN241" s="1231">
        <f ca="1">OFFSET($CQ241,0,AN$7)+OFFSET($CR241,0,AN$7)+OFFSET($CS241,0,AN$7)+OFFSET($CT241,0,AN$7)</f>
        <v>0</v>
      </c>
      <c r="AO241" s="1231">
        <f ca="1">OFFSET($CQ241,0,AO$7)</f>
        <v>0</v>
      </c>
      <c r="AP241" s="1231">
        <f ca="1">OFFSET($CQ241,0,AP$7)+OFFSET($CR241,0,AP$7)</f>
        <v>0</v>
      </c>
      <c r="AQ241" s="1231">
        <f ca="1">OFFSET($CQ241,0,AQ$7)+OFFSET($CR241,0,AQ$7)+OFFSET($CS241,0,AQ$7)</f>
        <v>0</v>
      </c>
      <c r="AR241" s="1231">
        <f ca="1">OFFSET($CQ241,0,AR$7)+OFFSET($CR241,0,AR$7)+OFFSET($CS241,0,AR$7)+OFFSET($CT241,0,AR$7)</f>
        <v>0</v>
      </c>
      <c r="AS241" s="1231">
        <f ca="1">OFFSET($CQ241,0,AS$7)</f>
        <v>0</v>
      </c>
      <c r="AT241" s="1231">
        <f ca="1">OFFSET($CQ241,0,AT$7)+OFFSET($CR241,0,AT$7)</f>
        <v>0</v>
      </c>
      <c r="AU241" s="1231">
        <f ca="1">OFFSET($CQ241,0,AU$7)+OFFSET($CR241,0,AU$7)+OFFSET($CS241,0,AU$7)</f>
        <v>0</v>
      </c>
      <c r="AV241" s="1231">
        <f ca="1">OFFSET($CQ241,0,AV$7)+OFFSET($CR241,0,AV$7)+OFFSET($CS241,0,AV$7)+OFFSET($CT241,0,AV$7)</f>
        <v>0</v>
      </c>
      <c r="AW241" s="1231">
        <f ca="1">OFFSET($CQ241,0,AW$7)</f>
        <v>0</v>
      </c>
      <c r="AX241" s="1231">
        <f ca="1">OFFSET($CQ241,0,AX$7)+OFFSET($CR241,0,AX$7)</f>
        <v>0</v>
      </c>
      <c r="AY241" s="1231">
        <f ca="1">OFFSET($CQ241,0,AY$7)+OFFSET($CR241,0,AY$7)+OFFSET($CS241,0,AY$7)</f>
        <v>0</v>
      </c>
      <c r="AZ241" s="1231">
        <f ca="1">OFFSET($CQ241,0,AZ$7)+OFFSET($CR241,0,AZ$7)+OFFSET($CS241,0,AZ$7)+OFFSET($CT241,0,AZ$7)</f>
        <v>0</v>
      </c>
      <c r="BA241" s="1231">
        <f ca="1">OFFSET($CQ241,0,BA$7)</f>
        <v>0</v>
      </c>
      <c r="BB241" s="1231">
        <f ca="1">OFFSET($CQ241,0,BB$7)+OFFSET($CR241,0,BB$7)</f>
        <v>0</v>
      </c>
      <c r="BC241" s="1231">
        <f ca="1">OFFSET($CQ241,0,BC$7)+OFFSET($CR241,0,BC$7)+OFFSET($CS241,0,BC$7)</f>
        <v>0</v>
      </c>
      <c r="BD241" s="1231">
        <f ca="1">OFFSET($CQ241,0,BD$7)+OFFSET($CR241,0,BD$7)+OFFSET($CS241,0,BD$7)+OFFSET($CT241,0,BD$7)</f>
        <v>0</v>
      </c>
      <c r="BE241" s="1231">
        <f ca="1">OFFSET($CQ241,0,BE$7)</f>
        <v>0</v>
      </c>
      <c r="BF241" s="1231">
        <f ca="1">OFFSET($CQ241,0,BF$7)+OFFSET($CR241,0,BF$7)</f>
        <v>0</v>
      </c>
      <c r="BG241" s="1231">
        <f ca="1">OFFSET($CQ241,0,BG$7)+OFFSET($CR241,0,BG$7)+OFFSET($CS241,0,BG$7)</f>
        <v>0</v>
      </c>
      <c r="BH241" s="1231">
        <f ca="1">OFFSET($CQ241,0,BH$7)+OFFSET($CR241,0,BH$7)+OFFSET($CS241,0,BH$7)+OFFSET($CT241,0,BH$7)</f>
        <v>0</v>
      </c>
      <c r="BI241" s="1231">
        <f ca="1">OFFSET($CQ241,0,BI$7)</f>
        <v>0</v>
      </c>
      <c r="BJ241" s="1231">
        <f ca="1">OFFSET($CQ241,0,BJ$7)+OFFSET($CR241,0,BJ$7)</f>
        <v>0</v>
      </c>
      <c r="BK241" s="1231">
        <f ca="1">OFFSET($CQ241,0,BK$7)+OFFSET($CR241,0,BK$7)+OFFSET($CS241,0,BK$7)</f>
        <v>0</v>
      </c>
      <c r="BL241" s="1231">
        <f ca="1">OFFSET($CQ241,0,BL$7)+OFFSET($CR241,0,BL$7)+OFFSET($CS241,0,BL$7)+OFFSET($CT241,0,BL$7)</f>
        <v>0</v>
      </c>
      <c r="BM241" s="1231">
        <f ca="1">OFFSET($CQ241,0,BM$7)</f>
        <v>0</v>
      </c>
      <c r="BN241" s="1231">
        <f ca="1">OFFSET($CQ241,0,BN$7)+OFFSET($CR241,0,BN$7)</f>
        <v>0</v>
      </c>
      <c r="BO241" s="1231">
        <f ca="1">OFFSET($CQ241,0,BO$7)+OFFSET($CR241,0,BO$7)+OFFSET($CS241,0,BO$7)</f>
        <v>0</v>
      </c>
      <c r="BP241" s="1231">
        <f ca="1">OFFSET($CQ241,0,BP$7)+OFFSET($CR241,0,BP$7)+OFFSET($CS241,0,BP$7)+OFFSET($CT241,0,BP$7)</f>
        <v>0</v>
      </c>
      <c r="BQ241" s="1231">
        <f ca="1">OFFSET($CQ241,0,BQ$7)</f>
        <v>0</v>
      </c>
      <c r="BR241" s="1231">
        <f ca="1">OFFSET($CQ241,0,BR$7)+OFFSET($CR241,0,BR$7)</f>
        <v>0</v>
      </c>
      <c r="BS241" s="1231">
        <f ca="1">OFFSET($CQ241,0,BS$7)+OFFSET($CR241,0,BS$7)+OFFSET($CS241,0,BS$7)</f>
        <v>0</v>
      </c>
      <c r="BT241" s="1231">
        <f ca="1">OFFSET($CQ241,0,BT$7)+OFFSET($CR241,0,BT$7)+OFFSET($CS241,0,BT$7)+OFFSET($CT241,0,BT$7)</f>
        <v>0</v>
      </c>
      <c r="BU241" s="1231">
        <f ca="1">OFFSET($CQ241,0,BU$7)</f>
        <v>0</v>
      </c>
      <c r="BV241" s="1231">
        <f ca="1">OFFSET($CQ241,0,BV$7)+OFFSET($CR241,0,BV$7)</f>
        <v>0</v>
      </c>
      <c r="BW241" s="1231">
        <f ca="1">OFFSET($CQ241,0,BW$7)+OFFSET($CR241,0,BW$7)+OFFSET($CS241,0,BW$7)</f>
        <v>0</v>
      </c>
      <c r="BX241" s="1231">
        <f ca="1">OFFSET($CQ241,0,BX$7)+OFFSET($CR241,0,BX$7)+OFFSET($CS241,0,BX$7)+OFFSET($CT241,0,BX$7)</f>
        <v>0</v>
      </c>
      <c r="BY241" s="1231">
        <f ca="1">OFFSET($CQ241,0,BY$7)</f>
        <v>0</v>
      </c>
      <c r="BZ241" s="1231">
        <f ca="1">OFFSET($CQ241,0,BZ$7)+OFFSET($CR241,0,BZ$7)</f>
        <v>0</v>
      </c>
      <c r="CA241" s="1231">
        <f ca="1">OFFSET($CQ241,0,CA$7)+OFFSET($CR241,0,CA$7)+OFFSET($CS241,0,CA$7)</f>
        <v>0</v>
      </c>
      <c r="CB241" s="1231">
        <f ca="1">OFFSET($CQ241,0,CB$7)+OFFSET($CR241,0,CB$7)+OFFSET($CS241,0,CB$7)+OFFSET($CT241,0,CB$7)</f>
        <v>0</v>
      </c>
      <c r="CC241" s="1231">
        <f ca="1">OFFSET($CQ241,0,CC$7)</f>
        <v>0</v>
      </c>
      <c r="CD241" s="1231">
        <f ca="1">OFFSET($CQ241,0,CD$7)+OFFSET($CR241,0,CD$7)</f>
        <v>0</v>
      </c>
      <c r="CE241" s="1231">
        <f ca="1">OFFSET($CQ241,0,CE$7)+OFFSET($CR241,0,CE$7)+OFFSET($CS241,0,CE$7)</f>
        <v>0</v>
      </c>
      <c r="CF241" s="1231">
        <f ca="1">OFFSET($CQ241,0,CF$7)+OFFSET($CR241,0,CF$7)+OFFSET($CS241,0,CF$7)+OFFSET($CT241,0,CF$7)</f>
        <v>0</v>
      </c>
      <c r="CG241" s="1231">
        <f ca="1">OFFSET($CQ241,0,CG$7)</f>
        <v>0</v>
      </c>
      <c r="CH241" s="1231">
        <f ca="1">OFFSET($CQ241,0,CH$7)+OFFSET($CR241,0,CH$7)</f>
        <v>0</v>
      </c>
      <c r="CI241" s="1231">
        <f ca="1">OFFSET($CQ241,0,CI$7)+OFFSET($CR241,0,CI$7)+OFFSET($CS241,0,CI$7)</f>
        <v>0</v>
      </c>
      <c r="CJ241" s="1231">
        <f ca="1">OFFSET($CQ241,0,CJ$7)+OFFSET($CR241,0,CJ$7)+OFFSET($CS241,0,CJ$7)+OFFSET($CT241,0,CJ$7)</f>
        <v>0</v>
      </c>
      <c r="CK241" s="1231"/>
      <c r="CL241" s="1231"/>
      <c r="CM241" s="1231"/>
      <c r="CN241" s="1231"/>
      <c r="CO241" s="1165"/>
      <c r="CP241" s="1165"/>
      <c r="CQ241" s="1231"/>
      <c r="CR241" s="1231"/>
      <c r="CS241" s="1231"/>
      <c r="CT241" s="1231"/>
      <c r="CU241" s="1231"/>
      <c r="CV241" s="1231"/>
      <c r="CW241" s="1231"/>
      <c r="CX241" s="1231"/>
      <c r="CY241" s="1231"/>
      <c r="CZ241" s="1231"/>
      <c r="DA241" s="1231"/>
      <c r="DB241" s="1231"/>
      <c r="DC241" s="1231"/>
      <c r="DD241" s="1231"/>
      <c r="DE241" s="1231"/>
      <c r="DF241" s="1231"/>
      <c r="DG241" s="1231"/>
      <c r="DH241" s="1231"/>
      <c r="DI241" s="1231"/>
      <c r="DJ241" s="1231"/>
      <c r="DK241" s="1231"/>
      <c r="DL241" s="1231"/>
      <c r="DM241" s="1231"/>
      <c r="DN241" s="1231"/>
      <c r="DO241" s="1231"/>
      <c r="DP241" s="1231"/>
      <c r="DQ241" s="1231"/>
      <c r="DR241" s="1231"/>
      <c r="DS241" s="1231"/>
      <c r="DT241" s="1231"/>
      <c r="DU241" s="1231"/>
      <c r="DV241" s="1231"/>
      <c r="DW241" s="1231"/>
      <c r="DX241" s="1231"/>
      <c r="DY241" s="1231"/>
      <c r="DZ241" s="1231"/>
      <c r="EA241" s="1231"/>
      <c r="EB241" s="1231"/>
      <c r="EC241" s="1231"/>
      <c r="ED241" s="1231"/>
      <c r="EE241" s="1231"/>
      <c r="EF241" s="1231"/>
      <c r="EG241" s="1231"/>
      <c r="EH241" s="1231"/>
      <c r="EI241" s="1231"/>
      <c r="EJ241" s="1231"/>
      <c r="EK241" s="1231"/>
      <c r="EL241" s="1231"/>
      <c r="EM241" s="1231"/>
      <c r="EN241" s="1231"/>
      <c r="EO241" s="1231"/>
      <c r="EP241" s="1231"/>
      <c r="EQ241" s="1231"/>
      <c r="ER241" s="1231"/>
      <c r="ES241" s="1231"/>
      <c r="ET241" s="1231"/>
      <c r="EU241" s="1231"/>
      <c r="EV241" s="1231"/>
      <c r="EW241" s="1231"/>
      <c r="EX241" s="1231"/>
      <c r="EY241" s="1231"/>
      <c r="EZ241" s="1231"/>
      <c r="FA241" s="1231"/>
      <c r="FB241" s="1231"/>
      <c r="FC241" s="1231"/>
      <c r="FD241" s="1231"/>
      <c r="FE241" s="1231"/>
      <c r="FF241" s="1231"/>
    </row>
    <row r="242" spans="1:162">
      <c r="A242" s="1224"/>
      <c r="CO242" s="1165"/>
      <c r="CP242" s="1165"/>
      <c r="CQ242" s="1165"/>
      <c r="CR242" s="1165"/>
      <c r="CS242" s="1165"/>
      <c r="CT242" s="1165"/>
      <c r="CU242" s="1165"/>
      <c r="CV242" s="1165"/>
      <c r="CW242" s="1165"/>
      <c r="CX242" s="1165"/>
      <c r="CY242" s="1165"/>
      <c r="CZ242" s="1165"/>
      <c r="DA242" s="1165"/>
      <c r="DB242" s="1165"/>
      <c r="DC242" s="1165"/>
      <c r="DD242" s="1165"/>
      <c r="DE242" s="1165"/>
      <c r="DF242" s="1165"/>
      <c r="DG242" s="1165"/>
      <c r="DH242" s="1165"/>
      <c r="DI242" s="1165"/>
      <c r="DJ242" s="1165"/>
      <c r="DK242" s="1165"/>
      <c r="DL242" s="1165"/>
      <c r="DM242" s="1165"/>
      <c r="DN242" s="1165"/>
      <c r="DO242" s="1165"/>
      <c r="DP242" s="1165"/>
      <c r="DQ242" s="1165"/>
      <c r="DR242" s="1165"/>
      <c r="DS242" s="1165"/>
      <c r="DT242" s="1165"/>
      <c r="DU242" s="1165"/>
      <c r="DV242" s="1165"/>
      <c r="DW242" s="1165"/>
      <c r="DX242" s="1165"/>
      <c r="DY242" s="1165"/>
      <c r="DZ242" s="1165"/>
      <c r="EA242" s="1165"/>
      <c r="EB242" s="1165"/>
      <c r="EC242" s="1165"/>
      <c r="ED242" s="1165"/>
      <c r="EE242" s="1165"/>
      <c r="EF242" s="1165"/>
      <c r="EG242" s="1165"/>
      <c r="EH242" s="1165"/>
      <c r="EI242" s="1165"/>
      <c r="EJ242" s="1165"/>
      <c r="EK242" s="1165"/>
      <c r="EL242" s="1165"/>
      <c r="EM242" s="1165"/>
      <c r="EN242" s="1165"/>
      <c r="EO242" s="1165"/>
      <c r="EP242" s="1165"/>
      <c r="EQ242" s="1165"/>
      <c r="ER242" s="1165"/>
      <c r="ES242" s="1165"/>
      <c r="ET242" s="1165"/>
      <c r="EU242" s="1165"/>
      <c r="EV242" s="1165"/>
      <c r="EW242" s="1165"/>
      <c r="EX242" s="1165"/>
      <c r="EY242" s="1165"/>
      <c r="EZ242" s="1165"/>
      <c r="FA242" s="1165"/>
      <c r="FB242" s="1165"/>
      <c r="FC242" s="1165"/>
      <c r="FD242" s="1165"/>
      <c r="FE242" s="1165"/>
      <c r="FF242" s="1165"/>
    </row>
    <row r="243" spans="1:162">
      <c r="A243" s="1224"/>
      <c r="B243" s="1237" t="s">
        <v>136</v>
      </c>
      <c r="AG243" s="1236">
        <f ca="1">OFFSET($CQ243,0,AG$7)</f>
        <v>0</v>
      </c>
      <c r="AH243" s="1236">
        <f ca="1">OFFSET($CQ243,0,AH$7)+OFFSET($CR243,0,AH$7)</f>
        <v>0</v>
      </c>
      <c r="AI243" s="1236">
        <f ca="1">OFFSET($CQ243,0,AI$7)+OFFSET($CR243,0,AI$7)+OFFSET($CS243,0,AI$7)</f>
        <v>0</v>
      </c>
      <c r="AJ243" s="1236">
        <f ca="1">OFFSET($CQ243,0,AJ$7)+OFFSET($CR243,0,AJ$7)+OFFSET($CS243,0,AJ$7)+OFFSET($CT243,0,AJ$7)</f>
        <v>0</v>
      </c>
      <c r="AK243" s="1236">
        <f ca="1">OFFSET($CQ243,0,AK$7)</f>
        <v>0</v>
      </c>
      <c r="AL243" s="1236">
        <f ca="1">OFFSET($CQ243,0,AL$7)+OFFSET($CR243,0,AL$7)</f>
        <v>0</v>
      </c>
      <c r="AM243" s="1236">
        <f ca="1">OFFSET($CQ243,0,AM$7)+OFFSET($CR243,0,AM$7)+OFFSET($CS243,0,AM$7)</f>
        <v>0</v>
      </c>
      <c r="AN243" s="1236">
        <f ca="1">OFFSET($CQ243,0,AN$7)+OFFSET($CR243,0,AN$7)+OFFSET($CS243,0,AN$7)+OFFSET($CT243,0,AN$7)</f>
        <v>0</v>
      </c>
      <c r="AO243" s="1236">
        <f ca="1">OFFSET($CQ243,0,AO$7)</f>
        <v>0</v>
      </c>
      <c r="AP243" s="1236">
        <f ca="1">OFFSET($CQ243,0,AP$7)+OFFSET($CR243,0,AP$7)</f>
        <v>0</v>
      </c>
      <c r="AQ243" s="1236">
        <f ca="1">OFFSET($CQ243,0,AQ$7)+OFFSET($CR243,0,AQ$7)+OFFSET($CS243,0,AQ$7)</f>
        <v>0</v>
      </c>
      <c r="AR243" s="1236">
        <f ca="1">OFFSET($CQ243,0,AR$7)+OFFSET($CR243,0,AR$7)+OFFSET($CS243,0,AR$7)+OFFSET($CT243,0,AR$7)</f>
        <v>0</v>
      </c>
      <c r="AS243" s="1236">
        <f ca="1">OFFSET($CQ243,0,AS$7)</f>
        <v>0</v>
      </c>
      <c r="AT243" s="1236">
        <f ca="1">OFFSET($CQ243,0,AT$7)+OFFSET($CR243,0,AT$7)</f>
        <v>0</v>
      </c>
      <c r="AU243" s="1236">
        <f ca="1">OFFSET($CQ243,0,AU$7)+OFFSET($CR243,0,AU$7)+OFFSET($CS243,0,AU$7)</f>
        <v>0</v>
      </c>
      <c r="AV243" s="1236">
        <f ca="1">OFFSET($CQ243,0,AV$7)+OFFSET($CR243,0,AV$7)+OFFSET($CS243,0,AV$7)+OFFSET($CT243,0,AV$7)</f>
        <v>0</v>
      </c>
      <c r="AW243" s="1236">
        <f ca="1">OFFSET($CQ243,0,AW$7)</f>
        <v>0</v>
      </c>
      <c r="AX243" s="1236">
        <f ca="1">OFFSET($CQ243,0,AX$7)+OFFSET($CR243,0,AX$7)</f>
        <v>0</v>
      </c>
      <c r="AY243" s="1236">
        <f ca="1">OFFSET($CQ243,0,AY$7)+OFFSET($CR243,0,AY$7)+OFFSET($CS243,0,AY$7)</f>
        <v>0</v>
      </c>
      <c r="AZ243" s="1236">
        <f ca="1">OFFSET($CQ243,0,AZ$7)+OFFSET($CR243,0,AZ$7)+OFFSET($CS243,0,AZ$7)+OFFSET($CT243,0,AZ$7)</f>
        <v>0</v>
      </c>
      <c r="BA243" s="1236">
        <f ca="1">OFFSET($CQ243,0,BA$7)</f>
        <v>0</v>
      </c>
      <c r="BB243" s="1236">
        <f ca="1">OFFSET($CQ243,0,BB$7)+OFFSET($CR243,0,BB$7)</f>
        <v>0</v>
      </c>
      <c r="BC243" s="1236">
        <f ca="1">OFFSET($CQ243,0,BC$7)+OFFSET($CR243,0,BC$7)+OFFSET($CS243,0,BC$7)</f>
        <v>0</v>
      </c>
      <c r="BD243" s="1236">
        <f ca="1">OFFSET($CQ243,0,BD$7)+OFFSET($CR243,0,BD$7)+OFFSET($CS243,0,BD$7)+OFFSET($CT243,0,BD$7)</f>
        <v>0</v>
      </c>
      <c r="BE243" s="1236">
        <f ca="1">OFFSET($CQ243,0,BE$7)</f>
        <v>0</v>
      </c>
      <c r="BF243" s="1236">
        <f ca="1">OFFSET($CQ243,0,BF$7)+OFFSET($CR243,0,BF$7)</f>
        <v>0</v>
      </c>
      <c r="BG243" s="1236">
        <f ca="1">OFFSET($CQ243,0,BG$7)+OFFSET($CR243,0,BG$7)+OFFSET($CS243,0,BG$7)</f>
        <v>0</v>
      </c>
      <c r="BH243" s="1236">
        <f ca="1">OFFSET($CQ243,0,BH$7)+OFFSET($CR243,0,BH$7)+OFFSET($CS243,0,BH$7)+OFFSET($CT243,0,BH$7)</f>
        <v>0</v>
      </c>
      <c r="BI243" s="1236">
        <f ca="1">OFFSET($CQ243,0,BI$7)</f>
        <v>0</v>
      </c>
      <c r="BJ243" s="1236">
        <f ca="1">OFFSET($CQ243,0,BJ$7)+OFFSET($CR243,0,BJ$7)</f>
        <v>0</v>
      </c>
      <c r="BK243" s="1236">
        <f ca="1">OFFSET($CQ243,0,BK$7)+OFFSET($CR243,0,BK$7)+OFFSET($CS243,0,BK$7)</f>
        <v>0</v>
      </c>
      <c r="BL243" s="1236">
        <f ca="1">OFFSET($CQ243,0,BL$7)+OFFSET($CR243,0,BL$7)+OFFSET($CS243,0,BL$7)+OFFSET($CT243,0,BL$7)</f>
        <v>0</v>
      </c>
      <c r="BM243" s="1236">
        <f ca="1">OFFSET($CQ243,0,BM$7)</f>
        <v>0</v>
      </c>
      <c r="BN243" s="1236">
        <f ca="1">OFFSET($CQ243,0,BN$7)+OFFSET($CR243,0,BN$7)</f>
        <v>0</v>
      </c>
      <c r="BO243" s="1236">
        <f ca="1">OFFSET($CQ243,0,BO$7)+OFFSET($CR243,0,BO$7)+OFFSET($CS243,0,BO$7)</f>
        <v>0</v>
      </c>
      <c r="BP243" s="1236">
        <f ca="1">OFFSET($CQ243,0,BP$7)+OFFSET($CR243,0,BP$7)+OFFSET($CS243,0,BP$7)+OFFSET($CT243,0,BP$7)</f>
        <v>0</v>
      </c>
      <c r="BQ243" s="1236">
        <f ca="1">OFFSET($CQ243,0,BQ$7)</f>
        <v>0</v>
      </c>
      <c r="BR243" s="1236">
        <f ca="1">OFFSET($CQ243,0,BR$7)+OFFSET($CR243,0,BR$7)</f>
        <v>0</v>
      </c>
      <c r="BS243" s="1236">
        <f ca="1">OFFSET($CQ243,0,BS$7)+OFFSET($CR243,0,BS$7)+OFFSET($CS243,0,BS$7)</f>
        <v>0</v>
      </c>
      <c r="BT243" s="1236">
        <f ca="1">OFFSET($CQ243,0,BT$7)+OFFSET($CR243,0,BT$7)+OFFSET($CS243,0,BT$7)+OFFSET($CT243,0,BT$7)</f>
        <v>0</v>
      </c>
      <c r="BU243" s="1236">
        <f ca="1">OFFSET($CQ243,0,BU$7)</f>
        <v>0</v>
      </c>
      <c r="BV243" s="1236">
        <f ca="1">OFFSET($CQ243,0,BV$7)+OFFSET($CR243,0,BV$7)</f>
        <v>0</v>
      </c>
      <c r="BW243" s="1236">
        <f ca="1">OFFSET($CQ243,0,BW$7)+OFFSET($CR243,0,BW$7)+OFFSET($CS243,0,BW$7)</f>
        <v>0</v>
      </c>
      <c r="BX243" s="1236">
        <f ca="1">OFFSET($CQ243,0,BX$7)+OFFSET($CR243,0,BX$7)+OFFSET($CS243,0,BX$7)+OFFSET($CT243,0,BX$7)</f>
        <v>0</v>
      </c>
      <c r="BY243" s="1236">
        <f ca="1">OFFSET($CQ243,0,BY$7)</f>
        <v>0</v>
      </c>
      <c r="BZ243" s="1236">
        <f ca="1">OFFSET($CQ243,0,BZ$7)+OFFSET($CR243,0,BZ$7)</f>
        <v>0</v>
      </c>
      <c r="CA243" s="1236">
        <f ca="1">OFFSET($CQ243,0,CA$7)+OFFSET($CR243,0,CA$7)+OFFSET($CS243,0,CA$7)</f>
        <v>0</v>
      </c>
      <c r="CB243" s="1236">
        <f ca="1">OFFSET($CQ243,0,CB$7)+OFFSET($CR243,0,CB$7)+OFFSET($CS243,0,CB$7)+OFFSET($CT243,0,CB$7)</f>
        <v>0</v>
      </c>
      <c r="CC243" s="1236">
        <f ca="1">OFFSET($CQ243,0,CC$7)</f>
        <v>0</v>
      </c>
      <c r="CD243" s="1236">
        <f ca="1">OFFSET($CQ243,0,CD$7)+OFFSET($CR243,0,CD$7)</f>
        <v>0</v>
      </c>
      <c r="CE243" s="1236">
        <f ca="1">OFFSET($CQ243,0,CE$7)+OFFSET($CR243,0,CE$7)+OFFSET($CS243,0,CE$7)</f>
        <v>0</v>
      </c>
      <c r="CF243" s="1236">
        <f ca="1">OFFSET($CQ243,0,CF$7)+OFFSET($CR243,0,CF$7)+OFFSET($CS243,0,CF$7)+OFFSET($CT243,0,CF$7)</f>
        <v>0</v>
      </c>
      <c r="CG243" s="1236">
        <f ca="1">OFFSET($CQ243,0,CG$7)</f>
        <v>0</v>
      </c>
      <c r="CH243" s="1236">
        <f ca="1">OFFSET($CQ243,0,CH$7)+OFFSET($CR243,0,CH$7)</f>
        <v>0</v>
      </c>
      <c r="CI243" s="1236">
        <f ca="1">OFFSET($CQ243,0,CI$7)+OFFSET($CR243,0,CI$7)+OFFSET($CS243,0,CI$7)</f>
        <v>0</v>
      </c>
      <c r="CJ243" s="1236">
        <f ca="1">OFFSET($CQ243,0,CJ$7)+OFFSET($CR243,0,CJ$7)+OFFSET($CS243,0,CJ$7)+OFFSET($CT243,0,CJ$7)</f>
        <v>0</v>
      </c>
      <c r="CO243" s="1165"/>
      <c r="CP243" s="1165"/>
      <c r="CQ243" s="1231"/>
      <c r="CR243" s="1231"/>
      <c r="CS243" s="1231"/>
      <c r="CT243" s="1231"/>
      <c r="CU243" s="1231"/>
      <c r="CV243" s="1231"/>
      <c r="CW243" s="1231"/>
      <c r="CX243" s="1231"/>
      <c r="CY243" s="1231"/>
      <c r="CZ243" s="1231"/>
      <c r="DA243" s="1231"/>
      <c r="DB243" s="1231"/>
      <c r="DC243" s="1231"/>
      <c r="DD243" s="1231"/>
      <c r="DE243" s="1231"/>
      <c r="DF243" s="1231"/>
      <c r="DG243" s="1231"/>
      <c r="DH243" s="1231"/>
      <c r="DI243" s="1231"/>
      <c r="DJ243" s="1231"/>
      <c r="DK243" s="1231"/>
      <c r="DL243" s="1231"/>
      <c r="DM243" s="1231"/>
      <c r="DN243" s="1231"/>
      <c r="DO243" s="1231"/>
      <c r="DP243" s="1231"/>
      <c r="DQ243" s="1231"/>
      <c r="DR243" s="1231"/>
      <c r="DS243" s="1231"/>
      <c r="DT243" s="1231"/>
      <c r="DU243" s="1231"/>
      <c r="DV243" s="1231"/>
      <c r="DW243" s="1231"/>
      <c r="DX243" s="1231"/>
      <c r="DY243" s="1231"/>
      <c r="DZ243" s="1231"/>
      <c r="EA243" s="1231"/>
      <c r="EB243" s="1231"/>
      <c r="EC243" s="1231"/>
      <c r="ED243" s="1231"/>
      <c r="EE243" s="1231"/>
      <c r="EF243" s="1231"/>
      <c r="EG243" s="1231"/>
      <c r="EH243" s="1231"/>
      <c r="EI243" s="1231"/>
      <c r="EJ243" s="1231"/>
      <c r="EK243" s="1231"/>
      <c r="EL243" s="1231"/>
      <c r="EM243" s="1231"/>
      <c r="EN243" s="1231"/>
      <c r="EO243" s="1231"/>
      <c r="EP243" s="1231"/>
      <c r="EQ243" s="1231"/>
      <c r="ER243" s="1231"/>
      <c r="ES243" s="1231"/>
      <c r="ET243" s="1231"/>
      <c r="EU243" s="1231"/>
      <c r="EV243" s="1231"/>
      <c r="EW243" s="1231"/>
      <c r="EX243" s="1231"/>
      <c r="EY243" s="1231"/>
      <c r="EZ243" s="1231"/>
      <c r="FA243" s="1231"/>
      <c r="FB243" s="1231"/>
      <c r="FC243" s="1231"/>
      <c r="FD243" s="1231"/>
      <c r="FE243" s="1231"/>
      <c r="FF243" s="1231"/>
    </row>
    <row r="244" spans="1:162">
      <c r="A244" s="1224"/>
      <c r="B244" s="1237" t="s">
        <v>118</v>
      </c>
      <c r="AG244" s="1236">
        <f ca="1">OFFSET($CQ244,0,AG$7)</f>
        <v>0</v>
      </c>
      <c r="AH244" s="1236">
        <f ca="1">OFFSET($CQ244,0,AH$7)+OFFSET($CR244,0,AH$7)</f>
        <v>0</v>
      </c>
      <c r="AI244" s="1236">
        <f ca="1">OFFSET($CQ244,0,AI$7)+OFFSET($CR244,0,AI$7)+OFFSET($CS244,0,AI$7)</f>
        <v>0</v>
      </c>
      <c r="AJ244" s="1236">
        <f ca="1">OFFSET($CQ244,0,AJ$7)+OFFSET($CR244,0,AJ$7)+OFFSET($CS244,0,AJ$7)+OFFSET($CT244,0,AJ$7)</f>
        <v>0</v>
      </c>
      <c r="AK244" s="1236">
        <f ca="1">OFFSET($CQ244,0,AK$7)</f>
        <v>0</v>
      </c>
      <c r="AL244" s="1236">
        <f ca="1">OFFSET($CQ244,0,AL$7)+OFFSET($CR244,0,AL$7)</f>
        <v>0</v>
      </c>
      <c r="AM244" s="1236">
        <f ca="1">OFFSET($CQ244,0,AM$7)+OFFSET($CR244,0,AM$7)+OFFSET($CS244,0,AM$7)</f>
        <v>0</v>
      </c>
      <c r="AN244" s="1236">
        <f ca="1">OFFSET($CQ244,0,AN$7)+OFFSET($CR244,0,AN$7)+OFFSET($CS244,0,AN$7)+OFFSET($CT244,0,AN$7)</f>
        <v>0</v>
      </c>
      <c r="AO244" s="1236">
        <f ca="1">OFFSET($CQ244,0,AO$7)</f>
        <v>0</v>
      </c>
      <c r="AP244" s="1236">
        <f ca="1">OFFSET($CQ244,0,AP$7)+OFFSET($CR244,0,AP$7)</f>
        <v>0</v>
      </c>
      <c r="AQ244" s="1236">
        <f ca="1">OFFSET($CQ244,0,AQ$7)+OFFSET($CR244,0,AQ$7)+OFFSET($CS244,0,AQ$7)</f>
        <v>0</v>
      </c>
      <c r="AR244" s="1236">
        <f ca="1">OFFSET($CQ244,0,AR$7)+OFFSET($CR244,0,AR$7)+OFFSET($CS244,0,AR$7)+OFFSET($CT244,0,AR$7)</f>
        <v>0</v>
      </c>
      <c r="AS244" s="1236">
        <f ca="1">OFFSET($CQ244,0,AS$7)</f>
        <v>0</v>
      </c>
      <c r="AT244" s="1236">
        <f ca="1">OFFSET($CQ244,0,AT$7)+OFFSET($CR244,0,AT$7)</f>
        <v>0</v>
      </c>
      <c r="AU244" s="1236">
        <f ca="1">OFFSET($CQ244,0,AU$7)+OFFSET($CR244,0,AU$7)+OFFSET($CS244,0,AU$7)</f>
        <v>0</v>
      </c>
      <c r="AV244" s="1236">
        <f ca="1">OFFSET($CQ244,0,AV$7)+OFFSET($CR244,0,AV$7)+OFFSET($CS244,0,AV$7)+OFFSET($CT244,0,AV$7)</f>
        <v>0</v>
      </c>
      <c r="AW244" s="1236">
        <f ca="1">OFFSET($CQ244,0,AW$7)</f>
        <v>0</v>
      </c>
      <c r="AX244" s="1236">
        <f ca="1">OFFSET($CQ244,0,AX$7)+OFFSET($CR244,0,AX$7)</f>
        <v>0</v>
      </c>
      <c r="AY244" s="1236">
        <f ca="1">OFFSET($CQ244,0,AY$7)+OFFSET($CR244,0,AY$7)+OFFSET($CS244,0,AY$7)</f>
        <v>0</v>
      </c>
      <c r="AZ244" s="1236">
        <f ca="1">OFFSET($CQ244,0,AZ$7)+OFFSET($CR244,0,AZ$7)+OFFSET($CS244,0,AZ$7)+OFFSET($CT244,0,AZ$7)</f>
        <v>0</v>
      </c>
      <c r="BA244" s="1236">
        <f ca="1">OFFSET($CQ244,0,BA$7)</f>
        <v>0</v>
      </c>
      <c r="BB244" s="1236">
        <f ca="1">OFFSET($CQ244,0,BB$7)+OFFSET($CR244,0,BB$7)</f>
        <v>0</v>
      </c>
      <c r="BC244" s="1236">
        <f ca="1">OFFSET($CQ244,0,BC$7)+OFFSET($CR244,0,BC$7)+OFFSET($CS244,0,BC$7)</f>
        <v>0</v>
      </c>
      <c r="BD244" s="1236">
        <f ca="1">OFFSET($CQ244,0,BD$7)+OFFSET($CR244,0,BD$7)+OFFSET($CS244,0,BD$7)+OFFSET($CT244,0,BD$7)</f>
        <v>0</v>
      </c>
      <c r="BE244" s="1236">
        <f ca="1">OFFSET($CQ244,0,BE$7)</f>
        <v>0</v>
      </c>
      <c r="BF244" s="1236">
        <f ca="1">OFFSET($CQ244,0,BF$7)+OFFSET($CR244,0,BF$7)</f>
        <v>0</v>
      </c>
      <c r="BG244" s="1236">
        <f ca="1">OFFSET($CQ244,0,BG$7)+OFFSET($CR244,0,BG$7)+OFFSET($CS244,0,BG$7)</f>
        <v>0</v>
      </c>
      <c r="BH244" s="1236">
        <f ca="1">OFFSET($CQ244,0,BH$7)+OFFSET($CR244,0,BH$7)+OFFSET($CS244,0,BH$7)+OFFSET($CT244,0,BH$7)</f>
        <v>0</v>
      </c>
      <c r="BI244" s="1236">
        <f ca="1">OFFSET($CQ244,0,BI$7)</f>
        <v>0</v>
      </c>
      <c r="BJ244" s="1236">
        <f ca="1">OFFSET($CQ244,0,BJ$7)+OFFSET($CR244,0,BJ$7)</f>
        <v>0</v>
      </c>
      <c r="BK244" s="1236">
        <f ca="1">OFFSET($CQ244,0,BK$7)+OFFSET($CR244,0,BK$7)+OFFSET($CS244,0,BK$7)</f>
        <v>0</v>
      </c>
      <c r="BL244" s="1236">
        <f ca="1">OFFSET($CQ244,0,BL$7)+OFFSET($CR244,0,BL$7)+OFFSET($CS244,0,BL$7)+OFFSET($CT244,0,BL$7)</f>
        <v>0</v>
      </c>
      <c r="BM244" s="1236">
        <f ca="1">OFFSET($CQ244,0,BM$7)</f>
        <v>0</v>
      </c>
      <c r="BN244" s="1236">
        <f ca="1">OFFSET($CQ244,0,BN$7)+OFFSET($CR244,0,BN$7)</f>
        <v>0</v>
      </c>
      <c r="BO244" s="1236">
        <f ca="1">OFFSET($CQ244,0,BO$7)+OFFSET($CR244,0,BO$7)+OFFSET($CS244,0,BO$7)</f>
        <v>0</v>
      </c>
      <c r="BP244" s="1236">
        <f ca="1">OFFSET($CQ244,0,BP$7)+OFFSET($CR244,0,BP$7)+OFFSET($CS244,0,BP$7)+OFFSET($CT244,0,BP$7)</f>
        <v>0</v>
      </c>
      <c r="BQ244" s="1236">
        <f ca="1">OFFSET($CQ244,0,BQ$7)</f>
        <v>0</v>
      </c>
      <c r="BR244" s="1236">
        <f ca="1">OFFSET($CQ244,0,BR$7)+OFFSET($CR244,0,BR$7)</f>
        <v>0</v>
      </c>
      <c r="BS244" s="1236">
        <f ca="1">OFFSET($CQ244,0,BS$7)+OFFSET($CR244,0,BS$7)+OFFSET($CS244,0,BS$7)</f>
        <v>0</v>
      </c>
      <c r="BT244" s="1236">
        <f ca="1">OFFSET($CQ244,0,BT$7)+OFFSET($CR244,0,BT$7)+OFFSET($CS244,0,BT$7)+OFFSET($CT244,0,BT$7)</f>
        <v>0</v>
      </c>
      <c r="BU244" s="1236">
        <f ca="1">OFFSET($CQ244,0,BU$7)</f>
        <v>0</v>
      </c>
      <c r="BV244" s="1236">
        <f ca="1">OFFSET($CQ244,0,BV$7)+OFFSET($CR244,0,BV$7)</f>
        <v>0</v>
      </c>
      <c r="BW244" s="1236">
        <f ca="1">OFFSET($CQ244,0,BW$7)+OFFSET($CR244,0,BW$7)+OFFSET($CS244,0,BW$7)</f>
        <v>0</v>
      </c>
      <c r="BX244" s="1236">
        <f ca="1">OFFSET($CQ244,0,BX$7)+OFFSET($CR244,0,BX$7)+OFFSET($CS244,0,BX$7)+OFFSET($CT244,0,BX$7)</f>
        <v>0</v>
      </c>
      <c r="BY244" s="1236">
        <f ca="1">OFFSET($CQ244,0,BY$7)</f>
        <v>0</v>
      </c>
      <c r="BZ244" s="1236">
        <f ca="1">OFFSET($CQ244,0,BZ$7)+OFFSET($CR244,0,BZ$7)</f>
        <v>0</v>
      </c>
      <c r="CA244" s="1236">
        <f ca="1">OFFSET($CQ244,0,CA$7)+OFFSET($CR244,0,CA$7)+OFFSET($CS244,0,CA$7)</f>
        <v>0</v>
      </c>
      <c r="CB244" s="1236">
        <f ca="1">OFFSET($CQ244,0,CB$7)+OFFSET($CR244,0,CB$7)+OFFSET($CS244,0,CB$7)+OFFSET($CT244,0,CB$7)</f>
        <v>0</v>
      </c>
      <c r="CC244" s="1236">
        <f ca="1">OFFSET($CQ244,0,CC$7)</f>
        <v>0</v>
      </c>
      <c r="CD244" s="1236">
        <f ca="1">OFFSET($CQ244,0,CD$7)+OFFSET($CR244,0,CD$7)</f>
        <v>0</v>
      </c>
      <c r="CE244" s="1236">
        <f ca="1">OFFSET($CQ244,0,CE$7)+OFFSET($CR244,0,CE$7)+OFFSET($CS244,0,CE$7)</f>
        <v>0</v>
      </c>
      <c r="CF244" s="1236">
        <f ca="1">OFFSET($CQ244,0,CF$7)+OFFSET($CR244,0,CF$7)+OFFSET($CS244,0,CF$7)+OFFSET($CT244,0,CF$7)</f>
        <v>0</v>
      </c>
      <c r="CG244" s="1236">
        <f ca="1">OFFSET($CQ244,0,CG$7)</f>
        <v>0</v>
      </c>
      <c r="CH244" s="1236">
        <f ca="1">OFFSET($CQ244,0,CH$7)+OFFSET($CR244,0,CH$7)</f>
        <v>0</v>
      </c>
      <c r="CI244" s="1236">
        <f ca="1">OFFSET($CQ244,0,CI$7)+OFFSET($CR244,0,CI$7)+OFFSET($CS244,0,CI$7)</f>
        <v>0</v>
      </c>
      <c r="CJ244" s="1236">
        <f ca="1">OFFSET($CQ244,0,CJ$7)+OFFSET($CR244,0,CJ$7)+OFFSET($CS244,0,CJ$7)+OFFSET($CT244,0,CJ$7)</f>
        <v>0</v>
      </c>
      <c r="CO244" s="1165"/>
      <c r="CP244" s="1165"/>
      <c r="CQ244" s="1165"/>
      <c r="CR244" s="1165"/>
      <c r="CS244" s="1165"/>
      <c r="CT244" s="1165"/>
      <c r="CU244" s="1165"/>
      <c r="CV244" s="1165"/>
      <c r="CW244" s="1165"/>
      <c r="CX244" s="1165"/>
    </row>
    <row r="245" spans="1:162">
      <c r="A245" s="1224"/>
      <c r="CO245" s="1165"/>
      <c r="CP245" s="1165"/>
      <c r="CQ245" s="1165"/>
      <c r="CR245" s="1165"/>
      <c r="CS245" s="1165"/>
      <c r="CT245" s="1165"/>
      <c r="CU245" s="1165"/>
      <c r="CV245" s="1165"/>
      <c r="CW245" s="1165"/>
      <c r="CX245" s="1165"/>
    </row>
    <row r="246" spans="1:162">
      <c r="A246" s="1206" t="s">
        <v>646</v>
      </c>
      <c r="B246" s="1230" t="s">
        <v>127</v>
      </c>
      <c r="C246" s="1231"/>
      <c r="D246" s="1231"/>
      <c r="E246" s="1231"/>
      <c r="F246" s="1231"/>
      <c r="G246" s="1231"/>
      <c r="H246" s="1231"/>
      <c r="I246" s="1231"/>
      <c r="J246" s="1231"/>
      <c r="K246" s="1231"/>
      <c r="L246" s="1231"/>
      <c r="M246" s="1231">
        <f ca="1">OFFSET($CQ246,0,M$7)+OFFSET($CR246,0,M$7)+OFFSET($CS246,0,M$7)+OFFSET($CT246,0,M$7)</f>
        <v>0</v>
      </c>
      <c r="N246" s="1231">
        <f ca="1">OFFSET($CQ246,0,N$7)+OFFSET($CR246,0,N$7)+OFFSET($CS246,0,N$7)+OFFSET($CT246,0,N$7)</f>
        <v>0</v>
      </c>
      <c r="O246" s="1231">
        <f ca="1">OFFSET($CQ246,0,O$7)+OFFSET($CR246,0,O$7)+OFFSET($CS246,0,O$7)+OFFSET($CT246,0,O$7)</f>
        <v>0</v>
      </c>
      <c r="P246" s="1231">
        <f ca="1">OFFSET($CQ246,0,P$7)+OFFSET($CR246,0,P$7)+OFFSET($CS246,0,P$7)+OFFSET($CT246,0,P$7)</f>
        <v>0</v>
      </c>
      <c r="Q246" s="1231">
        <f ca="1">OFFSET($CQ246,0,Q$7)+OFFSET($CR246,0,Q$7)+OFFSET($CS246,0,Q$7)+OFFSET($CT246,0,Q$7)</f>
        <v>0</v>
      </c>
      <c r="R246" s="1231">
        <f>INDEX('Basic Data TR'!$A$1:$AMJ$9673,MATCH($A246,'Basic Data TR'!$A$1:$A$9673,0),MATCH(R$6,'Basic Data TR'!$A$1:$AMJ$1,0))</f>
        <v>694.61269000000004</v>
      </c>
      <c r="S246" s="1231">
        <f>INDEX('Basic Data TR'!$A$1:$AMJ$9673,MATCH($A246,'Basic Data TR'!$A$1:$A$9673,0),MATCH(S$6,'Basic Data TR'!$A$1:$AMJ$1,0))</f>
        <v>379.36799999999999</v>
      </c>
      <c r="T246" s="1231">
        <f>INDEX('Basic Data TR'!$A$1:$AMJ$9673,MATCH($A246,'Basic Data TR'!$A$1:$A$9673,0),MATCH(T$6,'Basic Data TR'!$A$1:$AMJ$1,0))</f>
        <v>435.166</v>
      </c>
      <c r="U246" s="1231">
        <f>INDEX('Basic Data TR'!$A$1:$AMJ$9673,MATCH($A246,'Basic Data TR'!$A$1:$A$9673,0),MATCH(U$6,'Basic Data TR'!$A$1:$AMJ$1,0))</f>
        <v>738.01599999999996</v>
      </c>
      <c r="V246" s="1231">
        <f>INDEX('Basic Data TR'!$A$1:$AMJ$9673,MATCH($A246,'Basic Data TR'!$A$1:$A$9673,0),MATCH(V$6,'Basic Data TR'!$A$1:$AMJ$1,0))</f>
        <v>608.10199999999998</v>
      </c>
      <c r="W246" s="1231">
        <f>INDEX('Basic Data TR'!$A$1:$AMJ$9673,MATCH($A246,'Basic Data TR'!$A$1:$A$9673,0),MATCH(W$6,'Basic Data TR'!$A$1:$AMJ$1,0))</f>
        <v>669.197</v>
      </c>
      <c r="X246" s="1231">
        <f>INDEX('Basic Data TR'!$A$1:$AMJ$9673,MATCH($A246,'Basic Data TR'!$A$1:$A$9673,0),MATCH(X$6,'Basic Data TR'!$A$1:$AMJ$1,0))</f>
        <v>977.202</v>
      </c>
      <c r="Y246" s="1231">
        <f>INDEX('Basic Data TR'!$A$1:$AMJ$9673,MATCH($A246,'Basic Data TR'!$A$1:$A$9673,0),MATCH(Y$6,'Basic Data TR'!$A$1:$AMJ$1,0))</f>
        <v>1080.6859999999999</v>
      </c>
      <c r="Z246" s="1231">
        <v>799.42600000000004</v>
      </c>
      <c r="AA246" s="1231"/>
      <c r="AB246" s="1231"/>
      <c r="AC246" s="1231"/>
      <c r="AD246" s="1231"/>
      <c r="AE246" s="1231"/>
      <c r="AF246" s="1231"/>
      <c r="AG246" s="1231">
        <f ca="1">OFFSET($CQ246,0,AG$7)</f>
        <v>0</v>
      </c>
      <c r="AH246" s="1231">
        <f ca="1">OFFSET($CQ246,0,AH$7)+OFFSET($CR246,0,AH$7)</f>
        <v>0</v>
      </c>
      <c r="AI246" s="1231">
        <f ca="1">OFFSET($CQ246,0,AI$7)+OFFSET($CR246,0,AI$7)+OFFSET($CS246,0,AI$7)</f>
        <v>0</v>
      </c>
      <c r="AJ246" s="1231">
        <f ca="1">OFFSET($CQ246,0,AJ$7)+OFFSET($CR246,0,AJ$7)+OFFSET($CS246,0,AJ$7)+OFFSET($CT246,0,AJ$7)</f>
        <v>0</v>
      </c>
      <c r="AK246" s="1231">
        <f ca="1">OFFSET($CQ246,0,AK$7)</f>
        <v>0</v>
      </c>
      <c r="AL246" s="1231">
        <f ca="1">OFFSET($CQ246,0,AL$7)+OFFSET($CR246,0,AL$7)</f>
        <v>0</v>
      </c>
      <c r="AM246" s="1231">
        <f ca="1">OFFSET($CQ246,0,AM$7)+OFFSET($CR246,0,AM$7)+OFFSET($CS246,0,AM$7)</f>
        <v>0</v>
      </c>
      <c r="AN246" s="1231">
        <f ca="1">OFFSET($CQ246,0,AN$7)+OFFSET($CR246,0,AN$7)+OFFSET($CS246,0,AN$7)+OFFSET($CT246,0,AN$7)</f>
        <v>0</v>
      </c>
      <c r="AO246" s="1231">
        <f ca="1">OFFSET($CQ246,0,AO$7)</f>
        <v>0</v>
      </c>
      <c r="AP246" s="1231">
        <f ca="1">OFFSET($CQ246,0,AP$7)+OFFSET($CR246,0,AP$7)</f>
        <v>0</v>
      </c>
      <c r="AQ246" s="1231">
        <f ca="1">OFFSET($CQ246,0,AQ$7)+OFFSET($CR246,0,AQ$7)+OFFSET($CS246,0,AQ$7)</f>
        <v>0</v>
      </c>
      <c r="AR246" s="1231">
        <f ca="1">OFFSET($CQ246,0,AR$7)+OFFSET($CR246,0,AR$7)+OFFSET($CS246,0,AR$7)+OFFSET($CT246,0,AR$7)</f>
        <v>0</v>
      </c>
      <c r="AS246" s="1231">
        <f ca="1">OFFSET($CQ246,0,AS$7)</f>
        <v>0</v>
      </c>
      <c r="AT246" s="1231">
        <f ca="1">OFFSET($CQ246,0,AT$7)+OFFSET($CR246,0,AT$7)</f>
        <v>0</v>
      </c>
      <c r="AU246" s="1231">
        <f ca="1">OFFSET($CQ246,0,AU$7)+OFFSET($CR246,0,AU$7)+OFFSET($CS246,0,AU$7)</f>
        <v>0</v>
      </c>
      <c r="AV246" s="1231">
        <f ca="1">OFFSET($CQ246,0,AV$7)+OFFSET($CR246,0,AV$7)+OFFSET($CS246,0,AV$7)+OFFSET($CT246,0,AV$7)</f>
        <v>0</v>
      </c>
      <c r="AW246" s="1231">
        <f ca="1">OFFSET($CQ246,0,AW$7)</f>
        <v>0</v>
      </c>
      <c r="AX246" s="1231">
        <f ca="1">OFFSET($CQ246,0,AX$7)+OFFSET($CR246,0,AX$7)</f>
        <v>0</v>
      </c>
      <c r="AY246" s="1231">
        <f ca="1">OFFSET($CQ246,0,AY$7)+OFFSET($CR246,0,AY$7)+OFFSET($CS246,0,AY$7)</f>
        <v>0</v>
      </c>
      <c r="AZ246" s="1231">
        <f ca="1">OFFSET($CQ246,0,AZ$7)+OFFSET($CR246,0,AZ$7)+OFFSET($CS246,0,AZ$7)+OFFSET($CT246,0,AZ$7)</f>
        <v>0</v>
      </c>
      <c r="BA246" s="1231">
        <f ca="1">OFFSET($CQ246,0,BA$7)</f>
        <v>0</v>
      </c>
      <c r="BB246" s="1231">
        <f ca="1">OFFSET($CQ246,0,BB$7)+OFFSET($CR246,0,BB$7)</f>
        <v>0</v>
      </c>
      <c r="BC246" s="1231">
        <f ca="1">OFFSET($CQ246,0,BC$7)+OFFSET($CR246,0,BC$7)+OFFSET($CS246,0,BC$7)</f>
        <v>0</v>
      </c>
      <c r="BD246" s="1231">
        <f ca="1">OFFSET($CQ246,0,BD$7)+OFFSET($CR246,0,BD$7)+OFFSET($CS246,0,BD$7)+OFFSET($CT246,0,BD$7)</f>
        <v>0</v>
      </c>
      <c r="BE246" s="1231">
        <f ca="1">OFFSET($CQ246,0,BE$7)</f>
        <v>0</v>
      </c>
      <c r="BF246" s="1231">
        <f ca="1">OFFSET($CQ246,0,BF$7)+OFFSET($CR246,0,BF$7)</f>
        <v>0</v>
      </c>
      <c r="BG246" s="1231">
        <f ca="1">OFFSET($CQ246,0,BG$7)+OFFSET($CR246,0,BG$7)+OFFSET($CS246,0,BG$7)</f>
        <v>0</v>
      </c>
      <c r="BH246" s="1231">
        <f ca="1">OFFSET($CQ246,0,BH$7)+OFFSET($CR246,0,BH$7)+OFFSET($CS246,0,BH$7)+OFFSET($CT246,0,BH$7)</f>
        <v>0</v>
      </c>
      <c r="BI246" s="1231">
        <f ca="1">OFFSET($CQ246,0,BI$7)</f>
        <v>0</v>
      </c>
      <c r="BJ246" s="1231">
        <f ca="1">OFFSET($CQ246,0,BJ$7)+OFFSET($CR246,0,BJ$7)</f>
        <v>0</v>
      </c>
      <c r="BK246" s="1231">
        <f ca="1">OFFSET($CQ246,0,BK$7)+OFFSET($CR246,0,BK$7)+OFFSET($CS246,0,BK$7)</f>
        <v>0</v>
      </c>
      <c r="BL246" s="1231">
        <f ca="1">OFFSET($CQ246,0,BL$7)+OFFSET($CR246,0,BL$7)+OFFSET($CS246,0,BL$7)+OFFSET($CT246,0,BL$7)</f>
        <v>0</v>
      </c>
      <c r="BM246" s="1231">
        <f ca="1">OFFSET($CQ246,0,BM$7)</f>
        <v>0</v>
      </c>
      <c r="BN246" s="1231">
        <f ca="1">OFFSET($CQ246,0,BN$7)+OFFSET($CR246,0,BN$7)</f>
        <v>0</v>
      </c>
      <c r="BO246" s="1231">
        <f ca="1">OFFSET($CQ246,0,BO$7)+OFFSET($CR246,0,BO$7)+OFFSET($CS246,0,BO$7)</f>
        <v>0</v>
      </c>
      <c r="BP246" s="1231">
        <f ca="1">OFFSET($CQ246,0,BP$7)+OFFSET($CR246,0,BP$7)+OFFSET($CS246,0,BP$7)+OFFSET($CT246,0,BP$7)</f>
        <v>0</v>
      </c>
      <c r="BQ246" s="1231">
        <f ca="1">OFFSET($CQ246,0,BQ$7)</f>
        <v>0</v>
      </c>
      <c r="BR246" s="1231">
        <f ca="1">OFFSET($CQ246,0,BR$7)+OFFSET($CR246,0,BR$7)</f>
        <v>0</v>
      </c>
      <c r="BS246" s="1231">
        <f ca="1">OFFSET($CQ246,0,BS$7)+OFFSET($CR246,0,BS$7)+OFFSET($CS246,0,BS$7)</f>
        <v>0</v>
      </c>
      <c r="BT246" s="1231">
        <f ca="1">OFFSET($CQ246,0,BT$7)+OFFSET($CR246,0,BT$7)+OFFSET($CS246,0,BT$7)+OFFSET($CT246,0,BT$7)</f>
        <v>0</v>
      </c>
      <c r="BU246" s="1231">
        <f ca="1">OFFSET($CQ246,0,BU$7)</f>
        <v>0</v>
      </c>
      <c r="BV246" s="1231">
        <f ca="1">OFFSET($CQ246,0,BV$7)+OFFSET($CR246,0,BV$7)</f>
        <v>0</v>
      </c>
      <c r="BW246" s="1231">
        <f ca="1">OFFSET($CQ246,0,BW$7)+OFFSET($CR246,0,BW$7)+OFFSET($CS246,0,BW$7)</f>
        <v>0</v>
      </c>
      <c r="BX246" s="1231">
        <f ca="1">OFFSET($CQ246,0,BX$7)+OFFSET($CR246,0,BX$7)+OFFSET($CS246,0,BX$7)+OFFSET($CT246,0,BX$7)</f>
        <v>0</v>
      </c>
      <c r="BY246" s="1231">
        <f ca="1">OFFSET($CQ246,0,BY$7)</f>
        <v>0</v>
      </c>
      <c r="BZ246" s="1231">
        <f ca="1">OFFSET($CQ246,0,BZ$7)+OFFSET($CR246,0,BZ$7)</f>
        <v>0</v>
      </c>
      <c r="CA246" s="1231">
        <f ca="1">OFFSET($CQ246,0,CA$7)+OFFSET($CR246,0,CA$7)+OFFSET($CS246,0,CA$7)</f>
        <v>0</v>
      </c>
      <c r="CB246" s="1231">
        <f ca="1">OFFSET($CQ246,0,CB$7)+OFFSET($CR246,0,CB$7)+OFFSET($CS246,0,CB$7)+OFFSET($CT246,0,CB$7)</f>
        <v>0</v>
      </c>
      <c r="CC246" s="1231">
        <f ca="1">OFFSET($CQ246,0,CC$7)</f>
        <v>0</v>
      </c>
      <c r="CD246" s="1231">
        <f ca="1">OFFSET($CQ246,0,CD$7)+OFFSET($CR246,0,CD$7)</f>
        <v>0</v>
      </c>
      <c r="CE246" s="1231">
        <f ca="1">OFFSET($CQ246,0,CE$7)+OFFSET($CR246,0,CE$7)+OFFSET($CS246,0,CE$7)</f>
        <v>0</v>
      </c>
      <c r="CF246" s="1231">
        <f ca="1">OFFSET($CQ246,0,CF$7)+OFFSET($CR246,0,CF$7)+OFFSET($CS246,0,CF$7)+OFFSET($CT246,0,CF$7)</f>
        <v>0</v>
      </c>
      <c r="CG246" s="1231">
        <f ca="1">OFFSET($CQ246,0,CG$7)</f>
        <v>0</v>
      </c>
      <c r="CH246" s="1231">
        <f ca="1">OFFSET($CQ246,0,CH$7)+OFFSET($CR246,0,CH$7)</f>
        <v>0</v>
      </c>
      <c r="CI246" s="1231">
        <f ca="1">OFFSET($CQ246,0,CI$7)+OFFSET($CR246,0,CI$7)+OFFSET($CS246,0,CI$7)</f>
        <v>0</v>
      </c>
      <c r="CJ246" s="1231">
        <f ca="1">OFFSET($CQ246,0,CJ$7)+OFFSET($CR246,0,CJ$7)+OFFSET($CS246,0,CJ$7)+OFFSET($CT246,0,CJ$7)</f>
        <v>0</v>
      </c>
      <c r="CK246" s="1231"/>
      <c r="CL246" s="1231"/>
      <c r="CM246" s="1231"/>
      <c r="CN246" s="1231"/>
      <c r="CO246" s="1165"/>
      <c r="CP246" s="1165"/>
      <c r="CQ246" s="1231"/>
      <c r="CR246" s="1231"/>
      <c r="CS246" s="1231"/>
      <c r="CT246" s="1231"/>
      <c r="CU246" s="1231"/>
      <c r="CV246" s="1231"/>
      <c r="CW246" s="1231"/>
      <c r="CX246" s="1231"/>
      <c r="CY246" s="1231"/>
      <c r="CZ246" s="1231"/>
      <c r="DA246" s="1231"/>
      <c r="DB246" s="1231"/>
      <c r="DC246" s="1231"/>
      <c r="DD246" s="1231"/>
      <c r="DE246" s="1231"/>
      <c r="DF246" s="1231"/>
      <c r="DG246" s="1231"/>
      <c r="DH246" s="1231"/>
      <c r="DI246" s="1231"/>
      <c r="DJ246" s="1231"/>
      <c r="DK246" s="1231"/>
      <c r="DL246" s="1231"/>
      <c r="DM246" s="1231"/>
      <c r="DN246" s="1231"/>
      <c r="DO246" s="1231"/>
      <c r="DP246" s="1231"/>
      <c r="DQ246" s="1231"/>
      <c r="DR246" s="1231"/>
      <c r="DS246" s="1231"/>
      <c r="DT246" s="1231"/>
      <c r="DU246" s="1231"/>
      <c r="DV246" s="1231"/>
      <c r="DW246" s="1231"/>
      <c r="DX246" s="1231"/>
      <c r="DY246" s="1231"/>
      <c r="DZ246" s="1231"/>
      <c r="EA246" s="1231"/>
      <c r="EB246" s="1231"/>
      <c r="EC246" s="1231"/>
      <c r="ED246" s="1231"/>
      <c r="EE246" s="1231"/>
      <c r="EF246" s="1231"/>
      <c r="EG246" s="1231"/>
      <c r="EH246" s="1231"/>
      <c r="EI246" s="1231"/>
      <c r="EJ246" s="1231"/>
      <c r="EK246" s="1231"/>
      <c r="EL246" s="1231"/>
      <c r="EM246" s="1231"/>
      <c r="EN246" s="1231"/>
      <c r="EO246" s="1231"/>
      <c r="EP246" s="1231"/>
      <c r="EQ246" s="1231"/>
      <c r="ER246" s="1231"/>
      <c r="ES246" s="1231"/>
      <c r="ET246" s="1231"/>
      <c r="EU246" s="1231"/>
      <c r="EV246" s="1231"/>
      <c r="EW246" s="1231"/>
      <c r="EX246" s="1231"/>
      <c r="EY246" s="1231"/>
      <c r="EZ246" s="1231"/>
      <c r="FA246" s="1231"/>
      <c r="FB246" s="1231"/>
      <c r="FC246" s="1231"/>
      <c r="FD246" s="1231"/>
      <c r="FE246" s="1231"/>
      <c r="FF246" s="1231"/>
    </row>
    <row r="247" spans="1:162">
      <c r="A247" s="1224"/>
      <c r="B247" s="1234" t="s">
        <v>6</v>
      </c>
      <c r="C247" s="1235"/>
      <c r="D247" s="1235"/>
      <c r="E247" s="1235"/>
      <c r="F247" s="1235"/>
      <c r="G247" s="1235"/>
      <c r="H247" s="1235"/>
      <c r="I247" s="1235"/>
      <c r="J247" s="1235"/>
      <c r="K247" s="1235"/>
      <c r="L247" s="1235"/>
      <c r="M247" s="1235" t="e">
        <f ca="1">Model!#REF!-M246</f>
        <v>#REF!</v>
      </c>
      <c r="N247" s="1235" t="e">
        <f ca="1">Model!#REF!-N246</f>
        <v>#REF!</v>
      </c>
      <c r="O247" s="1235" t="e">
        <f ca="1">Model!#REF!-O246</f>
        <v>#REF!</v>
      </c>
      <c r="P247" s="1235" t="e">
        <f ca="1">Model!#REF!-P246</f>
        <v>#REF!</v>
      </c>
      <c r="Q247" s="1235" t="e">
        <f ca="1">Model!#REF!-Q246</f>
        <v>#REF!</v>
      </c>
      <c r="R247" s="1235"/>
      <c r="S247" s="1235"/>
      <c r="T247" s="1235"/>
      <c r="U247" s="1235">
        <f>Model!D179-U246</f>
        <v>0</v>
      </c>
      <c r="V247" s="1235">
        <f>Model!E179-V246</f>
        <v>0</v>
      </c>
      <c r="W247" s="1235">
        <f>Model!F179-W246</f>
        <v>0</v>
      </c>
      <c r="X247" s="1235">
        <f>Model!G179-X246</f>
        <v>0</v>
      </c>
      <c r="Y247" s="1235">
        <f>Model!H179-Y246</f>
        <v>0</v>
      </c>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c r="CB247" s="1235"/>
      <c r="CC247" s="1235"/>
      <c r="CD247" s="1235"/>
      <c r="CE247" s="1235"/>
      <c r="CF247" s="1235"/>
      <c r="CG247" s="1235"/>
      <c r="CH247" s="1235"/>
      <c r="CI247" s="1235"/>
      <c r="CJ247" s="1235"/>
      <c r="CK247" s="1235"/>
      <c r="CL247" s="1235"/>
      <c r="CM247" s="1235"/>
      <c r="CN247" s="1235"/>
      <c r="CO247" s="1165"/>
      <c r="CP247" s="1165"/>
      <c r="CQ247" s="1165"/>
      <c r="CR247" s="1235"/>
      <c r="CS247" s="1235"/>
      <c r="CT247" s="1235"/>
      <c r="CU247" s="1165"/>
      <c r="CV247" s="1235"/>
      <c r="CW247" s="1235"/>
      <c r="CX247" s="1235"/>
      <c r="CY247" s="1235"/>
      <c r="CZ247" s="1235"/>
      <c r="DA247" s="1235"/>
      <c r="DB247" s="1235"/>
      <c r="DC247" s="1235"/>
      <c r="DD247" s="1235"/>
      <c r="DE247" s="1235"/>
      <c r="DF247" s="1235"/>
      <c r="DG247" s="1235"/>
      <c r="DH247" s="1235"/>
      <c r="DI247" s="1235"/>
      <c r="DJ247" s="1235"/>
      <c r="DK247" s="1235"/>
      <c r="DL247" s="1235"/>
      <c r="DM247" s="1235"/>
      <c r="DN247" s="1235"/>
      <c r="DO247" s="1235"/>
      <c r="DP247" s="1235"/>
      <c r="DQ247" s="1235"/>
      <c r="DR247" s="1235"/>
      <c r="DS247" s="1235"/>
      <c r="DT247" s="1235"/>
      <c r="DU247" s="1235"/>
      <c r="DV247" s="1235"/>
      <c r="DW247" s="1235"/>
      <c r="DX247" s="1235"/>
      <c r="DY247" s="1235"/>
      <c r="DZ247" s="1235"/>
      <c r="EA247" s="1235"/>
      <c r="EB247" s="1235"/>
      <c r="EC247" s="1235"/>
      <c r="ED247" s="1235"/>
      <c r="EE247" s="1235"/>
      <c r="EF247" s="1235"/>
      <c r="EG247" s="1235"/>
      <c r="EH247" s="1235"/>
      <c r="EI247" s="1235"/>
      <c r="EJ247" s="1235"/>
      <c r="EK247" s="1235"/>
      <c r="EL247" s="1235"/>
      <c r="EM247" s="1235"/>
      <c r="EN247" s="1235"/>
      <c r="EO247" s="1235"/>
      <c r="EP247" s="1235"/>
      <c r="EQ247" s="1235"/>
      <c r="ER247" s="1235"/>
      <c r="ES247" s="1235"/>
      <c r="ET247" s="1235"/>
      <c r="EU247" s="1235"/>
      <c r="EV247" s="1235"/>
      <c r="EW247" s="1235"/>
      <c r="EX247" s="1235"/>
      <c r="EY247" s="1235"/>
      <c r="EZ247" s="1235"/>
      <c r="FA247" s="1235"/>
      <c r="FB247" s="1235"/>
      <c r="FC247" s="1235"/>
      <c r="FD247" s="1235"/>
      <c r="FE247" s="1235"/>
      <c r="FF247" s="1235"/>
    </row>
    <row r="248" spans="1:162">
      <c r="A248" s="1224"/>
      <c r="B248" s="1234"/>
      <c r="M248" s="1214"/>
      <c r="N248" s="1214"/>
      <c r="O248" s="1214"/>
      <c r="P248" s="1214"/>
      <c r="Q248" s="1214"/>
      <c r="R248" s="1214"/>
      <c r="S248" s="1214"/>
      <c r="T248" s="1214"/>
      <c r="U248" s="1214"/>
      <c r="V248" s="1214"/>
      <c r="W248" s="1214"/>
      <c r="X248" s="1214"/>
      <c r="Y248" s="1214"/>
      <c r="Z248" s="1214"/>
      <c r="AA248" s="1214"/>
      <c r="AB248" s="1214"/>
      <c r="AC248" s="1214"/>
      <c r="AD248" s="1214"/>
      <c r="AE248" s="1214"/>
      <c r="AG248" s="1214"/>
      <c r="AH248" s="1214"/>
      <c r="AI248" s="1214"/>
      <c r="AJ248" s="1214"/>
      <c r="AK248" s="1214"/>
      <c r="AL248" s="1214"/>
      <c r="AM248" s="1214"/>
      <c r="AN248" s="1214"/>
      <c r="AO248" s="1214"/>
      <c r="AP248" s="1214"/>
      <c r="AQ248" s="1214"/>
      <c r="AR248" s="1214"/>
      <c r="AS248" s="1214"/>
      <c r="AT248" s="1214"/>
      <c r="AU248" s="1214"/>
      <c r="AV248" s="1214"/>
      <c r="AW248" s="1214"/>
      <c r="AX248" s="1214"/>
      <c r="AY248" s="1214"/>
      <c r="AZ248" s="1214"/>
      <c r="BA248" s="1214"/>
      <c r="BB248" s="1214"/>
      <c r="BC248" s="1214"/>
      <c r="BD248" s="1214"/>
      <c r="BE248" s="1214"/>
      <c r="BF248" s="1214"/>
      <c r="BG248" s="1214"/>
      <c r="BH248" s="1214"/>
      <c r="BI248" s="1214"/>
      <c r="BJ248" s="1214"/>
      <c r="BK248" s="1214"/>
      <c r="BL248" s="1214"/>
      <c r="BM248" s="1214"/>
      <c r="BN248" s="1214"/>
      <c r="BO248" s="1214"/>
      <c r="BP248" s="1214"/>
      <c r="BQ248" s="1214"/>
      <c r="BR248" s="1214"/>
      <c r="BS248" s="1214"/>
      <c r="BT248" s="1214"/>
      <c r="BU248" s="1214"/>
      <c r="BV248" s="1214"/>
      <c r="BW248" s="1214"/>
      <c r="BX248" s="1214"/>
      <c r="BY248" s="1214"/>
      <c r="BZ248" s="1214"/>
      <c r="CA248" s="1214"/>
      <c r="CB248" s="1214"/>
      <c r="CC248" s="1214"/>
      <c r="CD248" s="1214"/>
      <c r="CE248" s="1214"/>
      <c r="CF248" s="1214"/>
      <c r="CG248" s="1214"/>
      <c r="CH248" s="1214"/>
      <c r="CI248" s="1214"/>
      <c r="CJ248" s="1214"/>
    </row>
    <row r="249" spans="1:162" s="1231" customFormat="1">
      <c r="A249" s="1224"/>
      <c r="B249" s="1250" t="s">
        <v>64</v>
      </c>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c r="CB249" s="1236"/>
      <c r="CC249" s="1236"/>
      <c r="CD249" s="1236"/>
      <c r="CE249" s="1236"/>
      <c r="CF249" s="1236"/>
      <c r="CG249" s="1236"/>
      <c r="CH249" s="1236"/>
      <c r="CI249" s="1236"/>
      <c r="CJ249" s="1236"/>
      <c r="CK249" s="1236"/>
      <c r="CL249" s="1236"/>
      <c r="CM249" s="1236"/>
      <c r="CN249" s="1236"/>
      <c r="CO249" s="1165"/>
      <c r="CP249" s="1165"/>
      <c r="CQ249" s="1236"/>
      <c r="CR249" s="1236"/>
      <c r="CS249" s="1236"/>
      <c r="CT249" s="1236"/>
      <c r="CU249" s="1236"/>
      <c r="CV249" s="1236"/>
      <c r="CW249" s="1236"/>
      <c r="CX249" s="1236"/>
      <c r="CY249" s="1236"/>
      <c r="CZ249" s="1236"/>
      <c r="DA249" s="1236"/>
      <c r="DB249" s="1236"/>
      <c r="DC249" s="1236"/>
      <c r="DD249" s="1236"/>
      <c r="DE249" s="1236"/>
      <c r="DF249" s="1236"/>
      <c r="DG249" s="1236"/>
      <c r="DH249" s="1236"/>
      <c r="DI249" s="1236"/>
      <c r="DJ249" s="1236"/>
      <c r="DK249" s="1236"/>
      <c r="DL249" s="1236"/>
      <c r="DM249" s="1236"/>
      <c r="DN249" s="1236"/>
      <c r="DO249" s="1236"/>
      <c r="DP249" s="1236"/>
      <c r="DQ249" s="1236"/>
      <c r="DR249" s="1236"/>
      <c r="DS249" s="1236"/>
      <c r="DT249" s="1236"/>
      <c r="DU249" s="1236"/>
      <c r="DV249" s="1236"/>
      <c r="DW249" s="1236"/>
      <c r="DX249" s="1236"/>
      <c r="DY249" s="1236"/>
      <c r="DZ249" s="1236"/>
      <c r="EA249" s="1236"/>
      <c r="EB249" s="1236"/>
      <c r="EC249" s="1236"/>
      <c r="ED249" s="1236"/>
      <c r="EE249" s="1236"/>
      <c r="EF249" s="1236"/>
      <c r="EG249" s="1236"/>
      <c r="EH249" s="1236"/>
      <c r="EI249" s="1236"/>
      <c r="EJ249" s="1236"/>
      <c r="EK249" s="1236"/>
      <c r="EL249" s="1236"/>
      <c r="EM249" s="1236"/>
      <c r="EN249" s="1236"/>
      <c r="EO249" s="1236"/>
      <c r="EP249" s="1236"/>
      <c r="EQ249" s="1236"/>
      <c r="ER249" s="1236"/>
      <c r="ES249" s="1236"/>
      <c r="ET249" s="1236"/>
      <c r="EU249" s="1236"/>
      <c r="EV249" s="1236"/>
      <c r="EW249" s="1236"/>
      <c r="EX249" s="1236"/>
      <c r="EY249" s="1236"/>
      <c r="EZ249" s="1236"/>
      <c r="FA249" s="1236"/>
      <c r="FB249" s="1236"/>
      <c r="FC249" s="1236"/>
      <c r="FD249" s="1236"/>
      <c r="FE249" s="1236"/>
      <c r="FF249" s="1236"/>
    </row>
    <row r="250" spans="1:162" s="1235" customFormat="1">
      <c r="A250" s="1233"/>
      <c r="B250" s="1237" t="s">
        <v>31</v>
      </c>
      <c r="C250" s="1236"/>
      <c r="D250" s="1236"/>
      <c r="E250" s="1236"/>
      <c r="F250" s="1236"/>
      <c r="G250" s="1236"/>
      <c r="H250" s="1236"/>
      <c r="I250" s="1236"/>
      <c r="J250" s="1236"/>
      <c r="K250" s="1236"/>
      <c r="L250" s="1236"/>
      <c r="M250" s="1236">
        <f t="shared" ref="M250:Y250" ca="1" si="343">OFFSET($CQ250,0,M$7)+OFFSET($CR250,0,M$7)+OFFSET($CS250,0,M$7)+OFFSET($CT250,0,M$7)</f>
        <v>0</v>
      </c>
      <c r="N250" s="1236">
        <f t="shared" ca="1" si="343"/>
        <v>0</v>
      </c>
      <c r="O250" s="1236">
        <f t="shared" ca="1" si="343"/>
        <v>0</v>
      </c>
      <c r="P250" s="1236">
        <f t="shared" ca="1" si="343"/>
        <v>0</v>
      </c>
      <c r="Q250" s="1236">
        <f t="shared" ca="1" si="343"/>
        <v>0</v>
      </c>
      <c r="R250" s="1236">
        <f t="shared" ca="1" si="343"/>
        <v>0</v>
      </c>
      <c r="S250" s="1236">
        <f t="shared" ca="1" si="343"/>
        <v>0</v>
      </c>
      <c r="T250" s="1236">
        <f t="shared" ca="1" si="343"/>
        <v>0</v>
      </c>
      <c r="U250" s="1236">
        <f t="shared" ca="1" si="343"/>
        <v>0</v>
      </c>
      <c r="V250" s="1236">
        <f t="shared" ca="1" si="343"/>
        <v>0</v>
      </c>
      <c r="W250" s="1236">
        <f t="shared" ca="1" si="343"/>
        <v>0</v>
      </c>
      <c r="X250" s="1236">
        <f t="shared" ca="1" si="343"/>
        <v>0</v>
      </c>
      <c r="Y250" s="1236">
        <f t="shared" ca="1" si="343"/>
        <v>0</v>
      </c>
      <c r="Z250" s="1236"/>
      <c r="AA250" s="1236"/>
      <c r="AB250" s="1236"/>
      <c r="AC250" s="1236"/>
      <c r="AD250" s="1236"/>
      <c r="AE250" s="1236"/>
      <c r="AF250" s="1236"/>
      <c r="AG250" s="1236">
        <f ca="1">OFFSET($CQ250,0,AG$7)</f>
        <v>0</v>
      </c>
      <c r="AH250" s="1236">
        <f ca="1">OFFSET($CQ250,0,AH$7)+OFFSET($CR250,0,AH$7)</f>
        <v>0</v>
      </c>
      <c r="AI250" s="1236">
        <f ca="1">OFFSET($CQ250,0,AI$7)+OFFSET($CR250,0,AI$7)+OFFSET($CS250,0,AI$7)</f>
        <v>0</v>
      </c>
      <c r="AJ250" s="1236">
        <f ca="1">OFFSET($CQ250,0,AJ$7)+OFFSET($CR250,0,AJ$7)+OFFSET($CS250,0,AJ$7)+OFFSET($CT250,0,AJ$7)</f>
        <v>0</v>
      </c>
      <c r="AK250" s="1236">
        <f ca="1">OFFSET($CQ250,0,AK$7)</f>
        <v>0</v>
      </c>
      <c r="AL250" s="1236">
        <f ca="1">OFFSET($CQ250,0,AL$7)+OFFSET($CR250,0,AL$7)</f>
        <v>0</v>
      </c>
      <c r="AM250" s="1236">
        <f ca="1">OFFSET($CQ250,0,AM$7)+OFFSET($CR250,0,AM$7)+OFFSET($CS250,0,AM$7)</f>
        <v>0</v>
      </c>
      <c r="AN250" s="1236">
        <f ca="1">OFFSET($CQ250,0,AN$7)+OFFSET($CR250,0,AN$7)+OFFSET($CS250,0,AN$7)+OFFSET($CT250,0,AN$7)</f>
        <v>0</v>
      </c>
      <c r="AO250" s="1236">
        <f ca="1">OFFSET($CQ250,0,AO$7)</f>
        <v>0</v>
      </c>
      <c r="AP250" s="1236">
        <f ca="1">OFFSET($CQ250,0,AP$7)+OFFSET($CR250,0,AP$7)</f>
        <v>0</v>
      </c>
      <c r="AQ250" s="1236">
        <f ca="1">OFFSET($CQ250,0,AQ$7)+OFFSET($CR250,0,AQ$7)+OFFSET($CS250,0,AQ$7)</f>
        <v>0</v>
      </c>
      <c r="AR250" s="1236">
        <f ca="1">OFFSET($CQ250,0,AR$7)+OFFSET($CR250,0,AR$7)+OFFSET($CS250,0,AR$7)+OFFSET($CT250,0,AR$7)</f>
        <v>0</v>
      </c>
      <c r="AS250" s="1236">
        <f ca="1">OFFSET($CQ250,0,AS$7)</f>
        <v>0</v>
      </c>
      <c r="AT250" s="1236">
        <f ca="1">OFFSET($CQ250,0,AT$7)+OFFSET($CR250,0,AT$7)</f>
        <v>0</v>
      </c>
      <c r="AU250" s="1236">
        <f ca="1">OFFSET($CQ250,0,AU$7)+OFFSET($CR250,0,AU$7)+OFFSET($CS250,0,AU$7)</f>
        <v>0</v>
      </c>
      <c r="AV250" s="1236">
        <f ca="1">OFFSET($CQ250,0,AV$7)+OFFSET($CR250,0,AV$7)+OFFSET($CS250,0,AV$7)+OFFSET($CT250,0,AV$7)</f>
        <v>0</v>
      </c>
      <c r="AW250" s="1236">
        <f ca="1">OFFSET($CQ250,0,AW$7)</f>
        <v>0</v>
      </c>
      <c r="AX250" s="1236">
        <f ca="1">OFFSET($CQ250,0,AX$7)+OFFSET($CR250,0,AX$7)</f>
        <v>0</v>
      </c>
      <c r="AY250" s="1236">
        <f ca="1">OFFSET($CQ250,0,AY$7)+OFFSET($CR250,0,AY$7)+OFFSET($CS250,0,AY$7)</f>
        <v>0</v>
      </c>
      <c r="AZ250" s="1236">
        <f ca="1">OFFSET($CQ250,0,AZ$7)+OFFSET($CR250,0,AZ$7)+OFFSET($CS250,0,AZ$7)+OFFSET($CT250,0,AZ$7)</f>
        <v>0</v>
      </c>
      <c r="BA250" s="1236">
        <f ca="1">OFFSET($CQ250,0,BA$7)</f>
        <v>0</v>
      </c>
      <c r="BB250" s="1236">
        <f ca="1">OFFSET($CQ250,0,BB$7)+OFFSET($CR250,0,BB$7)</f>
        <v>0</v>
      </c>
      <c r="BC250" s="1236">
        <f ca="1">OFFSET($CQ250,0,BC$7)+OFFSET($CR250,0,BC$7)+OFFSET($CS250,0,BC$7)</f>
        <v>0</v>
      </c>
      <c r="BD250" s="1236">
        <f ca="1">OFFSET($CQ250,0,BD$7)+OFFSET($CR250,0,BD$7)+OFFSET($CS250,0,BD$7)+OFFSET($CT250,0,BD$7)</f>
        <v>0</v>
      </c>
      <c r="BE250" s="1236">
        <f ca="1">OFFSET($CQ250,0,BE$7)</f>
        <v>0</v>
      </c>
      <c r="BF250" s="1236">
        <f ca="1">OFFSET($CQ250,0,BF$7)+OFFSET($CR250,0,BF$7)</f>
        <v>0</v>
      </c>
      <c r="BG250" s="1236">
        <f ca="1">OFFSET($CQ250,0,BG$7)+OFFSET($CR250,0,BG$7)+OFFSET($CS250,0,BG$7)</f>
        <v>0</v>
      </c>
      <c r="BH250" s="1236">
        <f ca="1">OFFSET($CQ250,0,BH$7)+OFFSET($CR250,0,BH$7)+OFFSET($CS250,0,BH$7)+OFFSET($CT250,0,BH$7)</f>
        <v>0</v>
      </c>
      <c r="BI250" s="1236">
        <f ca="1">OFFSET($CQ250,0,BI$7)</f>
        <v>0</v>
      </c>
      <c r="BJ250" s="1236">
        <f ca="1">OFFSET($CQ250,0,BJ$7)+OFFSET($CR250,0,BJ$7)</f>
        <v>0</v>
      </c>
      <c r="BK250" s="1236">
        <f ca="1">OFFSET($CQ250,0,BK$7)+OFFSET($CR250,0,BK$7)+OFFSET($CS250,0,BK$7)</f>
        <v>0</v>
      </c>
      <c r="BL250" s="1236">
        <f ca="1">OFFSET($CQ250,0,BL$7)+OFFSET($CR250,0,BL$7)+OFFSET($CS250,0,BL$7)+OFFSET($CT250,0,BL$7)</f>
        <v>0</v>
      </c>
      <c r="BM250" s="1236">
        <f ca="1">OFFSET($CQ250,0,BM$7)</f>
        <v>0</v>
      </c>
      <c r="BN250" s="1236">
        <f ca="1">OFFSET($CQ250,0,BN$7)+OFFSET($CR250,0,BN$7)</f>
        <v>0</v>
      </c>
      <c r="BO250" s="1236">
        <f ca="1">OFFSET($CQ250,0,BO$7)+OFFSET($CR250,0,BO$7)+OFFSET($CS250,0,BO$7)</f>
        <v>0</v>
      </c>
      <c r="BP250" s="1236">
        <f ca="1">OFFSET($CQ250,0,BP$7)+OFFSET($CR250,0,BP$7)+OFFSET($CS250,0,BP$7)+OFFSET($CT250,0,BP$7)</f>
        <v>0</v>
      </c>
      <c r="BQ250" s="1236">
        <f ca="1">OFFSET($CQ250,0,BQ$7)</f>
        <v>0</v>
      </c>
      <c r="BR250" s="1236">
        <f ca="1">OFFSET($CQ250,0,BR$7)+OFFSET($CR250,0,BR$7)</f>
        <v>0</v>
      </c>
      <c r="BS250" s="1236">
        <f ca="1">OFFSET($CQ250,0,BS$7)+OFFSET($CR250,0,BS$7)+OFFSET($CS250,0,BS$7)</f>
        <v>0</v>
      </c>
      <c r="BT250" s="1236">
        <f ca="1">OFFSET($CQ250,0,BT$7)+OFFSET($CR250,0,BT$7)+OFFSET($CS250,0,BT$7)+OFFSET($CT250,0,BT$7)</f>
        <v>0</v>
      </c>
      <c r="BU250" s="1236">
        <f ca="1">OFFSET($CQ250,0,BU$7)</f>
        <v>0</v>
      </c>
      <c r="BV250" s="1236">
        <f ca="1">OFFSET($CQ250,0,BV$7)+OFFSET($CR250,0,BV$7)</f>
        <v>0</v>
      </c>
      <c r="BW250" s="1236">
        <f ca="1">OFFSET($CQ250,0,BW$7)+OFFSET($CR250,0,BW$7)+OFFSET($CS250,0,BW$7)</f>
        <v>0</v>
      </c>
      <c r="BX250" s="1236">
        <f ca="1">OFFSET($CQ250,0,BX$7)+OFFSET($CR250,0,BX$7)+OFFSET($CS250,0,BX$7)+OFFSET($CT250,0,BX$7)</f>
        <v>0</v>
      </c>
      <c r="BY250" s="1236">
        <f ca="1">OFFSET($CQ250,0,BY$7)</f>
        <v>0</v>
      </c>
      <c r="BZ250" s="1236">
        <f ca="1">OFFSET($CQ250,0,BZ$7)+OFFSET($CR250,0,BZ$7)</f>
        <v>0</v>
      </c>
      <c r="CA250" s="1236">
        <f ca="1">OFFSET($CQ250,0,CA$7)+OFFSET($CR250,0,CA$7)+OFFSET($CS250,0,CA$7)</f>
        <v>0</v>
      </c>
      <c r="CB250" s="1236">
        <f ca="1">OFFSET($CQ250,0,CB$7)+OFFSET($CR250,0,CB$7)+OFFSET($CS250,0,CB$7)+OFFSET($CT250,0,CB$7)</f>
        <v>0</v>
      </c>
      <c r="CC250" s="1236">
        <f ca="1">OFFSET($CQ250,0,CC$7)</f>
        <v>0</v>
      </c>
      <c r="CD250" s="1236">
        <f ca="1">OFFSET($CQ250,0,CD$7)+OFFSET($CR250,0,CD$7)</f>
        <v>0</v>
      </c>
      <c r="CE250" s="1236">
        <f ca="1">OFFSET($CQ250,0,CE$7)+OFFSET($CR250,0,CE$7)+OFFSET($CS250,0,CE$7)</f>
        <v>0</v>
      </c>
      <c r="CF250" s="1236">
        <f ca="1">OFFSET($CQ250,0,CF$7)+OFFSET($CR250,0,CF$7)+OFFSET($CS250,0,CF$7)+OFFSET($CT250,0,CF$7)</f>
        <v>0</v>
      </c>
      <c r="CG250" s="1236">
        <f ca="1">OFFSET($CQ250,0,CG$7)</f>
        <v>0</v>
      </c>
      <c r="CH250" s="1236">
        <f ca="1">OFFSET($CQ250,0,CH$7)+OFFSET($CR250,0,CH$7)</f>
        <v>0</v>
      </c>
      <c r="CI250" s="1236">
        <f ca="1">OFFSET($CQ250,0,CI$7)+OFFSET($CR250,0,CI$7)+OFFSET($CS250,0,CI$7)</f>
        <v>0</v>
      </c>
      <c r="CJ250" s="1236">
        <f ca="1">OFFSET($CQ250,0,CJ$7)+OFFSET($CR250,0,CJ$7)+OFFSET($CS250,0,CJ$7)+OFFSET($CT250,0,CJ$7)</f>
        <v>0</v>
      </c>
      <c r="CK250" s="1236"/>
      <c r="CL250" s="1236"/>
      <c r="CM250" s="1236"/>
      <c r="CN250" s="1236"/>
      <c r="CO250" s="1236"/>
      <c r="CP250" s="1236"/>
      <c r="CQ250" s="1236"/>
      <c r="CR250" s="1236"/>
      <c r="CS250" s="1236"/>
      <c r="CT250" s="1236"/>
      <c r="CU250" s="1236"/>
      <c r="CV250" s="1236"/>
      <c r="CW250" s="1236"/>
      <c r="CX250" s="1236"/>
      <c r="CY250" s="1236"/>
      <c r="CZ250" s="1236"/>
      <c r="DA250" s="1236"/>
      <c r="DB250" s="1236"/>
      <c r="DC250" s="1236"/>
      <c r="DD250" s="1236"/>
      <c r="DE250" s="1236"/>
      <c r="DF250" s="1236"/>
      <c r="DG250" s="1236"/>
      <c r="DH250" s="1236"/>
      <c r="DI250" s="1236"/>
      <c r="DJ250" s="1236"/>
      <c r="DK250" s="1236"/>
      <c r="DL250" s="1236"/>
      <c r="DM250" s="1236"/>
      <c r="DN250" s="1236"/>
      <c r="DO250" s="1236"/>
      <c r="DP250" s="1236"/>
      <c r="DQ250" s="1236"/>
      <c r="DR250" s="1236"/>
      <c r="DS250" s="1236"/>
      <c r="DT250" s="1236"/>
      <c r="DU250" s="1236"/>
      <c r="DV250" s="1236"/>
      <c r="DW250" s="1236"/>
      <c r="DX250" s="1236"/>
      <c r="DY250" s="1236"/>
      <c r="DZ250" s="1236"/>
      <c r="EA250" s="1236"/>
      <c r="EB250" s="1236"/>
      <c r="EC250" s="1236"/>
      <c r="ED250" s="1236"/>
      <c r="EE250" s="1236"/>
      <c r="EF250" s="1236"/>
      <c r="EG250" s="1236"/>
      <c r="EH250" s="1236"/>
      <c r="EI250" s="1236"/>
      <c r="EJ250" s="1236"/>
      <c r="EK250" s="1236"/>
      <c r="EL250" s="1236"/>
      <c r="EM250" s="1236"/>
      <c r="EN250" s="1236"/>
      <c r="EO250" s="1236"/>
      <c r="EP250" s="1236"/>
      <c r="EQ250" s="1236"/>
      <c r="ER250" s="1236"/>
      <c r="ES250" s="1236"/>
      <c r="ET250" s="1236"/>
      <c r="EU250" s="1236"/>
      <c r="EV250" s="1236"/>
      <c r="EW250" s="1236"/>
      <c r="EX250" s="1236"/>
      <c r="EY250" s="1236"/>
      <c r="EZ250" s="1236"/>
      <c r="FA250" s="1236"/>
      <c r="FB250" s="1236"/>
      <c r="FC250" s="1236"/>
      <c r="FD250" s="1236"/>
      <c r="FE250" s="1236"/>
      <c r="FF250" s="1236"/>
    </row>
    <row r="251" spans="1:162">
      <c r="A251" s="1224"/>
      <c r="B251" s="1237"/>
    </row>
    <row r="252" spans="1:162">
      <c r="A252" s="1224"/>
      <c r="B252" s="1237"/>
    </row>
    <row r="253" spans="1:162">
      <c r="A253" s="1203" t="s">
        <v>647</v>
      </c>
      <c r="B253" s="1230" t="s">
        <v>65</v>
      </c>
      <c r="C253" s="1231"/>
      <c r="D253" s="1231"/>
      <c r="E253" s="1231"/>
      <c r="F253" s="1231"/>
      <c r="G253" s="1231"/>
      <c r="H253" s="1231"/>
      <c r="I253" s="1231"/>
      <c r="J253" s="1231"/>
      <c r="K253" s="1231"/>
      <c r="L253" s="1231"/>
      <c r="M253" s="1231">
        <f ca="1">OFFSET($CQ253,0,M$7)+OFFSET($CR253,0,M$7)+OFFSET($CS253,0,M$7)+OFFSET($CT253,0,M$7)</f>
        <v>0</v>
      </c>
      <c r="N253" s="1231">
        <f ca="1">OFFSET($CQ253,0,N$7)+OFFSET($CR253,0,N$7)+OFFSET($CS253,0,N$7)+OFFSET($CT253,0,N$7)</f>
        <v>0</v>
      </c>
      <c r="O253" s="1231">
        <f ca="1">OFFSET($CQ253,0,O$7)+OFFSET($CR253,0,O$7)+OFFSET($CS253,0,O$7)+OFFSET($CT253,0,O$7)</f>
        <v>0</v>
      </c>
      <c r="P253" s="1231">
        <f ca="1">OFFSET($CQ253,0,P$7)+OFFSET($CR253,0,P$7)+OFFSET($CS253,0,P$7)+OFFSET($CT253,0,P$7)</f>
        <v>0</v>
      </c>
      <c r="Q253" s="1231">
        <f ca="1">OFFSET($CQ253,0,Q$7)+OFFSET($CR253,0,Q$7)+OFFSET($CS253,0,Q$7)+OFFSET($CT253,0,Q$7)</f>
        <v>0</v>
      </c>
      <c r="R253" s="1231">
        <f>INDEX('Basic Data TR'!$A$1:$AMJ$9673,MATCH($A253,'Basic Data TR'!$A$1:$A$9673,0),MATCH(R$6,'Basic Data TR'!$A$1:$AMJ$1,0))</f>
        <v>-491.53859999999997</v>
      </c>
      <c r="S253" s="1231">
        <f>INDEX('Basic Data TR'!$A$1:$AMJ$9673,MATCH($A253,'Basic Data TR'!$A$1:$A$9673,0),MATCH(S$6,'Basic Data TR'!$A$1:$AMJ$1,0))</f>
        <v>-931.57399999999996</v>
      </c>
      <c r="T253" s="1231">
        <f>INDEX('Basic Data TR'!$A$1:$AMJ$9673,MATCH($A253,'Basic Data TR'!$A$1:$A$9673,0),MATCH(T$6,'Basic Data TR'!$A$1:$AMJ$1,0))</f>
        <v>-400.291</v>
      </c>
      <c r="U253" s="1231">
        <f>INDEX('Basic Data TR'!$A$1:$AMJ$9673,MATCH($A253,'Basic Data TR'!$A$1:$A$9673,0),MATCH(U$6,'Basic Data TR'!$A$1:$AMJ$1,0))</f>
        <v>-650.16</v>
      </c>
      <c r="V253" s="1231">
        <f>INDEX('Basic Data TR'!$A$1:$AMJ$9673,MATCH($A253,'Basic Data TR'!$A$1:$A$9673,0),MATCH(V$6,'Basic Data TR'!$A$1:$AMJ$1,0))</f>
        <v>-653.13400000000001</v>
      </c>
      <c r="W253" s="1231">
        <f>INDEX('Basic Data TR'!$A$1:$AMJ$9673,MATCH($A253,'Basic Data TR'!$A$1:$A$9673,0),MATCH(W$6,'Basic Data TR'!$A$1:$AMJ$1,0))</f>
        <v>-1230.8119999999999</v>
      </c>
      <c r="X253" s="1231">
        <f>INDEX('Basic Data TR'!$A$1:$AMJ$9673,MATCH($A253,'Basic Data TR'!$A$1:$A$9673,0),MATCH(X$6,'Basic Data TR'!$A$1:$AMJ$1,0))</f>
        <v>-2757.2020000000002</v>
      </c>
      <c r="Y253" s="1231">
        <f>INDEX('Basic Data TR'!$A$1:$AMJ$9673,MATCH($A253,'Basic Data TR'!$A$1:$A$9673,0),MATCH(Y$6,'Basic Data TR'!$A$1:$AMJ$1,0))</f>
        <v>-2287.2049999999999</v>
      </c>
      <c r="Z253" s="1231">
        <v>-1808.2529999999999</v>
      </c>
      <c r="AA253" s="1231"/>
      <c r="AB253" s="1231"/>
      <c r="AC253" s="1231"/>
      <c r="AD253" s="1231"/>
      <c r="AE253" s="1231"/>
      <c r="AF253" s="1231"/>
      <c r="AG253" s="1231">
        <f ca="1">OFFSET($CQ253,0,AG$7)</f>
        <v>0</v>
      </c>
      <c r="AH253" s="1231">
        <f ca="1">OFFSET($CQ253,0,AH$7)+OFFSET($CR253,0,AH$7)</f>
        <v>0</v>
      </c>
      <c r="AI253" s="1231">
        <f ca="1">OFFSET($CQ253,0,AI$7)+OFFSET($CR253,0,AI$7)+OFFSET($CS253,0,AI$7)</f>
        <v>0</v>
      </c>
      <c r="AJ253" s="1231">
        <f ca="1">OFFSET($CQ253,0,AJ$7)+OFFSET($CR253,0,AJ$7)+OFFSET($CS253,0,AJ$7)+OFFSET($CT253,0,AJ$7)</f>
        <v>0</v>
      </c>
      <c r="AK253" s="1231">
        <f ca="1">OFFSET($CQ253,0,AK$7)</f>
        <v>0</v>
      </c>
      <c r="AL253" s="1231">
        <f ca="1">OFFSET($CQ253,0,AL$7)+OFFSET($CR253,0,AL$7)</f>
        <v>0</v>
      </c>
      <c r="AM253" s="1231">
        <f ca="1">OFFSET($CQ253,0,AM$7)+OFFSET($CR253,0,AM$7)+OFFSET($CS253,0,AM$7)</f>
        <v>0</v>
      </c>
      <c r="AN253" s="1231">
        <f ca="1">OFFSET($CQ253,0,AN$7)+OFFSET($CR253,0,AN$7)+OFFSET($CS253,0,AN$7)+OFFSET($CT253,0,AN$7)</f>
        <v>0</v>
      </c>
      <c r="AO253" s="1231">
        <f ca="1">OFFSET($CQ253,0,AO$7)</f>
        <v>0</v>
      </c>
      <c r="AP253" s="1231">
        <f ca="1">OFFSET($CQ253,0,AP$7)+OFFSET($CR253,0,AP$7)</f>
        <v>0</v>
      </c>
      <c r="AQ253" s="1231">
        <f ca="1">OFFSET($CQ253,0,AQ$7)+OFFSET($CR253,0,AQ$7)+OFFSET($CS253,0,AQ$7)</f>
        <v>0</v>
      </c>
      <c r="AR253" s="1231">
        <f ca="1">OFFSET($CQ253,0,AR$7)+OFFSET($CR253,0,AR$7)+OFFSET($CS253,0,AR$7)+OFFSET($CT253,0,AR$7)</f>
        <v>0</v>
      </c>
      <c r="AS253" s="1231">
        <f ca="1">OFFSET($CQ253,0,AS$7)</f>
        <v>0</v>
      </c>
      <c r="AT253" s="1231">
        <f ca="1">OFFSET($CQ253,0,AT$7)+OFFSET($CR253,0,AT$7)</f>
        <v>0</v>
      </c>
      <c r="AU253" s="1231">
        <f ca="1">OFFSET($CQ253,0,AU$7)+OFFSET($CR253,0,AU$7)+OFFSET($CS253,0,AU$7)</f>
        <v>0</v>
      </c>
      <c r="AV253" s="1231">
        <f ca="1">OFFSET($CQ253,0,AV$7)+OFFSET($CR253,0,AV$7)+OFFSET($CS253,0,AV$7)+OFFSET($CT253,0,AV$7)</f>
        <v>0</v>
      </c>
      <c r="AW253" s="1231">
        <f ca="1">OFFSET($CQ253,0,AW$7)</f>
        <v>0</v>
      </c>
      <c r="AX253" s="1231">
        <f ca="1">OFFSET($CQ253,0,AX$7)+OFFSET($CR253,0,AX$7)</f>
        <v>0</v>
      </c>
      <c r="AY253" s="1231">
        <f ca="1">OFFSET($CQ253,0,AY$7)+OFFSET($CR253,0,AY$7)+OFFSET($CS253,0,AY$7)</f>
        <v>0</v>
      </c>
      <c r="AZ253" s="1231">
        <f ca="1">OFFSET($CQ253,0,AZ$7)+OFFSET($CR253,0,AZ$7)+OFFSET($CS253,0,AZ$7)+OFFSET($CT253,0,AZ$7)</f>
        <v>0</v>
      </c>
      <c r="BA253" s="1231">
        <f ca="1">OFFSET($CQ253,0,BA$7)</f>
        <v>0</v>
      </c>
      <c r="BB253" s="1231">
        <f ca="1">OFFSET($CQ253,0,BB$7)+OFFSET($CR253,0,BB$7)</f>
        <v>0</v>
      </c>
      <c r="BC253" s="1231">
        <f ca="1">OFFSET($CQ253,0,BC$7)+OFFSET($CR253,0,BC$7)+OFFSET($CS253,0,BC$7)</f>
        <v>0</v>
      </c>
      <c r="BD253" s="1231">
        <f ca="1">OFFSET($CQ253,0,BD$7)+OFFSET($CR253,0,BD$7)+OFFSET($CS253,0,BD$7)+OFFSET($CT253,0,BD$7)</f>
        <v>0</v>
      </c>
      <c r="BE253" s="1231">
        <f ca="1">OFFSET($CQ253,0,BE$7)</f>
        <v>0</v>
      </c>
      <c r="BF253" s="1231">
        <f ca="1">OFFSET($CQ253,0,BF$7)+OFFSET($CR253,0,BF$7)</f>
        <v>0</v>
      </c>
      <c r="BG253" s="1231">
        <f ca="1">OFFSET($CQ253,0,BG$7)+OFFSET($CR253,0,BG$7)+OFFSET($CS253,0,BG$7)</f>
        <v>0</v>
      </c>
      <c r="BH253" s="1231">
        <f ca="1">OFFSET($CQ253,0,BH$7)+OFFSET($CR253,0,BH$7)+OFFSET($CS253,0,BH$7)+OFFSET($CT253,0,BH$7)</f>
        <v>0</v>
      </c>
      <c r="BI253" s="1231">
        <f ca="1">OFFSET($CQ253,0,BI$7)</f>
        <v>0</v>
      </c>
      <c r="BJ253" s="1231">
        <f ca="1">OFFSET($CQ253,0,BJ$7)+OFFSET($CR253,0,BJ$7)</f>
        <v>0</v>
      </c>
      <c r="BK253" s="1231">
        <f ca="1">OFFSET($CQ253,0,BK$7)+OFFSET($CR253,0,BK$7)+OFFSET($CS253,0,BK$7)</f>
        <v>0</v>
      </c>
      <c r="BL253" s="1231">
        <f ca="1">OFFSET($CQ253,0,BL$7)+OFFSET($CR253,0,BL$7)+OFFSET($CS253,0,BL$7)+OFFSET($CT253,0,BL$7)</f>
        <v>0</v>
      </c>
      <c r="BM253" s="1231">
        <f ca="1">OFFSET($CQ253,0,BM$7)</f>
        <v>0</v>
      </c>
      <c r="BN253" s="1231">
        <f ca="1">OFFSET($CQ253,0,BN$7)+OFFSET($CR253,0,BN$7)</f>
        <v>0</v>
      </c>
      <c r="BO253" s="1231">
        <f ca="1">OFFSET($CQ253,0,BO$7)+OFFSET($CR253,0,BO$7)+OFFSET($CS253,0,BO$7)</f>
        <v>0</v>
      </c>
      <c r="BP253" s="1231">
        <f ca="1">OFFSET($CQ253,0,BP$7)+OFFSET($CR253,0,BP$7)+OFFSET($CS253,0,BP$7)+OFFSET($CT253,0,BP$7)</f>
        <v>0</v>
      </c>
      <c r="BQ253" s="1231">
        <f ca="1">OFFSET($CQ253,0,BQ$7)</f>
        <v>0</v>
      </c>
      <c r="BR253" s="1231">
        <f ca="1">OFFSET($CQ253,0,BR$7)+OFFSET($CR253,0,BR$7)</f>
        <v>0</v>
      </c>
      <c r="BS253" s="1231">
        <f ca="1">OFFSET($CQ253,0,BS$7)+OFFSET($CR253,0,BS$7)+OFFSET($CS253,0,BS$7)</f>
        <v>0</v>
      </c>
      <c r="BT253" s="1231">
        <f ca="1">OFFSET($CQ253,0,BT$7)+OFFSET($CR253,0,BT$7)+OFFSET($CS253,0,BT$7)+OFFSET($CT253,0,BT$7)</f>
        <v>0</v>
      </c>
      <c r="BU253" s="1231">
        <f ca="1">OFFSET($CQ253,0,BU$7)</f>
        <v>0</v>
      </c>
      <c r="BV253" s="1231">
        <f ca="1">OFFSET($CQ253,0,BV$7)+OFFSET($CR253,0,BV$7)</f>
        <v>0</v>
      </c>
      <c r="BW253" s="1231">
        <f ca="1">OFFSET($CQ253,0,BW$7)+OFFSET($CR253,0,BW$7)+OFFSET($CS253,0,BW$7)</f>
        <v>0</v>
      </c>
      <c r="BX253" s="1231">
        <f ca="1">OFFSET($CQ253,0,BX$7)+OFFSET($CR253,0,BX$7)+OFFSET($CS253,0,BX$7)+OFFSET($CT253,0,BX$7)</f>
        <v>0</v>
      </c>
      <c r="BY253" s="1231">
        <f ca="1">OFFSET($CQ253,0,BY$7)</f>
        <v>0</v>
      </c>
      <c r="BZ253" s="1231">
        <f ca="1">OFFSET($CQ253,0,BZ$7)+OFFSET($CR253,0,BZ$7)</f>
        <v>0</v>
      </c>
      <c r="CA253" s="1231">
        <f ca="1">OFFSET($CQ253,0,CA$7)+OFFSET($CR253,0,CA$7)+OFFSET($CS253,0,CA$7)</f>
        <v>0</v>
      </c>
      <c r="CB253" s="1231">
        <f ca="1">OFFSET($CQ253,0,CB$7)+OFFSET($CR253,0,CB$7)+OFFSET($CS253,0,CB$7)+OFFSET($CT253,0,CB$7)</f>
        <v>0</v>
      </c>
      <c r="CC253" s="1231">
        <f ca="1">OFFSET($CQ253,0,CC$7)</f>
        <v>0</v>
      </c>
      <c r="CD253" s="1231">
        <f ca="1">OFFSET($CQ253,0,CD$7)+OFFSET($CR253,0,CD$7)</f>
        <v>0</v>
      </c>
      <c r="CE253" s="1231">
        <f ca="1">OFFSET($CQ253,0,CE$7)+OFFSET($CR253,0,CE$7)+OFFSET($CS253,0,CE$7)</f>
        <v>0</v>
      </c>
      <c r="CF253" s="1231">
        <f ca="1">OFFSET($CQ253,0,CF$7)+OFFSET($CR253,0,CF$7)+OFFSET($CS253,0,CF$7)+OFFSET($CT253,0,CF$7)</f>
        <v>0</v>
      </c>
      <c r="CG253" s="1231">
        <f ca="1">OFFSET($CQ253,0,CG$7)</f>
        <v>0</v>
      </c>
      <c r="CH253" s="1231">
        <f ca="1">OFFSET($CQ253,0,CH$7)+OFFSET($CR253,0,CH$7)</f>
        <v>0</v>
      </c>
      <c r="CI253" s="1231">
        <f ca="1">OFFSET($CQ253,0,CI$7)+OFFSET($CR253,0,CI$7)+OFFSET($CS253,0,CI$7)</f>
        <v>0</v>
      </c>
      <c r="CJ253" s="1231">
        <f ca="1">OFFSET($CQ253,0,CJ$7)+OFFSET($CR253,0,CJ$7)+OFFSET($CS253,0,CJ$7)+OFFSET($CT253,0,CJ$7)</f>
        <v>0</v>
      </c>
      <c r="CK253" s="1231"/>
      <c r="CL253" s="1231"/>
      <c r="CM253" s="1231"/>
      <c r="CN253" s="1231"/>
      <c r="CO253" s="1165"/>
      <c r="CP253" s="1165"/>
      <c r="CQ253" s="1231"/>
      <c r="CR253" s="1231"/>
      <c r="CS253" s="1231"/>
      <c r="CT253" s="1231"/>
      <c r="CU253" s="1231"/>
      <c r="CV253" s="1231"/>
      <c r="CW253" s="1231"/>
      <c r="CX253" s="1231"/>
      <c r="CY253" s="1231"/>
      <c r="CZ253" s="1231"/>
      <c r="DA253" s="1231"/>
      <c r="DB253" s="1231"/>
      <c r="DC253" s="1231"/>
      <c r="DD253" s="1231"/>
      <c r="DE253" s="1231"/>
      <c r="DF253" s="1231"/>
      <c r="DG253" s="1231"/>
      <c r="DH253" s="1231"/>
      <c r="DI253" s="1231"/>
      <c r="DJ253" s="1231"/>
      <c r="DK253" s="1232"/>
      <c r="DL253" s="1232"/>
      <c r="DM253" s="1232"/>
      <c r="DN253" s="1232"/>
      <c r="DO253" s="1232"/>
      <c r="DP253" s="1232"/>
      <c r="DQ253" s="1232"/>
      <c r="DR253" s="1232"/>
      <c r="DS253" s="1232"/>
      <c r="DT253" s="1232"/>
      <c r="DU253" s="1232"/>
      <c r="DV253" s="1232"/>
      <c r="DW253" s="1232"/>
      <c r="DX253" s="1232"/>
      <c r="DY253" s="1232"/>
      <c r="DZ253" s="1232"/>
      <c r="EA253" s="1232"/>
      <c r="EB253" s="1232"/>
      <c r="EC253" s="1232"/>
      <c r="ED253" s="1232"/>
      <c r="EE253" s="1232"/>
      <c r="EF253" s="1232"/>
      <c r="EG253" s="1232"/>
      <c r="EH253" s="1232"/>
      <c r="EI253" s="1232"/>
      <c r="EJ253" s="1232"/>
      <c r="EK253" s="1232"/>
      <c r="EL253" s="1232"/>
      <c r="EM253" s="1232"/>
      <c r="EN253" s="1232"/>
      <c r="EO253" s="1232"/>
      <c r="EP253" s="1232"/>
      <c r="EQ253" s="1232"/>
      <c r="ER253" s="1232"/>
      <c r="ES253" s="1232"/>
      <c r="ET253" s="1232"/>
      <c r="EU253" s="1231"/>
      <c r="EV253" s="1231"/>
      <c r="EW253" s="1231"/>
      <c r="EX253" s="1231"/>
      <c r="EY253" s="1231"/>
      <c r="EZ253" s="1231"/>
      <c r="FA253" s="1231"/>
      <c r="FB253" s="1231"/>
      <c r="FC253" s="1231"/>
      <c r="FD253" s="1231"/>
      <c r="FE253" s="1231"/>
      <c r="FF253" s="1231"/>
    </row>
    <row r="254" spans="1:162">
      <c r="A254" s="1224"/>
      <c r="B254" s="1230"/>
      <c r="C254" s="1231"/>
      <c r="D254" s="1231"/>
      <c r="E254" s="1231"/>
      <c r="F254" s="1231"/>
      <c r="G254" s="1231"/>
      <c r="H254" s="1231"/>
      <c r="I254" s="1231"/>
      <c r="J254" s="1231"/>
      <c r="K254" s="1231"/>
      <c r="L254" s="1231"/>
      <c r="M254" s="1231"/>
      <c r="N254" s="1231"/>
      <c r="O254" s="1231"/>
      <c r="P254" s="1231"/>
      <c r="Q254" s="1231"/>
      <c r="R254" s="1231"/>
      <c r="S254" s="1231"/>
      <c r="T254" s="1231"/>
      <c r="U254" s="1231"/>
      <c r="V254" s="1231"/>
      <c r="W254" s="1231"/>
      <c r="X254" s="1231"/>
      <c r="Y254" s="1231"/>
      <c r="Z254" s="1231"/>
      <c r="AA254" s="1231"/>
      <c r="AB254" s="1231"/>
      <c r="AC254" s="1231"/>
      <c r="AD254" s="1231"/>
      <c r="AE254" s="1231"/>
      <c r="AF254" s="1231"/>
      <c r="AG254" s="1231"/>
      <c r="AH254" s="1231"/>
      <c r="AI254" s="1231"/>
      <c r="AJ254" s="1231"/>
      <c r="AK254" s="1231"/>
      <c r="AL254" s="1231"/>
      <c r="AM254" s="1231"/>
      <c r="AN254" s="1231"/>
      <c r="AO254" s="1231"/>
      <c r="AP254" s="1231"/>
      <c r="AQ254" s="1231"/>
      <c r="AR254" s="1231"/>
      <c r="AS254" s="1231"/>
      <c r="AT254" s="1231"/>
      <c r="AU254" s="1231"/>
      <c r="AV254" s="1231"/>
      <c r="AW254" s="1231"/>
      <c r="AX254" s="1231"/>
      <c r="AY254" s="1231"/>
      <c r="AZ254" s="1231"/>
      <c r="BA254" s="1231"/>
      <c r="BB254" s="1231"/>
      <c r="BC254" s="1231"/>
      <c r="BD254" s="1231"/>
      <c r="BE254" s="1231"/>
      <c r="BF254" s="1231"/>
      <c r="BG254" s="1231"/>
      <c r="BH254" s="1231"/>
      <c r="BI254" s="1231"/>
      <c r="BJ254" s="1231"/>
      <c r="BK254" s="1231"/>
      <c r="BL254" s="1231"/>
      <c r="BM254" s="1231"/>
      <c r="BN254" s="1231"/>
      <c r="BO254" s="1231"/>
      <c r="BP254" s="1231"/>
      <c r="BQ254" s="1231"/>
      <c r="BR254" s="1231"/>
      <c r="BS254" s="1231"/>
      <c r="BT254" s="1231"/>
      <c r="BU254" s="1231"/>
      <c r="BV254" s="1231"/>
      <c r="BW254" s="1231"/>
      <c r="BX254" s="1231"/>
      <c r="BY254" s="1231"/>
      <c r="BZ254" s="1231"/>
      <c r="CA254" s="1231"/>
      <c r="CB254" s="1231"/>
      <c r="CC254" s="1231"/>
      <c r="CD254" s="1231"/>
      <c r="CE254" s="1231"/>
      <c r="CF254" s="1231"/>
      <c r="CG254" s="1231"/>
      <c r="CH254" s="1231"/>
      <c r="CI254" s="1231"/>
      <c r="CJ254" s="1231"/>
      <c r="CK254" s="1231"/>
      <c r="CL254" s="1231"/>
      <c r="CM254" s="1231"/>
      <c r="CN254" s="1231"/>
      <c r="CO254" s="1231"/>
      <c r="CP254" s="1231"/>
      <c r="CQ254" s="1231"/>
      <c r="CR254" s="1231"/>
      <c r="CS254" s="1231"/>
      <c r="CT254" s="1231"/>
      <c r="CU254" s="1231"/>
      <c r="CV254" s="1231"/>
      <c r="CW254" s="1231"/>
      <c r="CX254" s="1231"/>
      <c r="CY254" s="1231"/>
      <c r="CZ254" s="1231"/>
      <c r="DA254" s="1231"/>
      <c r="DB254" s="1231"/>
      <c r="DC254" s="1231"/>
      <c r="DD254" s="1231"/>
      <c r="DE254" s="1231"/>
      <c r="DF254" s="1231"/>
      <c r="DG254" s="1231"/>
      <c r="DH254" s="1231"/>
      <c r="DI254" s="1231"/>
      <c r="DJ254" s="1231"/>
      <c r="DK254" s="1231"/>
      <c r="DL254" s="1231"/>
      <c r="DM254" s="1231"/>
      <c r="DN254" s="1231"/>
      <c r="DO254" s="1231"/>
      <c r="DP254" s="1231"/>
      <c r="DQ254" s="1231"/>
      <c r="DR254" s="1231"/>
      <c r="DS254" s="1231"/>
      <c r="DT254" s="1231"/>
      <c r="DU254" s="1231"/>
      <c r="DV254" s="1231"/>
      <c r="DW254" s="1231"/>
      <c r="DX254" s="1231"/>
      <c r="DY254" s="1231"/>
      <c r="DZ254" s="1231"/>
      <c r="EA254" s="1231"/>
      <c r="EB254" s="1231"/>
      <c r="EC254" s="1231"/>
      <c r="ED254" s="1231"/>
      <c r="EE254" s="1231"/>
      <c r="EF254" s="1231"/>
      <c r="EG254" s="1231"/>
      <c r="EH254" s="1231"/>
      <c r="EI254" s="1231"/>
      <c r="EJ254" s="1231"/>
      <c r="EK254" s="1231"/>
      <c r="EL254" s="1231"/>
      <c r="EM254" s="1231"/>
      <c r="EN254" s="1231"/>
      <c r="EO254" s="1231"/>
      <c r="EP254" s="1231"/>
      <c r="EQ254" s="1231"/>
      <c r="ER254" s="1231"/>
      <c r="ES254" s="1231"/>
      <c r="ET254" s="1231"/>
      <c r="EU254" s="1231"/>
      <c r="EV254" s="1231"/>
      <c r="EW254" s="1231"/>
      <c r="EX254" s="1231"/>
      <c r="EY254" s="1231"/>
      <c r="EZ254" s="1231"/>
      <c r="FA254" s="1231"/>
      <c r="FB254" s="1231"/>
      <c r="FC254" s="1231"/>
      <c r="FD254" s="1231"/>
      <c r="FE254" s="1231"/>
      <c r="FF254" s="1231"/>
    </row>
    <row r="255" spans="1:162" s="1231" customFormat="1">
      <c r="A255" s="1203" t="s">
        <v>656</v>
      </c>
      <c r="B255" s="1237" t="s">
        <v>360</v>
      </c>
      <c r="C255" s="1236"/>
      <c r="D255" s="1236"/>
      <c r="E255" s="1236"/>
      <c r="F255" s="1236"/>
      <c r="G255" s="1236"/>
      <c r="H255" s="1236"/>
      <c r="I255" s="1236"/>
      <c r="J255" s="1236"/>
      <c r="K255" s="1236"/>
      <c r="L255" s="1236"/>
      <c r="M255" s="1236">
        <f t="shared" ref="M255:Q258" ca="1" si="344">OFFSET($CQ255,0,M$7)+OFFSET($CR255,0,M$7)+OFFSET($CS255,0,M$7)+OFFSET($CT255,0,M$7)</f>
        <v>0</v>
      </c>
      <c r="N255" s="1236">
        <f t="shared" ca="1" si="344"/>
        <v>0</v>
      </c>
      <c r="O255" s="1236">
        <f t="shared" ca="1" si="344"/>
        <v>0</v>
      </c>
      <c r="P255" s="1236">
        <f t="shared" ca="1" si="344"/>
        <v>0</v>
      </c>
      <c r="Q255" s="1236">
        <f t="shared" ca="1" si="344"/>
        <v>0</v>
      </c>
      <c r="R255" s="1236">
        <f>INDEX('Basic Data TR'!$A$1:$AMJ$9673,MATCH($A255,'Basic Data TR'!$A$1:$A$9673,0),MATCH(R$6,'Basic Data TR'!$A$1:$AMJ$1,0))</f>
        <v>-25.81287</v>
      </c>
      <c r="S255" s="1236">
        <f>INDEX('Basic Data TR'!$A$1:$AMJ$9673,MATCH($A255,'Basic Data TR'!$A$1:$A$9673,0),MATCH(S$6,'Basic Data TR'!$A$1:$AMJ$1,0))</f>
        <v>-40.35</v>
      </c>
      <c r="T255" s="1236">
        <f>INDEX('Basic Data TR'!$A$1:$AMJ$9673,MATCH($A255,'Basic Data TR'!$A$1:$A$9673,0),MATCH(T$6,'Basic Data TR'!$A$1:$AMJ$1,0))</f>
        <v>-43.637999999999998</v>
      </c>
      <c r="U255" s="1236">
        <f>INDEX('Basic Data TR'!$A$1:$AMJ$9673,MATCH($A255,'Basic Data TR'!$A$1:$A$9673,0),MATCH(U$6,'Basic Data TR'!$A$1:$AMJ$1,0))</f>
        <v>-258.10199999999998</v>
      </c>
      <c r="V255" s="1236">
        <f>INDEX('Basic Data TR'!$A$1:$AMJ$9673,MATCH($A255,'Basic Data TR'!$A$1:$A$9673,0),MATCH(V$6,'Basic Data TR'!$A$1:$AMJ$1,0))</f>
        <v>-1997.624</v>
      </c>
      <c r="W255" s="1236">
        <f>INDEX('Basic Data TR'!$A$1:$AMJ$9673,MATCH($A255,'Basic Data TR'!$A$1:$A$9673,0),MATCH(W$6,'Basic Data TR'!$A$1:$AMJ$1,0))</f>
        <v>-2412.259</v>
      </c>
      <c r="X255" s="1236">
        <f>INDEX('Basic Data TR'!$A$1:$AMJ$9673,MATCH($A255,'Basic Data TR'!$A$1:$A$9673,0),MATCH(X$6,'Basic Data TR'!$A$1:$AMJ$1,0))</f>
        <v>-917.27200000000005</v>
      </c>
      <c r="Y255" s="1236">
        <f>INDEX('Basic Data TR'!$A$1:$AMJ$9673,MATCH($A255,'Basic Data TR'!$A$1:$A$9673,0),MATCH(Y$6,'Basic Data TR'!$A$1:$AMJ$1,0))</f>
        <v>-829.37099999999998</v>
      </c>
      <c r="Z255" s="1236">
        <f>-447.717-4407.79</f>
        <v>-4855.5069999999996</v>
      </c>
      <c r="AA255" s="1236"/>
      <c r="AB255" s="1236"/>
      <c r="AC255" s="1236"/>
      <c r="AD255" s="1236"/>
      <c r="AE255" s="1236"/>
      <c r="AF255" s="1236"/>
      <c r="AG255" s="1236">
        <f ca="1">OFFSET($CQ255,0,AG$7)</f>
        <v>0</v>
      </c>
      <c r="AH255" s="1236">
        <f ca="1">OFFSET($CQ255,0,AH$7)+OFFSET($CR255,0,AH$7)</f>
        <v>0</v>
      </c>
      <c r="AI255" s="1236">
        <f ca="1">OFFSET($CQ255,0,AI$7)+OFFSET($CR255,0,AI$7)+OFFSET($CS255,0,AI$7)</f>
        <v>0</v>
      </c>
      <c r="AJ255" s="1236">
        <f ca="1">OFFSET($CQ255,0,AJ$7)+OFFSET($CR255,0,AJ$7)+OFFSET($CS255,0,AJ$7)+OFFSET($CT255,0,AJ$7)</f>
        <v>0</v>
      </c>
      <c r="AK255" s="1236">
        <f ca="1">OFFSET($CQ255,0,AK$7)</f>
        <v>0</v>
      </c>
      <c r="AL255" s="1236">
        <f ca="1">OFFSET($CQ255,0,AL$7)+OFFSET($CR255,0,AL$7)</f>
        <v>0</v>
      </c>
      <c r="AM255" s="1236">
        <f ca="1">OFFSET($CQ255,0,AM$7)+OFFSET($CR255,0,AM$7)+OFFSET($CS255,0,AM$7)</f>
        <v>0</v>
      </c>
      <c r="AN255" s="1236">
        <f ca="1">OFFSET($CQ255,0,AN$7)+OFFSET($CR255,0,AN$7)+OFFSET($CS255,0,AN$7)+OFFSET($CT255,0,AN$7)</f>
        <v>0</v>
      </c>
      <c r="AO255" s="1236">
        <f ca="1">OFFSET($CQ255,0,AO$7)</f>
        <v>0</v>
      </c>
      <c r="AP255" s="1236">
        <f ca="1">OFFSET($CQ255,0,AP$7)+OFFSET($CR255,0,AP$7)</f>
        <v>0</v>
      </c>
      <c r="AQ255" s="1236">
        <f ca="1">OFFSET($CQ255,0,AQ$7)+OFFSET($CR255,0,AQ$7)+OFFSET($CS255,0,AQ$7)</f>
        <v>0</v>
      </c>
      <c r="AR255" s="1236">
        <f ca="1">OFFSET($CQ255,0,AR$7)+OFFSET($CR255,0,AR$7)+OFFSET($CS255,0,AR$7)+OFFSET($CT255,0,AR$7)</f>
        <v>0</v>
      </c>
      <c r="AS255" s="1236">
        <f ca="1">OFFSET($CQ255,0,AS$7)</f>
        <v>0</v>
      </c>
      <c r="AT255" s="1236">
        <f ca="1">OFFSET($CQ255,0,AT$7)+OFFSET($CR255,0,AT$7)</f>
        <v>0</v>
      </c>
      <c r="AU255" s="1236">
        <f ca="1">OFFSET($CQ255,0,AU$7)+OFFSET($CR255,0,AU$7)+OFFSET($CS255,0,AU$7)</f>
        <v>0</v>
      </c>
      <c r="AV255" s="1236">
        <f ca="1">OFFSET($CQ255,0,AV$7)+OFFSET($CR255,0,AV$7)+OFFSET($CS255,0,AV$7)+OFFSET($CT255,0,AV$7)</f>
        <v>0</v>
      </c>
      <c r="AW255" s="1236">
        <f ca="1">OFFSET($CQ255,0,AW$7)</f>
        <v>0</v>
      </c>
      <c r="AX255" s="1236">
        <f ca="1">OFFSET($CQ255,0,AX$7)+OFFSET($CR255,0,AX$7)</f>
        <v>0</v>
      </c>
      <c r="AY255" s="1236">
        <f ca="1">OFFSET($CQ255,0,AY$7)+OFFSET($CR255,0,AY$7)+OFFSET($CS255,0,AY$7)</f>
        <v>0</v>
      </c>
      <c r="AZ255" s="1236">
        <f ca="1">OFFSET($CQ255,0,AZ$7)+OFFSET($CR255,0,AZ$7)+OFFSET($CS255,0,AZ$7)+OFFSET($CT255,0,AZ$7)</f>
        <v>0</v>
      </c>
      <c r="BA255" s="1236">
        <f ca="1">OFFSET($CQ255,0,BA$7)</f>
        <v>0</v>
      </c>
      <c r="BB255" s="1236">
        <f ca="1">OFFSET($CQ255,0,BB$7)+OFFSET($CR255,0,BB$7)</f>
        <v>0</v>
      </c>
      <c r="BC255" s="1236">
        <f ca="1">OFFSET($CQ255,0,BC$7)+OFFSET($CR255,0,BC$7)+OFFSET($CS255,0,BC$7)</f>
        <v>0</v>
      </c>
      <c r="BD255" s="1236">
        <f ca="1">OFFSET($CQ255,0,BD$7)+OFFSET($CR255,0,BD$7)+OFFSET($CS255,0,BD$7)+OFFSET($CT255,0,BD$7)</f>
        <v>0</v>
      </c>
      <c r="BE255" s="1236">
        <f ca="1">OFFSET($CQ255,0,BE$7)</f>
        <v>0</v>
      </c>
      <c r="BF255" s="1236">
        <f ca="1">OFFSET($CQ255,0,BF$7)+OFFSET($CR255,0,BF$7)</f>
        <v>0</v>
      </c>
      <c r="BG255" s="1236">
        <f ca="1">OFFSET($CQ255,0,BG$7)+OFFSET($CR255,0,BG$7)+OFFSET($CS255,0,BG$7)</f>
        <v>0</v>
      </c>
      <c r="BH255" s="1236">
        <f ca="1">OFFSET($CQ255,0,BH$7)+OFFSET($CR255,0,BH$7)+OFFSET($CS255,0,BH$7)+OFFSET($CT255,0,BH$7)</f>
        <v>0</v>
      </c>
      <c r="BI255" s="1236">
        <f ca="1">OFFSET($CQ255,0,BI$7)</f>
        <v>0</v>
      </c>
      <c r="BJ255" s="1236">
        <f ca="1">OFFSET($CQ255,0,BJ$7)+OFFSET($CR255,0,BJ$7)</f>
        <v>0</v>
      </c>
      <c r="BK255" s="1236">
        <f ca="1">OFFSET($CQ255,0,BK$7)+OFFSET($CR255,0,BK$7)+OFFSET($CS255,0,BK$7)</f>
        <v>0</v>
      </c>
      <c r="BL255" s="1236">
        <f ca="1">OFFSET($CQ255,0,BL$7)+OFFSET($CR255,0,BL$7)+OFFSET($CS255,0,BL$7)+OFFSET($CT255,0,BL$7)</f>
        <v>0</v>
      </c>
      <c r="BM255" s="1236">
        <f ca="1">OFFSET($CQ255,0,BM$7)</f>
        <v>0</v>
      </c>
      <c r="BN255" s="1236">
        <f ca="1">OFFSET($CQ255,0,BN$7)+OFFSET($CR255,0,BN$7)</f>
        <v>0</v>
      </c>
      <c r="BO255" s="1236">
        <f ca="1">OFFSET($CQ255,0,BO$7)+OFFSET($CR255,0,BO$7)+OFFSET($CS255,0,BO$7)</f>
        <v>0</v>
      </c>
      <c r="BP255" s="1236">
        <f ca="1">OFFSET($CQ255,0,BP$7)+OFFSET($CR255,0,BP$7)+OFFSET($CS255,0,BP$7)+OFFSET($CT255,0,BP$7)</f>
        <v>0</v>
      </c>
      <c r="BQ255" s="1236">
        <f ca="1">OFFSET($CQ255,0,BQ$7)</f>
        <v>0</v>
      </c>
      <c r="BR255" s="1236">
        <f ca="1">OFFSET($CQ255,0,BR$7)+OFFSET($CR255,0,BR$7)</f>
        <v>0</v>
      </c>
      <c r="BS255" s="1236">
        <f ca="1">OFFSET($CQ255,0,BS$7)+OFFSET($CR255,0,BS$7)+OFFSET($CS255,0,BS$7)</f>
        <v>0</v>
      </c>
      <c r="BT255" s="1236">
        <f ca="1">OFFSET($CQ255,0,BT$7)+OFFSET($CR255,0,BT$7)+OFFSET($CS255,0,BT$7)+OFFSET($CT255,0,BT$7)</f>
        <v>0</v>
      </c>
      <c r="BU255" s="1236">
        <f ca="1">OFFSET($CQ255,0,BU$7)</f>
        <v>0</v>
      </c>
      <c r="BV255" s="1236">
        <f ca="1">OFFSET($CQ255,0,BV$7)+OFFSET($CR255,0,BV$7)</f>
        <v>0</v>
      </c>
      <c r="BW255" s="1236">
        <f ca="1">OFFSET($CQ255,0,BW$7)+OFFSET($CR255,0,BW$7)+OFFSET($CS255,0,BW$7)</f>
        <v>0</v>
      </c>
      <c r="BX255" s="1236">
        <f ca="1">OFFSET($CQ255,0,BX$7)+OFFSET($CR255,0,BX$7)+OFFSET($CS255,0,BX$7)+OFFSET($CT255,0,BX$7)</f>
        <v>0</v>
      </c>
      <c r="BY255" s="1236">
        <f ca="1">OFFSET($CQ255,0,BY$7)</f>
        <v>0</v>
      </c>
      <c r="BZ255" s="1236">
        <f ca="1">OFFSET($CQ255,0,BZ$7)+OFFSET($CR255,0,BZ$7)</f>
        <v>0</v>
      </c>
      <c r="CA255" s="1236">
        <f ca="1">OFFSET($CQ255,0,CA$7)+OFFSET($CR255,0,CA$7)+OFFSET($CS255,0,CA$7)</f>
        <v>0</v>
      </c>
      <c r="CB255" s="1236">
        <f ca="1">OFFSET($CQ255,0,CB$7)+OFFSET($CR255,0,CB$7)+OFFSET($CS255,0,CB$7)+OFFSET($CT255,0,CB$7)</f>
        <v>0</v>
      </c>
      <c r="CC255" s="1236">
        <f ca="1">OFFSET($CQ255,0,CC$7)</f>
        <v>0</v>
      </c>
      <c r="CD255" s="1236">
        <f ca="1">OFFSET($CQ255,0,CD$7)+OFFSET($CR255,0,CD$7)</f>
        <v>0</v>
      </c>
      <c r="CE255" s="1236">
        <f ca="1">OFFSET($CQ255,0,CE$7)+OFFSET($CR255,0,CE$7)+OFFSET($CS255,0,CE$7)</f>
        <v>0</v>
      </c>
      <c r="CF255" s="1236">
        <f ca="1">OFFSET($CQ255,0,CF$7)+OFFSET($CR255,0,CF$7)+OFFSET($CS255,0,CF$7)+OFFSET($CT255,0,CF$7)</f>
        <v>0</v>
      </c>
      <c r="CG255" s="1236">
        <f ca="1">OFFSET($CQ255,0,CG$7)</f>
        <v>0</v>
      </c>
      <c r="CH255" s="1236">
        <f ca="1">OFFSET($CQ255,0,CH$7)+OFFSET($CR255,0,CH$7)</f>
        <v>0</v>
      </c>
      <c r="CI255" s="1236">
        <f ca="1">OFFSET($CQ255,0,CI$7)+OFFSET($CR255,0,CI$7)+OFFSET($CS255,0,CI$7)</f>
        <v>0</v>
      </c>
      <c r="CJ255" s="1236">
        <f ca="1">OFFSET($CQ255,0,CJ$7)+OFFSET($CR255,0,CJ$7)+OFFSET($CS255,0,CJ$7)+OFFSET($CT255,0,CJ$7)</f>
        <v>0</v>
      </c>
      <c r="CK255" s="1236"/>
      <c r="CL255" s="1236"/>
      <c r="CM255" s="1236"/>
      <c r="CN255" s="1236"/>
      <c r="CO255" s="1236"/>
      <c r="CP255" s="1236"/>
      <c r="CQ255" s="1236"/>
      <c r="CR255" s="1236"/>
      <c r="CS255" s="1236"/>
      <c r="CT255" s="1236"/>
      <c r="CU255" s="1236"/>
      <c r="CV255" s="1236"/>
      <c r="CW255" s="1236"/>
      <c r="CX255" s="1236"/>
      <c r="CY255" s="1236"/>
      <c r="CZ255" s="1236"/>
      <c r="DA255" s="1236"/>
      <c r="DB255" s="1236"/>
      <c r="DC255" s="1236"/>
      <c r="DD255" s="1236"/>
      <c r="DE255" s="1236"/>
      <c r="DF255" s="1236"/>
      <c r="DG255" s="1236"/>
      <c r="DH255" s="1236"/>
      <c r="DI255" s="1236"/>
      <c r="DJ255" s="1236"/>
      <c r="DK255" s="1238"/>
      <c r="DL255" s="1238"/>
      <c r="DM255" s="1238"/>
      <c r="DN255" s="1238"/>
      <c r="DO255" s="1238"/>
      <c r="DP255" s="1238"/>
      <c r="DQ255" s="1238"/>
      <c r="DR255" s="1238"/>
      <c r="DS255" s="1238"/>
      <c r="DT255" s="1238"/>
      <c r="DU255" s="1238"/>
      <c r="DV255" s="1238"/>
      <c r="DW255" s="1238"/>
      <c r="DX255" s="1238"/>
      <c r="DY255" s="1238"/>
      <c r="DZ255" s="1238"/>
      <c r="EA255" s="1238"/>
      <c r="EB255" s="1238"/>
      <c r="EC255" s="1238"/>
      <c r="ED255" s="1238"/>
      <c r="EE255" s="1238"/>
      <c r="EF255" s="1238"/>
      <c r="EG255" s="1238"/>
      <c r="EH255" s="1238"/>
      <c r="EI255" s="1238"/>
      <c r="EJ255" s="1238"/>
      <c r="EK255" s="1238"/>
      <c r="EL255" s="1238"/>
      <c r="EM255" s="1238"/>
      <c r="EN255" s="1238"/>
      <c r="EO255" s="1238"/>
      <c r="EP255" s="1238"/>
      <c r="EQ255" s="1238"/>
      <c r="ER255" s="1238"/>
      <c r="ES255" s="1238"/>
      <c r="ET255" s="1238"/>
      <c r="EU255" s="1236"/>
      <c r="EV255" s="1236"/>
      <c r="EW255" s="1236"/>
      <c r="EX255" s="1236"/>
      <c r="EY255" s="1236"/>
      <c r="EZ255" s="1236"/>
      <c r="FA255" s="1236"/>
      <c r="FB255" s="1236"/>
      <c r="FC255" s="1236"/>
      <c r="FD255" s="1236"/>
      <c r="FE255" s="1236"/>
      <c r="FF255" s="1236"/>
    </row>
    <row r="256" spans="1:162" s="1231" customFormat="1">
      <c r="A256" s="1224"/>
      <c r="B256" s="1237" t="s">
        <v>365</v>
      </c>
      <c r="C256" s="1236"/>
      <c r="D256" s="1236"/>
      <c r="E256" s="1236"/>
      <c r="F256" s="1236"/>
      <c r="G256" s="1236"/>
      <c r="H256" s="1236"/>
      <c r="I256" s="1236"/>
      <c r="J256" s="1236"/>
      <c r="K256" s="1236"/>
      <c r="L256" s="1236"/>
      <c r="M256" s="1236">
        <f t="shared" ca="1" si="344"/>
        <v>0</v>
      </c>
      <c r="N256" s="1236">
        <f t="shared" ca="1" si="344"/>
        <v>0</v>
      </c>
      <c r="O256" s="1236">
        <f t="shared" ca="1" si="344"/>
        <v>0</v>
      </c>
      <c r="P256" s="1236">
        <f t="shared" ca="1" si="344"/>
        <v>0</v>
      </c>
      <c r="Q256" s="1236">
        <f t="shared" ca="1" si="344"/>
        <v>0</v>
      </c>
      <c r="R256" s="1236"/>
      <c r="S256" s="1236"/>
      <c r="T256" s="1236"/>
      <c r="U256" s="1236"/>
      <c r="V256" s="1236"/>
      <c r="W256" s="1236"/>
      <c r="X256" s="1236"/>
      <c r="Y256" s="1236"/>
      <c r="Z256" s="1236"/>
      <c r="AA256" s="1236"/>
      <c r="AB256" s="1236"/>
      <c r="AC256" s="1236"/>
      <c r="AD256" s="1236"/>
      <c r="AE256" s="1236"/>
      <c r="AF256" s="1236"/>
      <c r="AG256" s="1236">
        <f ca="1">OFFSET($CQ256,0,AG$7)</f>
        <v>0</v>
      </c>
      <c r="AH256" s="1236">
        <f ca="1">OFFSET($CQ256,0,AH$7)+OFFSET($CR256,0,AH$7)</f>
        <v>0</v>
      </c>
      <c r="AI256" s="1236">
        <f ca="1">OFFSET($CQ256,0,AI$7)+OFFSET($CR256,0,AI$7)+OFFSET($CS256,0,AI$7)</f>
        <v>0</v>
      </c>
      <c r="AJ256" s="1236">
        <f ca="1">OFFSET($CQ256,0,AJ$7)+OFFSET($CR256,0,AJ$7)+OFFSET($CS256,0,AJ$7)+OFFSET($CT256,0,AJ$7)</f>
        <v>0</v>
      </c>
      <c r="AK256" s="1236">
        <f ca="1">OFFSET($CQ256,0,AK$7)</f>
        <v>0</v>
      </c>
      <c r="AL256" s="1236">
        <f ca="1">OFFSET($CQ256,0,AL$7)+OFFSET($CR256,0,AL$7)</f>
        <v>0</v>
      </c>
      <c r="AM256" s="1236">
        <f ca="1">OFFSET($CQ256,0,AM$7)+OFFSET($CR256,0,AM$7)+OFFSET($CS256,0,AM$7)</f>
        <v>0</v>
      </c>
      <c r="AN256" s="1236">
        <f ca="1">OFFSET($CQ256,0,AN$7)+OFFSET($CR256,0,AN$7)+OFFSET($CS256,0,AN$7)+OFFSET($CT256,0,AN$7)</f>
        <v>0</v>
      </c>
      <c r="AO256" s="1236">
        <f ca="1">OFFSET($CQ256,0,AO$7)</f>
        <v>0</v>
      </c>
      <c r="AP256" s="1236">
        <f ca="1">OFFSET($CQ256,0,AP$7)+OFFSET($CR256,0,AP$7)</f>
        <v>0</v>
      </c>
      <c r="AQ256" s="1236">
        <f ca="1">OFFSET($CQ256,0,AQ$7)+OFFSET($CR256,0,AQ$7)+OFFSET($CS256,0,AQ$7)</f>
        <v>0</v>
      </c>
      <c r="AR256" s="1236">
        <f ca="1">OFFSET($CQ256,0,AR$7)+OFFSET($CR256,0,AR$7)+OFFSET($CS256,0,AR$7)+OFFSET($CT256,0,AR$7)</f>
        <v>0</v>
      </c>
      <c r="AS256" s="1236">
        <f ca="1">OFFSET($CQ256,0,AS$7)</f>
        <v>0</v>
      </c>
      <c r="AT256" s="1236">
        <f ca="1">OFFSET($CQ256,0,AT$7)+OFFSET($CR256,0,AT$7)</f>
        <v>0</v>
      </c>
      <c r="AU256" s="1236">
        <f ca="1">OFFSET($CQ256,0,AU$7)+OFFSET($CR256,0,AU$7)+OFFSET($CS256,0,AU$7)</f>
        <v>0</v>
      </c>
      <c r="AV256" s="1236">
        <f ca="1">OFFSET($CQ256,0,AV$7)+OFFSET($CR256,0,AV$7)+OFFSET($CS256,0,AV$7)+OFFSET($CT256,0,AV$7)</f>
        <v>0</v>
      </c>
      <c r="AW256" s="1236">
        <f ca="1">OFFSET($CQ256,0,AW$7)</f>
        <v>0</v>
      </c>
      <c r="AX256" s="1236">
        <f ca="1">OFFSET($CQ256,0,AX$7)+OFFSET($CR256,0,AX$7)</f>
        <v>0</v>
      </c>
      <c r="AY256" s="1236">
        <f ca="1">OFFSET($CQ256,0,AY$7)+OFFSET($CR256,0,AY$7)+OFFSET($CS256,0,AY$7)</f>
        <v>0</v>
      </c>
      <c r="AZ256" s="1236">
        <f ca="1">OFFSET($CQ256,0,AZ$7)+OFFSET($CR256,0,AZ$7)+OFFSET($CS256,0,AZ$7)+OFFSET($CT256,0,AZ$7)</f>
        <v>0</v>
      </c>
      <c r="BA256" s="1236">
        <f ca="1">OFFSET($CQ256,0,BA$7)</f>
        <v>0</v>
      </c>
      <c r="BB256" s="1236">
        <f ca="1">OFFSET($CQ256,0,BB$7)+OFFSET($CR256,0,BB$7)</f>
        <v>0</v>
      </c>
      <c r="BC256" s="1236">
        <f ca="1">OFFSET($CQ256,0,BC$7)+OFFSET($CR256,0,BC$7)+OFFSET($CS256,0,BC$7)</f>
        <v>0</v>
      </c>
      <c r="BD256" s="1236">
        <f ca="1">OFFSET($CQ256,0,BD$7)+OFFSET($CR256,0,BD$7)+OFFSET($CS256,0,BD$7)+OFFSET($CT256,0,BD$7)</f>
        <v>0</v>
      </c>
      <c r="BE256" s="1236">
        <f ca="1">OFFSET($CQ256,0,BE$7)</f>
        <v>0</v>
      </c>
      <c r="BF256" s="1236">
        <f ca="1">OFFSET($CQ256,0,BF$7)+OFFSET($CR256,0,BF$7)</f>
        <v>0</v>
      </c>
      <c r="BG256" s="1236">
        <f ca="1">OFFSET($CQ256,0,BG$7)+OFFSET($CR256,0,BG$7)+OFFSET($CS256,0,BG$7)</f>
        <v>0</v>
      </c>
      <c r="BH256" s="1236">
        <f ca="1">OFFSET($CQ256,0,BH$7)+OFFSET($CR256,0,BH$7)+OFFSET($CS256,0,BH$7)+OFFSET($CT256,0,BH$7)</f>
        <v>0</v>
      </c>
      <c r="BI256" s="1236">
        <f ca="1">OFFSET($CQ256,0,BI$7)</f>
        <v>0</v>
      </c>
      <c r="BJ256" s="1236">
        <f ca="1">OFFSET($CQ256,0,BJ$7)+OFFSET($CR256,0,BJ$7)</f>
        <v>0</v>
      </c>
      <c r="BK256" s="1236">
        <f ca="1">OFFSET($CQ256,0,BK$7)+OFFSET($CR256,0,BK$7)+OFFSET($CS256,0,BK$7)</f>
        <v>0</v>
      </c>
      <c r="BL256" s="1236">
        <f ca="1">OFFSET($CQ256,0,BL$7)+OFFSET($CR256,0,BL$7)+OFFSET($CS256,0,BL$7)+OFFSET($CT256,0,BL$7)</f>
        <v>0</v>
      </c>
      <c r="BM256" s="1236">
        <f ca="1">OFFSET($CQ256,0,BM$7)</f>
        <v>0</v>
      </c>
      <c r="BN256" s="1236">
        <f ca="1">OFFSET($CQ256,0,BN$7)+OFFSET($CR256,0,BN$7)</f>
        <v>0</v>
      </c>
      <c r="BO256" s="1236">
        <f ca="1">OFFSET($CQ256,0,BO$7)+OFFSET($CR256,0,BO$7)+OFFSET($CS256,0,BO$7)</f>
        <v>0</v>
      </c>
      <c r="BP256" s="1236">
        <f ca="1">OFFSET($CQ256,0,BP$7)+OFFSET($CR256,0,BP$7)+OFFSET($CS256,0,BP$7)+OFFSET($CT256,0,BP$7)</f>
        <v>0</v>
      </c>
      <c r="BQ256" s="1236">
        <f ca="1">OFFSET($CQ256,0,BQ$7)</f>
        <v>0</v>
      </c>
      <c r="BR256" s="1236">
        <f ca="1">OFFSET($CQ256,0,BR$7)+OFFSET($CR256,0,BR$7)</f>
        <v>0</v>
      </c>
      <c r="BS256" s="1236">
        <f ca="1">OFFSET($CQ256,0,BS$7)+OFFSET($CR256,0,BS$7)+OFFSET($CS256,0,BS$7)</f>
        <v>0</v>
      </c>
      <c r="BT256" s="1236">
        <f ca="1">OFFSET($CQ256,0,BT$7)+OFFSET($CR256,0,BT$7)+OFFSET($CS256,0,BT$7)+OFFSET($CT256,0,BT$7)</f>
        <v>0</v>
      </c>
      <c r="BU256" s="1236">
        <f ca="1">OFFSET($CQ256,0,BU$7)</f>
        <v>0</v>
      </c>
      <c r="BV256" s="1236">
        <f ca="1">OFFSET($CQ256,0,BV$7)+OFFSET($CR256,0,BV$7)</f>
        <v>0</v>
      </c>
      <c r="BW256" s="1236">
        <f ca="1">OFFSET($CQ256,0,BW$7)+OFFSET($CR256,0,BW$7)+OFFSET($CS256,0,BW$7)</f>
        <v>0</v>
      </c>
      <c r="BX256" s="1236">
        <f ca="1">OFFSET($CQ256,0,BX$7)+OFFSET($CR256,0,BX$7)+OFFSET($CS256,0,BX$7)+OFFSET($CT256,0,BX$7)</f>
        <v>0</v>
      </c>
      <c r="BY256" s="1236">
        <f ca="1">OFFSET($CQ256,0,BY$7)</f>
        <v>0</v>
      </c>
      <c r="BZ256" s="1236">
        <f ca="1">OFFSET($CQ256,0,BZ$7)+OFFSET($CR256,0,BZ$7)</f>
        <v>0</v>
      </c>
      <c r="CA256" s="1236">
        <f ca="1">OFFSET($CQ256,0,CA$7)+OFFSET($CR256,0,CA$7)+OFFSET($CS256,0,CA$7)</f>
        <v>0</v>
      </c>
      <c r="CB256" s="1236">
        <f ca="1">OFFSET($CQ256,0,CB$7)+OFFSET($CR256,0,CB$7)+OFFSET($CS256,0,CB$7)+OFFSET($CT256,0,CB$7)</f>
        <v>0</v>
      </c>
      <c r="CC256" s="1236">
        <f ca="1">OFFSET($CQ256,0,CC$7)</f>
        <v>0</v>
      </c>
      <c r="CD256" s="1236">
        <f ca="1">OFFSET($CQ256,0,CD$7)+OFFSET($CR256,0,CD$7)</f>
        <v>0</v>
      </c>
      <c r="CE256" s="1236">
        <f ca="1">OFFSET($CQ256,0,CE$7)+OFFSET($CR256,0,CE$7)+OFFSET($CS256,0,CE$7)</f>
        <v>0</v>
      </c>
      <c r="CF256" s="1236">
        <f ca="1">OFFSET($CQ256,0,CF$7)+OFFSET($CR256,0,CF$7)+OFFSET($CS256,0,CF$7)+OFFSET($CT256,0,CF$7)</f>
        <v>0</v>
      </c>
      <c r="CG256" s="1236">
        <f ca="1">OFFSET($CQ256,0,CG$7)</f>
        <v>0</v>
      </c>
      <c r="CH256" s="1236">
        <f ca="1">OFFSET($CQ256,0,CH$7)+OFFSET($CR256,0,CH$7)</f>
        <v>0</v>
      </c>
      <c r="CI256" s="1236">
        <f ca="1">OFFSET($CQ256,0,CI$7)+OFFSET($CR256,0,CI$7)+OFFSET($CS256,0,CI$7)</f>
        <v>0</v>
      </c>
      <c r="CJ256" s="1236">
        <f ca="1">OFFSET($CQ256,0,CJ$7)+OFFSET($CR256,0,CJ$7)+OFFSET($CS256,0,CJ$7)+OFFSET($CT256,0,CJ$7)</f>
        <v>0</v>
      </c>
      <c r="CK256" s="1236"/>
      <c r="CL256" s="1236"/>
      <c r="CM256" s="1236"/>
      <c r="CN256" s="1236"/>
      <c r="CO256" s="1236"/>
      <c r="CP256" s="1236"/>
      <c r="CQ256" s="1236"/>
      <c r="CR256" s="1236"/>
      <c r="CS256" s="1236"/>
      <c r="CT256" s="1236"/>
      <c r="CU256" s="1236"/>
      <c r="CV256" s="1236"/>
      <c r="CW256" s="1236"/>
      <c r="CX256" s="1236"/>
      <c r="CY256" s="1236"/>
      <c r="CZ256" s="1236"/>
      <c r="DA256" s="1236"/>
      <c r="DB256" s="1236"/>
      <c r="DC256" s="1236"/>
      <c r="DD256" s="1236"/>
      <c r="DE256" s="1236"/>
      <c r="DF256" s="1236"/>
      <c r="DG256" s="1236"/>
      <c r="DH256" s="1236"/>
      <c r="DI256" s="1236"/>
      <c r="DJ256" s="1236"/>
      <c r="DK256" s="1238"/>
      <c r="DL256" s="1238"/>
      <c r="DM256" s="1238"/>
      <c r="DN256" s="1238"/>
      <c r="DO256" s="1238"/>
      <c r="DP256" s="1238"/>
      <c r="DQ256" s="1238"/>
      <c r="DR256" s="1238"/>
      <c r="DS256" s="1238"/>
      <c r="DT256" s="1238"/>
      <c r="DU256" s="1238"/>
      <c r="DV256" s="1238"/>
      <c r="DW256" s="1238"/>
      <c r="DX256" s="1238"/>
      <c r="DY256" s="1238"/>
      <c r="DZ256" s="1238"/>
      <c r="EA256" s="1238"/>
      <c r="EB256" s="1238"/>
      <c r="EC256" s="1238"/>
      <c r="ED256" s="1238"/>
      <c r="EE256" s="1238"/>
      <c r="EF256" s="1238"/>
      <c r="EG256" s="1238"/>
      <c r="EH256" s="1238"/>
      <c r="EI256" s="1238"/>
      <c r="EJ256" s="1238"/>
      <c r="EK256" s="1238"/>
      <c r="EL256" s="1238"/>
      <c r="EM256" s="1238"/>
      <c r="EN256" s="1238"/>
      <c r="EO256" s="1238"/>
      <c r="EP256" s="1238"/>
      <c r="EQ256" s="1238"/>
      <c r="ER256" s="1238"/>
      <c r="ES256" s="1238"/>
      <c r="ET256" s="1238"/>
      <c r="EU256" s="1236"/>
      <c r="EV256" s="1236"/>
      <c r="EW256" s="1236"/>
      <c r="EX256" s="1236"/>
      <c r="EY256" s="1236"/>
      <c r="EZ256" s="1236"/>
      <c r="FA256" s="1236"/>
      <c r="FB256" s="1236"/>
      <c r="FC256" s="1236"/>
      <c r="FD256" s="1236"/>
      <c r="FE256" s="1236"/>
      <c r="FF256" s="1236"/>
    </row>
    <row r="257" spans="1:162" s="1231" customFormat="1">
      <c r="A257" s="1203" t="s">
        <v>651</v>
      </c>
      <c r="B257" s="1237" t="s">
        <v>366</v>
      </c>
      <c r="C257" s="1236"/>
      <c r="D257" s="1236"/>
      <c r="E257" s="1236"/>
      <c r="F257" s="1236"/>
      <c r="G257" s="1236"/>
      <c r="H257" s="1236"/>
      <c r="I257" s="1236"/>
      <c r="J257" s="1236"/>
      <c r="K257" s="1236"/>
      <c r="L257" s="1236"/>
      <c r="M257" s="1236">
        <f t="shared" ca="1" si="344"/>
        <v>0</v>
      </c>
      <c r="N257" s="1236">
        <f t="shared" ca="1" si="344"/>
        <v>0</v>
      </c>
      <c r="O257" s="1236">
        <f t="shared" ca="1" si="344"/>
        <v>0</v>
      </c>
      <c r="P257" s="1236">
        <f t="shared" ca="1" si="344"/>
        <v>0</v>
      </c>
      <c r="Q257" s="1236">
        <f t="shared" ca="1" si="344"/>
        <v>0</v>
      </c>
      <c r="R257" s="1236">
        <f>INDEX('Basic Data TR'!$A$1:$AMJ$9673,MATCH($A257,'Basic Data TR'!$A$1:$A$9673,0),MATCH(R$6,'Basic Data TR'!$A$1:$AMJ$1,0))</f>
        <v>1.7706</v>
      </c>
      <c r="S257" s="1236">
        <f>INDEX('Basic Data TR'!$A$1:$AMJ$9673,MATCH($A257,'Basic Data TR'!$A$1:$A$9673,0),MATCH(S$6,'Basic Data TR'!$A$1:$AMJ$1,0))</f>
        <v>-1</v>
      </c>
      <c r="T257" s="1236">
        <f>INDEX('Basic Data TR'!$A$1:$AMJ$9673,MATCH($A257,'Basic Data TR'!$A$1:$A$9673,0),MATCH(T$6,'Basic Data TR'!$A$1:$AMJ$1,0))</f>
        <v>0</v>
      </c>
      <c r="U257" s="1236">
        <f>INDEX('Basic Data TR'!$A$1:$AMJ$9673,MATCH($A257,'Basic Data TR'!$A$1:$A$9673,0),MATCH(U$6,'Basic Data TR'!$A$1:$AMJ$1,0))</f>
        <v>-7.3609999999999998</v>
      </c>
      <c r="V257" s="1236">
        <f>INDEX('Basic Data TR'!$A$1:$AMJ$9673,MATCH($A257,'Basic Data TR'!$A$1:$A$9673,0),MATCH(V$6,'Basic Data TR'!$A$1:$AMJ$1,0))</f>
        <v>-49.97</v>
      </c>
      <c r="W257" s="1236">
        <f>INDEX('Basic Data TR'!$A$1:$AMJ$9673,MATCH($A257,'Basic Data TR'!$A$1:$A$9673,0),MATCH(W$6,'Basic Data TR'!$A$1:$AMJ$1,0))</f>
        <v>-161.07400000000001</v>
      </c>
      <c r="X257" s="1236">
        <f>INDEX('Basic Data TR'!$A$1:$AMJ$9673,MATCH($A257,'Basic Data TR'!$A$1:$A$9673,0),MATCH(X$6,'Basic Data TR'!$A$1:$AMJ$1,0))</f>
        <v>-87.644999999999996</v>
      </c>
      <c r="Y257" s="1236">
        <f>INDEX('Basic Data TR'!$A$1:$AMJ$9673,MATCH($A257,'Basic Data TR'!$A$1:$A$9673,0),MATCH(Y$6,'Basic Data TR'!$A$1:$AMJ$1,0))</f>
        <v>-467.88499999999999</v>
      </c>
      <c r="Z257" s="1236">
        <v>-427.197</v>
      </c>
      <c r="AA257" s="1236"/>
      <c r="AB257" s="1236"/>
      <c r="AC257" s="1236"/>
      <c r="AD257" s="1236"/>
      <c r="AE257" s="1236"/>
      <c r="AF257" s="1236"/>
      <c r="AG257" s="1236">
        <f ca="1">OFFSET($CQ257,0,AG$7)</f>
        <v>0</v>
      </c>
      <c r="AH257" s="1236">
        <f ca="1">OFFSET($CQ257,0,AH$7)+OFFSET($CR257,0,AH$7)</f>
        <v>0</v>
      </c>
      <c r="AI257" s="1236">
        <f ca="1">OFFSET($CQ257,0,AI$7)+OFFSET($CR257,0,AI$7)+OFFSET($CS257,0,AI$7)</f>
        <v>0</v>
      </c>
      <c r="AJ257" s="1236">
        <f ca="1">OFFSET($CQ257,0,AJ$7)+OFFSET($CR257,0,AJ$7)+OFFSET($CS257,0,AJ$7)+OFFSET($CT257,0,AJ$7)</f>
        <v>0</v>
      </c>
      <c r="AK257" s="1236">
        <f ca="1">OFFSET($CQ257,0,AK$7)</f>
        <v>0</v>
      </c>
      <c r="AL257" s="1236">
        <f ca="1">OFFSET($CQ257,0,AL$7)+OFFSET($CR257,0,AL$7)</f>
        <v>0</v>
      </c>
      <c r="AM257" s="1236">
        <f ca="1">OFFSET($CQ257,0,AM$7)+OFFSET($CR257,0,AM$7)+OFFSET($CS257,0,AM$7)</f>
        <v>0</v>
      </c>
      <c r="AN257" s="1236">
        <f ca="1">OFFSET($CQ257,0,AN$7)+OFFSET($CR257,0,AN$7)+OFFSET($CS257,0,AN$7)+OFFSET($CT257,0,AN$7)</f>
        <v>0</v>
      </c>
      <c r="AO257" s="1236">
        <f ca="1">OFFSET($CQ257,0,AO$7)</f>
        <v>0</v>
      </c>
      <c r="AP257" s="1236">
        <f ca="1">OFFSET($CQ257,0,AP$7)+OFFSET($CR257,0,AP$7)</f>
        <v>0</v>
      </c>
      <c r="AQ257" s="1236">
        <f ca="1">OFFSET($CQ257,0,AQ$7)+OFFSET($CR257,0,AQ$7)+OFFSET($CS257,0,AQ$7)</f>
        <v>0</v>
      </c>
      <c r="AR257" s="1236">
        <f ca="1">OFFSET($CQ257,0,AR$7)+OFFSET($CR257,0,AR$7)+OFFSET($CS257,0,AR$7)+OFFSET($CT257,0,AR$7)</f>
        <v>0</v>
      </c>
      <c r="AS257" s="1236">
        <f ca="1">OFFSET($CQ257,0,AS$7)</f>
        <v>0</v>
      </c>
      <c r="AT257" s="1236">
        <f ca="1">OFFSET($CQ257,0,AT$7)+OFFSET($CR257,0,AT$7)</f>
        <v>0</v>
      </c>
      <c r="AU257" s="1236">
        <f ca="1">OFFSET($CQ257,0,AU$7)+OFFSET($CR257,0,AU$7)+OFFSET($CS257,0,AU$7)</f>
        <v>0</v>
      </c>
      <c r="AV257" s="1236">
        <f ca="1">OFFSET($CQ257,0,AV$7)+OFFSET($CR257,0,AV$7)+OFFSET($CS257,0,AV$7)+OFFSET($CT257,0,AV$7)</f>
        <v>0</v>
      </c>
      <c r="AW257" s="1236">
        <f ca="1">OFFSET($CQ257,0,AW$7)</f>
        <v>0</v>
      </c>
      <c r="AX257" s="1236">
        <f ca="1">OFFSET($CQ257,0,AX$7)+OFFSET($CR257,0,AX$7)</f>
        <v>0</v>
      </c>
      <c r="AY257" s="1236">
        <f ca="1">OFFSET($CQ257,0,AY$7)+OFFSET($CR257,0,AY$7)+OFFSET($CS257,0,AY$7)</f>
        <v>0</v>
      </c>
      <c r="AZ257" s="1236">
        <f ca="1">OFFSET($CQ257,0,AZ$7)+OFFSET($CR257,0,AZ$7)+OFFSET($CS257,0,AZ$7)+OFFSET($CT257,0,AZ$7)</f>
        <v>0</v>
      </c>
      <c r="BA257" s="1236">
        <f ca="1">OFFSET($CQ257,0,BA$7)</f>
        <v>0</v>
      </c>
      <c r="BB257" s="1236">
        <f ca="1">OFFSET($CQ257,0,BB$7)+OFFSET($CR257,0,BB$7)</f>
        <v>0</v>
      </c>
      <c r="BC257" s="1236">
        <f ca="1">OFFSET($CQ257,0,BC$7)+OFFSET($CR257,0,BC$7)+OFFSET($CS257,0,BC$7)</f>
        <v>0</v>
      </c>
      <c r="BD257" s="1236">
        <f ca="1">OFFSET($CQ257,0,BD$7)+OFFSET($CR257,0,BD$7)+OFFSET($CS257,0,BD$7)+OFFSET($CT257,0,BD$7)</f>
        <v>0</v>
      </c>
      <c r="BE257" s="1236">
        <f ca="1">OFFSET($CQ257,0,BE$7)</f>
        <v>0</v>
      </c>
      <c r="BF257" s="1236">
        <f ca="1">OFFSET($CQ257,0,BF$7)+OFFSET($CR257,0,BF$7)</f>
        <v>0</v>
      </c>
      <c r="BG257" s="1236">
        <f ca="1">OFFSET($CQ257,0,BG$7)+OFFSET($CR257,0,BG$7)+OFFSET($CS257,0,BG$7)</f>
        <v>0</v>
      </c>
      <c r="BH257" s="1236">
        <f ca="1">OFFSET($CQ257,0,BH$7)+OFFSET($CR257,0,BH$7)+OFFSET($CS257,0,BH$7)+OFFSET($CT257,0,BH$7)</f>
        <v>0</v>
      </c>
      <c r="BI257" s="1236">
        <f ca="1">OFFSET($CQ257,0,BI$7)</f>
        <v>0</v>
      </c>
      <c r="BJ257" s="1236">
        <f ca="1">OFFSET($CQ257,0,BJ$7)+OFFSET($CR257,0,BJ$7)</f>
        <v>0</v>
      </c>
      <c r="BK257" s="1236">
        <f ca="1">OFFSET($CQ257,0,BK$7)+OFFSET($CR257,0,BK$7)+OFFSET($CS257,0,BK$7)</f>
        <v>0</v>
      </c>
      <c r="BL257" s="1236">
        <f ca="1">OFFSET($CQ257,0,BL$7)+OFFSET($CR257,0,BL$7)+OFFSET($CS257,0,BL$7)+OFFSET($CT257,0,BL$7)</f>
        <v>0</v>
      </c>
      <c r="BM257" s="1236">
        <f ca="1">OFFSET($CQ257,0,BM$7)</f>
        <v>0</v>
      </c>
      <c r="BN257" s="1236">
        <f ca="1">OFFSET($CQ257,0,BN$7)+OFFSET($CR257,0,BN$7)</f>
        <v>0</v>
      </c>
      <c r="BO257" s="1236">
        <f ca="1">OFFSET($CQ257,0,BO$7)+OFFSET($CR257,0,BO$7)+OFFSET($CS257,0,BO$7)</f>
        <v>0</v>
      </c>
      <c r="BP257" s="1236">
        <f ca="1">OFFSET($CQ257,0,BP$7)+OFFSET($CR257,0,BP$7)+OFFSET($CS257,0,BP$7)+OFFSET($CT257,0,BP$7)</f>
        <v>0</v>
      </c>
      <c r="BQ257" s="1236">
        <f ca="1">OFFSET($CQ257,0,BQ$7)</f>
        <v>0</v>
      </c>
      <c r="BR257" s="1236">
        <f ca="1">OFFSET($CQ257,0,BR$7)+OFFSET($CR257,0,BR$7)</f>
        <v>0</v>
      </c>
      <c r="BS257" s="1236">
        <f ca="1">OFFSET($CQ257,0,BS$7)+OFFSET($CR257,0,BS$7)+OFFSET($CS257,0,BS$7)</f>
        <v>0</v>
      </c>
      <c r="BT257" s="1236">
        <f ca="1">OFFSET($CQ257,0,BT$7)+OFFSET($CR257,0,BT$7)+OFFSET($CS257,0,BT$7)+OFFSET($CT257,0,BT$7)</f>
        <v>0</v>
      </c>
      <c r="BU257" s="1236">
        <f ca="1">OFFSET($CQ257,0,BU$7)</f>
        <v>0</v>
      </c>
      <c r="BV257" s="1236">
        <f ca="1">OFFSET($CQ257,0,BV$7)+OFFSET($CR257,0,BV$7)</f>
        <v>0</v>
      </c>
      <c r="BW257" s="1236">
        <f ca="1">OFFSET($CQ257,0,BW$7)+OFFSET($CR257,0,BW$7)+OFFSET($CS257,0,BW$7)</f>
        <v>0</v>
      </c>
      <c r="BX257" s="1236">
        <f ca="1">OFFSET($CQ257,0,BX$7)+OFFSET($CR257,0,BX$7)+OFFSET($CS257,0,BX$7)+OFFSET($CT257,0,BX$7)</f>
        <v>0</v>
      </c>
      <c r="BY257" s="1236">
        <f ca="1">OFFSET($CQ257,0,BY$7)</f>
        <v>0</v>
      </c>
      <c r="BZ257" s="1236">
        <f ca="1">OFFSET($CQ257,0,BZ$7)+OFFSET($CR257,0,BZ$7)</f>
        <v>0</v>
      </c>
      <c r="CA257" s="1236">
        <f ca="1">OFFSET($CQ257,0,CA$7)+OFFSET($CR257,0,CA$7)+OFFSET($CS257,0,CA$7)</f>
        <v>0</v>
      </c>
      <c r="CB257" s="1236">
        <f ca="1">OFFSET($CQ257,0,CB$7)+OFFSET($CR257,0,CB$7)+OFFSET($CS257,0,CB$7)+OFFSET($CT257,0,CB$7)</f>
        <v>0</v>
      </c>
      <c r="CC257" s="1236">
        <f ca="1">OFFSET($CQ257,0,CC$7)</f>
        <v>0</v>
      </c>
      <c r="CD257" s="1236">
        <f ca="1">OFFSET($CQ257,0,CD$7)+OFFSET($CR257,0,CD$7)</f>
        <v>0</v>
      </c>
      <c r="CE257" s="1236">
        <f ca="1">OFFSET($CQ257,0,CE$7)+OFFSET($CR257,0,CE$7)+OFFSET($CS257,0,CE$7)</f>
        <v>0</v>
      </c>
      <c r="CF257" s="1236">
        <f ca="1">OFFSET($CQ257,0,CF$7)+OFFSET($CR257,0,CF$7)+OFFSET($CS257,0,CF$7)+OFFSET($CT257,0,CF$7)</f>
        <v>0</v>
      </c>
      <c r="CG257" s="1236">
        <f ca="1">OFFSET($CQ257,0,CG$7)</f>
        <v>0</v>
      </c>
      <c r="CH257" s="1236">
        <f ca="1">OFFSET($CQ257,0,CH$7)+OFFSET($CR257,0,CH$7)</f>
        <v>0</v>
      </c>
      <c r="CI257" s="1236">
        <f ca="1">OFFSET($CQ257,0,CI$7)+OFFSET($CR257,0,CI$7)+OFFSET($CS257,0,CI$7)</f>
        <v>0</v>
      </c>
      <c r="CJ257" s="1236">
        <f ca="1">OFFSET($CQ257,0,CJ$7)+OFFSET($CR257,0,CJ$7)+OFFSET($CS257,0,CJ$7)+OFFSET($CT257,0,CJ$7)</f>
        <v>0</v>
      </c>
      <c r="CK257" s="1236"/>
      <c r="CL257" s="1236"/>
      <c r="CM257" s="1236"/>
      <c r="CN257" s="1236"/>
      <c r="CO257" s="1236"/>
      <c r="CP257" s="1236"/>
      <c r="CQ257" s="1236"/>
      <c r="CR257" s="1236"/>
      <c r="CS257" s="1236"/>
      <c r="CT257" s="1236"/>
      <c r="CU257" s="1236"/>
      <c r="CV257" s="1236"/>
      <c r="CW257" s="1236"/>
      <c r="CX257" s="1236"/>
      <c r="CY257" s="1236"/>
      <c r="CZ257" s="1236"/>
      <c r="DA257" s="1236"/>
      <c r="DB257" s="1236"/>
      <c r="DC257" s="1236"/>
      <c r="DD257" s="1236"/>
      <c r="DE257" s="1236"/>
      <c r="DF257" s="1236"/>
      <c r="DG257" s="1236"/>
      <c r="DH257" s="1236"/>
      <c r="DI257" s="1236"/>
      <c r="DJ257" s="1236"/>
      <c r="DK257" s="1238"/>
      <c r="DL257" s="1238"/>
      <c r="DM257" s="1238"/>
      <c r="DN257" s="1238"/>
      <c r="DO257" s="1238"/>
      <c r="DP257" s="1238"/>
      <c r="DQ257" s="1238"/>
      <c r="DR257" s="1238"/>
      <c r="DS257" s="1238"/>
      <c r="DT257" s="1238"/>
      <c r="DU257" s="1238"/>
      <c r="DV257" s="1238"/>
      <c r="DW257" s="1238"/>
      <c r="DX257" s="1238"/>
      <c r="DY257" s="1238"/>
      <c r="DZ257" s="1238"/>
      <c r="EA257" s="1238"/>
      <c r="EB257" s="1238"/>
      <c r="EC257" s="1238"/>
      <c r="ED257" s="1238"/>
      <c r="EE257" s="1238"/>
      <c r="EF257" s="1238"/>
      <c r="EG257" s="1238"/>
      <c r="EH257" s="1238"/>
      <c r="EI257" s="1238"/>
      <c r="EJ257" s="1238"/>
      <c r="EK257" s="1238"/>
      <c r="EL257" s="1238"/>
      <c r="EM257" s="1238"/>
      <c r="EN257" s="1238"/>
      <c r="EO257" s="1238"/>
      <c r="EP257" s="1238"/>
      <c r="EQ257" s="1238"/>
      <c r="ER257" s="1238"/>
      <c r="ES257" s="1238"/>
      <c r="ET257" s="1238"/>
      <c r="EU257" s="1236"/>
      <c r="EV257" s="1236"/>
      <c r="EW257" s="1236"/>
      <c r="EX257" s="1236"/>
      <c r="EY257" s="1236"/>
      <c r="EZ257" s="1236"/>
      <c r="FA257" s="1236"/>
      <c r="FB257" s="1236"/>
      <c r="FC257" s="1236"/>
      <c r="FD257" s="1236"/>
      <c r="FE257" s="1236"/>
      <c r="FF257" s="1236"/>
    </row>
    <row r="258" spans="1:162">
      <c r="A258" s="1224"/>
      <c r="B258" s="1230" t="s">
        <v>398</v>
      </c>
      <c r="C258" s="1231"/>
      <c r="D258" s="1231"/>
      <c r="E258" s="1231"/>
      <c r="F258" s="1231"/>
      <c r="G258" s="1231"/>
      <c r="H258" s="1231"/>
      <c r="I258" s="1231"/>
      <c r="J258" s="1231"/>
      <c r="K258" s="1231"/>
      <c r="L258" s="1231"/>
      <c r="M258" s="1231">
        <f t="shared" ca="1" si="344"/>
        <v>0</v>
      </c>
      <c r="N258" s="1231">
        <f t="shared" ca="1" si="344"/>
        <v>0</v>
      </c>
      <c r="O258" s="1231">
        <f t="shared" ca="1" si="344"/>
        <v>0</v>
      </c>
      <c r="P258" s="1231">
        <f t="shared" ca="1" si="344"/>
        <v>0</v>
      </c>
      <c r="Q258" s="1231">
        <f t="shared" ca="1" si="344"/>
        <v>0</v>
      </c>
      <c r="R258" s="1231">
        <f t="shared" ref="R258:Z258" si="345">SUM(R255:R257)</f>
        <v>-24.042270000000002</v>
      </c>
      <c r="S258" s="1231">
        <f t="shared" si="345"/>
        <v>-41.35</v>
      </c>
      <c r="T258" s="1231">
        <f t="shared" si="345"/>
        <v>-43.637999999999998</v>
      </c>
      <c r="U258" s="1231">
        <f t="shared" si="345"/>
        <v>-265.46299999999997</v>
      </c>
      <c r="V258" s="1231">
        <f t="shared" si="345"/>
        <v>-2047.5940000000001</v>
      </c>
      <c r="W258" s="1231">
        <f t="shared" si="345"/>
        <v>-2573.3330000000001</v>
      </c>
      <c r="X258" s="1231">
        <f t="shared" si="345"/>
        <v>-1004.917</v>
      </c>
      <c r="Y258" s="1231">
        <f t="shared" si="345"/>
        <v>-1297.2559999999999</v>
      </c>
      <c r="Z258" s="1231">
        <f t="shared" si="345"/>
        <v>-5282.7039999999997</v>
      </c>
      <c r="AA258" s="1231"/>
      <c r="AB258" s="1231"/>
      <c r="AC258" s="1231"/>
      <c r="AD258" s="1231"/>
      <c r="AE258" s="1231"/>
      <c r="AF258" s="1231"/>
      <c r="AG258" s="1231">
        <f ca="1">OFFSET($CQ258,0,AG$7)</f>
        <v>0</v>
      </c>
      <c r="AH258" s="1231">
        <f ca="1">OFFSET($CQ258,0,AH$7)+OFFSET($CR258,0,AH$7)</f>
        <v>0</v>
      </c>
      <c r="AI258" s="1231">
        <f ca="1">OFFSET($CQ258,0,AI$7)+OFFSET($CR258,0,AI$7)+OFFSET($CS258,0,AI$7)</f>
        <v>0</v>
      </c>
      <c r="AJ258" s="1231">
        <f ca="1">OFFSET($CQ258,0,AJ$7)+OFFSET($CR258,0,AJ$7)+OFFSET($CS258,0,AJ$7)+OFFSET($CT258,0,AJ$7)</f>
        <v>0</v>
      </c>
      <c r="AK258" s="1231">
        <f ca="1">OFFSET($CQ258,0,AK$7)</f>
        <v>0</v>
      </c>
      <c r="AL258" s="1231">
        <f ca="1">OFFSET($CQ258,0,AL$7)+OFFSET($CR258,0,AL$7)</f>
        <v>0</v>
      </c>
      <c r="AM258" s="1231">
        <f ca="1">OFFSET($CQ258,0,AM$7)+OFFSET($CR258,0,AM$7)+OFFSET($CS258,0,AM$7)</f>
        <v>0</v>
      </c>
      <c r="AN258" s="1231">
        <f ca="1">OFFSET($CQ258,0,AN$7)+OFFSET($CR258,0,AN$7)+OFFSET($CS258,0,AN$7)+OFFSET($CT258,0,AN$7)</f>
        <v>0</v>
      </c>
      <c r="AO258" s="1231">
        <f ca="1">OFFSET($CQ258,0,AO$7)</f>
        <v>0</v>
      </c>
      <c r="AP258" s="1231">
        <f ca="1">OFFSET($CQ258,0,AP$7)+OFFSET($CR258,0,AP$7)</f>
        <v>0</v>
      </c>
      <c r="AQ258" s="1231">
        <f ca="1">OFFSET($CQ258,0,AQ$7)+OFFSET($CR258,0,AQ$7)+OFFSET($CS258,0,AQ$7)</f>
        <v>0</v>
      </c>
      <c r="AR258" s="1231">
        <f ca="1">OFFSET($CQ258,0,AR$7)+OFFSET($CR258,0,AR$7)+OFFSET($CS258,0,AR$7)+OFFSET($CT258,0,AR$7)</f>
        <v>0</v>
      </c>
      <c r="AS258" s="1231">
        <f ca="1">OFFSET($CQ258,0,AS$7)</f>
        <v>0</v>
      </c>
      <c r="AT258" s="1231">
        <f ca="1">OFFSET($CQ258,0,AT$7)+OFFSET($CR258,0,AT$7)</f>
        <v>0</v>
      </c>
      <c r="AU258" s="1231">
        <f ca="1">OFFSET($CQ258,0,AU$7)+OFFSET($CR258,0,AU$7)+OFFSET($CS258,0,AU$7)</f>
        <v>0</v>
      </c>
      <c r="AV258" s="1231">
        <f ca="1">OFFSET($CQ258,0,AV$7)+OFFSET($CR258,0,AV$7)+OFFSET($CS258,0,AV$7)+OFFSET($CT258,0,AV$7)</f>
        <v>0</v>
      </c>
      <c r="AW258" s="1231">
        <f ca="1">OFFSET($CQ258,0,AW$7)</f>
        <v>0</v>
      </c>
      <c r="AX258" s="1231">
        <f ca="1">OFFSET($CQ258,0,AX$7)+OFFSET($CR258,0,AX$7)</f>
        <v>0</v>
      </c>
      <c r="AY258" s="1231">
        <f ca="1">OFFSET($CQ258,0,AY$7)+OFFSET($CR258,0,AY$7)+OFFSET($CS258,0,AY$7)</f>
        <v>0</v>
      </c>
      <c r="AZ258" s="1231">
        <f ca="1">OFFSET($CQ258,0,AZ$7)+OFFSET($CR258,0,AZ$7)+OFFSET($CS258,0,AZ$7)+OFFSET($CT258,0,AZ$7)</f>
        <v>0</v>
      </c>
      <c r="BA258" s="1231">
        <f ca="1">OFFSET($CQ258,0,BA$7)</f>
        <v>0</v>
      </c>
      <c r="BB258" s="1231">
        <f ca="1">OFFSET($CQ258,0,BB$7)+OFFSET($CR258,0,BB$7)</f>
        <v>0</v>
      </c>
      <c r="BC258" s="1231">
        <f ca="1">OFFSET($CQ258,0,BC$7)+OFFSET($CR258,0,BC$7)+OFFSET($CS258,0,BC$7)</f>
        <v>0</v>
      </c>
      <c r="BD258" s="1231">
        <f ca="1">OFFSET($CQ258,0,BD$7)+OFFSET($CR258,0,BD$7)+OFFSET($CS258,0,BD$7)+OFFSET($CT258,0,BD$7)</f>
        <v>0</v>
      </c>
      <c r="BE258" s="1231">
        <f ca="1">OFFSET($CQ258,0,BE$7)</f>
        <v>0</v>
      </c>
      <c r="BF258" s="1231">
        <f ca="1">OFFSET($CQ258,0,BF$7)+OFFSET($CR258,0,BF$7)</f>
        <v>0</v>
      </c>
      <c r="BG258" s="1231">
        <f ca="1">OFFSET($CQ258,0,BG$7)+OFFSET($CR258,0,BG$7)+OFFSET($CS258,0,BG$7)</f>
        <v>0</v>
      </c>
      <c r="BH258" s="1231">
        <f ca="1">OFFSET($CQ258,0,BH$7)+OFFSET($CR258,0,BH$7)+OFFSET($CS258,0,BH$7)+OFFSET($CT258,0,BH$7)</f>
        <v>0</v>
      </c>
      <c r="BI258" s="1231">
        <f ca="1">OFFSET($CQ258,0,BI$7)</f>
        <v>0</v>
      </c>
      <c r="BJ258" s="1231">
        <f ca="1">OFFSET($CQ258,0,BJ$7)+OFFSET($CR258,0,BJ$7)</f>
        <v>0</v>
      </c>
      <c r="BK258" s="1231">
        <f ca="1">OFFSET($CQ258,0,BK$7)+OFFSET($CR258,0,BK$7)+OFFSET($CS258,0,BK$7)</f>
        <v>0</v>
      </c>
      <c r="BL258" s="1231">
        <f ca="1">OFFSET($CQ258,0,BL$7)+OFFSET($CR258,0,BL$7)+OFFSET($CS258,0,BL$7)+OFFSET($CT258,0,BL$7)</f>
        <v>0</v>
      </c>
      <c r="BM258" s="1231">
        <f ca="1">OFFSET($CQ258,0,BM$7)</f>
        <v>0</v>
      </c>
      <c r="BN258" s="1231">
        <f ca="1">OFFSET($CQ258,0,BN$7)+OFFSET($CR258,0,BN$7)</f>
        <v>0</v>
      </c>
      <c r="BO258" s="1231">
        <f ca="1">OFFSET($CQ258,0,BO$7)+OFFSET($CR258,0,BO$7)+OFFSET($CS258,0,BO$7)</f>
        <v>0</v>
      </c>
      <c r="BP258" s="1231">
        <f ca="1">OFFSET($CQ258,0,BP$7)+OFFSET($CR258,0,BP$7)+OFFSET($CS258,0,BP$7)+OFFSET($CT258,0,BP$7)</f>
        <v>0</v>
      </c>
      <c r="BQ258" s="1231">
        <f ca="1">OFFSET($CQ258,0,BQ$7)</f>
        <v>0</v>
      </c>
      <c r="BR258" s="1231">
        <f ca="1">OFFSET($CQ258,0,BR$7)+OFFSET($CR258,0,BR$7)</f>
        <v>0</v>
      </c>
      <c r="BS258" s="1231">
        <f ca="1">OFFSET($CQ258,0,BS$7)+OFFSET($CR258,0,BS$7)+OFFSET($CS258,0,BS$7)</f>
        <v>0</v>
      </c>
      <c r="BT258" s="1231">
        <f ca="1">OFFSET($CQ258,0,BT$7)+OFFSET($CR258,0,BT$7)+OFFSET($CS258,0,BT$7)+OFFSET($CT258,0,BT$7)</f>
        <v>0</v>
      </c>
      <c r="BU258" s="1231">
        <f ca="1">OFFSET($CQ258,0,BU$7)</f>
        <v>0</v>
      </c>
      <c r="BV258" s="1231">
        <f ca="1">OFFSET($CQ258,0,BV$7)+OFFSET($CR258,0,BV$7)</f>
        <v>0</v>
      </c>
      <c r="BW258" s="1231">
        <f ca="1">OFFSET($CQ258,0,BW$7)+OFFSET($CR258,0,BW$7)+OFFSET($CS258,0,BW$7)</f>
        <v>0</v>
      </c>
      <c r="BX258" s="1231">
        <f ca="1">OFFSET($CQ258,0,BX$7)+OFFSET($CR258,0,BX$7)+OFFSET($CS258,0,BX$7)+OFFSET($CT258,0,BX$7)</f>
        <v>0</v>
      </c>
      <c r="BY258" s="1231">
        <f ca="1">OFFSET($CQ258,0,BY$7)</f>
        <v>0</v>
      </c>
      <c r="BZ258" s="1231">
        <f ca="1">OFFSET($CQ258,0,BZ$7)+OFFSET($CR258,0,BZ$7)</f>
        <v>0</v>
      </c>
      <c r="CA258" s="1231">
        <f ca="1">OFFSET($CQ258,0,CA$7)+OFFSET($CR258,0,CA$7)+OFFSET($CS258,0,CA$7)</f>
        <v>0</v>
      </c>
      <c r="CB258" s="1231">
        <f ca="1">OFFSET($CQ258,0,CB$7)+OFFSET($CR258,0,CB$7)+OFFSET($CS258,0,CB$7)+OFFSET($CT258,0,CB$7)</f>
        <v>0</v>
      </c>
      <c r="CC258" s="1231">
        <f ca="1">OFFSET($CQ258,0,CC$7)</f>
        <v>0</v>
      </c>
      <c r="CD258" s="1231">
        <f ca="1">OFFSET($CQ258,0,CD$7)+OFFSET($CR258,0,CD$7)</f>
        <v>0</v>
      </c>
      <c r="CE258" s="1231">
        <f ca="1">OFFSET($CQ258,0,CE$7)+OFFSET($CR258,0,CE$7)+OFFSET($CS258,0,CE$7)</f>
        <v>0</v>
      </c>
      <c r="CF258" s="1231">
        <f ca="1">OFFSET($CQ258,0,CF$7)+OFFSET($CR258,0,CF$7)+OFFSET($CS258,0,CF$7)+OFFSET($CT258,0,CF$7)</f>
        <v>0</v>
      </c>
      <c r="CG258" s="1231">
        <f ca="1">OFFSET($CQ258,0,CG$7)</f>
        <v>0</v>
      </c>
      <c r="CH258" s="1231">
        <f ca="1">OFFSET($CQ258,0,CH$7)+OFFSET($CR258,0,CH$7)</f>
        <v>0</v>
      </c>
      <c r="CI258" s="1231">
        <f ca="1">OFFSET($CQ258,0,CI$7)+OFFSET($CR258,0,CI$7)+OFFSET($CS258,0,CI$7)</f>
        <v>0</v>
      </c>
      <c r="CJ258" s="1231">
        <f ca="1">OFFSET($CQ258,0,CJ$7)+OFFSET($CR258,0,CJ$7)+OFFSET($CS258,0,CJ$7)+OFFSET($CT258,0,CJ$7)</f>
        <v>0</v>
      </c>
      <c r="CK258" s="1231"/>
      <c r="CL258" s="1231"/>
      <c r="CM258" s="1231"/>
      <c r="CN258" s="1231"/>
      <c r="CO258" s="1165"/>
      <c r="CP258" s="1165"/>
      <c r="CQ258" s="1231"/>
      <c r="CR258" s="1231"/>
      <c r="CS258" s="1231"/>
      <c r="CT258" s="1231"/>
      <c r="CU258" s="1231"/>
      <c r="CV258" s="1231"/>
      <c r="CW258" s="1231"/>
      <c r="CX258" s="1231"/>
      <c r="CY258" s="1231"/>
      <c r="CZ258" s="1231"/>
      <c r="DA258" s="1231"/>
      <c r="DB258" s="1231"/>
      <c r="DC258" s="1231"/>
      <c r="DD258" s="1231"/>
      <c r="DE258" s="1231"/>
      <c r="DF258" s="1231"/>
      <c r="DG258" s="1231"/>
      <c r="DH258" s="1231"/>
      <c r="DI258" s="1231"/>
      <c r="DJ258" s="1231"/>
      <c r="DK258" s="1231"/>
      <c r="DL258" s="1231"/>
      <c r="DM258" s="1231"/>
      <c r="DN258" s="1231"/>
      <c r="DO258" s="1231"/>
      <c r="DP258" s="1231"/>
      <c r="DQ258" s="1231"/>
      <c r="DR258" s="1231"/>
      <c r="DS258" s="1231"/>
      <c r="DT258" s="1231"/>
      <c r="DU258" s="1231"/>
      <c r="DV258" s="1231"/>
      <c r="DW258" s="1231"/>
      <c r="DX258" s="1231"/>
      <c r="DY258" s="1231"/>
      <c r="DZ258" s="1231"/>
      <c r="EA258" s="1231"/>
      <c r="EB258" s="1231"/>
      <c r="EC258" s="1231"/>
      <c r="ED258" s="1231"/>
      <c r="EE258" s="1231"/>
      <c r="EF258" s="1231"/>
      <c r="EG258" s="1231"/>
      <c r="EH258" s="1231"/>
      <c r="EI258" s="1231"/>
      <c r="EJ258" s="1231"/>
      <c r="EK258" s="1231"/>
      <c r="EL258" s="1231"/>
      <c r="EM258" s="1231"/>
      <c r="EN258" s="1231"/>
      <c r="EO258" s="1231"/>
      <c r="EP258" s="1231"/>
      <c r="EQ258" s="1231"/>
      <c r="ER258" s="1231"/>
      <c r="ES258" s="1231"/>
      <c r="ET258" s="1231"/>
      <c r="EU258" s="1231"/>
      <c r="EV258" s="1231"/>
      <c r="EW258" s="1231"/>
      <c r="EX258" s="1231"/>
      <c r="EY258" s="1231"/>
      <c r="EZ258" s="1231"/>
      <c r="FA258" s="1231"/>
      <c r="FB258" s="1231"/>
      <c r="FC258" s="1231"/>
      <c r="FD258" s="1231"/>
      <c r="FE258" s="1231"/>
      <c r="FF258" s="1231"/>
    </row>
    <row r="259" spans="1:162">
      <c r="A259" s="1224"/>
      <c r="CO259" s="1165"/>
      <c r="CP259" s="1165"/>
    </row>
    <row r="260" spans="1:162">
      <c r="A260" s="1203" t="s">
        <v>653</v>
      </c>
      <c r="B260" s="1237" t="s">
        <v>362</v>
      </c>
      <c r="M260" s="1236">
        <f t="shared" ref="M260:Q268" ca="1" si="346">OFFSET($CQ260,0,M$7)+OFFSET($CR260,0,M$7)+OFFSET($CS260,0,M$7)+OFFSET($CT260,0,M$7)</f>
        <v>0</v>
      </c>
      <c r="N260" s="1236">
        <f t="shared" ca="1" si="346"/>
        <v>0</v>
      </c>
      <c r="O260" s="1236">
        <f t="shared" ca="1" si="346"/>
        <v>0</v>
      </c>
      <c r="P260" s="1236">
        <f t="shared" ca="1" si="346"/>
        <v>0</v>
      </c>
      <c r="Q260" s="1236">
        <f t="shared" ca="1" si="346"/>
        <v>0</v>
      </c>
      <c r="R260" s="1236">
        <f>INDEX('Basic Data TR'!$A$1:$AMJ$9673,MATCH($A260,'Basic Data TR'!$A$1:$A$9673,0),MATCH(R$6,'Basic Data TR'!$A$1:$AMJ$1,0))</f>
        <v>14.185420000000001</v>
      </c>
      <c r="S260" s="1236">
        <f>INDEX('Basic Data TR'!$A$1:$AMJ$9673,MATCH($A260,'Basic Data TR'!$A$1:$A$9673,0),MATCH(S$6,'Basic Data TR'!$A$1:$AMJ$1,0))</f>
        <v>4.4210000000000003</v>
      </c>
      <c r="T260" s="1236">
        <f>INDEX('Basic Data TR'!$A$1:$AMJ$9673,MATCH($A260,'Basic Data TR'!$A$1:$A$9673,0),MATCH(T$6,'Basic Data TR'!$A$1:$AMJ$1,0))</f>
        <v>37.287999999999997</v>
      </c>
      <c r="U260" s="1236">
        <f>INDEX('Basic Data TR'!$A$1:$AMJ$9673,MATCH($A260,'Basic Data TR'!$A$1:$A$9673,0),MATCH(U$6,'Basic Data TR'!$A$1:$AMJ$1,0))</f>
        <v>61.098999999999997</v>
      </c>
      <c r="V260" s="1236">
        <f>INDEX('Basic Data TR'!$A$1:$AMJ$9673,MATCH($A260,'Basic Data TR'!$A$1:$A$9673,0),MATCH(V$6,'Basic Data TR'!$A$1:$AMJ$1,0))</f>
        <v>52.911000000000001</v>
      </c>
      <c r="W260" s="1236">
        <f>INDEX('Basic Data TR'!$A$1:$AMJ$9673,MATCH($A260,'Basic Data TR'!$A$1:$A$9673,0),MATCH(W$6,'Basic Data TR'!$A$1:$AMJ$1,0))</f>
        <v>87.89</v>
      </c>
      <c r="X260" s="1236">
        <f>INDEX('Basic Data TR'!$A$1:$AMJ$9673,MATCH($A260,'Basic Data TR'!$A$1:$A$9673,0),MATCH(X$6,'Basic Data TR'!$A$1:$AMJ$1,0))</f>
        <v>259.79899999999998</v>
      </c>
      <c r="Y260" s="1236">
        <f>INDEX('Basic Data TR'!$A$1:$AMJ$9673,MATCH($A260,'Basic Data TR'!$A$1:$A$9673,0),MATCH(Y$6,'Basic Data TR'!$A$1:$AMJ$1,0))</f>
        <v>688.19200000000001</v>
      </c>
      <c r="Z260" s="1236">
        <f>398.162</f>
        <v>398.16199999999998</v>
      </c>
      <c r="AG260" s="1236">
        <f t="shared" ref="AG260:AG268" ca="1" si="347">OFFSET($CQ260,0,AG$7)</f>
        <v>0</v>
      </c>
      <c r="AH260" s="1236">
        <f t="shared" ref="AH260:AH268" ca="1" si="348">OFFSET($CQ260,0,AH$7)+OFFSET($CR260,0,AH$7)</f>
        <v>0</v>
      </c>
      <c r="AI260" s="1236">
        <f t="shared" ref="AI260:AI268" ca="1" si="349">OFFSET($CQ260,0,AI$7)+OFFSET($CR260,0,AI$7)+OFFSET($CS260,0,AI$7)</f>
        <v>0</v>
      </c>
      <c r="AJ260" s="1236">
        <f t="shared" ref="AJ260:AJ268" ca="1" si="350">OFFSET($CQ260,0,AJ$7)+OFFSET($CR260,0,AJ$7)+OFFSET($CS260,0,AJ$7)+OFFSET($CT260,0,AJ$7)</f>
        <v>0</v>
      </c>
      <c r="AK260" s="1236">
        <f t="shared" ref="AK260:AK268" ca="1" si="351">OFFSET($CQ260,0,AK$7)</f>
        <v>0</v>
      </c>
      <c r="AL260" s="1236">
        <f t="shared" ref="AL260:AL268" ca="1" si="352">OFFSET($CQ260,0,AL$7)+OFFSET($CR260,0,AL$7)</f>
        <v>0</v>
      </c>
      <c r="AM260" s="1236">
        <f t="shared" ref="AM260:AM268" ca="1" si="353">OFFSET($CQ260,0,AM$7)+OFFSET($CR260,0,AM$7)+OFFSET($CS260,0,AM$7)</f>
        <v>0</v>
      </c>
      <c r="AN260" s="1236">
        <f t="shared" ref="AN260:AN268" ca="1" si="354">OFFSET($CQ260,0,AN$7)+OFFSET($CR260,0,AN$7)+OFFSET($CS260,0,AN$7)+OFFSET($CT260,0,AN$7)</f>
        <v>0</v>
      </c>
      <c r="AO260" s="1236">
        <f t="shared" ref="AO260:AO268" ca="1" si="355">OFFSET($CQ260,0,AO$7)</f>
        <v>0</v>
      </c>
      <c r="AP260" s="1236">
        <f t="shared" ref="AP260:AP268" ca="1" si="356">OFFSET($CQ260,0,AP$7)+OFFSET($CR260,0,AP$7)</f>
        <v>0</v>
      </c>
      <c r="AQ260" s="1236">
        <f t="shared" ref="AQ260:AQ268" ca="1" si="357">OFFSET($CQ260,0,AQ$7)+OFFSET($CR260,0,AQ$7)+OFFSET($CS260,0,AQ$7)</f>
        <v>0</v>
      </c>
      <c r="AR260" s="1236">
        <f t="shared" ref="AR260:AR268" ca="1" si="358">OFFSET($CQ260,0,AR$7)+OFFSET($CR260,0,AR$7)+OFFSET($CS260,0,AR$7)+OFFSET($CT260,0,AR$7)</f>
        <v>0</v>
      </c>
      <c r="AS260" s="1236">
        <f t="shared" ref="AS260:AS268" ca="1" si="359">OFFSET($CQ260,0,AS$7)</f>
        <v>0</v>
      </c>
      <c r="AT260" s="1236">
        <f t="shared" ref="AT260:AT268" ca="1" si="360">OFFSET($CQ260,0,AT$7)+OFFSET($CR260,0,AT$7)</f>
        <v>0</v>
      </c>
      <c r="AU260" s="1236">
        <f t="shared" ref="AU260:AU268" ca="1" si="361">OFFSET($CQ260,0,AU$7)+OFFSET($CR260,0,AU$7)+OFFSET($CS260,0,AU$7)</f>
        <v>0</v>
      </c>
      <c r="AV260" s="1236">
        <f t="shared" ref="AV260:AV268" ca="1" si="362">OFFSET($CQ260,0,AV$7)+OFFSET($CR260,0,AV$7)+OFFSET($CS260,0,AV$7)+OFFSET($CT260,0,AV$7)</f>
        <v>0</v>
      </c>
      <c r="AW260" s="1236">
        <f t="shared" ref="AW260:AW268" ca="1" si="363">OFFSET($CQ260,0,AW$7)</f>
        <v>0</v>
      </c>
      <c r="AX260" s="1236">
        <f t="shared" ref="AX260:AX268" ca="1" si="364">OFFSET($CQ260,0,AX$7)+OFFSET($CR260,0,AX$7)</f>
        <v>0</v>
      </c>
      <c r="AY260" s="1236">
        <f t="shared" ref="AY260:AY268" ca="1" si="365">OFFSET($CQ260,0,AY$7)+OFFSET($CR260,0,AY$7)+OFFSET($CS260,0,AY$7)</f>
        <v>0</v>
      </c>
      <c r="AZ260" s="1236">
        <f t="shared" ref="AZ260:AZ268" ca="1" si="366">OFFSET($CQ260,0,AZ$7)+OFFSET($CR260,0,AZ$7)+OFFSET($CS260,0,AZ$7)+OFFSET($CT260,0,AZ$7)</f>
        <v>0</v>
      </c>
      <c r="BA260" s="1236">
        <f t="shared" ref="BA260:BA268" ca="1" si="367">OFFSET($CQ260,0,BA$7)</f>
        <v>0</v>
      </c>
      <c r="BB260" s="1236">
        <f t="shared" ref="BB260:BB268" ca="1" si="368">OFFSET($CQ260,0,BB$7)+OFFSET($CR260,0,BB$7)</f>
        <v>0</v>
      </c>
      <c r="BC260" s="1236">
        <f t="shared" ref="BC260:BC268" ca="1" si="369">OFFSET($CQ260,0,BC$7)+OFFSET($CR260,0,BC$7)+OFFSET($CS260,0,BC$7)</f>
        <v>0</v>
      </c>
      <c r="BD260" s="1236">
        <f t="shared" ref="BD260:BD268" ca="1" si="370">OFFSET($CQ260,0,BD$7)+OFFSET($CR260,0,BD$7)+OFFSET($CS260,0,BD$7)+OFFSET($CT260,0,BD$7)</f>
        <v>0</v>
      </c>
      <c r="BE260" s="1236">
        <f t="shared" ref="BE260:BE268" ca="1" si="371">OFFSET($CQ260,0,BE$7)</f>
        <v>0</v>
      </c>
      <c r="BF260" s="1236">
        <f t="shared" ref="BF260:BF268" ca="1" si="372">OFFSET($CQ260,0,BF$7)+OFFSET($CR260,0,BF$7)</f>
        <v>0</v>
      </c>
      <c r="BG260" s="1236">
        <f t="shared" ref="BG260:BG268" ca="1" si="373">OFFSET($CQ260,0,BG$7)+OFFSET($CR260,0,BG$7)+OFFSET($CS260,0,BG$7)</f>
        <v>0</v>
      </c>
      <c r="BH260" s="1236">
        <f t="shared" ref="BH260:BH268" ca="1" si="374">OFFSET($CQ260,0,BH$7)+OFFSET($CR260,0,BH$7)+OFFSET($CS260,0,BH$7)+OFFSET($CT260,0,BH$7)</f>
        <v>0</v>
      </c>
      <c r="BI260" s="1236">
        <f t="shared" ref="BI260:BI268" ca="1" si="375">OFFSET($CQ260,0,BI$7)</f>
        <v>0</v>
      </c>
      <c r="BJ260" s="1236">
        <f t="shared" ref="BJ260:BJ268" ca="1" si="376">OFFSET($CQ260,0,BJ$7)+OFFSET($CR260,0,BJ$7)</f>
        <v>0</v>
      </c>
      <c r="BK260" s="1236">
        <f t="shared" ref="BK260:BK268" ca="1" si="377">OFFSET($CQ260,0,BK$7)+OFFSET($CR260,0,BK$7)+OFFSET($CS260,0,BK$7)</f>
        <v>0</v>
      </c>
      <c r="BL260" s="1236">
        <f t="shared" ref="BL260:BL268" ca="1" si="378">OFFSET($CQ260,0,BL$7)+OFFSET($CR260,0,BL$7)+OFFSET($CS260,0,BL$7)+OFFSET($CT260,0,BL$7)</f>
        <v>0</v>
      </c>
      <c r="BM260" s="1236">
        <f t="shared" ref="BM260:BM268" ca="1" si="379">OFFSET($CQ260,0,BM$7)</f>
        <v>0</v>
      </c>
      <c r="BN260" s="1236">
        <f t="shared" ref="BN260:BN268" ca="1" si="380">OFFSET($CQ260,0,BN$7)+OFFSET($CR260,0,BN$7)</f>
        <v>0</v>
      </c>
      <c r="BO260" s="1236">
        <f t="shared" ref="BO260:BO268" ca="1" si="381">OFFSET($CQ260,0,BO$7)+OFFSET($CR260,0,BO$7)+OFFSET($CS260,0,BO$7)</f>
        <v>0</v>
      </c>
      <c r="BP260" s="1236">
        <f t="shared" ref="BP260:BP268" ca="1" si="382">OFFSET($CQ260,0,BP$7)+OFFSET($CR260,0,BP$7)+OFFSET($CS260,0,BP$7)+OFFSET($CT260,0,BP$7)</f>
        <v>0</v>
      </c>
      <c r="BQ260" s="1236">
        <f t="shared" ref="BQ260:BQ268" ca="1" si="383">OFFSET($CQ260,0,BQ$7)</f>
        <v>0</v>
      </c>
      <c r="BR260" s="1236">
        <f t="shared" ref="BR260:BR268" ca="1" si="384">OFFSET($CQ260,0,BR$7)+OFFSET($CR260,0,BR$7)</f>
        <v>0</v>
      </c>
      <c r="BS260" s="1236">
        <f t="shared" ref="BS260:BS268" ca="1" si="385">OFFSET($CQ260,0,BS$7)+OFFSET($CR260,0,BS$7)+OFFSET($CS260,0,BS$7)</f>
        <v>0</v>
      </c>
      <c r="BT260" s="1236">
        <f t="shared" ref="BT260:BT268" ca="1" si="386">OFFSET($CQ260,0,BT$7)+OFFSET($CR260,0,BT$7)+OFFSET($CS260,0,BT$7)+OFFSET($CT260,0,BT$7)</f>
        <v>0</v>
      </c>
      <c r="BU260" s="1236">
        <f t="shared" ref="BU260:BU268" ca="1" si="387">OFFSET($CQ260,0,BU$7)</f>
        <v>0</v>
      </c>
      <c r="BV260" s="1236">
        <f t="shared" ref="BV260:BV268" ca="1" si="388">OFFSET($CQ260,0,BV$7)+OFFSET($CR260,0,BV$7)</f>
        <v>0</v>
      </c>
      <c r="BW260" s="1236">
        <f t="shared" ref="BW260:BW268" ca="1" si="389">OFFSET($CQ260,0,BW$7)+OFFSET($CR260,0,BW$7)+OFFSET($CS260,0,BW$7)</f>
        <v>0</v>
      </c>
      <c r="BX260" s="1236">
        <f t="shared" ref="BX260:BX268" ca="1" si="390">OFFSET($CQ260,0,BX$7)+OFFSET($CR260,0,BX$7)+OFFSET($CS260,0,BX$7)+OFFSET($CT260,0,BX$7)</f>
        <v>0</v>
      </c>
      <c r="BY260" s="1236">
        <f t="shared" ref="BY260:BY268" ca="1" si="391">OFFSET($CQ260,0,BY$7)</f>
        <v>0</v>
      </c>
      <c r="BZ260" s="1236">
        <f t="shared" ref="BZ260:BZ268" ca="1" si="392">OFFSET($CQ260,0,BZ$7)+OFFSET($CR260,0,BZ$7)</f>
        <v>0</v>
      </c>
      <c r="CA260" s="1236">
        <f t="shared" ref="CA260:CA268" ca="1" si="393">OFFSET($CQ260,0,CA$7)+OFFSET($CR260,0,CA$7)+OFFSET($CS260,0,CA$7)</f>
        <v>0</v>
      </c>
      <c r="CB260" s="1236">
        <f t="shared" ref="CB260:CB268" ca="1" si="394">OFFSET($CQ260,0,CB$7)+OFFSET($CR260,0,CB$7)+OFFSET($CS260,0,CB$7)+OFFSET($CT260,0,CB$7)</f>
        <v>0</v>
      </c>
      <c r="CC260" s="1236">
        <f t="shared" ref="CC260:CC268" ca="1" si="395">OFFSET($CQ260,0,CC$7)</f>
        <v>0</v>
      </c>
      <c r="CD260" s="1236">
        <f t="shared" ref="CD260:CD268" ca="1" si="396">OFFSET($CQ260,0,CD$7)+OFFSET($CR260,0,CD$7)</f>
        <v>0</v>
      </c>
      <c r="CE260" s="1236">
        <f t="shared" ref="CE260:CE268" ca="1" si="397">OFFSET($CQ260,0,CE$7)+OFFSET($CR260,0,CE$7)+OFFSET($CS260,0,CE$7)</f>
        <v>0</v>
      </c>
      <c r="CF260" s="1236">
        <f t="shared" ref="CF260:CF268" ca="1" si="398">OFFSET($CQ260,0,CF$7)+OFFSET($CR260,0,CF$7)+OFFSET($CS260,0,CF$7)+OFFSET($CT260,0,CF$7)</f>
        <v>0</v>
      </c>
      <c r="CG260" s="1236">
        <f t="shared" ref="CG260:CG268" ca="1" si="399">OFFSET($CQ260,0,CG$7)</f>
        <v>0</v>
      </c>
      <c r="CH260" s="1236">
        <f t="shared" ref="CH260:CH268" ca="1" si="400">OFFSET($CQ260,0,CH$7)+OFFSET($CR260,0,CH$7)</f>
        <v>0</v>
      </c>
      <c r="CI260" s="1236">
        <f t="shared" ref="CI260:CI268" ca="1" si="401">OFFSET($CQ260,0,CI$7)+OFFSET($CR260,0,CI$7)+OFFSET($CS260,0,CI$7)</f>
        <v>0</v>
      </c>
      <c r="CJ260" s="1236">
        <f t="shared" ref="CJ260:CJ268" ca="1" si="402">OFFSET($CQ260,0,CJ$7)+OFFSET($CR260,0,CJ$7)+OFFSET($CS260,0,CJ$7)+OFFSET($CT260,0,CJ$7)</f>
        <v>0</v>
      </c>
      <c r="CO260" s="1165"/>
      <c r="CP260" s="1165"/>
      <c r="DK260" s="1238"/>
      <c r="DL260" s="1238"/>
      <c r="DM260" s="1238"/>
      <c r="DN260" s="1238"/>
      <c r="DO260" s="1238"/>
      <c r="DP260" s="1238"/>
      <c r="DQ260" s="1238"/>
      <c r="DR260" s="1238"/>
      <c r="DS260" s="1238"/>
      <c r="DT260" s="1238"/>
      <c r="DU260" s="1238"/>
      <c r="DV260" s="1238"/>
      <c r="DW260" s="1238"/>
      <c r="DX260" s="1238"/>
      <c r="DY260" s="1238"/>
      <c r="DZ260" s="1238"/>
      <c r="EA260" s="1238"/>
      <c r="EB260" s="1238"/>
      <c r="EC260" s="1238"/>
      <c r="ED260" s="1238"/>
      <c r="EE260" s="1238"/>
      <c r="EF260" s="1238"/>
      <c r="EG260" s="1238"/>
      <c r="EH260" s="1238"/>
      <c r="EI260" s="1238"/>
      <c r="EJ260" s="1238"/>
      <c r="EK260" s="1238"/>
      <c r="EL260" s="1238"/>
      <c r="EM260" s="1238"/>
      <c r="EN260" s="1238"/>
      <c r="EO260" s="1238"/>
      <c r="EP260" s="1238"/>
      <c r="EQ260" s="1238"/>
      <c r="ER260" s="1238"/>
      <c r="ES260" s="1238"/>
      <c r="ET260" s="1238"/>
    </row>
    <row r="261" spans="1:162">
      <c r="A261" s="1203" t="s">
        <v>654</v>
      </c>
      <c r="B261" s="1237" t="s">
        <v>361</v>
      </c>
      <c r="M261" s="1236">
        <f t="shared" ca="1" si="346"/>
        <v>0</v>
      </c>
      <c r="N261" s="1236">
        <f t="shared" ca="1" si="346"/>
        <v>0</v>
      </c>
      <c r="O261" s="1236">
        <f t="shared" ca="1" si="346"/>
        <v>0</v>
      </c>
      <c r="P261" s="1236">
        <f t="shared" ca="1" si="346"/>
        <v>0</v>
      </c>
      <c r="Q261" s="1236">
        <f t="shared" ca="1" si="346"/>
        <v>0</v>
      </c>
      <c r="R261" s="1236">
        <f>INDEX('Basic Data TR'!$A$1:$AMJ$9673,MATCH($A261,'Basic Data TR'!$A$1:$A$9673,0),MATCH(R$6,'Basic Data TR'!$A$1:$AMJ$1,0))</f>
        <v>23.4</v>
      </c>
      <c r="S261" s="1236">
        <f>INDEX('Basic Data TR'!$A$1:$AMJ$9673,MATCH($A261,'Basic Data TR'!$A$1:$A$9673,0),MATCH(S$6,'Basic Data TR'!$A$1:$AMJ$1,0))</f>
        <v>45.093000000000004</v>
      </c>
      <c r="T261" s="1236">
        <f>INDEX('Basic Data TR'!$A$1:$AMJ$9673,MATCH($A261,'Basic Data TR'!$A$1:$A$9673,0),MATCH(T$6,'Basic Data TR'!$A$1:$AMJ$1,0))</f>
        <v>26.018999999999998</v>
      </c>
      <c r="U261" s="1236">
        <f>INDEX('Basic Data TR'!$A$1:$AMJ$9673,MATCH($A261,'Basic Data TR'!$A$1:$A$9673,0),MATCH(U$6,'Basic Data TR'!$A$1:$AMJ$1,0))</f>
        <v>39.244999999999997</v>
      </c>
      <c r="V261" s="1236">
        <f>INDEX('Basic Data TR'!$A$1:$AMJ$9673,MATCH($A261,'Basic Data TR'!$A$1:$A$9673,0),MATCH(V$6,'Basic Data TR'!$A$1:$AMJ$1,0))</f>
        <v>1602.5129999999999</v>
      </c>
      <c r="W261" s="1236">
        <f>INDEX('Basic Data TR'!$A$1:$AMJ$9673,MATCH($A261,'Basic Data TR'!$A$1:$A$9673,0),MATCH(W$6,'Basic Data TR'!$A$1:$AMJ$1,0))</f>
        <v>2783.3850000000002</v>
      </c>
      <c r="X261" s="1236">
        <f>INDEX('Basic Data TR'!$A$1:$AMJ$9673,MATCH($A261,'Basic Data TR'!$A$1:$A$9673,0),MATCH(X$6,'Basic Data TR'!$A$1:$AMJ$1,0))</f>
        <v>1181.2909999999999</v>
      </c>
      <c r="Y261" s="1236">
        <f>INDEX('Basic Data TR'!$A$1:$AMJ$9673,MATCH($A261,'Basic Data TR'!$A$1:$A$9673,0),MATCH(Y$6,'Basic Data TR'!$A$1:$AMJ$1,0))</f>
        <v>187.53700000000001</v>
      </c>
      <c r="Z261" s="1236">
        <f>540.166+2954.346+9.251</f>
        <v>3503.7630000000004</v>
      </c>
      <c r="AG261" s="1236">
        <f t="shared" ca="1" si="347"/>
        <v>0</v>
      </c>
      <c r="AH261" s="1236">
        <f t="shared" ca="1" si="348"/>
        <v>0</v>
      </c>
      <c r="AI261" s="1236">
        <f t="shared" ca="1" si="349"/>
        <v>0</v>
      </c>
      <c r="AJ261" s="1236">
        <f t="shared" ca="1" si="350"/>
        <v>0</v>
      </c>
      <c r="AK261" s="1236">
        <f t="shared" ca="1" si="351"/>
        <v>0</v>
      </c>
      <c r="AL261" s="1236">
        <f t="shared" ca="1" si="352"/>
        <v>0</v>
      </c>
      <c r="AM261" s="1236">
        <f t="shared" ca="1" si="353"/>
        <v>0</v>
      </c>
      <c r="AN261" s="1236">
        <f t="shared" ca="1" si="354"/>
        <v>0</v>
      </c>
      <c r="AO261" s="1236">
        <f t="shared" ca="1" si="355"/>
        <v>0</v>
      </c>
      <c r="AP261" s="1236">
        <f t="shared" ca="1" si="356"/>
        <v>0</v>
      </c>
      <c r="AQ261" s="1236">
        <f t="shared" ca="1" si="357"/>
        <v>0</v>
      </c>
      <c r="AR261" s="1236">
        <f t="shared" ca="1" si="358"/>
        <v>0</v>
      </c>
      <c r="AS261" s="1236">
        <f t="shared" ca="1" si="359"/>
        <v>0</v>
      </c>
      <c r="AT261" s="1236">
        <f t="shared" ca="1" si="360"/>
        <v>0</v>
      </c>
      <c r="AU261" s="1236">
        <f t="shared" ca="1" si="361"/>
        <v>0</v>
      </c>
      <c r="AV261" s="1236">
        <f t="shared" ca="1" si="362"/>
        <v>0</v>
      </c>
      <c r="AW261" s="1236">
        <f t="shared" ca="1" si="363"/>
        <v>0</v>
      </c>
      <c r="AX261" s="1236">
        <f t="shared" ca="1" si="364"/>
        <v>0</v>
      </c>
      <c r="AY261" s="1236">
        <f t="shared" ca="1" si="365"/>
        <v>0</v>
      </c>
      <c r="AZ261" s="1236">
        <f t="shared" ca="1" si="366"/>
        <v>0</v>
      </c>
      <c r="BA261" s="1236">
        <f t="shared" ca="1" si="367"/>
        <v>0</v>
      </c>
      <c r="BB261" s="1236">
        <f t="shared" ca="1" si="368"/>
        <v>0</v>
      </c>
      <c r="BC261" s="1236">
        <f t="shared" ca="1" si="369"/>
        <v>0</v>
      </c>
      <c r="BD261" s="1236">
        <f t="shared" ca="1" si="370"/>
        <v>0</v>
      </c>
      <c r="BE261" s="1236">
        <f t="shared" ca="1" si="371"/>
        <v>0</v>
      </c>
      <c r="BF261" s="1236">
        <f t="shared" ca="1" si="372"/>
        <v>0</v>
      </c>
      <c r="BG261" s="1236">
        <f t="shared" ca="1" si="373"/>
        <v>0</v>
      </c>
      <c r="BH261" s="1236">
        <f t="shared" ca="1" si="374"/>
        <v>0</v>
      </c>
      <c r="BI261" s="1236">
        <f t="shared" ca="1" si="375"/>
        <v>0</v>
      </c>
      <c r="BJ261" s="1236">
        <f t="shared" ca="1" si="376"/>
        <v>0</v>
      </c>
      <c r="BK261" s="1236">
        <f t="shared" ca="1" si="377"/>
        <v>0</v>
      </c>
      <c r="BL261" s="1236">
        <f t="shared" ca="1" si="378"/>
        <v>0</v>
      </c>
      <c r="BM261" s="1236">
        <f t="shared" ca="1" si="379"/>
        <v>0</v>
      </c>
      <c r="BN261" s="1236">
        <f t="shared" ca="1" si="380"/>
        <v>0</v>
      </c>
      <c r="BO261" s="1236">
        <f t="shared" ca="1" si="381"/>
        <v>0</v>
      </c>
      <c r="BP261" s="1236">
        <f t="shared" ca="1" si="382"/>
        <v>0</v>
      </c>
      <c r="BQ261" s="1236">
        <f t="shared" ca="1" si="383"/>
        <v>0</v>
      </c>
      <c r="BR261" s="1236">
        <f t="shared" ca="1" si="384"/>
        <v>0</v>
      </c>
      <c r="BS261" s="1236">
        <f t="shared" ca="1" si="385"/>
        <v>0</v>
      </c>
      <c r="BT261" s="1236">
        <f t="shared" ca="1" si="386"/>
        <v>0</v>
      </c>
      <c r="BU261" s="1236">
        <f t="shared" ca="1" si="387"/>
        <v>0</v>
      </c>
      <c r="BV261" s="1236">
        <f t="shared" ca="1" si="388"/>
        <v>0</v>
      </c>
      <c r="BW261" s="1236">
        <f t="shared" ca="1" si="389"/>
        <v>0</v>
      </c>
      <c r="BX261" s="1236">
        <f t="shared" ca="1" si="390"/>
        <v>0</v>
      </c>
      <c r="BY261" s="1236">
        <f t="shared" ca="1" si="391"/>
        <v>0</v>
      </c>
      <c r="BZ261" s="1236">
        <f t="shared" ca="1" si="392"/>
        <v>0</v>
      </c>
      <c r="CA261" s="1236">
        <f t="shared" ca="1" si="393"/>
        <v>0</v>
      </c>
      <c r="CB261" s="1236">
        <f t="shared" ca="1" si="394"/>
        <v>0</v>
      </c>
      <c r="CC261" s="1236">
        <f t="shared" ca="1" si="395"/>
        <v>0</v>
      </c>
      <c r="CD261" s="1236">
        <f t="shared" ca="1" si="396"/>
        <v>0</v>
      </c>
      <c r="CE261" s="1236">
        <f t="shared" ca="1" si="397"/>
        <v>0</v>
      </c>
      <c r="CF261" s="1236">
        <f t="shared" ca="1" si="398"/>
        <v>0</v>
      </c>
      <c r="CG261" s="1236">
        <f t="shared" ca="1" si="399"/>
        <v>0</v>
      </c>
      <c r="CH261" s="1236">
        <f t="shared" ca="1" si="400"/>
        <v>0</v>
      </c>
      <c r="CI261" s="1236">
        <f t="shared" ca="1" si="401"/>
        <v>0</v>
      </c>
      <c r="CJ261" s="1236">
        <f t="shared" ca="1" si="402"/>
        <v>0</v>
      </c>
      <c r="CO261" s="1165"/>
      <c r="CP261" s="1165"/>
      <c r="DK261" s="1238"/>
      <c r="DL261" s="1238"/>
      <c r="DM261" s="1238"/>
      <c r="DN261" s="1238"/>
      <c r="DO261" s="1238"/>
      <c r="DP261" s="1238"/>
      <c r="DQ261" s="1238"/>
      <c r="DR261" s="1238"/>
      <c r="DS261" s="1238"/>
      <c r="DT261" s="1238"/>
      <c r="DU261" s="1238"/>
      <c r="DV261" s="1238"/>
      <c r="DW261" s="1238"/>
      <c r="DX261" s="1238"/>
      <c r="DY261" s="1238"/>
      <c r="DZ261" s="1238"/>
      <c r="EA261" s="1238"/>
      <c r="EB261" s="1238"/>
      <c r="EC261" s="1238"/>
      <c r="ED261" s="1238"/>
      <c r="EE261" s="1238"/>
      <c r="EF261" s="1238"/>
      <c r="EG261" s="1238"/>
      <c r="EH261" s="1238"/>
      <c r="EI261" s="1238"/>
      <c r="EJ261" s="1238"/>
      <c r="EK261" s="1238"/>
      <c r="EL261" s="1238"/>
      <c r="EM261" s="1238"/>
      <c r="EN261" s="1238"/>
      <c r="EO261" s="1238"/>
      <c r="EP261" s="1238"/>
      <c r="EQ261" s="1238"/>
      <c r="ER261" s="1238"/>
      <c r="ES261" s="1238"/>
      <c r="ET261" s="1238"/>
    </row>
    <row r="262" spans="1:162">
      <c r="A262" s="1224"/>
      <c r="B262" s="1237" t="s">
        <v>357</v>
      </c>
      <c r="M262" s="1236">
        <f t="shared" ca="1" si="346"/>
        <v>0</v>
      </c>
      <c r="N262" s="1236">
        <f t="shared" ca="1" si="346"/>
        <v>0</v>
      </c>
      <c r="O262" s="1236">
        <f t="shared" ca="1" si="346"/>
        <v>0</v>
      </c>
      <c r="P262" s="1236">
        <f t="shared" ca="1" si="346"/>
        <v>0</v>
      </c>
      <c r="Q262" s="1236">
        <f t="shared" ca="1" si="346"/>
        <v>0</v>
      </c>
      <c r="AG262" s="1236">
        <f t="shared" ca="1" si="347"/>
        <v>0</v>
      </c>
      <c r="AH262" s="1236">
        <f t="shared" ca="1" si="348"/>
        <v>0</v>
      </c>
      <c r="AI262" s="1236">
        <f t="shared" ca="1" si="349"/>
        <v>0</v>
      </c>
      <c r="AJ262" s="1236">
        <f t="shared" ca="1" si="350"/>
        <v>0</v>
      </c>
      <c r="AK262" s="1236">
        <f t="shared" ca="1" si="351"/>
        <v>0</v>
      </c>
      <c r="AL262" s="1236">
        <f t="shared" ca="1" si="352"/>
        <v>0</v>
      </c>
      <c r="AM262" s="1236">
        <f t="shared" ca="1" si="353"/>
        <v>0</v>
      </c>
      <c r="AN262" s="1236">
        <f t="shared" ca="1" si="354"/>
        <v>0</v>
      </c>
      <c r="AO262" s="1236">
        <f t="shared" ca="1" si="355"/>
        <v>0</v>
      </c>
      <c r="AP262" s="1236">
        <f t="shared" ca="1" si="356"/>
        <v>0</v>
      </c>
      <c r="AQ262" s="1236">
        <f t="shared" ca="1" si="357"/>
        <v>0</v>
      </c>
      <c r="AR262" s="1236">
        <f t="shared" ca="1" si="358"/>
        <v>0</v>
      </c>
      <c r="AS262" s="1236">
        <f t="shared" ca="1" si="359"/>
        <v>0</v>
      </c>
      <c r="AT262" s="1236">
        <f t="shared" ca="1" si="360"/>
        <v>0</v>
      </c>
      <c r="AU262" s="1236">
        <f t="shared" ca="1" si="361"/>
        <v>0</v>
      </c>
      <c r="AV262" s="1236">
        <f t="shared" ca="1" si="362"/>
        <v>0</v>
      </c>
      <c r="AW262" s="1236">
        <f t="shared" ca="1" si="363"/>
        <v>0</v>
      </c>
      <c r="AX262" s="1236">
        <f t="shared" ca="1" si="364"/>
        <v>0</v>
      </c>
      <c r="AY262" s="1236">
        <f t="shared" ca="1" si="365"/>
        <v>0</v>
      </c>
      <c r="AZ262" s="1236">
        <f t="shared" ca="1" si="366"/>
        <v>0</v>
      </c>
      <c r="BA262" s="1236">
        <f t="shared" ca="1" si="367"/>
        <v>0</v>
      </c>
      <c r="BB262" s="1236">
        <f t="shared" ca="1" si="368"/>
        <v>0</v>
      </c>
      <c r="BC262" s="1236">
        <f t="shared" ca="1" si="369"/>
        <v>0</v>
      </c>
      <c r="BD262" s="1236">
        <f t="shared" ca="1" si="370"/>
        <v>0</v>
      </c>
      <c r="BE262" s="1236">
        <f t="shared" ca="1" si="371"/>
        <v>0</v>
      </c>
      <c r="BF262" s="1236">
        <f t="shared" ca="1" si="372"/>
        <v>0</v>
      </c>
      <c r="BG262" s="1236">
        <f t="shared" ca="1" si="373"/>
        <v>0</v>
      </c>
      <c r="BH262" s="1236">
        <f t="shared" ca="1" si="374"/>
        <v>0</v>
      </c>
      <c r="BI262" s="1236">
        <f t="shared" ca="1" si="375"/>
        <v>0</v>
      </c>
      <c r="BJ262" s="1236">
        <f t="shared" ca="1" si="376"/>
        <v>0</v>
      </c>
      <c r="BK262" s="1236">
        <f t="shared" ca="1" si="377"/>
        <v>0</v>
      </c>
      <c r="BL262" s="1236">
        <f t="shared" ca="1" si="378"/>
        <v>0</v>
      </c>
      <c r="BM262" s="1236">
        <f t="shared" ca="1" si="379"/>
        <v>0</v>
      </c>
      <c r="BN262" s="1236">
        <f t="shared" ca="1" si="380"/>
        <v>0</v>
      </c>
      <c r="BO262" s="1236">
        <f t="shared" ca="1" si="381"/>
        <v>0</v>
      </c>
      <c r="BP262" s="1236">
        <f t="shared" ca="1" si="382"/>
        <v>0</v>
      </c>
      <c r="BQ262" s="1236">
        <f t="shared" ca="1" si="383"/>
        <v>0</v>
      </c>
      <c r="BR262" s="1236">
        <f t="shared" ca="1" si="384"/>
        <v>0</v>
      </c>
      <c r="BS262" s="1236">
        <f t="shared" ca="1" si="385"/>
        <v>0</v>
      </c>
      <c r="BT262" s="1236">
        <f t="shared" ca="1" si="386"/>
        <v>0</v>
      </c>
      <c r="BU262" s="1236">
        <f t="shared" ca="1" si="387"/>
        <v>0</v>
      </c>
      <c r="BV262" s="1236">
        <f t="shared" ca="1" si="388"/>
        <v>0</v>
      </c>
      <c r="BW262" s="1236">
        <f t="shared" ca="1" si="389"/>
        <v>0</v>
      </c>
      <c r="BX262" s="1236">
        <f t="shared" ca="1" si="390"/>
        <v>0</v>
      </c>
      <c r="BY262" s="1236">
        <f t="shared" ca="1" si="391"/>
        <v>0</v>
      </c>
      <c r="BZ262" s="1236">
        <f t="shared" ca="1" si="392"/>
        <v>0</v>
      </c>
      <c r="CA262" s="1236">
        <f t="shared" ca="1" si="393"/>
        <v>0</v>
      </c>
      <c r="CB262" s="1236">
        <f t="shared" ca="1" si="394"/>
        <v>0</v>
      </c>
      <c r="CC262" s="1236">
        <f t="shared" ca="1" si="395"/>
        <v>0</v>
      </c>
      <c r="CD262" s="1236">
        <f t="shared" ca="1" si="396"/>
        <v>0</v>
      </c>
      <c r="CE262" s="1236">
        <f t="shared" ca="1" si="397"/>
        <v>0</v>
      </c>
      <c r="CF262" s="1236">
        <f t="shared" ca="1" si="398"/>
        <v>0</v>
      </c>
      <c r="CG262" s="1236">
        <f t="shared" ca="1" si="399"/>
        <v>0</v>
      </c>
      <c r="CH262" s="1236">
        <f t="shared" ca="1" si="400"/>
        <v>0</v>
      </c>
      <c r="CI262" s="1236">
        <f t="shared" ca="1" si="401"/>
        <v>0</v>
      </c>
      <c r="CJ262" s="1236">
        <f t="shared" ca="1" si="402"/>
        <v>0</v>
      </c>
      <c r="CO262" s="1165"/>
      <c r="CP262" s="1165"/>
      <c r="DK262" s="1238"/>
      <c r="DL262" s="1238"/>
      <c r="DM262" s="1238"/>
      <c r="DN262" s="1238"/>
      <c r="DO262" s="1238"/>
      <c r="DP262" s="1238"/>
      <c r="DQ262" s="1238"/>
      <c r="DR262" s="1238"/>
      <c r="DS262" s="1238"/>
      <c r="DT262" s="1238"/>
      <c r="DU262" s="1238"/>
      <c r="DV262" s="1238"/>
      <c r="DW262" s="1238"/>
      <c r="DX262" s="1238"/>
      <c r="DY262" s="1238"/>
      <c r="DZ262" s="1238"/>
      <c r="EA262" s="1238"/>
      <c r="EB262" s="1238"/>
      <c r="EC262" s="1238"/>
      <c r="ED262" s="1238"/>
      <c r="EE262" s="1238"/>
      <c r="EF262" s="1238"/>
      <c r="EG262" s="1238"/>
      <c r="EH262" s="1238"/>
      <c r="EI262" s="1238"/>
      <c r="EJ262" s="1238"/>
      <c r="EK262" s="1238"/>
      <c r="EL262" s="1238"/>
      <c r="EM262" s="1238"/>
      <c r="EN262" s="1238"/>
      <c r="EO262" s="1238"/>
      <c r="EP262" s="1238"/>
      <c r="EQ262" s="1238"/>
      <c r="ER262" s="1238"/>
      <c r="ES262" s="1238"/>
      <c r="ET262" s="1238"/>
    </row>
    <row r="263" spans="1:162">
      <c r="A263" s="1224"/>
      <c r="B263" s="1237" t="s">
        <v>358</v>
      </c>
      <c r="M263" s="1236">
        <f t="shared" ca="1" si="346"/>
        <v>0</v>
      </c>
      <c r="N263" s="1236">
        <f t="shared" ca="1" si="346"/>
        <v>0</v>
      </c>
      <c r="O263" s="1236">
        <f t="shared" ca="1" si="346"/>
        <v>0</v>
      </c>
      <c r="P263" s="1236">
        <f t="shared" ca="1" si="346"/>
        <v>0</v>
      </c>
      <c r="Q263" s="1236">
        <f t="shared" ca="1" si="346"/>
        <v>0</v>
      </c>
      <c r="AG263" s="1236">
        <f t="shared" ca="1" si="347"/>
        <v>0</v>
      </c>
      <c r="AH263" s="1236">
        <f t="shared" ca="1" si="348"/>
        <v>0</v>
      </c>
      <c r="AI263" s="1236">
        <f t="shared" ca="1" si="349"/>
        <v>0</v>
      </c>
      <c r="AJ263" s="1236">
        <f t="shared" ca="1" si="350"/>
        <v>0</v>
      </c>
      <c r="AK263" s="1236">
        <f t="shared" ca="1" si="351"/>
        <v>0</v>
      </c>
      <c r="AL263" s="1236">
        <f t="shared" ca="1" si="352"/>
        <v>0</v>
      </c>
      <c r="AM263" s="1236">
        <f t="shared" ca="1" si="353"/>
        <v>0</v>
      </c>
      <c r="AN263" s="1236">
        <f t="shared" ca="1" si="354"/>
        <v>0</v>
      </c>
      <c r="AO263" s="1236">
        <f t="shared" ca="1" si="355"/>
        <v>0</v>
      </c>
      <c r="AP263" s="1236">
        <f t="shared" ca="1" si="356"/>
        <v>0</v>
      </c>
      <c r="AQ263" s="1236">
        <f t="shared" ca="1" si="357"/>
        <v>0</v>
      </c>
      <c r="AR263" s="1236">
        <f t="shared" ca="1" si="358"/>
        <v>0</v>
      </c>
      <c r="AS263" s="1236">
        <f t="shared" ca="1" si="359"/>
        <v>0</v>
      </c>
      <c r="AT263" s="1236">
        <f t="shared" ca="1" si="360"/>
        <v>0</v>
      </c>
      <c r="AU263" s="1236">
        <f t="shared" ca="1" si="361"/>
        <v>0</v>
      </c>
      <c r="AV263" s="1236">
        <f t="shared" ca="1" si="362"/>
        <v>0</v>
      </c>
      <c r="AW263" s="1236">
        <f t="shared" ca="1" si="363"/>
        <v>0</v>
      </c>
      <c r="AX263" s="1236">
        <f t="shared" ca="1" si="364"/>
        <v>0</v>
      </c>
      <c r="AY263" s="1236">
        <f t="shared" ca="1" si="365"/>
        <v>0</v>
      </c>
      <c r="AZ263" s="1236">
        <f t="shared" ca="1" si="366"/>
        <v>0</v>
      </c>
      <c r="BA263" s="1236">
        <f t="shared" ca="1" si="367"/>
        <v>0</v>
      </c>
      <c r="BB263" s="1236">
        <f t="shared" ca="1" si="368"/>
        <v>0</v>
      </c>
      <c r="BC263" s="1236">
        <f t="shared" ca="1" si="369"/>
        <v>0</v>
      </c>
      <c r="BD263" s="1236">
        <f t="shared" ca="1" si="370"/>
        <v>0</v>
      </c>
      <c r="BE263" s="1236">
        <f t="shared" ca="1" si="371"/>
        <v>0</v>
      </c>
      <c r="BF263" s="1236">
        <f t="shared" ca="1" si="372"/>
        <v>0</v>
      </c>
      <c r="BG263" s="1236">
        <f t="shared" ca="1" si="373"/>
        <v>0</v>
      </c>
      <c r="BH263" s="1236">
        <f t="shared" ca="1" si="374"/>
        <v>0</v>
      </c>
      <c r="BI263" s="1236">
        <f t="shared" ca="1" si="375"/>
        <v>0</v>
      </c>
      <c r="BJ263" s="1236">
        <f t="shared" ca="1" si="376"/>
        <v>0</v>
      </c>
      <c r="BK263" s="1236">
        <f t="shared" ca="1" si="377"/>
        <v>0</v>
      </c>
      <c r="BL263" s="1236">
        <f t="shared" ca="1" si="378"/>
        <v>0</v>
      </c>
      <c r="BM263" s="1236">
        <f t="shared" ca="1" si="379"/>
        <v>0</v>
      </c>
      <c r="BN263" s="1236">
        <f t="shared" ca="1" si="380"/>
        <v>0</v>
      </c>
      <c r="BO263" s="1236">
        <f t="shared" ca="1" si="381"/>
        <v>0</v>
      </c>
      <c r="BP263" s="1236">
        <f t="shared" ca="1" si="382"/>
        <v>0</v>
      </c>
      <c r="BQ263" s="1236">
        <f t="shared" ca="1" si="383"/>
        <v>0</v>
      </c>
      <c r="BR263" s="1236">
        <f t="shared" ca="1" si="384"/>
        <v>0</v>
      </c>
      <c r="BS263" s="1236">
        <f t="shared" ca="1" si="385"/>
        <v>0</v>
      </c>
      <c r="BT263" s="1236">
        <f t="shared" ca="1" si="386"/>
        <v>0</v>
      </c>
      <c r="BU263" s="1236">
        <f t="shared" ca="1" si="387"/>
        <v>0</v>
      </c>
      <c r="BV263" s="1236">
        <f t="shared" ca="1" si="388"/>
        <v>0</v>
      </c>
      <c r="BW263" s="1236">
        <f t="shared" ca="1" si="389"/>
        <v>0</v>
      </c>
      <c r="BX263" s="1236">
        <f t="shared" ca="1" si="390"/>
        <v>0</v>
      </c>
      <c r="BY263" s="1236">
        <f t="shared" ca="1" si="391"/>
        <v>0</v>
      </c>
      <c r="BZ263" s="1236">
        <f t="shared" ca="1" si="392"/>
        <v>0</v>
      </c>
      <c r="CA263" s="1236">
        <f t="shared" ca="1" si="393"/>
        <v>0</v>
      </c>
      <c r="CB263" s="1236">
        <f t="shared" ca="1" si="394"/>
        <v>0</v>
      </c>
      <c r="CC263" s="1236">
        <f t="shared" ca="1" si="395"/>
        <v>0</v>
      </c>
      <c r="CD263" s="1236">
        <f t="shared" ca="1" si="396"/>
        <v>0</v>
      </c>
      <c r="CE263" s="1236">
        <f t="shared" ca="1" si="397"/>
        <v>0</v>
      </c>
      <c r="CF263" s="1236">
        <f t="shared" ca="1" si="398"/>
        <v>0</v>
      </c>
      <c r="CG263" s="1236">
        <f t="shared" ca="1" si="399"/>
        <v>0</v>
      </c>
      <c r="CH263" s="1236">
        <f t="shared" ca="1" si="400"/>
        <v>0</v>
      </c>
      <c r="CI263" s="1236">
        <f t="shared" ca="1" si="401"/>
        <v>0</v>
      </c>
      <c r="CJ263" s="1236">
        <f t="shared" ca="1" si="402"/>
        <v>0</v>
      </c>
      <c r="CO263" s="1165"/>
      <c r="CP263" s="1165"/>
      <c r="DK263" s="1238"/>
      <c r="DL263" s="1238"/>
      <c r="DM263" s="1238"/>
      <c r="DN263" s="1238"/>
      <c r="DO263" s="1238"/>
      <c r="DP263" s="1238"/>
      <c r="DQ263" s="1238"/>
      <c r="DR263" s="1238"/>
      <c r="DS263" s="1238"/>
      <c r="DT263" s="1238"/>
      <c r="DU263" s="1238"/>
      <c r="DV263" s="1238"/>
      <c r="DW263" s="1238"/>
      <c r="DX263" s="1238"/>
      <c r="DY263" s="1238"/>
      <c r="DZ263" s="1238"/>
      <c r="EA263" s="1238"/>
      <c r="EB263" s="1238"/>
      <c r="EC263" s="1238"/>
      <c r="ED263" s="1238"/>
      <c r="EE263" s="1238"/>
      <c r="EF263" s="1238"/>
      <c r="EG263" s="1238"/>
      <c r="EH263" s="1238"/>
      <c r="EI263" s="1238"/>
      <c r="EJ263" s="1238"/>
      <c r="EK263" s="1238"/>
      <c r="EL263" s="1238"/>
      <c r="EM263" s="1238"/>
      <c r="EN263" s="1238"/>
      <c r="EO263" s="1238"/>
      <c r="EP263" s="1238"/>
      <c r="EQ263" s="1238"/>
      <c r="ER263" s="1238"/>
      <c r="ES263" s="1238"/>
      <c r="ET263" s="1238"/>
    </row>
    <row r="264" spans="1:162">
      <c r="A264" s="1224"/>
      <c r="B264" s="1237" t="s">
        <v>359</v>
      </c>
      <c r="M264" s="1236">
        <f t="shared" ca="1" si="346"/>
        <v>0</v>
      </c>
      <c r="N264" s="1236">
        <f t="shared" ca="1" si="346"/>
        <v>0</v>
      </c>
      <c r="O264" s="1236">
        <f t="shared" ca="1" si="346"/>
        <v>0</v>
      </c>
      <c r="P264" s="1236">
        <f t="shared" ca="1" si="346"/>
        <v>0</v>
      </c>
      <c r="Q264" s="1236">
        <f t="shared" ca="1" si="346"/>
        <v>0</v>
      </c>
      <c r="AG264" s="1236">
        <f t="shared" ca="1" si="347"/>
        <v>0</v>
      </c>
      <c r="AH264" s="1236">
        <f t="shared" ca="1" si="348"/>
        <v>0</v>
      </c>
      <c r="AI264" s="1236">
        <f t="shared" ca="1" si="349"/>
        <v>0</v>
      </c>
      <c r="AJ264" s="1236">
        <f t="shared" ca="1" si="350"/>
        <v>0</v>
      </c>
      <c r="AK264" s="1236">
        <f t="shared" ca="1" si="351"/>
        <v>0</v>
      </c>
      <c r="AL264" s="1236">
        <f t="shared" ca="1" si="352"/>
        <v>0</v>
      </c>
      <c r="AM264" s="1236">
        <f t="shared" ca="1" si="353"/>
        <v>0</v>
      </c>
      <c r="AN264" s="1236">
        <f t="shared" ca="1" si="354"/>
        <v>0</v>
      </c>
      <c r="AO264" s="1236">
        <f t="shared" ca="1" si="355"/>
        <v>0</v>
      </c>
      <c r="AP264" s="1236">
        <f t="shared" ca="1" si="356"/>
        <v>0</v>
      </c>
      <c r="AQ264" s="1236">
        <f t="shared" ca="1" si="357"/>
        <v>0</v>
      </c>
      <c r="AR264" s="1236">
        <f t="shared" ca="1" si="358"/>
        <v>0</v>
      </c>
      <c r="AS264" s="1236">
        <f t="shared" ca="1" si="359"/>
        <v>0</v>
      </c>
      <c r="AT264" s="1236">
        <f t="shared" ca="1" si="360"/>
        <v>0</v>
      </c>
      <c r="AU264" s="1236">
        <f t="shared" ca="1" si="361"/>
        <v>0</v>
      </c>
      <c r="AV264" s="1236">
        <f t="shared" ca="1" si="362"/>
        <v>0</v>
      </c>
      <c r="AW264" s="1236">
        <f t="shared" ca="1" si="363"/>
        <v>0</v>
      </c>
      <c r="AX264" s="1236">
        <f t="shared" ca="1" si="364"/>
        <v>0</v>
      </c>
      <c r="AY264" s="1236">
        <f t="shared" ca="1" si="365"/>
        <v>0</v>
      </c>
      <c r="AZ264" s="1236">
        <f t="shared" ca="1" si="366"/>
        <v>0</v>
      </c>
      <c r="BA264" s="1236">
        <f t="shared" ca="1" si="367"/>
        <v>0</v>
      </c>
      <c r="BB264" s="1236">
        <f t="shared" ca="1" si="368"/>
        <v>0</v>
      </c>
      <c r="BC264" s="1236">
        <f t="shared" ca="1" si="369"/>
        <v>0</v>
      </c>
      <c r="BD264" s="1236">
        <f t="shared" ca="1" si="370"/>
        <v>0</v>
      </c>
      <c r="BE264" s="1236">
        <f t="shared" ca="1" si="371"/>
        <v>0</v>
      </c>
      <c r="BF264" s="1236">
        <f t="shared" ca="1" si="372"/>
        <v>0</v>
      </c>
      <c r="BG264" s="1236">
        <f t="shared" ca="1" si="373"/>
        <v>0</v>
      </c>
      <c r="BH264" s="1236">
        <f t="shared" ca="1" si="374"/>
        <v>0</v>
      </c>
      <c r="BI264" s="1236">
        <f t="shared" ca="1" si="375"/>
        <v>0</v>
      </c>
      <c r="BJ264" s="1236">
        <f t="shared" ca="1" si="376"/>
        <v>0</v>
      </c>
      <c r="BK264" s="1236">
        <f t="shared" ca="1" si="377"/>
        <v>0</v>
      </c>
      <c r="BL264" s="1236">
        <f t="shared" ca="1" si="378"/>
        <v>0</v>
      </c>
      <c r="BM264" s="1236">
        <f t="shared" ca="1" si="379"/>
        <v>0</v>
      </c>
      <c r="BN264" s="1236">
        <f t="shared" ca="1" si="380"/>
        <v>0</v>
      </c>
      <c r="BO264" s="1236">
        <f t="shared" ca="1" si="381"/>
        <v>0</v>
      </c>
      <c r="BP264" s="1236">
        <f t="shared" ca="1" si="382"/>
        <v>0</v>
      </c>
      <c r="BQ264" s="1236">
        <f t="shared" ca="1" si="383"/>
        <v>0</v>
      </c>
      <c r="BR264" s="1236">
        <f t="shared" ca="1" si="384"/>
        <v>0</v>
      </c>
      <c r="BS264" s="1236">
        <f t="shared" ca="1" si="385"/>
        <v>0</v>
      </c>
      <c r="BT264" s="1236">
        <f t="shared" ca="1" si="386"/>
        <v>0</v>
      </c>
      <c r="BU264" s="1236">
        <f t="shared" ca="1" si="387"/>
        <v>0</v>
      </c>
      <c r="BV264" s="1236">
        <f t="shared" ca="1" si="388"/>
        <v>0</v>
      </c>
      <c r="BW264" s="1236">
        <f t="shared" ca="1" si="389"/>
        <v>0</v>
      </c>
      <c r="BX264" s="1236">
        <f t="shared" ca="1" si="390"/>
        <v>0</v>
      </c>
      <c r="BY264" s="1236">
        <f t="shared" ca="1" si="391"/>
        <v>0</v>
      </c>
      <c r="BZ264" s="1236">
        <f t="shared" ca="1" si="392"/>
        <v>0</v>
      </c>
      <c r="CA264" s="1236">
        <f t="shared" ca="1" si="393"/>
        <v>0</v>
      </c>
      <c r="CB264" s="1236">
        <f t="shared" ca="1" si="394"/>
        <v>0</v>
      </c>
      <c r="CC264" s="1236">
        <f t="shared" ca="1" si="395"/>
        <v>0</v>
      </c>
      <c r="CD264" s="1236">
        <f t="shared" ca="1" si="396"/>
        <v>0</v>
      </c>
      <c r="CE264" s="1236">
        <f t="shared" ca="1" si="397"/>
        <v>0</v>
      </c>
      <c r="CF264" s="1236">
        <f t="shared" ca="1" si="398"/>
        <v>0</v>
      </c>
      <c r="CG264" s="1236">
        <f t="shared" ca="1" si="399"/>
        <v>0</v>
      </c>
      <c r="CH264" s="1236">
        <f t="shared" ca="1" si="400"/>
        <v>0</v>
      </c>
      <c r="CI264" s="1236">
        <f t="shared" ca="1" si="401"/>
        <v>0</v>
      </c>
      <c r="CJ264" s="1236">
        <f t="shared" ca="1" si="402"/>
        <v>0</v>
      </c>
      <c r="CO264" s="1165"/>
      <c r="CP264" s="1165"/>
      <c r="DK264" s="1238"/>
      <c r="DL264" s="1238"/>
      <c r="DM264" s="1238"/>
      <c r="DN264" s="1238"/>
      <c r="DO264" s="1238"/>
      <c r="DP264" s="1238"/>
      <c r="DQ264" s="1238"/>
      <c r="DR264" s="1238"/>
      <c r="DS264" s="1238"/>
      <c r="DT264" s="1238"/>
      <c r="DU264" s="1238"/>
      <c r="DV264" s="1238"/>
      <c r="DW264" s="1238"/>
      <c r="DX264" s="1238"/>
      <c r="DY264" s="1238"/>
      <c r="DZ264" s="1238"/>
      <c r="EA264" s="1238"/>
      <c r="EB264" s="1238"/>
      <c r="EC264" s="1238"/>
      <c r="ED264" s="1238"/>
      <c r="EE264" s="1238"/>
      <c r="EF264" s="1238"/>
      <c r="EG264" s="1238"/>
      <c r="EH264" s="1238"/>
      <c r="EI264" s="1238"/>
      <c r="EJ264" s="1238"/>
      <c r="EK264" s="1238"/>
      <c r="EL264" s="1238"/>
      <c r="EM264" s="1238"/>
      <c r="EN264" s="1238"/>
      <c r="EO264" s="1238"/>
      <c r="EP264" s="1238"/>
      <c r="EQ264" s="1238"/>
      <c r="ER264" s="1238"/>
      <c r="ES264" s="1238"/>
      <c r="ET264" s="1238"/>
    </row>
    <row r="265" spans="1:162">
      <c r="A265" s="1224"/>
      <c r="B265" s="1237" t="s">
        <v>363</v>
      </c>
      <c r="M265" s="1236">
        <f t="shared" ca="1" si="346"/>
        <v>0</v>
      </c>
      <c r="N265" s="1236">
        <f t="shared" ca="1" si="346"/>
        <v>0</v>
      </c>
      <c r="O265" s="1236">
        <f t="shared" ca="1" si="346"/>
        <v>0</v>
      </c>
      <c r="P265" s="1236">
        <f t="shared" ca="1" si="346"/>
        <v>0</v>
      </c>
      <c r="Q265" s="1236">
        <f t="shared" ca="1" si="346"/>
        <v>0</v>
      </c>
      <c r="AG265" s="1236">
        <f t="shared" ca="1" si="347"/>
        <v>0</v>
      </c>
      <c r="AH265" s="1236">
        <f t="shared" ca="1" si="348"/>
        <v>0</v>
      </c>
      <c r="AI265" s="1236">
        <f t="shared" ca="1" si="349"/>
        <v>0</v>
      </c>
      <c r="AJ265" s="1236">
        <f t="shared" ca="1" si="350"/>
        <v>0</v>
      </c>
      <c r="AK265" s="1236">
        <f t="shared" ca="1" si="351"/>
        <v>0</v>
      </c>
      <c r="AL265" s="1236">
        <f t="shared" ca="1" si="352"/>
        <v>0</v>
      </c>
      <c r="AM265" s="1236">
        <f t="shared" ca="1" si="353"/>
        <v>0</v>
      </c>
      <c r="AN265" s="1236">
        <f t="shared" ca="1" si="354"/>
        <v>0</v>
      </c>
      <c r="AO265" s="1236">
        <f t="shared" ca="1" si="355"/>
        <v>0</v>
      </c>
      <c r="AP265" s="1236">
        <f t="shared" ca="1" si="356"/>
        <v>0</v>
      </c>
      <c r="AQ265" s="1236">
        <f t="shared" ca="1" si="357"/>
        <v>0</v>
      </c>
      <c r="AR265" s="1236">
        <f t="shared" ca="1" si="358"/>
        <v>0</v>
      </c>
      <c r="AS265" s="1236">
        <f t="shared" ca="1" si="359"/>
        <v>0</v>
      </c>
      <c r="AT265" s="1236">
        <f t="shared" ca="1" si="360"/>
        <v>0</v>
      </c>
      <c r="AU265" s="1236">
        <f t="shared" ca="1" si="361"/>
        <v>0</v>
      </c>
      <c r="AV265" s="1236">
        <f t="shared" ca="1" si="362"/>
        <v>0</v>
      </c>
      <c r="AW265" s="1236">
        <f t="shared" ca="1" si="363"/>
        <v>0</v>
      </c>
      <c r="AX265" s="1236">
        <f t="shared" ca="1" si="364"/>
        <v>0</v>
      </c>
      <c r="AY265" s="1236">
        <f t="shared" ca="1" si="365"/>
        <v>0</v>
      </c>
      <c r="AZ265" s="1236">
        <f t="shared" ca="1" si="366"/>
        <v>0</v>
      </c>
      <c r="BA265" s="1236">
        <f t="shared" ca="1" si="367"/>
        <v>0</v>
      </c>
      <c r="BB265" s="1236">
        <f t="shared" ca="1" si="368"/>
        <v>0</v>
      </c>
      <c r="BC265" s="1236">
        <f t="shared" ca="1" si="369"/>
        <v>0</v>
      </c>
      <c r="BD265" s="1236">
        <f t="shared" ca="1" si="370"/>
        <v>0</v>
      </c>
      <c r="BE265" s="1236">
        <f t="shared" ca="1" si="371"/>
        <v>0</v>
      </c>
      <c r="BF265" s="1236">
        <f t="shared" ca="1" si="372"/>
        <v>0</v>
      </c>
      <c r="BG265" s="1236">
        <f t="shared" ca="1" si="373"/>
        <v>0</v>
      </c>
      <c r="BH265" s="1236">
        <f t="shared" ca="1" si="374"/>
        <v>0</v>
      </c>
      <c r="BI265" s="1236">
        <f t="shared" ca="1" si="375"/>
        <v>0</v>
      </c>
      <c r="BJ265" s="1236">
        <f t="shared" ca="1" si="376"/>
        <v>0</v>
      </c>
      <c r="BK265" s="1236">
        <f t="shared" ca="1" si="377"/>
        <v>0</v>
      </c>
      <c r="BL265" s="1236">
        <f t="shared" ca="1" si="378"/>
        <v>0</v>
      </c>
      <c r="BM265" s="1236">
        <f t="shared" ca="1" si="379"/>
        <v>0</v>
      </c>
      <c r="BN265" s="1236">
        <f t="shared" ca="1" si="380"/>
        <v>0</v>
      </c>
      <c r="BO265" s="1236">
        <f t="shared" ca="1" si="381"/>
        <v>0</v>
      </c>
      <c r="BP265" s="1236">
        <f t="shared" ca="1" si="382"/>
        <v>0</v>
      </c>
      <c r="BQ265" s="1236">
        <f t="shared" ca="1" si="383"/>
        <v>0</v>
      </c>
      <c r="BR265" s="1236">
        <f t="shared" ca="1" si="384"/>
        <v>0</v>
      </c>
      <c r="BS265" s="1236">
        <f t="shared" ca="1" si="385"/>
        <v>0</v>
      </c>
      <c r="BT265" s="1236">
        <f t="shared" ca="1" si="386"/>
        <v>0</v>
      </c>
      <c r="BU265" s="1236">
        <f t="shared" ca="1" si="387"/>
        <v>0</v>
      </c>
      <c r="BV265" s="1236">
        <f t="shared" ca="1" si="388"/>
        <v>0</v>
      </c>
      <c r="BW265" s="1236">
        <f t="shared" ca="1" si="389"/>
        <v>0</v>
      </c>
      <c r="BX265" s="1236">
        <f t="shared" ca="1" si="390"/>
        <v>0</v>
      </c>
      <c r="BY265" s="1236">
        <f t="shared" ca="1" si="391"/>
        <v>0</v>
      </c>
      <c r="BZ265" s="1236">
        <f t="shared" ca="1" si="392"/>
        <v>0</v>
      </c>
      <c r="CA265" s="1236">
        <f t="shared" ca="1" si="393"/>
        <v>0</v>
      </c>
      <c r="CB265" s="1236">
        <f t="shared" ca="1" si="394"/>
        <v>0</v>
      </c>
      <c r="CC265" s="1236">
        <f t="shared" ca="1" si="395"/>
        <v>0</v>
      </c>
      <c r="CD265" s="1236">
        <f t="shared" ca="1" si="396"/>
        <v>0</v>
      </c>
      <c r="CE265" s="1236">
        <f t="shared" ca="1" si="397"/>
        <v>0</v>
      </c>
      <c r="CF265" s="1236">
        <f t="shared" ca="1" si="398"/>
        <v>0</v>
      </c>
      <c r="CG265" s="1236">
        <f t="shared" ca="1" si="399"/>
        <v>0</v>
      </c>
      <c r="CH265" s="1236">
        <f t="shared" ca="1" si="400"/>
        <v>0</v>
      </c>
      <c r="CI265" s="1236">
        <f t="shared" ca="1" si="401"/>
        <v>0</v>
      </c>
      <c r="CJ265" s="1236">
        <f t="shared" ca="1" si="402"/>
        <v>0</v>
      </c>
      <c r="CO265" s="1165"/>
      <c r="CP265" s="1165"/>
      <c r="DK265" s="1238"/>
      <c r="DL265" s="1238"/>
      <c r="DM265" s="1238"/>
      <c r="DN265" s="1238"/>
      <c r="DO265" s="1238"/>
      <c r="DP265" s="1238"/>
      <c r="DQ265" s="1238"/>
      <c r="DR265" s="1238"/>
      <c r="DS265" s="1238"/>
      <c r="DT265" s="1238"/>
      <c r="DU265" s="1238"/>
      <c r="DV265" s="1238"/>
      <c r="DW265" s="1238"/>
      <c r="DX265" s="1238"/>
      <c r="DY265" s="1238"/>
      <c r="DZ265" s="1238"/>
      <c r="EA265" s="1238"/>
      <c r="EB265" s="1238"/>
      <c r="EC265" s="1238"/>
      <c r="ED265" s="1238"/>
      <c r="EE265" s="1238"/>
      <c r="EF265" s="1238"/>
      <c r="EG265" s="1238"/>
      <c r="EH265" s="1238"/>
      <c r="EI265" s="1238"/>
      <c r="EJ265" s="1238"/>
      <c r="EK265" s="1238"/>
      <c r="EL265" s="1238"/>
      <c r="EM265" s="1238"/>
      <c r="EN265" s="1238"/>
      <c r="EO265" s="1238"/>
      <c r="EP265" s="1238"/>
      <c r="EQ265" s="1238"/>
      <c r="ER265" s="1238"/>
      <c r="ES265" s="1238"/>
      <c r="ET265" s="1238"/>
    </row>
    <row r="266" spans="1:162">
      <c r="A266" s="1203" t="s">
        <v>657</v>
      </c>
      <c r="B266" s="1237" t="s">
        <v>364</v>
      </c>
      <c r="M266" s="1236">
        <f t="shared" ca="1" si="346"/>
        <v>0</v>
      </c>
      <c r="N266" s="1236">
        <f t="shared" ca="1" si="346"/>
        <v>0</v>
      </c>
      <c r="O266" s="1236">
        <f t="shared" ca="1" si="346"/>
        <v>0</v>
      </c>
      <c r="P266" s="1236">
        <f t="shared" ca="1" si="346"/>
        <v>0</v>
      </c>
      <c r="Q266" s="1236">
        <f t="shared" ca="1" si="346"/>
        <v>0</v>
      </c>
      <c r="R266" s="1236">
        <f>INDEX('Basic Data TR'!$A$1:$AMJ$9673,MATCH($A266,'Basic Data TR'!$A$1:$A$9673,0),MATCH(R$6,'Basic Data TR'!$A$1:$AMJ$1,0))</f>
        <v>0</v>
      </c>
      <c r="S266" s="1236">
        <f>INDEX('Basic Data TR'!$A$1:$AMJ$9673,MATCH($A266,'Basic Data TR'!$A$1:$A$9673,0),MATCH(S$6,'Basic Data TR'!$A$1:$AMJ$1,0))</f>
        <v>0</v>
      </c>
      <c r="T266" s="1236">
        <f>INDEX('Basic Data TR'!$A$1:$AMJ$9673,MATCH($A266,'Basic Data TR'!$A$1:$A$9673,0),MATCH(T$6,'Basic Data TR'!$A$1:$AMJ$1,0))</f>
        <v>0</v>
      </c>
      <c r="U266" s="1236">
        <f>INDEX('Basic Data TR'!$A$1:$AMJ$9673,MATCH($A266,'Basic Data TR'!$A$1:$A$9673,0),MATCH(U$6,'Basic Data TR'!$A$1:$AMJ$1,0))</f>
        <v>0</v>
      </c>
      <c r="V266" s="1236">
        <f>INDEX('Basic Data TR'!$A$1:$AMJ$9673,MATCH($A266,'Basic Data TR'!$A$1:$A$9673,0),MATCH(V$6,'Basic Data TR'!$A$1:$AMJ$1,0))</f>
        <v>0</v>
      </c>
      <c r="W266" s="1236">
        <f>INDEX('Basic Data TR'!$A$1:$AMJ$9673,MATCH($A266,'Basic Data TR'!$A$1:$A$9673,0),MATCH(W$6,'Basic Data TR'!$A$1:$AMJ$1,0))</f>
        <v>0</v>
      </c>
      <c r="X266" s="1236">
        <f>INDEX('Basic Data TR'!$A$1:$AMJ$9673,MATCH($A266,'Basic Data TR'!$A$1:$A$9673,0),MATCH(X$6,'Basic Data TR'!$A$1:$AMJ$1,0))</f>
        <v>0</v>
      </c>
      <c r="Y266" s="1236">
        <f>INDEX('Basic Data TR'!$A$1:$AMJ$9673,MATCH($A266,'Basic Data TR'!$A$1:$A$9673,0),MATCH(Y$6,'Basic Data TR'!$A$1:$AMJ$1,0))</f>
        <v>0</v>
      </c>
      <c r="AG266" s="1236">
        <f t="shared" ca="1" si="347"/>
        <v>0</v>
      </c>
      <c r="AH266" s="1236">
        <f t="shared" ca="1" si="348"/>
        <v>0</v>
      </c>
      <c r="AI266" s="1236">
        <f t="shared" ca="1" si="349"/>
        <v>0</v>
      </c>
      <c r="AJ266" s="1236">
        <f t="shared" ca="1" si="350"/>
        <v>0</v>
      </c>
      <c r="AK266" s="1236">
        <f t="shared" ca="1" si="351"/>
        <v>0</v>
      </c>
      <c r="AL266" s="1236">
        <f t="shared" ca="1" si="352"/>
        <v>0</v>
      </c>
      <c r="AM266" s="1236">
        <f t="shared" ca="1" si="353"/>
        <v>0</v>
      </c>
      <c r="AN266" s="1236">
        <f t="shared" ca="1" si="354"/>
        <v>0</v>
      </c>
      <c r="AO266" s="1236">
        <f t="shared" ca="1" si="355"/>
        <v>0</v>
      </c>
      <c r="AP266" s="1236">
        <f t="shared" ca="1" si="356"/>
        <v>0</v>
      </c>
      <c r="AQ266" s="1236">
        <f t="shared" ca="1" si="357"/>
        <v>0</v>
      </c>
      <c r="AR266" s="1236">
        <f t="shared" ca="1" si="358"/>
        <v>0</v>
      </c>
      <c r="AS266" s="1236">
        <f t="shared" ca="1" si="359"/>
        <v>0</v>
      </c>
      <c r="AT266" s="1236">
        <f t="shared" ca="1" si="360"/>
        <v>0</v>
      </c>
      <c r="AU266" s="1236">
        <f t="shared" ca="1" si="361"/>
        <v>0</v>
      </c>
      <c r="AV266" s="1236">
        <f t="shared" ca="1" si="362"/>
        <v>0</v>
      </c>
      <c r="AW266" s="1236">
        <f t="shared" ca="1" si="363"/>
        <v>0</v>
      </c>
      <c r="AX266" s="1236">
        <f t="shared" ca="1" si="364"/>
        <v>0</v>
      </c>
      <c r="AY266" s="1236">
        <f t="shared" ca="1" si="365"/>
        <v>0</v>
      </c>
      <c r="AZ266" s="1236">
        <f t="shared" ca="1" si="366"/>
        <v>0</v>
      </c>
      <c r="BA266" s="1236">
        <f t="shared" ca="1" si="367"/>
        <v>0</v>
      </c>
      <c r="BB266" s="1236">
        <f t="shared" ca="1" si="368"/>
        <v>0</v>
      </c>
      <c r="BC266" s="1236">
        <f t="shared" ca="1" si="369"/>
        <v>0</v>
      </c>
      <c r="BD266" s="1236">
        <f t="shared" ca="1" si="370"/>
        <v>0</v>
      </c>
      <c r="BE266" s="1236">
        <f t="shared" ca="1" si="371"/>
        <v>0</v>
      </c>
      <c r="BF266" s="1236">
        <f t="shared" ca="1" si="372"/>
        <v>0</v>
      </c>
      <c r="BG266" s="1236">
        <f t="shared" ca="1" si="373"/>
        <v>0</v>
      </c>
      <c r="BH266" s="1236">
        <f t="shared" ca="1" si="374"/>
        <v>0</v>
      </c>
      <c r="BI266" s="1236">
        <f t="shared" ca="1" si="375"/>
        <v>0</v>
      </c>
      <c r="BJ266" s="1236">
        <f t="shared" ca="1" si="376"/>
        <v>0</v>
      </c>
      <c r="BK266" s="1236">
        <f t="shared" ca="1" si="377"/>
        <v>0</v>
      </c>
      <c r="BL266" s="1236">
        <f t="shared" ca="1" si="378"/>
        <v>0</v>
      </c>
      <c r="BM266" s="1236">
        <f t="shared" ca="1" si="379"/>
        <v>0</v>
      </c>
      <c r="BN266" s="1236">
        <f t="shared" ca="1" si="380"/>
        <v>0</v>
      </c>
      <c r="BO266" s="1236">
        <f t="shared" ca="1" si="381"/>
        <v>0</v>
      </c>
      <c r="BP266" s="1236">
        <f t="shared" ca="1" si="382"/>
        <v>0</v>
      </c>
      <c r="BQ266" s="1236">
        <f t="shared" ca="1" si="383"/>
        <v>0</v>
      </c>
      <c r="BR266" s="1236">
        <f t="shared" ca="1" si="384"/>
        <v>0</v>
      </c>
      <c r="BS266" s="1236">
        <f t="shared" ca="1" si="385"/>
        <v>0</v>
      </c>
      <c r="BT266" s="1236">
        <f t="shared" ca="1" si="386"/>
        <v>0</v>
      </c>
      <c r="BU266" s="1236">
        <f t="shared" ca="1" si="387"/>
        <v>0</v>
      </c>
      <c r="BV266" s="1236">
        <f t="shared" ca="1" si="388"/>
        <v>0</v>
      </c>
      <c r="BW266" s="1236">
        <f t="shared" ca="1" si="389"/>
        <v>0</v>
      </c>
      <c r="BX266" s="1236">
        <f t="shared" ca="1" si="390"/>
        <v>0</v>
      </c>
      <c r="BY266" s="1236">
        <f t="shared" ca="1" si="391"/>
        <v>0</v>
      </c>
      <c r="BZ266" s="1236">
        <f t="shared" ca="1" si="392"/>
        <v>0</v>
      </c>
      <c r="CA266" s="1236">
        <f t="shared" ca="1" si="393"/>
        <v>0</v>
      </c>
      <c r="CB266" s="1236">
        <f t="shared" ca="1" si="394"/>
        <v>0</v>
      </c>
      <c r="CC266" s="1236">
        <f t="shared" ca="1" si="395"/>
        <v>0</v>
      </c>
      <c r="CD266" s="1236">
        <f t="shared" ca="1" si="396"/>
        <v>0</v>
      </c>
      <c r="CE266" s="1236">
        <f t="shared" ca="1" si="397"/>
        <v>0</v>
      </c>
      <c r="CF266" s="1236">
        <f t="shared" ca="1" si="398"/>
        <v>0</v>
      </c>
      <c r="CG266" s="1236">
        <f t="shared" ca="1" si="399"/>
        <v>0</v>
      </c>
      <c r="CH266" s="1236">
        <f t="shared" ca="1" si="400"/>
        <v>0</v>
      </c>
      <c r="CI266" s="1236">
        <f t="shared" ca="1" si="401"/>
        <v>0</v>
      </c>
      <c r="CJ266" s="1236">
        <f t="shared" ca="1" si="402"/>
        <v>0</v>
      </c>
      <c r="CO266" s="1165"/>
      <c r="CP266" s="1165"/>
      <c r="DK266" s="1238"/>
      <c r="DL266" s="1238"/>
      <c r="DM266" s="1238"/>
      <c r="DN266" s="1238"/>
      <c r="DO266" s="1238"/>
      <c r="DP266" s="1238"/>
      <c r="DQ266" s="1238"/>
      <c r="DR266" s="1238"/>
      <c r="DS266" s="1238"/>
      <c r="DT266" s="1238"/>
      <c r="DU266" s="1238"/>
      <c r="DV266" s="1238"/>
      <c r="DW266" s="1238"/>
      <c r="DX266" s="1238"/>
      <c r="DY266" s="1238"/>
      <c r="DZ266" s="1238"/>
      <c r="EA266" s="1238"/>
      <c r="EB266" s="1238"/>
      <c r="EC266" s="1238"/>
      <c r="ED266" s="1238"/>
      <c r="EE266" s="1238"/>
      <c r="EF266" s="1238"/>
      <c r="EG266" s="1238"/>
      <c r="EH266" s="1238"/>
      <c r="EI266" s="1238"/>
      <c r="EJ266" s="1238"/>
      <c r="EK266" s="1238"/>
      <c r="EL266" s="1238"/>
      <c r="EM266" s="1238"/>
      <c r="EN266" s="1238"/>
      <c r="EO266" s="1238"/>
      <c r="EP266" s="1238"/>
      <c r="EQ266" s="1238"/>
      <c r="ER266" s="1238"/>
      <c r="ES266" s="1238"/>
      <c r="ET266" s="1238"/>
    </row>
    <row r="267" spans="1:162">
      <c r="A267" s="1203" t="s">
        <v>652</v>
      </c>
      <c r="B267" s="1237" t="s">
        <v>367</v>
      </c>
      <c r="M267" s="1236">
        <f t="shared" ca="1" si="346"/>
        <v>0</v>
      </c>
      <c r="N267" s="1236">
        <f t="shared" ca="1" si="346"/>
        <v>0</v>
      </c>
      <c r="O267" s="1236">
        <f t="shared" ca="1" si="346"/>
        <v>0</v>
      </c>
      <c r="P267" s="1236">
        <f t="shared" ca="1" si="346"/>
        <v>0</v>
      </c>
      <c r="Q267" s="1236">
        <f t="shared" ca="1" si="346"/>
        <v>0</v>
      </c>
      <c r="R267" s="1236">
        <f>INDEX('Basic Data TR'!$A$1:$AMJ$9673,MATCH($A267,'Basic Data TR'!$A$1:$A$9673,0),MATCH(R$6,'Basic Data TR'!$A$1:$AMJ$1,0))</f>
        <v>0</v>
      </c>
      <c r="S267" s="1236">
        <f>INDEX('Basic Data TR'!$A$1:$AMJ$9673,MATCH($A267,'Basic Data TR'!$A$1:$A$9673,0),MATCH(S$6,'Basic Data TR'!$A$1:$AMJ$1,0))</f>
        <v>0</v>
      </c>
      <c r="T267" s="1236">
        <f>INDEX('Basic Data TR'!$A$1:$AMJ$9673,MATCH($A267,'Basic Data TR'!$A$1:$A$9673,0),MATCH(T$6,'Basic Data TR'!$A$1:$AMJ$1,0))</f>
        <v>0</v>
      </c>
      <c r="U267" s="1236">
        <f>INDEX('Basic Data TR'!$A$1:$AMJ$9673,MATCH($A267,'Basic Data TR'!$A$1:$A$9673,0),MATCH(U$6,'Basic Data TR'!$A$1:$AMJ$1,0))</f>
        <v>57.743000000000002</v>
      </c>
      <c r="V267" s="1236">
        <f>INDEX('Basic Data TR'!$A$1:$AMJ$9673,MATCH($A267,'Basic Data TR'!$A$1:$A$9673,0),MATCH(V$6,'Basic Data TR'!$A$1:$AMJ$1,0))</f>
        <v>0</v>
      </c>
      <c r="W267" s="1236">
        <f>INDEX('Basic Data TR'!$A$1:$AMJ$9673,MATCH($A267,'Basic Data TR'!$A$1:$A$9673,0),MATCH(W$6,'Basic Data TR'!$A$1:$AMJ$1,0))</f>
        <v>1.204</v>
      </c>
      <c r="X267" s="1236">
        <f>INDEX('Basic Data TR'!$A$1:$AMJ$9673,MATCH($A267,'Basic Data TR'!$A$1:$A$9673,0),MATCH(X$6,'Basic Data TR'!$A$1:$AMJ$1,0))</f>
        <v>5.5229999999999997</v>
      </c>
      <c r="Y267" s="1236">
        <f>INDEX('Basic Data TR'!$A$1:$AMJ$9673,MATCH($A267,'Basic Data TR'!$A$1:$A$9673,0),MATCH(Y$6,'Basic Data TR'!$A$1:$AMJ$1,0))</f>
        <v>1.028</v>
      </c>
      <c r="AG267" s="1236">
        <f t="shared" ca="1" si="347"/>
        <v>0</v>
      </c>
      <c r="AH267" s="1236">
        <f t="shared" ca="1" si="348"/>
        <v>0</v>
      </c>
      <c r="AI267" s="1236">
        <f t="shared" ca="1" si="349"/>
        <v>0</v>
      </c>
      <c r="AJ267" s="1236">
        <f t="shared" ca="1" si="350"/>
        <v>0</v>
      </c>
      <c r="AK267" s="1236">
        <f t="shared" ca="1" si="351"/>
        <v>0</v>
      </c>
      <c r="AL267" s="1236">
        <f t="shared" ca="1" si="352"/>
        <v>0</v>
      </c>
      <c r="AM267" s="1236">
        <f t="shared" ca="1" si="353"/>
        <v>0</v>
      </c>
      <c r="AN267" s="1236">
        <f t="shared" ca="1" si="354"/>
        <v>0</v>
      </c>
      <c r="AO267" s="1236">
        <f t="shared" ca="1" si="355"/>
        <v>0</v>
      </c>
      <c r="AP267" s="1236">
        <f t="shared" ca="1" si="356"/>
        <v>0</v>
      </c>
      <c r="AQ267" s="1236">
        <f t="shared" ca="1" si="357"/>
        <v>0</v>
      </c>
      <c r="AR267" s="1236">
        <f t="shared" ca="1" si="358"/>
        <v>0</v>
      </c>
      <c r="AS267" s="1236">
        <f t="shared" ca="1" si="359"/>
        <v>0</v>
      </c>
      <c r="AT267" s="1236">
        <f t="shared" ca="1" si="360"/>
        <v>0</v>
      </c>
      <c r="AU267" s="1236">
        <f t="shared" ca="1" si="361"/>
        <v>0</v>
      </c>
      <c r="AV267" s="1236">
        <f t="shared" ca="1" si="362"/>
        <v>0</v>
      </c>
      <c r="AW267" s="1236">
        <f t="shared" ca="1" si="363"/>
        <v>0</v>
      </c>
      <c r="AX267" s="1236">
        <f t="shared" ca="1" si="364"/>
        <v>0</v>
      </c>
      <c r="AY267" s="1236">
        <f t="shared" ca="1" si="365"/>
        <v>0</v>
      </c>
      <c r="AZ267" s="1236">
        <f t="shared" ca="1" si="366"/>
        <v>0</v>
      </c>
      <c r="BA267" s="1236">
        <f t="shared" ca="1" si="367"/>
        <v>0</v>
      </c>
      <c r="BB267" s="1236">
        <f t="shared" ca="1" si="368"/>
        <v>0</v>
      </c>
      <c r="BC267" s="1236">
        <f t="shared" ca="1" si="369"/>
        <v>0</v>
      </c>
      <c r="BD267" s="1236">
        <f t="shared" ca="1" si="370"/>
        <v>0</v>
      </c>
      <c r="BE267" s="1236">
        <f t="shared" ca="1" si="371"/>
        <v>0</v>
      </c>
      <c r="BF267" s="1236">
        <f t="shared" ca="1" si="372"/>
        <v>0</v>
      </c>
      <c r="BG267" s="1236">
        <f t="shared" ca="1" si="373"/>
        <v>0</v>
      </c>
      <c r="BH267" s="1236">
        <f t="shared" ca="1" si="374"/>
        <v>0</v>
      </c>
      <c r="BI267" s="1236">
        <f t="shared" ca="1" si="375"/>
        <v>0</v>
      </c>
      <c r="BJ267" s="1236">
        <f t="shared" ca="1" si="376"/>
        <v>0</v>
      </c>
      <c r="BK267" s="1236">
        <f t="shared" ca="1" si="377"/>
        <v>0</v>
      </c>
      <c r="BL267" s="1236">
        <f t="shared" ca="1" si="378"/>
        <v>0</v>
      </c>
      <c r="BM267" s="1236">
        <f t="shared" ca="1" si="379"/>
        <v>0</v>
      </c>
      <c r="BN267" s="1236">
        <f t="shared" ca="1" si="380"/>
        <v>0</v>
      </c>
      <c r="BO267" s="1236">
        <f t="shared" ca="1" si="381"/>
        <v>0</v>
      </c>
      <c r="BP267" s="1236">
        <f t="shared" ca="1" si="382"/>
        <v>0</v>
      </c>
      <c r="BQ267" s="1236">
        <f t="shared" ca="1" si="383"/>
        <v>0</v>
      </c>
      <c r="BR267" s="1236">
        <f t="shared" ca="1" si="384"/>
        <v>0</v>
      </c>
      <c r="BS267" s="1236">
        <f t="shared" ca="1" si="385"/>
        <v>0</v>
      </c>
      <c r="BT267" s="1236">
        <f t="shared" ca="1" si="386"/>
        <v>0</v>
      </c>
      <c r="BU267" s="1236">
        <f t="shared" ca="1" si="387"/>
        <v>0</v>
      </c>
      <c r="BV267" s="1236">
        <f t="shared" ca="1" si="388"/>
        <v>0</v>
      </c>
      <c r="BW267" s="1236">
        <f t="shared" ca="1" si="389"/>
        <v>0</v>
      </c>
      <c r="BX267" s="1236">
        <f t="shared" ca="1" si="390"/>
        <v>0</v>
      </c>
      <c r="BY267" s="1236">
        <f t="shared" ca="1" si="391"/>
        <v>0</v>
      </c>
      <c r="BZ267" s="1236">
        <f t="shared" ca="1" si="392"/>
        <v>0</v>
      </c>
      <c r="CA267" s="1236">
        <f t="shared" ca="1" si="393"/>
        <v>0</v>
      </c>
      <c r="CB267" s="1236">
        <f t="shared" ca="1" si="394"/>
        <v>0</v>
      </c>
      <c r="CC267" s="1236">
        <f t="shared" ca="1" si="395"/>
        <v>0</v>
      </c>
      <c r="CD267" s="1236">
        <f t="shared" ca="1" si="396"/>
        <v>0</v>
      </c>
      <c r="CE267" s="1236">
        <f t="shared" ca="1" si="397"/>
        <v>0</v>
      </c>
      <c r="CF267" s="1236">
        <f t="shared" ca="1" si="398"/>
        <v>0</v>
      </c>
      <c r="CG267" s="1236">
        <f t="shared" ca="1" si="399"/>
        <v>0</v>
      </c>
      <c r="CH267" s="1236">
        <f t="shared" ca="1" si="400"/>
        <v>0</v>
      </c>
      <c r="CI267" s="1236">
        <f t="shared" ca="1" si="401"/>
        <v>0</v>
      </c>
      <c r="CJ267" s="1236">
        <f t="shared" ca="1" si="402"/>
        <v>0</v>
      </c>
      <c r="CO267" s="1165"/>
      <c r="CP267" s="1165"/>
      <c r="DK267" s="1238"/>
      <c r="DL267" s="1238"/>
      <c r="DM267" s="1238"/>
      <c r="DN267" s="1238"/>
      <c r="DO267" s="1238"/>
      <c r="DP267" s="1238"/>
      <c r="DQ267" s="1238"/>
      <c r="DR267" s="1238"/>
      <c r="DS267" s="1238"/>
      <c r="DT267" s="1238"/>
      <c r="DU267" s="1238"/>
      <c r="DV267" s="1238"/>
      <c r="DW267" s="1238"/>
      <c r="DX267" s="1238"/>
      <c r="DY267" s="1238"/>
      <c r="DZ267" s="1238"/>
      <c r="EA267" s="1238"/>
      <c r="EB267" s="1238"/>
      <c r="EC267" s="1238"/>
      <c r="ED267" s="1238"/>
      <c r="EE267" s="1238"/>
      <c r="EF267" s="1238"/>
      <c r="EG267" s="1238"/>
      <c r="EH267" s="1238"/>
      <c r="EI267" s="1238"/>
      <c r="EJ267" s="1238"/>
      <c r="EK267" s="1238"/>
      <c r="EL267" s="1238"/>
      <c r="EM267" s="1238"/>
      <c r="EN267" s="1238"/>
      <c r="EO267" s="1238"/>
      <c r="EP267" s="1238"/>
      <c r="EQ267" s="1238"/>
      <c r="ER267" s="1238"/>
      <c r="ES267" s="1238"/>
      <c r="ET267" s="1238"/>
    </row>
    <row r="268" spans="1:162">
      <c r="A268" s="1224"/>
      <c r="B268" s="1230" t="s">
        <v>397</v>
      </c>
      <c r="C268" s="1231"/>
      <c r="D268" s="1231"/>
      <c r="E268" s="1231"/>
      <c r="F268" s="1231"/>
      <c r="G268" s="1231"/>
      <c r="H268" s="1231"/>
      <c r="I268" s="1231"/>
      <c r="J268" s="1231"/>
      <c r="K268" s="1231"/>
      <c r="L268" s="1231"/>
      <c r="M268" s="1231">
        <f t="shared" ca="1" si="346"/>
        <v>0</v>
      </c>
      <c r="N268" s="1231">
        <f t="shared" ca="1" si="346"/>
        <v>0</v>
      </c>
      <c r="O268" s="1231">
        <f t="shared" ca="1" si="346"/>
        <v>0</v>
      </c>
      <c r="P268" s="1231">
        <f t="shared" ca="1" si="346"/>
        <v>0</v>
      </c>
      <c r="Q268" s="1231">
        <f t="shared" ca="1" si="346"/>
        <v>0</v>
      </c>
      <c r="R268" s="1231">
        <f>SUM(R260:R267)</f>
        <v>37.585419999999999</v>
      </c>
      <c r="S268" s="1231">
        <f t="shared" ref="S268:Z268" si="403">SUM(S260:S267)</f>
        <v>49.514000000000003</v>
      </c>
      <c r="T268" s="1231">
        <f t="shared" si="403"/>
        <v>63.306999999999995</v>
      </c>
      <c r="U268" s="1231">
        <f t="shared" si="403"/>
        <v>158.08699999999999</v>
      </c>
      <c r="V268" s="1231">
        <f t="shared" si="403"/>
        <v>1655.424</v>
      </c>
      <c r="W268" s="1231">
        <f t="shared" si="403"/>
        <v>2872.4790000000003</v>
      </c>
      <c r="X268" s="1231">
        <f t="shared" si="403"/>
        <v>1446.6129999999998</v>
      </c>
      <c r="Y268" s="1231">
        <f t="shared" si="403"/>
        <v>876.75700000000006</v>
      </c>
      <c r="Z268" s="1231">
        <f t="shared" si="403"/>
        <v>3901.9250000000002</v>
      </c>
      <c r="AA268" s="1231"/>
      <c r="AB268" s="1231"/>
      <c r="AC268" s="1231"/>
      <c r="AD268" s="1231"/>
      <c r="AE268" s="1231"/>
      <c r="AF268" s="1231"/>
      <c r="AG268" s="1231">
        <f t="shared" ca="1" si="347"/>
        <v>0</v>
      </c>
      <c r="AH268" s="1231">
        <f t="shared" ca="1" si="348"/>
        <v>0</v>
      </c>
      <c r="AI268" s="1231">
        <f t="shared" ca="1" si="349"/>
        <v>0</v>
      </c>
      <c r="AJ268" s="1231">
        <f t="shared" ca="1" si="350"/>
        <v>0</v>
      </c>
      <c r="AK268" s="1231">
        <f t="shared" ca="1" si="351"/>
        <v>0</v>
      </c>
      <c r="AL268" s="1231">
        <f t="shared" ca="1" si="352"/>
        <v>0</v>
      </c>
      <c r="AM268" s="1231">
        <f t="shared" ca="1" si="353"/>
        <v>0</v>
      </c>
      <c r="AN268" s="1231">
        <f t="shared" ca="1" si="354"/>
        <v>0</v>
      </c>
      <c r="AO268" s="1231">
        <f t="shared" ca="1" si="355"/>
        <v>0</v>
      </c>
      <c r="AP268" s="1231">
        <f t="shared" ca="1" si="356"/>
        <v>0</v>
      </c>
      <c r="AQ268" s="1231">
        <f t="shared" ca="1" si="357"/>
        <v>0</v>
      </c>
      <c r="AR268" s="1231">
        <f t="shared" ca="1" si="358"/>
        <v>0</v>
      </c>
      <c r="AS268" s="1231">
        <f t="shared" ca="1" si="359"/>
        <v>0</v>
      </c>
      <c r="AT268" s="1231">
        <f t="shared" ca="1" si="360"/>
        <v>0</v>
      </c>
      <c r="AU268" s="1231">
        <f t="shared" ca="1" si="361"/>
        <v>0</v>
      </c>
      <c r="AV268" s="1231">
        <f t="shared" ca="1" si="362"/>
        <v>0</v>
      </c>
      <c r="AW268" s="1231">
        <f t="shared" ca="1" si="363"/>
        <v>0</v>
      </c>
      <c r="AX268" s="1231">
        <f t="shared" ca="1" si="364"/>
        <v>0</v>
      </c>
      <c r="AY268" s="1231">
        <f t="shared" ca="1" si="365"/>
        <v>0</v>
      </c>
      <c r="AZ268" s="1231">
        <f t="shared" ca="1" si="366"/>
        <v>0</v>
      </c>
      <c r="BA268" s="1231">
        <f t="shared" ca="1" si="367"/>
        <v>0</v>
      </c>
      <c r="BB268" s="1231">
        <f t="shared" ca="1" si="368"/>
        <v>0</v>
      </c>
      <c r="BC268" s="1231">
        <f t="shared" ca="1" si="369"/>
        <v>0</v>
      </c>
      <c r="BD268" s="1231">
        <f t="shared" ca="1" si="370"/>
        <v>0</v>
      </c>
      <c r="BE268" s="1231">
        <f t="shared" ca="1" si="371"/>
        <v>0</v>
      </c>
      <c r="BF268" s="1231">
        <f t="shared" ca="1" si="372"/>
        <v>0</v>
      </c>
      <c r="BG268" s="1231">
        <f t="shared" ca="1" si="373"/>
        <v>0</v>
      </c>
      <c r="BH268" s="1231">
        <f t="shared" ca="1" si="374"/>
        <v>0</v>
      </c>
      <c r="BI268" s="1231">
        <f t="shared" ca="1" si="375"/>
        <v>0</v>
      </c>
      <c r="BJ268" s="1231">
        <f t="shared" ca="1" si="376"/>
        <v>0</v>
      </c>
      <c r="BK268" s="1231">
        <f t="shared" ca="1" si="377"/>
        <v>0</v>
      </c>
      <c r="BL268" s="1231">
        <f t="shared" ca="1" si="378"/>
        <v>0</v>
      </c>
      <c r="BM268" s="1231">
        <f t="shared" ca="1" si="379"/>
        <v>0</v>
      </c>
      <c r="BN268" s="1231">
        <f t="shared" ca="1" si="380"/>
        <v>0</v>
      </c>
      <c r="BO268" s="1231">
        <f t="shared" ca="1" si="381"/>
        <v>0</v>
      </c>
      <c r="BP268" s="1231">
        <f t="shared" ca="1" si="382"/>
        <v>0</v>
      </c>
      <c r="BQ268" s="1231">
        <f t="shared" ca="1" si="383"/>
        <v>0</v>
      </c>
      <c r="BR268" s="1231">
        <f t="shared" ca="1" si="384"/>
        <v>0</v>
      </c>
      <c r="BS268" s="1231">
        <f t="shared" ca="1" si="385"/>
        <v>0</v>
      </c>
      <c r="BT268" s="1231">
        <f t="shared" ca="1" si="386"/>
        <v>0</v>
      </c>
      <c r="BU268" s="1231">
        <f t="shared" ca="1" si="387"/>
        <v>0</v>
      </c>
      <c r="BV268" s="1231">
        <f t="shared" ca="1" si="388"/>
        <v>0</v>
      </c>
      <c r="BW268" s="1231">
        <f t="shared" ca="1" si="389"/>
        <v>0</v>
      </c>
      <c r="BX268" s="1231">
        <f t="shared" ca="1" si="390"/>
        <v>0</v>
      </c>
      <c r="BY268" s="1231">
        <f t="shared" ca="1" si="391"/>
        <v>0</v>
      </c>
      <c r="BZ268" s="1231">
        <f t="shared" ca="1" si="392"/>
        <v>0</v>
      </c>
      <c r="CA268" s="1231">
        <f t="shared" ca="1" si="393"/>
        <v>0</v>
      </c>
      <c r="CB268" s="1231">
        <f t="shared" ca="1" si="394"/>
        <v>0</v>
      </c>
      <c r="CC268" s="1231">
        <f t="shared" ca="1" si="395"/>
        <v>0</v>
      </c>
      <c r="CD268" s="1231">
        <f t="shared" ca="1" si="396"/>
        <v>0</v>
      </c>
      <c r="CE268" s="1231">
        <f t="shared" ca="1" si="397"/>
        <v>0</v>
      </c>
      <c r="CF268" s="1231">
        <f t="shared" ca="1" si="398"/>
        <v>0</v>
      </c>
      <c r="CG268" s="1231">
        <f t="shared" ca="1" si="399"/>
        <v>0</v>
      </c>
      <c r="CH268" s="1231">
        <f t="shared" ca="1" si="400"/>
        <v>0</v>
      </c>
      <c r="CI268" s="1231">
        <f t="shared" ca="1" si="401"/>
        <v>0</v>
      </c>
      <c r="CJ268" s="1231">
        <f t="shared" ca="1" si="402"/>
        <v>0</v>
      </c>
      <c r="CK268" s="1231"/>
      <c r="CL268" s="1231"/>
      <c r="CM268" s="1231"/>
      <c r="CN268" s="1231"/>
      <c r="CO268" s="1165"/>
      <c r="CP268" s="1165"/>
      <c r="CQ268" s="1231"/>
      <c r="CR268" s="1231"/>
      <c r="CS268" s="1231"/>
      <c r="CT268" s="1231"/>
      <c r="CU268" s="1231"/>
      <c r="CV268" s="1231"/>
      <c r="CW268" s="1231"/>
      <c r="CX268" s="1231"/>
      <c r="CY268" s="1231"/>
      <c r="CZ268" s="1231"/>
      <c r="DA268" s="1231"/>
      <c r="DB268" s="1231"/>
      <c r="DC268" s="1231"/>
      <c r="DD268" s="1231"/>
      <c r="DE268" s="1231"/>
      <c r="DF268" s="1231"/>
      <c r="DG268" s="1231"/>
      <c r="DH268" s="1231"/>
      <c r="DI268" s="1231"/>
      <c r="DJ268" s="1231"/>
      <c r="DK268" s="1231"/>
      <c r="DL268" s="1231"/>
      <c r="DM268" s="1231"/>
      <c r="DN268" s="1231"/>
      <c r="DO268" s="1231"/>
      <c r="DP268" s="1231"/>
      <c r="DQ268" s="1231"/>
      <c r="DR268" s="1231"/>
      <c r="DS268" s="1231"/>
      <c r="DT268" s="1231"/>
      <c r="DU268" s="1231"/>
      <c r="DV268" s="1231"/>
      <c r="DW268" s="1231"/>
      <c r="DX268" s="1231"/>
      <c r="DY268" s="1231"/>
      <c r="DZ268" s="1231"/>
      <c r="EA268" s="1231"/>
      <c r="EB268" s="1231"/>
      <c r="EC268" s="1231"/>
      <c r="ED268" s="1231"/>
      <c r="EE268" s="1231"/>
      <c r="EF268" s="1231"/>
      <c r="EG268" s="1231"/>
      <c r="EH268" s="1231"/>
      <c r="EI268" s="1231"/>
      <c r="EJ268" s="1231"/>
      <c r="EK268" s="1231"/>
      <c r="EL268" s="1231"/>
      <c r="EM268" s="1231"/>
      <c r="EN268" s="1231"/>
      <c r="EO268" s="1231"/>
      <c r="EP268" s="1231"/>
      <c r="EQ268" s="1231"/>
      <c r="ER268" s="1231"/>
      <c r="ES268" s="1231"/>
      <c r="ET268" s="1231"/>
      <c r="EU268" s="1231"/>
      <c r="EV268" s="1231"/>
      <c r="EW268" s="1231"/>
      <c r="EX268" s="1231"/>
      <c r="EY268" s="1231"/>
      <c r="EZ268" s="1231"/>
      <c r="FA268" s="1231"/>
      <c r="FB268" s="1231"/>
      <c r="FC268" s="1231"/>
      <c r="FD268" s="1231"/>
      <c r="FE268" s="1231"/>
      <c r="FF268" s="1231"/>
    </row>
    <row r="269" spans="1:162">
      <c r="A269" s="1224"/>
      <c r="CO269" s="1165"/>
      <c r="CP269" s="1165"/>
    </row>
    <row r="270" spans="1:162">
      <c r="A270" s="1224"/>
      <c r="B270" s="1230" t="s">
        <v>399</v>
      </c>
      <c r="C270" s="1231"/>
      <c r="D270" s="1231"/>
      <c r="E270" s="1231"/>
      <c r="F270" s="1231"/>
      <c r="G270" s="1231"/>
      <c r="H270" s="1231"/>
      <c r="I270" s="1231"/>
      <c r="J270" s="1231"/>
      <c r="K270" s="1231"/>
      <c r="L270" s="1231"/>
      <c r="M270" s="1231">
        <f ca="1">OFFSET($CQ270,0,M$7)+OFFSET($CR270,0,M$7)+OFFSET($CS270,0,M$7)+OFFSET($CT270,0,M$7)</f>
        <v>0</v>
      </c>
      <c r="N270" s="1231">
        <f ca="1">OFFSET($CQ270,0,N$7)+OFFSET($CR270,0,N$7)+OFFSET($CS270,0,N$7)+OFFSET($CT270,0,N$7)</f>
        <v>0</v>
      </c>
      <c r="O270" s="1231">
        <f ca="1">OFFSET($CQ270,0,O$7)+OFFSET($CR270,0,O$7)+OFFSET($CS270,0,O$7)+OFFSET($CT270,0,O$7)</f>
        <v>0</v>
      </c>
      <c r="P270" s="1231">
        <f ca="1">OFFSET($CQ270,0,P$7)+OFFSET($CR270,0,P$7)+OFFSET($CS270,0,P$7)+OFFSET($CT270,0,P$7)</f>
        <v>0</v>
      </c>
      <c r="Q270" s="1231">
        <f ca="1">OFFSET($CQ270,0,Q$7)+OFFSET($CR270,0,Q$7)+OFFSET($CS270,0,Q$7)+OFFSET($CT270,0,Q$7)</f>
        <v>0</v>
      </c>
      <c r="R270" s="1231">
        <f t="shared" ref="R270:Z270" si="404">R272-R253-R258-R268</f>
        <v>-105.71767000000003</v>
      </c>
      <c r="S270" s="1231">
        <f t="shared" si="404"/>
        <v>19.768999999999984</v>
      </c>
      <c r="T270" s="1231">
        <f t="shared" si="404"/>
        <v>-141.65500000000003</v>
      </c>
      <c r="U270" s="1231">
        <f t="shared" si="404"/>
        <v>-49.93100000000004</v>
      </c>
      <c r="V270" s="1231">
        <f t="shared" si="404"/>
        <v>-98.81899999999996</v>
      </c>
      <c r="W270" s="1231">
        <f t="shared" si="404"/>
        <v>142.10999999999967</v>
      </c>
      <c r="X270" s="1231">
        <f t="shared" si="404"/>
        <v>-127.82699999999977</v>
      </c>
      <c r="Y270" s="1231">
        <f t="shared" si="404"/>
        <v>45.5649999999996</v>
      </c>
      <c r="Z270" s="1231">
        <f t="shared" si="404"/>
        <v>-8.2290000000002692</v>
      </c>
      <c r="AA270" s="1231"/>
      <c r="AB270" s="1231"/>
      <c r="AC270" s="1231"/>
      <c r="AD270" s="1231"/>
      <c r="AE270" s="1231"/>
      <c r="AF270" s="1231"/>
      <c r="AG270" s="1231">
        <f ca="1">OFFSET($CQ270,0,AG$7)</f>
        <v>0</v>
      </c>
      <c r="AH270" s="1231">
        <f ca="1">OFFSET($CQ270,0,AH$7)+OFFSET($CR270,0,AH$7)</f>
        <v>0</v>
      </c>
      <c r="AI270" s="1231">
        <f ca="1">OFFSET($CQ270,0,AI$7)+OFFSET($CR270,0,AI$7)+OFFSET($CS270,0,AI$7)</f>
        <v>0</v>
      </c>
      <c r="AJ270" s="1231">
        <f ca="1">OFFSET($CQ270,0,AJ$7)+OFFSET($CR270,0,AJ$7)+OFFSET($CS270,0,AJ$7)+OFFSET($CT270,0,AJ$7)</f>
        <v>0</v>
      </c>
      <c r="AK270" s="1231">
        <f ca="1">OFFSET($CQ270,0,AK$7)</f>
        <v>0</v>
      </c>
      <c r="AL270" s="1231">
        <f ca="1">OFFSET($CQ270,0,AL$7)+OFFSET($CR270,0,AL$7)</f>
        <v>0</v>
      </c>
      <c r="AM270" s="1231">
        <f ca="1">OFFSET($CQ270,0,AM$7)+OFFSET($CR270,0,AM$7)+OFFSET($CS270,0,AM$7)</f>
        <v>0</v>
      </c>
      <c r="AN270" s="1231">
        <f ca="1">OFFSET($CQ270,0,AN$7)+OFFSET($CR270,0,AN$7)+OFFSET($CS270,0,AN$7)+OFFSET($CT270,0,AN$7)</f>
        <v>0</v>
      </c>
      <c r="AO270" s="1231">
        <f ca="1">OFFSET($CQ270,0,AO$7)</f>
        <v>0</v>
      </c>
      <c r="AP270" s="1231">
        <f ca="1">OFFSET($CQ270,0,AP$7)+OFFSET($CR270,0,AP$7)</f>
        <v>0</v>
      </c>
      <c r="AQ270" s="1231">
        <f ca="1">OFFSET($CQ270,0,AQ$7)+OFFSET($CR270,0,AQ$7)+OFFSET($CS270,0,AQ$7)</f>
        <v>0</v>
      </c>
      <c r="AR270" s="1231">
        <f ca="1">OFFSET($CQ270,0,AR$7)+OFFSET($CR270,0,AR$7)+OFFSET($CS270,0,AR$7)+OFFSET($CT270,0,AR$7)</f>
        <v>0</v>
      </c>
      <c r="AS270" s="1231">
        <f ca="1">OFFSET($CQ270,0,AS$7)</f>
        <v>0</v>
      </c>
      <c r="AT270" s="1231">
        <f ca="1">OFFSET($CQ270,0,AT$7)+OFFSET($CR270,0,AT$7)</f>
        <v>0</v>
      </c>
      <c r="AU270" s="1231">
        <f ca="1">OFFSET($CQ270,0,AU$7)+OFFSET($CR270,0,AU$7)+OFFSET($CS270,0,AU$7)</f>
        <v>0</v>
      </c>
      <c r="AV270" s="1231">
        <f ca="1">OFFSET($CQ270,0,AV$7)+OFFSET($CR270,0,AV$7)+OFFSET($CS270,0,AV$7)+OFFSET($CT270,0,AV$7)</f>
        <v>0</v>
      </c>
      <c r="AW270" s="1231">
        <f ca="1">OFFSET($CQ270,0,AW$7)</f>
        <v>0</v>
      </c>
      <c r="AX270" s="1231">
        <f ca="1">OFFSET($CQ270,0,AX$7)+OFFSET($CR270,0,AX$7)</f>
        <v>0</v>
      </c>
      <c r="AY270" s="1231">
        <f ca="1">OFFSET($CQ270,0,AY$7)+OFFSET($CR270,0,AY$7)+OFFSET($CS270,0,AY$7)</f>
        <v>0</v>
      </c>
      <c r="AZ270" s="1231">
        <f ca="1">OFFSET($CQ270,0,AZ$7)+OFFSET($CR270,0,AZ$7)+OFFSET($CS270,0,AZ$7)+OFFSET($CT270,0,AZ$7)</f>
        <v>0</v>
      </c>
      <c r="BA270" s="1231">
        <f ca="1">OFFSET($CQ270,0,BA$7)</f>
        <v>0</v>
      </c>
      <c r="BB270" s="1231">
        <f ca="1">OFFSET($CQ270,0,BB$7)+OFFSET($CR270,0,BB$7)</f>
        <v>0</v>
      </c>
      <c r="BC270" s="1231">
        <f ca="1">OFFSET($CQ270,0,BC$7)+OFFSET($CR270,0,BC$7)+OFFSET($CS270,0,BC$7)</f>
        <v>0</v>
      </c>
      <c r="BD270" s="1231">
        <f ca="1">OFFSET($CQ270,0,BD$7)+OFFSET($CR270,0,BD$7)+OFFSET($CS270,0,BD$7)+OFFSET($CT270,0,BD$7)</f>
        <v>0</v>
      </c>
      <c r="BE270" s="1231">
        <f ca="1">OFFSET($CQ270,0,BE$7)</f>
        <v>0</v>
      </c>
      <c r="BF270" s="1231">
        <f ca="1">OFFSET($CQ270,0,BF$7)+OFFSET($CR270,0,BF$7)</f>
        <v>0</v>
      </c>
      <c r="BG270" s="1231">
        <f ca="1">OFFSET($CQ270,0,BG$7)+OFFSET($CR270,0,BG$7)+OFFSET($CS270,0,BG$7)</f>
        <v>0</v>
      </c>
      <c r="BH270" s="1231">
        <f ca="1">OFFSET($CQ270,0,BH$7)+OFFSET($CR270,0,BH$7)+OFFSET($CS270,0,BH$7)+OFFSET($CT270,0,BH$7)</f>
        <v>0</v>
      </c>
      <c r="BI270" s="1231">
        <f ca="1">OFFSET($CQ270,0,BI$7)</f>
        <v>0</v>
      </c>
      <c r="BJ270" s="1231">
        <f ca="1">OFFSET($CQ270,0,BJ$7)+OFFSET($CR270,0,BJ$7)</f>
        <v>0</v>
      </c>
      <c r="BK270" s="1231">
        <f ca="1">OFFSET($CQ270,0,BK$7)+OFFSET($CR270,0,BK$7)+OFFSET($CS270,0,BK$7)</f>
        <v>0</v>
      </c>
      <c r="BL270" s="1231">
        <f ca="1">OFFSET($CQ270,0,BL$7)+OFFSET($CR270,0,BL$7)+OFFSET($CS270,0,BL$7)+OFFSET($CT270,0,BL$7)</f>
        <v>0</v>
      </c>
      <c r="BM270" s="1231">
        <f ca="1">OFFSET($CQ270,0,BM$7)</f>
        <v>0</v>
      </c>
      <c r="BN270" s="1231">
        <f ca="1">OFFSET($CQ270,0,BN$7)+OFFSET($CR270,0,BN$7)</f>
        <v>0</v>
      </c>
      <c r="BO270" s="1231">
        <f ca="1">OFFSET($CQ270,0,BO$7)+OFFSET($CR270,0,BO$7)+OFFSET($CS270,0,BO$7)</f>
        <v>0</v>
      </c>
      <c r="BP270" s="1231">
        <f ca="1">OFFSET($CQ270,0,BP$7)+OFFSET($CR270,0,BP$7)+OFFSET($CS270,0,BP$7)+OFFSET($CT270,0,BP$7)</f>
        <v>0</v>
      </c>
      <c r="BQ270" s="1231">
        <f ca="1">OFFSET($CQ270,0,BQ$7)</f>
        <v>0</v>
      </c>
      <c r="BR270" s="1231">
        <f ca="1">OFFSET($CQ270,0,BR$7)+OFFSET($CR270,0,BR$7)</f>
        <v>0</v>
      </c>
      <c r="BS270" s="1231">
        <f ca="1">OFFSET($CQ270,0,BS$7)+OFFSET($CR270,0,BS$7)+OFFSET($CS270,0,BS$7)</f>
        <v>0</v>
      </c>
      <c r="BT270" s="1231">
        <f ca="1">OFFSET($CQ270,0,BT$7)+OFFSET($CR270,0,BT$7)+OFFSET($CS270,0,BT$7)+OFFSET($CT270,0,BT$7)</f>
        <v>0</v>
      </c>
      <c r="BU270" s="1231">
        <f ca="1">OFFSET($CQ270,0,BU$7)</f>
        <v>0</v>
      </c>
      <c r="BV270" s="1231">
        <f ca="1">OFFSET($CQ270,0,BV$7)+OFFSET($CR270,0,BV$7)</f>
        <v>0</v>
      </c>
      <c r="BW270" s="1231">
        <f ca="1">OFFSET($CQ270,0,BW$7)+OFFSET($CR270,0,BW$7)+OFFSET($CS270,0,BW$7)</f>
        <v>0</v>
      </c>
      <c r="BX270" s="1231">
        <f ca="1">OFFSET($CQ270,0,BX$7)+OFFSET($CR270,0,BX$7)+OFFSET($CS270,0,BX$7)+OFFSET($CT270,0,BX$7)</f>
        <v>0</v>
      </c>
      <c r="BY270" s="1231">
        <f ca="1">OFFSET($CQ270,0,BY$7)</f>
        <v>0</v>
      </c>
      <c r="BZ270" s="1231">
        <f ca="1">OFFSET($CQ270,0,BZ$7)+OFFSET($CR270,0,BZ$7)</f>
        <v>0</v>
      </c>
      <c r="CA270" s="1231">
        <f ca="1">OFFSET($CQ270,0,CA$7)+OFFSET($CR270,0,CA$7)+OFFSET($CS270,0,CA$7)</f>
        <v>0</v>
      </c>
      <c r="CB270" s="1231">
        <f ca="1">OFFSET($CQ270,0,CB$7)+OFFSET($CR270,0,CB$7)+OFFSET($CS270,0,CB$7)+OFFSET($CT270,0,CB$7)</f>
        <v>0</v>
      </c>
      <c r="CC270" s="1231">
        <f ca="1">OFFSET($CQ270,0,CC$7)</f>
        <v>0</v>
      </c>
      <c r="CD270" s="1231">
        <f ca="1">OFFSET($CQ270,0,CD$7)+OFFSET($CR270,0,CD$7)</f>
        <v>0</v>
      </c>
      <c r="CE270" s="1231">
        <f ca="1">OFFSET($CQ270,0,CE$7)+OFFSET($CR270,0,CE$7)+OFFSET($CS270,0,CE$7)</f>
        <v>0</v>
      </c>
      <c r="CF270" s="1231">
        <f ca="1">OFFSET($CQ270,0,CF$7)+OFFSET($CR270,0,CF$7)+OFFSET($CS270,0,CF$7)+OFFSET($CT270,0,CF$7)</f>
        <v>0</v>
      </c>
      <c r="CG270" s="1231">
        <f ca="1">OFFSET($CQ270,0,CG$7)</f>
        <v>0</v>
      </c>
      <c r="CH270" s="1231">
        <f ca="1">OFFSET($CQ270,0,CH$7)+OFFSET($CR270,0,CH$7)</f>
        <v>0</v>
      </c>
      <c r="CI270" s="1231">
        <f ca="1">OFFSET($CQ270,0,CI$7)+OFFSET($CR270,0,CI$7)+OFFSET($CS270,0,CI$7)</f>
        <v>0</v>
      </c>
      <c r="CJ270" s="1231">
        <f ca="1">OFFSET($CQ270,0,CJ$7)+OFFSET($CR270,0,CJ$7)+OFFSET($CS270,0,CJ$7)+OFFSET($CT270,0,CJ$7)</f>
        <v>0</v>
      </c>
      <c r="CK270" s="1231"/>
      <c r="CL270" s="1231"/>
      <c r="CM270" s="1231"/>
      <c r="CN270" s="1231"/>
      <c r="CO270" s="1165"/>
      <c r="CP270" s="1165"/>
      <c r="CQ270" s="1231"/>
      <c r="CR270" s="1231"/>
      <c r="CS270" s="1231"/>
      <c r="CT270" s="1231"/>
      <c r="CU270" s="1231"/>
      <c r="CV270" s="1231"/>
      <c r="CW270" s="1231"/>
      <c r="CX270" s="1231"/>
      <c r="CY270" s="1231"/>
      <c r="CZ270" s="1231"/>
      <c r="DA270" s="1231"/>
      <c r="DB270" s="1231"/>
      <c r="DC270" s="1231"/>
      <c r="DD270" s="1231"/>
      <c r="DE270" s="1231"/>
      <c r="DF270" s="1231"/>
      <c r="DG270" s="1231"/>
      <c r="DH270" s="1231"/>
      <c r="DI270" s="1231"/>
      <c r="DJ270" s="1231"/>
      <c r="DK270" s="1231"/>
      <c r="DL270" s="1231"/>
      <c r="DM270" s="1231"/>
      <c r="DN270" s="1231"/>
      <c r="DO270" s="1231"/>
      <c r="DP270" s="1231"/>
      <c r="DQ270" s="1231"/>
      <c r="DR270" s="1231"/>
      <c r="DS270" s="1231"/>
      <c r="DT270" s="1231"/>
      <c r="DU270" s="1231"/>
      <c r="DV270" s="1231"/>
      <c r="DW270" s="1231"/>
      <c r="DX270" s="1231"/>
      <c r="DY270" s="1231"/>
      <c r="DZ270" s="1231"/>
      <c r="EA270" s="1231"/>
      <c r="EB270" s="1231"/>
      <c r="EC270" s="1231"/>
      <c r="ED270" s="1231"/>
      <c r="EE270" s="1231"/>
      <c r="EF270" s="1231"/>
      <c r="EG270" s="1231"/>
      <c r="EH270" s="1231"/>
      <c r="EI270" s="1231"/>
      <c r="EJ270" s="1231"/>
      <c r="EK270" s="1231"/>
      <c r="EL270" s="1231"/>
      <c r="EM270" s="1231"/>
      <c r="EN270" s="1231"/>
      <c r="EO270" s="1231"/>
      <c r="EP270" s="1231"/>
      <c r="EQ270" s="1231"/>
      <c r="ER270" s="1231"/>
      <c r="ES270" s="1231"/>
      <c r="ET270" s="1231"/>
      <c r="EU270" s="1231"/>
      <c r="EV270" s="1231"/>
      <c r="EW270" s="1231"/>
      <c r="EX270" s="1231"/>
      <c r="EY270" s="1231"/>
      <c r="EZ270" s="1231"/>
      <c r="FA270" s="1231"/>
      <c r="FB270" s="1231"/>
      <c r="FC270" s="1231"/>
      <c r="FD270" s="1231"/>
      <c r="FE270" s="1231"/>
      <c r="FF270" s="1231"/>
    </row>
    <row r="271" spans="1:162">
      <c r="A271" s="1224"/>
      <c r="CO271" s="1165"/>
      <c r="CP271" s="1165"/>
    </row>
    <row r="272" spans="1:162">
      <c r="A272" s="1206" t="s">
        <v>661</v>
      </c>
      <c r="B272" s="1230" t="s">
        <v>128</v>
      </c>
      <c r="C272" s="1231"/>
      <c r="D272" s="1231"/>
      <c r="E272" s="1231"/>
      <c r="F272" s="1231"/>
      <c r="G272" s="1231"/>
      <c r="H272" s="1231"/>
      <c r="I272" s="1231"/>
      <c r="J272" s="1231"/>
      <c r="K272" s="1231"/>
      <c r="L272" s="1231"/>
      <c r="M272" s="1231">
        <f ca="1">OFFSET($CQ272,0,M$7)+OFFSET($CR272,0,M$7)+OFFSET($CS272,0,M$7)+OFFSET($CT272,0,M$7)</f>
        <v>0</v>
      </c>
      <c r="N272" s="1231">
        <f ca="1">OFFSET($CQ272,0,N$7)+OFFSET($CR272,0,N$7)+OFFSET($CS272,0,N$7)+OFFSET($CT272,0,N$7)</f>
        <v>0</v>
      </c>
      <c r="O272" s="1231">
        <f ca="1">OFFSET($CQ272,0,O$7)+OFFSET($CR272,0,O$7)+OFFSET($CS272,0,O$7)+OFFSET($CT272,0,O$7)</f>
        <v>0</v>
      </c>
      <c r="P272" s="1231">
        <f ca="1">OFFSET($CQ272,0,P$7)+OFFSET($CR272,0,P$7)+OFFSET($CS272,0,P$7)+OFFSET($CT272,0,P$7)</f>
        <v>0</v>
      </c>
      <c r="Q272" s="1231">
        <f ca="1">OFFSET($CQ272,0,Q$7)+OFFSET($CR272,0,Q$7)+OFFSET($CS272,0,Q$7)+OFFSET($CT272,0,Q$7)</f>
        <v>0</v>
      </c>
      <c r="R272" s="1231">
        <f>INDEX('Basic Data TR'!$A$1:$AMJ$9673,MATCH($A272,'Basic Data TR'!$A$1:$A$9673,0),MATCH(R$6,'Basic Data TR'!$A$1:$AMJ$1,0))</f>
        <v>-583.71312</v>
      </c>
      <c r="S272" s="1231">
        <f>INDEX('Basic Data TR'!$A$1:$AMJ$9673,MATCH($A272,'Basic Data TR'!$A$1:$A$9673,0),MATCH(S$6,'Basic Data TR'!$A$1:$AMJ$1,0))</f>
        <v>-903.64099999999996</v>
      </c>
      <c r="T272" s="1231">
        <f>INDEX('Basic Data TR'!$A$1:$AMJ$9673,MATCH($A272,'Basic Data TR'!$A$1:$A$9673,0),MATCH(T$6,'Basic Data TR'!$A$1:$AMJ$1,0))</f>
        <v>-522.27700000000004</v>
      </c>
      <c r="U272" s="1231">
        <f>INDEX('Basic Data TR'!$A$1:$AMJ$9673,MATCH($A272,'Basic Data TR'!$A$1:$A$9673,0),MATCH(U$6,'Basic Data TR'!$A$1:$AMJ$1,0))</f>
        <v>-807.46699999999998</v>
      </c>
      <c r="V272" s="1231">
        <f>INDEX('Basic Data TR'!$A$1:$AMJ$9673,MATCH($A272,'Basic Data TR'!$A$1:$A$9673,0),MATCH(V$6,'Basic Data TR'!$A$1:$AMJ$1,0))</f>
        <v>-1144.123</v>
      </c>
      <c r="W272" s="1231">
        <f>INDEX('Basic Data TR'!$A$1:$AMJ$9673,MATCH($A272,'Basic Data TR'!$A$1:$A$9673,0),MATCH(W$6,'Basic Data TR'!$A$1:$AMJ$1,0))</f>
        <v>-789.55600000000004</v>
      </c>
      <c r="X272" s="1231">
        <f>INDEX('Basic Data TR'!$A$1:$AMJ$9673,MATCH($A272,'Basic Data TR'!$A$1:$A$9673,0),MATCH(X$6,'Basic Data TR'!$A$1:$AMJ$1,0))</f>
        <v>-2443.3330000000001</v>
      </c>
      <c r="Y272" s="1231">
        <f>INDEX('Basic Data TR'!$A$1:$AMJ$9673,MATCH($A272,'Basic Data TR'!$A$1:$A$9673,0),MATCH(Y$6,'Basic Data TR'!$A$1:$AMJ$1,0))</f>
        <v>-2662.1390000000001</v>
      </c>
      <c r="Z272" s="1231">
        <v>-3197.261</v>
      </c>
      <c r="AA272" s="1231"/>
      <c r="AB272" s="1231"/>
      <c r="AC272" s="1231"/>
      <c r="AD272" s="1231"/>
      <c r="AE272" s="1231"/>
      <c r="AF272" s="1231"/>
      <c r="AG272" s="1231">
        <f ca="1">OFFSET($CQ272,0,AG$7)</f>
        <v>0</v>
      </c>
      <c r="AH272" s="1231">
        <f ca="1">OFFSET($CQ272,0,AH$7)+OFFSET($CR272,0,AH$7)</f>
        <v>0</v>
      </c>
      <c r="AI272" s="1231">
        <f ca="1">OFFSET($CQ272,0,AI$7)+OFFSET($CR272,0,AI$7)+OFFSET($CS272,0,AI$7)</f>
        <v>0</v>
      </c>
      <c r="AJ272" s="1231">
        <f ca="1">OFFSET($CQ272,0,AJ$7)+OFFSET($CR272,0,AJ$7)+OFFSET($CS272,0,AJ$7)+OFFSET($CT272,0,AJ$7)</f>
        <v>0</v>
      </c>
      <c r="AK272" s="1231">
        <f ca="1">OFFSET($CQ272,0,AK$7)</f>
        <v>0</v>
      </c>
      <c r="AL272" s="1231">
        <f ca="1">OFFSET($CQ272,0,AL$7)+OFFSET($CR272,0,AL$7)</f>
        <v>0</v>
      </c>
      <c r="AM272" s="1231">
        <f ca="1">OFFSET($CQ272,0,AM$7)+OFFSET($CR272,0,AM$7)+OFFSET($CS272,0,AM$7)</f>
        <v>0</v>
      </c>
      <c r="AN272" s="1231">
        <f ca="1">OFFSET($CQ272,0,AN$7)+OFFSET($CR272,0,AN$7)+OFFSET($CS272,0,AN$7)+OFFSET($CT272,0,AN$7)</f>
        <v>0</v>
      </c>
      <c r="AO272" s="1231">
        <f ca="1">OFFSET($CQ272,0,AO$7)</f>
        <v>0</v>
      </c>
      <c r="AP272" s="1231">
        <f ca="1">OFFSET($CQ272,0,AP$7)+OFFSET($CR272,0,AP$7)</f>
        <v>0</v>
      </c>
      <c r="AQ272" s="1231">
        <f ca="1">OFFSET($CQ272,0,AQ$7)+OFFSET($CR272,0,AQ$7)+OFFSET($CS272,0,AQ$7)</f>
        <v>0</v>
      </c>
      <c r="AR272" s="1231">
        <f ca="1">OFFSET($CQ272,0,AR$7)+OFFSET($CR272,0,AR$7)+OFFSET($CS272,0,AR$7)+OFFSET($CT272,0,AR$7)</f>
        <v>0</v>
      </c>
      <c r="AS272" s="1231">
        <f ca="1">OFFSET($CQ272,0,AS$7)</f>
        <v>0</v>
      </c>
      <c r="AT272" s="1231">
        <f ca="1">OFFSET($CQ272,0,AT$7)+OFFSET($CR272,0,AT$7)</f>
        <v>0</v>
      </c>
      <c r="AU272" s="1231">
        <f ca="1">OFFSET($CQ272,0,AU$7)+OFFSET($CR272,0,AU$7)+OFFSET($CS272,0,AU$7)</f>
        <v>0</v>
      </c>
      <c r="AV272" s="1231">
        <f ca="1">OFFSET($CQ272,0,AV$7)+OFFSET($CR272,0,AV$7)+OFFSET($CS272,0,AV$7)+OFFSET($CT272,0,AV$7)</f>
        <v>0</v>
      </c>
      <c r="AW272" s="1231">
        <f ca="1">OFFSET($CQ272,0,AW$7)</f>
        <v>0</v>
      </c>
      <c r="AX272" s="1231">
        <f ca="1">OFFSET($CQ272,0,AX$7)+OFFSET($CR272,0,AX$7)</f>
        <v>0</v>
      </c>
      <c r="AY272" s="1231">
        <f ca="1">OFFSET($CQ272,0,AY$7)+OFFSET($CR272,0,AY$7)+OFFSET($CS272,0,AY$7)</f>
        <v>0</v>
      </c>
      <c r="AZ272" s="1231">
        <f ca="1">OFFSET($CQ272,0,AZ$7)+OFFSET($CR272,0,AZ$7)+OFFSET($CS272,0,AZ$7)+OFFSET($CT272,0,AZ$7)</f>
        <v>0</v>
      </c>
      <c r="BA272" s="1231">
        <f ca="1">OFFSET($CQ272,0,BA$7)</f>
        <v>0</v>
      </c>
      <c r="BB272" s="1231">
        <f ca="1">OFFSET($CQ272,0,BB$7)+OFFSET($CR272,0,BB$7)</f>
        <v>0</v>
      </c>
      <c r="BC272" s="1231">
        <f ca="1">OFFSET($CQ272,0,BC$7)+OFFSET($CR272,0,BC$7)+OFFSET($CS272,0,BC$7)</f>
        <v>0</v>
      </c>
      <c r="BD272" s="1231">
        <f ca="1">OFFSET($CQ272,0,BD$7)+OFFSET($CR272,0,BD$7)+OFFSET($CS272,0,BD$7)+OFFSET($CT272,0,BD$7)</f>
        <v>0</v>
      </c>
      <c r="BE272" s="1231">
        <f ca="1">OFFSET($CQ272,0,BE$7)</f>
        <v>0</v>
      </c>
      <c r="BF272" s="1231">
        <f ca="1">OFFSET($CQ272,0,BF$7)+OFFSET($CR272,0,BF$7)</f>
        <v>0</v>
      </c>
      <c r="BG272" s="1231">
        <f ca="1">OFFSET($CQ272,0,BG$7)+OFFSET($CR272,0,BG$7)+OFFSET($CS272,0,BG$7)</f>
        <v>0</v>
      </c>
      <c r="BH272" s="1231">
        <f ca="1">OFFSET($CQ272,0,BH$7)+OFFSET($CR272,0,BH$7)+OFFSET($CS272,0,BH$7)+OFFSET($CT272,0,BH$7)</f>
        <v>0</v>
      </c>
      <c r="BI272" s="1231">
        <f ca="1">OFFSET($CQ272,0,BI$7)</f>
        <v>0</v>
      </c>
      <c r="BJ272" s="1231">
        <f ca="1">OFFSET($CQ272,0,BJ$7)+OFFSET($CR272,0,BJ$7)</f>
        <v>0</v>
      </c>
      <c r="BK272" s="1231">
        <f ca="1">OFFSET($CQ272,0,BK$7)+OFFSET($CR272,0,BK$7)+OFFSET($CS272,0,BK$7)</f>
        <v>0</v>
      </c>
      <c r="BL272" s="1231">
        <f ca="1">OFFSET($CQ272,0,BL$7)+OFFSET($CR272,0,BL$7)+OFFSET($CS272,0,BL$7)+OFFSET($CT272,0,BL$7)</f>
        <v>0</v>
      </c>
      <c r="BM272" s="1231">
        <f ca="1">OFFSET($CQ272,0,BM$7)</f>
        <v>0</v>
      </c>
      <c r="BN272" s="1231">
        <f ca="1">OFFSET($CQ272,0,BN$7)+OFFSET($CR272,0,BN$7)</f>
        <v>0</v>
      </c>
      <c r="BO272" s="1231">
        <f ca="1">OFFSET($CQ272,0,BO$7)+OFFSET($CR272,0,BO$7)+OFFSET($CS272,0,BO$7)</f>
        <v>0</v>
      </c>
      <c r="BP272" s="1231">
        <f ca="1">OFFSET($CQ272,0,BP$7)+OFFSET($CR272,0,BP$7)+OFFSET($CS272,0,BP$7)+OFFSET($CT272,0,BP$7)</f>
        <v>0</v>
      </c>
      <c r="BQ272" s="1231">
        <f ca="1">OFFSET($CQ272,0,BQ$7)</f>
        <v>0</v>
      </c>
      <c r="BR272" s="1231">
        <f ca="1">OFFSET($CQ272,0,BR$7)+OFFSET($CR272,0,BR$7)</f>
        <v>0</v>
      </c>
      <c r="BS272" s="1231">
        <f ca="1">OFFSET($CQ272,0,BS$7)+OFFSET($CR272,0,BS$7)+OFFSET($CS272,0,BS$7)</f>
        <v>0</v>
      </c>
      <c r="BT272" s="1231">
        <f ca="1">OFFSET($CQ272,0,BT$7)+OFFSET($CR272,0,BT$7)+OFFSET($CS272,0,BT$7)+OFFSET($CT272,0,BT$7)</f>
        <v>0</v>
      </c>
      <c r="BU272" s="1231">
        <f ca="1">OFFSET($CQ272,0,BU$7)</f>
        <v>0</v>
      </c>
      <c r="BV272" s="1231">
        <f ca="1">OFFSET($CQ272,0,BV$7)+OFFSET($CR272,0,BV$7)</f>
        <v>0</v>
      </c>
      <c r="BW272" s="1231">
        <f ca="1">OFFSET($CQ272,0,BW$7)+OFFSET($CR272,0,BW$7)+OFFSET($CS272,0,BW$7)</f>
        <v>0</v>
      </c>
      <c r="BX272" s="1231">
        <f ca="1">OFFSET($CQ272,0,BX$7)+OFFSET($CR272,0,BX$7)+OFFSET($CS272,0,BX$7)+OFFSET($CT272,0,BX$7)</f>
        <v>0</v>
      </c>
      <c r="BY272" s="1231">
        <f ca="1">OFFSET($CQ272,0,BY$7)</f>
        <v>0</v>
      </c>
      <c r="BZ272" s="1231">
        <f ca="1">OFFSET($CQ272,0,BZ$7)+OFFSET($CR272,0,BZ$7)</f>
        <v>0</v>
      </c>
      <c r="CA272" s="1231">
        <f ca="1">OFFSET($CQ272,0,CA$7)+OFFSET($CR272,0,CA$7)+OFFSET($CS272,0,CA$7)</f>
        <v>0</v>
      </c>
      <c r="CB272" s="1231">
        <f ca="1">OFFSET($CQ272,0,CB$7)+OFFSET($CR272,0,CB$7)+OFFSET($CS272,0,CB$7)+OFFSET($CT272,0,CB$7)</f>
        <v>0</v>
      </c>
      <c r="CC272" s="1231">
        <f ca="1">OFFSET($CQ272,0,CC$7)</f>
        <v>0</v>
      </c>
      <c r="CD272" s="1231">
        <f ca="1">OFFSET($CQ272,0,CD$7)+OFFSET($CR272,0,CD$7)</f>
        <v>0</v>
      </c>
      <c r="CE272" s="1231">
        <f ca="1">OFFSET($CQ272,0,CE$7)+OFFSET($CR272,0,CE$7)+OFFSET($CS272,0,CE$7)</f>
        <v>0</v>
      </c>
      <c r="CF272" s="1231">
        <f ca="1">OFFSET($CQ272,0,CF$7)+OFFSET($CR272,0,CF$7)+OFFSET($CS272,0,CF$7)+OFFSET($CT272,0,CF$7)</f>
        <v>0</v>
      </c>
      <c r="CG272" s="1231">
        <f ca="1">OFFSET($CQ272,0,CG$7)</f>
        <v>0</v>
      </c>
      <c r="CH272" s="1231">
        <f ca="1">OFFSET($CQ272,0,CH$7)+OFFSET($CR272,0,CH$7)</f>
        <v>0</v>
      </c>
      <c r="CI272" s="1231">
        <f ca="1">OFFSET($CQ272,0,CI$7)+OFFSET($CR272,0,CI$7)+OFFSET($CS272,0,CI$7)</f>
        <v>0</v>
      </c>
      <c r="CJ272" s="1231">
        <f ca="1">OFFSET($CQ272,0,CJ$7)+OFFSET($CR272,0,CJ$7)+OFFSET($CS272,0,CJ$7)+OFFSET($CT272,0,CJ$7)</f>
        <v>0</v>
      </c>
      <c r="CK272" s="1231"/>
      <c r="CL272" s="1231"/>
      <c r="CM272" s="1231"/>
      <c r="CN272" s="1231"/>
      <c r="CO272" s="1165"/>
      <c r="CP272" s="1165"/>
      <c r="CQ272" s="1231"/>
      <c r="CR272" s="1231"/>
      <c r="CS272" s="1231"/>
      <c r="CT272" s="1231"/>
      <c r="CU272" s="1231"/>
      <c r="CV272" s="1231"/>
      <c r="CW272" s="1231"/>
      <c r="CX272" s="1231"/>
      <c r="CY272" s="1231"/>
      <c r="CZ272" s="1231"/>
      <c r="DA272" s="1231"/>
      <c r="DB272" s="1231"/>
      <c r="DC272" s="1231"/>
      <c r="DD272" s="1231"/>
      <c r="DE272" s="1231"/>
      <c r="DF272" s="1231"/>
      <c r="DG272" s="1231"/>
      <c r="DH272" s="1231"/>
      <c r="DI272" s="1231"/>
      <c r="DJ272" s="1231"/>
      <c r="DK272" s="1231"/>
      <c r="DL272" s="1231"/>
      <c r="DM272" s="1231"/>
      <c r="DN272" s="1231"/>
      <c r="DO272" s="1231"/>
      <c r="DP272" s="1231"/>
      <c r="DQ272" s="1231"/>
      <c r="DR272" s="1231"/>
      <c r="DS272" s="1231"/>
      <c r="DT272" s="1231"/>
      <c r="DU272" s="1231"/>
      <c r="DV272" s="1231"/>
      <c r="DW272" s="1231"/>
      <c r="DX272" s="1231"/>
      <c r="DY272" s="1231"/>
      <c r="DZ272" s="1231"/>
      <c r="EA272" s="1231"/>
      <c r="EB272" s="1231"/>
      <c r="EC272" s="1231"/>
      <c r="ED272" s="1231"/>
      <c r="EE272" s="1231"/>
      <c r="EF272" s="1231"/>
      <c r="EG272" s="1231"/>
      <c r="EH272" s="1231"/>
      <c r="EI272" s="1231"/>
      <c r="EJ272" s="1231"/>
      <c r="EK272" s="1231"/>
      <c r="EL272" s="1231"/>
      <c r="EM272" s="1231"/>
      <c r="EN272" s="1231"/>
      <c r="EO272" s="1231"/>
      <c r="EP272" s="1231"/>
      <c r="EQ272" s="1231"/>
      <c r="ER272" s="1231"/>
      <c r="ES272" s="1231"/>
      <c r="ET272" s="1231"/>
      <c r="EU272" s="1231"/>
      <c r="EV272" s="1231"/>
      <c r="EW272" s="1231"/>
      <c r="EX272" s="1231"/>
      <c r="EY272" s="1231"/>
      <c r="EZ272" s="1231"/>
      <c r="FA272" s="1231"/>
      <c r="FB272" s="1231"/>
      <c r="FC272" s="1231"/>
      <c r="FD272" s="1231"/>
      <c r="FE272" s="1231"/>
      <c r="FF272" s="1231"/>
    </row>
    <row r="273" spans="1:162">
      <c r="A273" s="1224"/>
      <c r="B273" s="1234" t="s">
        <v>6</v>
      </c>
      <c r="C273" s="1235"/>
      <c r="D273" s="1235"/>
      <c r="E273" s="1235"/>
      <c r="F273" s="1235"/>
      <c r="G273" s="1235"/>
      <c r="H273" s="1235"/>
      <c r="I273" s="1235"/>
      <c r="J273" s="1235"/>
      <c r="K273" s="1235"/>
      <c r="L273" s="1235"/>
      <c r="M273" s="1235" t="e">
        <f ca="1">Model!#REF!-M272</f>
        <v>#REF!</v>
      </c>
      <c r="N273" s="1235" t="e">
        <f ca="1">Model!#REF!-N272</f>
        <v>#REF!</v>
      </c>
      <c r="O273" s="1235" t="e">
        <f ca="1">Model!#REF!-O272</f>
        <v>#REF!</v>
      </c>
      <c r="P273" s="1235" t="e">
        <f ca="1">Model!#REF!-P272</f>
        <v>#REF!</v>
      </c>
      <c r="Q273" s="1235" t="e">
        <f ca="1">Model!#REF!-Q272</f>
        <v>#REF!</v>
      </c>
      <c r="R273" s="1235"/>
      <c r="S273" s="1235"/>
      <c r="T273" s="1235"/>
      <c r="U273" s="1235">
        <f>Model!D185-U272</f>
        <v>0</v>
      </c>
      <c r="V273" s="1235">
        <f>Model!E185-V272</f>
        <v>0</v>
      </c>
      <c r="W273" s="1235">
        <f>Model!F185-W272</f>
        <v>0</v>
      </c>
      <c r="X273" s="1235">
        <f>Model!G185-X272</f>
        <v>0</v>
      </c>
      <c r="Y273" s="1235">
        <f>Model!H185-Y272</f>
        <v>0</v>
      </c>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c r="CB273" s="1235"/>
      <c r="CC273" s="1235"/>
      <c r="CD273" s="1235"/>
      <c r="CE273" s="1235"/>
      <c r="CF273" s="1235"/>
      <c r="CG273" s="1235"/>
      <c r="CH273" s="1235"/>
      <c r="CI273" s="1235"/>
      <c r="CJ273" s="1235"/>
      <c r="CK273" s="1235"/>
      <c r="CL273" s="1235"/>
      <c r="CM273" s="1235"/>
      <c r="CN273" s="1235"/>
      <c r="CO273" s="1165"/>
      <c r="CP273" s="1165"/>
      <c r="CQ273" s="1165"/>
      <c r="CR273" s="1235"/>
      <c r="CS273" s="1235"/>
      <c r="CT273" s="1235"/>
      <c r="CU273" s="1165"/>
      <c r="CV273" s="1235"/>
      <c r="CW273" s="1235"/>
      <c r="CX273" s="1235"/>
      <c r="CY273" s="1235"/>
      <c r="CZ273" s="1235"/>
      <c r="DA273" s="1235"/>
      <c r="DB273" s="1235"/>
      <c r="DC273" s="1235"/>
      <c r="DD273" s="1235"/>
      <c r="DE273" s="1235"/>
      <c r="DF273" s="1235"/>
      <c r="DG273" s="1235"/>
      <c r="DH273" s="1235"/>
      <c r="DI273" s="1235"/>
      <c r="DJ273" s="1235"/>
      <c r="DK273" s="1235"/>
      <c r="DL273" s="1235"/>
      <c r="DM273" s="1235"/>
      <c r="DN273" s="1235"/>
      <c r="DO273" s="1235"/>
      <c r="DP273" s="1235"/>
      <c r="DQ273" s="1235"/>
      <c r="DR273" s="1235"/>
      <c r="DS273" s="1235"/>
      <c r="DT273" s="1235"/>
      <c r="DU273" s="1235"/>
      <c r="DV273" s="1235"/>
      <c r="DW273" s="1235"/>
      <c r="DX273" s="1235"/>
      <c r="DY273" s="1235"/>
      <c r="DZ273" s="1235"/>
      <c r="EA273" s="1235"/>
      <c r="EB273" s="1235"/>
      <c r="EC273" s="1235"/>
      <c r="ED273" s="1235"/>
      <c r="EE273" s="1235"/>
      <c r="EF273" s="1235"/>
      <c r="EG273" s="1235"/>
      <c r="EH273" s="1235"/>
      <c r="EI273" s="1235"/>
      <c r="EJ273" s="1235"/>
      <c r="EK273" s="1235"/>
      <c r="EL273" s="1235"/>
      <c r="EM273" s="1235"/>
      <c r="EN273" s="1235"/>
      <c r="EO273" s="1235"/>
      <c r="EP273" s="1235"/>
      <c r="EQ273" s="1235"/>
      <c r="ER273" s="1235"/>
      <c r="ES273" s="1235"/>
      <c r="ET273" s="1235"/>
      <c r="EU273" s="1235"/>
      <c r="EV273" s="1235"/>
      <c r="EW273" s="1235"/>
      <c r="EX273" s="1235"/>
      <c r="EY273" s="1235"/>
      <c r="EZ273" s="1235"/>
      <c r="FA273" s="1235"/>
      <c r="FB273" s="1235"/>
      <c r="FC273" s="1235"/>
      <c r="FD273" s="1235"/>
      <c r="FE273" s="1235"/>
      <c r="FF273" s="1235"/>
    </row>
    <row r="274" spans="1:162">
      <c r="A274" s="1224"/>
      <c r="B274" s="1234"/>
      <c r="D274" s="1235"/>
      <c r="E274" s="1235"/>
      <c r="F274" s="1235"/>
      <c r="G274" s="1235"/>
      <c r="H274" s="1235"/>
      <c r="I274" s="1235"/>
      <c r="J274" s="1235"/>
      <c r="K274" s="1235"/>
      <c r="L274" s="1235"/>
      <c r="M274" s="1214"/>
      <c r="N274" s="1214"/>
      <c r="O274" s="1214"/>
      <c r="P274" s="1214"/>
      <c r="Q274" s="1214"/>
      <c r="R274" s="1214"/>
      <c r="S274" s="1214"/>
      <c r="T274" s="1214"/>
      <c r="U274" s="1214"/>
      <c r="V274" s="1214"/>
      <c r="W274" s="1214"/>
      <c r="X274" s="1214"/>
      <c r="Y274" s="1214"/>
      <c r="Z274" s="1214"/>
      <c r="AA274" s="1214"/>
      <c r="AB274" s="1214"/>
      <c r="AC274" s="1214"/>
      <c r="AD274" s="1214"/>
      <c r="AE274" s="1214"/>
      <c r="AF274" s="1235"/>
      <c r="AG274" s="1214"/>
      <c r="AH274" s="1214"/>
      <c r="AI274" s="1214"/>
      <c r="AJ274" s="1214"/>
      <c r="AK274" s="1214"/>
      <c r="AL274" s="1214"/>
      <c r="AM274" s="1214"/>
      <c r="AN274" s="1214"/>
      <c r="AO274" s="1214"/>
      <c r="AP274" s="1214"/>
      <c r="AQ274" s="1214"/>
      <c r="AR274" s="1214"/>
      <c r="AS274" s="1214"/>
      <c r="AT274" s="1214"/>
      <c r="AU274" s="1214"/>
      <c r="AV274" s="1214"/>
      <c r="AW274" s="1214"/>
      <c r="AX274" s="1214"/>
      <c r="AY274" s="1214"/>
      <c r="AZ274" s="1214"/>
      <c r="BA274" s="1214"/>
      <c r="BB274" s="1214"/>
      <c r="BC274" s="1214"/>
      <c r="BD274" s="1214"/>
      <c r="BE274" s="1214"/>
      <c r="BF274" s="1214"/>
      <c r="BG274" s="1214"/>
      <c r="BH274" s="1214"/>
      <c r="BI274" s="1214"/>
      <c r="BJ274" s="1214"/>
      <c r="BK274" s="1214"/>
      <c r="BL274" s="1214"/>
      <c r="BM274" s="1214"/>
      <c r="BN274" s="1214"/>
      <c r="BO274" s="1214"/>
      <c r="BP274" s="1214"/>
      <c r="BQ274" s="1214"/>
      <c r="BR274" s="1214"/>
      <c r="BS274" s="1214"/>
      <c r="BT274" s="1214"/>
      <c r="BU274" s="1214"/>
      <c r="BV274" s="1214"/>
      <c r="BW274" s="1214"/>
      <c r="BX274" s="1214"/>
      <c r="BY274" s="1214"/>
      <c r="BZ274" s="1214"/>
      <c r="CA274" s="1214"/>
      <c r="CB274" s="1214"/>
      <c r="CC274" s="1214"/>
      <c r="CD274" s="1214"/>
      <c r="CE274" s="1214"/>
      <c r="CF274" s="1214"/>
      <c r="CG274" s="1214"/>
      <c r="CH274" s="1214"/>
      <c r="CI274" s="1214"/>
      <c r="CJ274" s="1214"/>
      <c r="CO274" s="1165"/>
      <c r="CP274" s="1165"/>
    </row>
    <row r="275" spans="1:162" s="1231" customFormat="1">
      <c r="A275" s="1224"/>
      <c r="B275" s="1250" t="s">
        <v>66</v>
      </c>
      <c r="C275" s="1236"/>
      <c r="D275" s="1236"/>
      <c r="E275" s="1236"/>
      <c r="F275" s="1236"/>
      <c r="G275" s="1236"/>
      <c r="H275" s="1236"/>
      <c r="I275" s="1236"/>
      <c r="J275" s="1236"/>
      <c r="K275" s="1236"/>
      <c r="L275" s="1236"/>
      <c r="M275" s="1236"/>
      <c r="N275" s="1236"/>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c r="CB275" s="1236"/>
      <c r="CC275" s="1236"/>
      <c r="CD275" s="1236"/>
      <c r="CE275" s="1236"/>
      <c r="CF275" s="1236"/>
      <c r="CG275" s="1236"/>
      <c r="CH275" s="1236"/>
      <c r="CI275" s="1236"/>
      <c r="CJ275" s="1236"/>
      <c r="CK275" s="1236"/>
      <c r="CL275" s="1236"/>
      <c r="CM275" s="1236"/>
      <c r="CN275" s="1236"/>
      <c r="CO275" s="1165"/>
      <c r="CP275" s="1165"/>
      <c r="CQ275" s="1236"/>
      <c r="CR275" s="1236"/>
      <c r="CS275" s="1236"/>
      <c r="CT275" s="1236"/>
      <c r="CU275" s="1236"/>
      <c r="CV275" s="1236"/>
      <c r="CW275" s="1236"/>
      <c r="CX275" s="1236"/>
      <c r="CY275" s="1236"/>
      <c r="CZ275" s="1236"/>
      <c r="DA275" s="1236"/>
      <c r="DB275" s="1236"/>
      <c r="DC275" s="1236"/>
      <c r="DD275" s="1236"/>
      <c r="DE275" s="1236"/>
      <c r="DF275" s="1236"/>
      <c r="DG275" s="1236"/>
      <c r="DH275" s="1236"/>
      <c r="DI275" s="1236"/>
      <c r="DJ275" s="1236"/>
      <c r="DK275" s="1236"/>
      <c r="DL275" s="1236"/>
      <c r="DM275" s="1236"/>
      <c r="DN275" s="1236"/>
      <c r="DO275" s="1236"/>
      <c r="DP275" s="1236"/>
      <c r="DQ275" s="1236"/>
      <c r="DR275" s="1236"/>
      <c r="DS275" s="1236"/>
      <c r="DT275" s="1236"/>
      <c r="DU275" s="1236"/>
      <c r="DV275" s="1236"/>
      <c r="DW275" s="1236"/>
      <c r="DX275" s="1236"/>
      <c r="DY275" s="1236"/>
      <c r="DZ275" s="1236"/>
      <c r="EA275" s="1236"/>
      <c r="EB275" s="1236"/>
      <c r="EC275" s="1236"/>
      <c r="ED275" s="1236"/>
      <c r="EE275" s="1236"/>
      <c r="EF275" s="1236"/>
      <c r="EG275" s="1236"/>
      <c r="EH275" s="1236"/>
      <c r="EI275" s="1236"/>
      <c r="EJ275" s="1236"/>
      <c r="EK275" s="1236"/>
      <c r="EL275" s="1236"/>
      <c r="EM275" s="1236"/>
      <c r="EN275" s="1236"/>
      <c r="EO275" s="1236"/>
      <c r="EP275" s="1236"/>
      <c r="EQ275" s="1236"/>
      <c r="ER275" s="1236"/>
      <c r="ES275" s="1236"/>
      <c r="ET275" s="1236"/>
      <c r="EU275" s="1236"/>
      <c r="EV275" s="1236"/>
      <c r="EW275" s="1236"/>
      <c r="EX275" s="1236"/>
      <c r="EY275" s="1236"/>
      <c r="EZ275" s="1236"/>
      <c r="FA275" s="1236"/>
      <c r="FB275" s="1236"/>
      <c r="FC275" s="1236"/>
      <c r="FD275" s="1236"/>
      <c r="FE275" s="1236"/>
      <c r="FF275" s="1236"/>
    </row>
    <row r="276" spans="1:162" s="1235" customFormat="1">
      <c r="A276" s="1224"/>
      <c r="B276" s="1237" t="s">
        <v>377</v>
      </c>
      <c r="C276" s="1236"/>
      <c r="D276" s="1236"/>
      <c r="E276" s="1236"/>
      <c r="F276" s="1236"/>
      <c r="G276" s="1236"/>
      <c r="H276" s="1236"/>
      <c r="I276" s="1236"/>
      <c r="J276" s="1236"/>
      <c r="K276" s="1236"/>
      <c r="L276" s="1236"/>
      <c r="M276" s="1236">
        <f t="shared" ref="M276:Q279" ca="1" si="405">OFFSET($CQ276,0,M$7)+OFFSET($CR276,0,M$7)+OFFSET($CS276,0,M$7)+OFFSET($CT276,0,M$7)</f>
        <v>0</v>
      </c>
      <c r="N276" s="1236">
        <f t="shared" ca="1" si="405"/>
        <v>0</v>
      </c>
      <c r="O276" s="1236">
        <f t="shared" ca="1" si="405"/>
        <v>0</v>
      </c>
      <c r="P276" s="1236">
        <f t="shared" ca="1" si="405"/>
        <v>0</v>
      </c>
      <c r="Q276" s="1236">
        <f t="shared" ca="1" si="405"/>
        <v>0</v>
      </c>
      <c r="R276" s="1236"/>
      <c r="S276" s="1236"/>
      <c r="T276" s="1236"/>
      <c r="U276" s="1236"/>
      <c r="V276" s="1236"/>
      <c r="W276" s="1236"/>
      <c r="X276" s="1236"/>
      <c r="Y276" s="1236"/>
      <c r="Z276" s="1236"/>
      <c r="AA276" s="1236"/>
      <c r="AB276" s="1236"/>
      <c r="AC276" s="1236"/>
      <c r="AD276" s="1236"/>
      <c r="AE276" s="1236"/>
      <c r="AF276" s="1236"/>
      <c r="AG276" s="1236">
        <f ca="1">OFFSET($CQ276,0,AG$7)</f>
        <v>0</v>
      </c>
      <c r="AH276" s="1236">
        <f ca="1">OFFSET($CQ276,0,AH$7)+OFFSET($CR276,0,AH$7)</f>
        <v>0</v>
      </c>
      <c r="AI276" s="1236">
        <f ca="1">OFFSET($CQ276,0,AI$7)+OFFSET($CR276,0,AI$7)+OFFSET($CS276,0,AI$7)</f>
        <v>0</v>
      </c>
      <c r="AJ276" s="1236">
        <f ca="1">OFFSET($CQ276,0,AJ$7)+OFFSET($CR276,0,AJ$7)+OFFSET($CS276,0,AJ$7)+OFFSET($CT276,0,AJ$7)</f>
        <v>0</v>
      </c>
      <c r="AK276" s="1236">
        <f ca="1">OFFSET($CQ276,0,AK$7)</f>
        <v>0</v>
      </c>
      <c r="AL276" s="1236">
        <f ca="1">OFFSET($CQ276,0,AL$7)+OFFSET($CR276,0,AL$7)</f>
        <v>0</v>
      </c>
      <c r="AM276" s="1236">
        <f ca="1">OFFSET($CQ276,0,AM$7)+OFFSET($CR276,0,AM$7)+OFFSET($CS276,0,AM$7)</f>
        <v>0</v>
      </c>
      <c r="AN276" s="1236">
        <f ca="1">OFFSET($CQ276,0,AN$7)+OFFSET($CR276,0,AN$7)+OFFSET($CS276,0,AN$7)+OFFSET($CT276,0,AN$7)</f>
        <v>0</v>
      </c>
      <c r="AO276" s="1236">
        <f ca="1">OFFSET($CQ276,0,AO$7)</f>
        <v>0</v>
      </c>
      <c r="AP276" s="1236">
        <f ca="1">OFFSET($CQ276,0,AP$7)+OFFSET($CR276,0,AP$7)</f>
        <v>0</v>
      </c>
      <c r="AQ276" s="1236">
        <f ca="1">OFFSET($CQ276,0,AQ$7)+OFFSET($CR276,0,AQ$7)+OFFSET($CS276,0,AQ$7)</f>
        <v>0</v>
      </c>
      <c r="AR276" s="1236">
        <f ca="1">OFFSET($CQ276,0,AR$7)+OFFSET($CR276,0,AR$7)+OFFSET($CS276,0,AR$7)+OFFSET($CT276,0,AR$7)</f>
        <v>0</v>
      </c>
      <c r="AS276" s="1236">
        <f ca="1">OFFSET($CQ276,0,AS$7)</f>
        <v>0</v>
      </c>
      <c r="AT276" s="1236">
        <f ca="1">OFFSET($CQ276,0,AT$7)+OFFSET($CR276,0,AT$7)</f>
        <v>0</v>
      </c>
      <c r="AU276" s="1236">
        <f ca="1">OFFSET($CQ276,0,AU$7)+OFFSET($CR276,0,AU$7)+OFFSET($CS276,0,AU$7)</f>
        <v>0</v>
      </c>
      <c r="AV276" s="1236">
        <f ca="1">OFFSET($CQ276,0,AV$7)+OFFSET($CR276,0,AV$7)+OFFSET($CS276,0,AV$7)+OFFSET($CT276,0,AV$7)</f>
        <v>0</v>
      </c>
      <c r="AW276" s="1236">
        <f ca="1">OFFSET($CQ276,0,AW$7)</f>
        <v>0</v>
      </c>
      <c r="AX276" s="1236">
        <f ca="1">OFFSET($CQ276,0,AX$7)+OFFSET($CR276,0,AX$7)</f>
        <v>0</v>
      </c>
      <c r="AY276" s="1236">
        <f ca="1">OFFSET($CQ276,0,AY$7)+OFFSET($CR276,0,AY$7)+OFFSET($CS276,0,AY$7)</f>
        <v>0</v>
      </c>
      <c r="AZ276" s="1236">
        <f ca="1">OFFSET($CQ276,0,AZ$7)+OFFSET($CR276,0,AZ$7)+OFFSET($CS276,0,AZ$7)+OFFSET($CT276,0,AZ$7)</f>
        <v>0</v>
      </c>
      <c r="BA276" s="1236">
        <f ca="1">OFFSET($CQ276,0,BA$7)</f>
        <v>0</v>
      </c>
      <c r="BB276" s="1236">
        <f ca="1">OFFSET($CQ276,0,BB$7)+OFFSET($CR276,0,BB$7)</f>
        <v>0</v>
      </c>
      <c r="BC276" s="1236">
        <f ca="1">OFFSET($CQ276,0,BC$7)+OFFSET($CR276,0,BC$7)+OFFSET($CS276,0,BC$7)</f>
        <v>0</v>
      </c>
      <c r="BD276" s="1236">
        <f ca="1">OFFSET($CQ276,0,BD$7)+OFFSET($CR276,0,BD$7)+OFFSET($CS276,0,BD$7)+OFFSET($CT276,0,BD$7)</f>
        <v>0</v>
      </c>
      <c r="BE276" s="1236">
        <f ca="1">OFFSET($CQ276,0,BE$7)</f>
        <v>0</v>
      </c>
      <c r="BF276" s="1236">
        <f ca="1">OFFSET($CQ276,0,BF$7)+OFFSET($CR276,0,BF$7)</f>
        <v>0</v>
      </c>
      <c r="BG276" s="1236">
        <f ca="1">OFFSET($CQ276,0,BG$7)+OFFSET($CR276,0,BG$7)+OFFSET($CS276,0,BG$7)</f>
        <v>0</v>
      </c>
      <c r="BH276" s="1236">
        <f ca="1">OFFSET($CQ276,0,BH$7)+OFFSET($CR276,0,BH$7)+OFFSET($CS276,0,BH$7)+OFFSET($CT276,0,BH$7)</f>
        <v>0</v>
      </c>
      <c r="BI276" s="1236">
        <f ca="1">OFFSET($CQ276,0,BI$7)</f>
        <v>0</v>
      </c>
      <c r="BJ276" s="1236">
        <f ca="1">OFFSET($CQ276,0,BJ$7)+OFFSET($CR276,0,BJ$7)</f>
        <v>0</v>
      </c>
      <c r="BK276" s="1236">
        <f ca="1">OFFSET($CQ276,0,BK$7)+OFFSET($CR276,0,BK$7)+OFFSET($CS276,0,BK$7)</f>
        <v>0</v>
      </c>
      <c r="BL276" s="1236">
        <f ca="1">OFFSET($CQ276,0,BL$7)+OFFSET($CR276,0,BL$7)+OFFSET($CS276,0,BL$7)+OFFSET($CT276,0,BL$7)</f>
        <v>0</v>
      </c>
      <c r="BM276" s="1236">
        <f ca="1">OFFSET($CQ276,0,BM$7)</f>
        <v>0</v>
      </c>
      <c r="BN276" s="1236">
        <f ca="1">OFFSET($CQ276,0,BN$7)+OFFSET($CR276,0,BN$7)</f>
        <v>0</v>
      </c>
      <c r="BO276" s="1236">
        <f ca="1">OFFSET($CQ276,0,BO$7)+OFFSET($CR276,0,BO$7)+OFFSET($CS276,0,BO$7)</f>
        <v>0</v>
      </c>
      <c r="BP276" s="1236">
        <f ca="1">OFFSET($CQ276,0,BP$7)+OFFSET($CR276,0,BP$7)+OFFSET($CS276,0,BP$7)+OFFSET($CT276,0,BP$7)</f>
        <v>0</v>
      </c>
      <c r="BQ276" s="1236">
        <f ca="1">OFFSET($CQ276,0,BQ$7)</f>
        <v>0</v>
      </c>
      <c r="BR276" s="1236">
        <f ca="1">OFFSET($CQ276,0,BR$7)+OFFSET($CR276,0,BR$7)</f>
        <v>0</v>
      </c>
      <c r="BS276" s="1236">
        <f ca="1">OFFSET($CQ276,0,BS$7)+OFFSET($CR276,0,BS$7)+OFFSET($CS276,0,BS$7)</f>
        <v>0</v>
      </c>
      <c r="BT276" s="1236">
        <f ca="1">OFFSET($CQ276,0,BT$7)+OFFSET($CR276,0,BT$7)+OFFSET($CS276,0,BT$7)+OFFSET($CT276,0,BT$7)</f>
        <v>0</v>
      </c>
      <c r="BU276" s="1236">
        <f ca="1">OFFSET($CQ276,0,BU$7)</f>
        <v>0</v>
      </c>
      <c r="BV276" s="1236">
        <f ca="1">OFFSET($CQ276,0,BV$7)+OFFSET($CR276,0,BV$7)</f>
        <v>0</v>
      </c>
      <c r="BW276" s="1236">
        <f ca="1">OFFSET($CQ276,0,BW$7)+OFFSET($CR276,0,BW$7)+OFFSET($CS276,0,BW$7)</f>
        <v>0</v>
      </c>
      <c r="BX276" s="1236">
        <f ca="1">OFFSET($CQ276,0,BX$7)+OFFSET($CR276,0,BX$7)+OFFSET($CS276,0,BX$7)+OFFSET($CT276,0,BX$7)</f>
        <v>0</v>
      </c>
      <c r="BY276" s="1236">
        <f ca="1">OFFSET($CQ276,0,BY$7)</f>
        <v>0</v>
      </c>
      <c r="BZ276" s="1236">
        <f ca="1">OFFSET($CQ276,0,BZ$7)+OFFSET($CR276,0,BZ$7)</f>
        <v>0</v>
      </c>
      <c r="CA276" s="1236">
        <f ca="1">OFFSET($CQ276,0,CA$7)+OFFSET($CR276,0,CA$7)+OFFSET($CS276,0,CA$7)</f>
        <v>0</v>
      </c>
      <c r="CB276" s="1236">
        <f ca="1">OFFSET($CQ276,0,CB$7)+OFFSET($CR276,0,CB$7)+OFFSET($CS276,0,CB$7)+OFFSET($CT276,0,CB$7)</f>
        <v>0</v>
      </c>
      <c r="CC276" s="1236">
        <f ca="1">OFFSET($CQ276,0,CC$7)</f>
        <v>0</v>
      </c>
      <c r="CD276" s="1236">
        <f ca="1">OFFSET($CQ276,0,CD$7)+OFFSET($CR276,0,CD$7)</f>
        <v>0</v>
      </c>
      <c r="CE276" s="1236">
        <f ca="1">OFFSET($CQ276,0,CE$7)+OFFSET($CR276,0,CE$7)+OFFSET($CS276,0,CE$7)</f>
        <v>0</v>
      </c>
      <c r="CF276" s="1236">
        <f ca="1">OFFSET($CQ276,0,CF$7)+OFFSET($CR276,0,CF$7)+OFFSET($CS276,0,CF$7)+OFFSET($CT276,0,CF$7)</f>
        <v>0</v>
      </c>
      <c r="CG276" s="1236">
        <f ca="1">OFFSET($CQ276,0,CG$7)</f>
        <v>0</v>
      </c>
      <c r="CH276" s="1236">
        <f ca="1">OFFSET($CQ276,0,CH$7)+OFFSET($CR276,0,CH$7)</f>
        <v>0</v>
      </c>
      <c r="CI276" s="1236">
        <f ca="1">OFFSET($CQ276,0,CI$7)+OFFSET($CR276,0,CI$7)+OFFSET($CS276,0,CI$7)</f>
        <v>0</v>
      </c>
      <c r="CJ276" s="1236">
        <f ca="1">OFFSET($CQ276,0,CJ$7)+OFFSET($CR276,0,CJ$7)+OFFSET($CS276,0,CJ$7)+OFFSET($CT276,0,CJ$7)</f>
        <v>0</v>
      </c>
      <c r="CK276" s="1236"/>
      <c r="CL276" s="1236"/>
      <c r="CM276" s="1236"/>
      <c r="CN276" s="1236"/>
      <c r="CO276" s="1165"/>
      <c r="CP276" s="1165"/>
      <c r="CQ276" s="1236"/>
      <c r="CR276" s="1236"/>
      <c r="CS276" s="1236"/>
      <c r="CT276" s="1236"/>
      <c r="CU276" s="1236"/>
      <c r="CV276" s="1236"/>
      <c r="CW276" s="1236"/>
      <c r="CX276" s="1236"/>
      <c r="CY276" s="1236"/>
      <c r="CZ276" s="1236"/>
      <c r="DA276" s="1236"/>
      <c r="DB276" s="1236"/>
      <c r="DC276" s="1236"/>
      <c r="DD276" s="1236"/>
      <c r="DE276" s="1236"/>
      <c r="DF276" s="1236"/>
      <c r="DG276" s="1236"/>
      <c r="DH276" s="1236"/>
      <c r="DI276" s="1236"/>
      <c r="DJ276" s="1236"/>
      <c r="DK276" s="1238"/>
      <c r="DL276" s="1238"/>
      <c r="DM276" s="1238"/>
      <c r="DN276" s="1238"/>
      <c r="DO276" s="1238"/>
      <c r="DP276" s="1238"/>
      <c r="DQ276" s="1238"/>
      <c r="DR276" s="1238"/>
      <c r="DS276" s="1238"/>
      <c r="DT276" s="1238"/>
      <c r="DU276" s="1238"/>
      <c r="DV276" s="1238"/>
      <c r="DW276" s="1238"/>
      <c r="DX276" s="1238"/>
      <c r="DY276" s="1238"/>
      <c r="DZ276" s="1238"/>
      <c r="EA276" s="1238"/>
      <c r="EB276" s="1238"/>
      <c r="EC276" s="1238"/>
      <c r="ED276" s="1238"/>
      <c r="EE276" s="1238"/>
      <c r="EF276" s="1238"/>
      <c r="EG276" s="1238"/>
      <c r="EH276" s="1238"/>
      <c r="EI276" s="1238"/>
      <c r="EJ276" s="1238"/>
      <c r="EK276" s="1238"/>
      <c r="EL276" s="1238"/>
      <c r="EM276" s="1238"/>
      <c r="EN276" s="1238"/>
      <c r="EO276" s="1238"/>
      <c r="EP276" s="1238"/>
      <c r="EQ276" s="1238"/>
      <c r="ER276" s="1238"/>
      <c r="ES276" s="1238"/>
      <c r="ET276" s="1238"/>
      <c r="EU276" s="1236"/>
      <c r="EV276" s="1236"/>
      <c r="EW276" s="1236"/>
      <c r="EX276" s="1236"/>
      <c r="EY276" s="1236"/>
      <c r="EZ276" s="1236"/>
      <c r="FA276" s="1236"/>
      <c r="FB276" s="1236"/>
      <c r="FC276" s="1236"/>
      <c r="FD276" s="1236"/>
      <c r="FE276" s="1236"/>
      <c r="FF276" s="1236"/>
    </row>
    <row r="277" spans="1:162">
      <c r="A277" s="1224"/>
      <c r="B277" s="1237" t="s">
        <v>378</v>
      </c>
      <c r="M277" s="1236">
        <f t="shared" ca="1" si="405"/>
        <v>0</v>
      </c>
      <c r="N277" s="1236">
        <f t="shared" ca="1" si="405"/>
        <v>0</v>
      </c>
      <c r="O277" s="1236">
        <f t="shared" ca="1" si="405"/>
        <v>0</v>
      </c>
      <c r="P277" s="1236">
        <f t="shared" ca="1" si="405"/>
        <v>0</v>
      </c>
      <c r="Q277" s="1236">
        <f t="shared" ca="1" si="405"/>
        <v>0</v>
      </c>
      <c r="AG277" s="1236">
        <f ca="1">OFFSET($CQ277,0,AG$7)</f>
        <v>0</v>
      </c>
      <c r="AH277" s="1236">
        <f ca="1">OFFSET($CQ277,0,AH$7)+OFFSET($CR277,0,AH$7)</f>
        <v>0</v>
      </c>
      <c r="AI277" s="1236">
        <f ca="1">OFFSET($CQ277,0,AI$7)+OFFSET($CR277,0,AI$7)+OFFSET($CS277,0,AI$7)</f>
        <v>0</v>
      </c>
      <c r="AJ277" s="1236">
        <f ca="1">OFFSET($CQ277,0,AJ$7)+OFFSET($CR277,0,AJ$7)+OFFSET($CS277,0,AJ$7)+OFFSET($CT277,0,AJ$7)</f>
        <v>0</v>
      </c>
      <c r="AK277" s="1236">
        <f ca="1">OFFSET($CQ277,0,AK$7)</f>
        <v>0</v>
      </c>
      <c r="AL277" s="1236">
        <f ca="1">OFFSET($CQ277,0,AL$7)+OFFSET($CR277,0,AL$7)</f>
        <v>0</v>
      </c>
      <c r="AM277" s="1236">
        <f ca="1">OFFSET($CQ277,0,AM$7)+OFFSET($CR277,0,AM$7)+OFFSET($CS277,0,AM$7)</f>
        <v>0</v>
      </c>
      <c r="AN277" s="1236">
        <f ca="1">OFFSET($CQ277,0,AN$7)+OFFSET($CR277,0,AN$7)+OFFSET($CS277,0,AN$7)+OFFSET($CT277,0,AN$7)</f>
        <v>0</v>
      </c>
      <c r="AO277" s="1236">
        <f ca="1">OFFSET($CQ277,0,AO$7)</f>
        <v>0</v>
      </c>
      <c r="AP277" s="1236">
        <f ca="1">OFFSET($CQ277,0,AP$7)+OFFSET($CR277,0,AP$7)</f>
        <v>0</v>
      </c>
      <c r="AQ277" s="1236">
        <f ca="1">OFFSET($CQ277,0,AQ$7)+OFFSET($CR277,0,AQ$7)+OFFSET($CS277,0,AQ$7)</f>
        <v>0</v>
      </c>
      <c r="AR277" s="1236">
        <f ca="1">OFFSET($CQ277,0,AR$7)+OFFSET($CR277,0,AR$7)+OFFSET($CS277,0,AR$7)+OFFSET($CT277,0,AR$7)</f>
        <v>0</v>
      </c>
      <c r="AS277" s="1236">
        <f ca="1">OFFSET($CQ277,0,AS$7)</f>
        <v>0</v>
      </c>
      <c r="AT277" s="1236">
        <f ca="1">OFFSET($CQ277,0,AT$7)+OFFSET($CR277,0,AT$7)</f>
        <v>0</v>
      </c>
      <c r="AU277" s="1236">
        <f ca="1">OFFSET($CQ277,0,AU$7)+OFFSET($CR277,0,AU$7)+OFFSET($CS277,0,AU$7)</f>
        <v>0</v>
      </c>
      <c r="AV277" s="1236">
        <f ca="1">OFFSET($CQ277,0,AV$7)+OFFSET($CR277,0,AV$7)+OFFSET($CS277,0,AV$7)+OFFSET($CT277,0,AV$7)</f>
        <v>0</v>
      </c>
      <c r="AW277" s="1236">
        <f ca="1">OFFSET($CQ277,0,AW$7)</f>
        <v>0</v>
      </c>
      <c r="AX277" s="1236">
        <f ca="1">OFFSET($CQ277,0,AX$7)+OFFSET($CR277,0,AX$7)</f>
        <v>0</v>
      </c>
      <c r="AY277" s="1236">
        <f ca="1">OFFSET($CQ277,0,AY$7)+OFFSET($CR277,0,AY$7)+OFFSET($CS277,0,AY$7)</f>
        <v>0</v>
      </c>
      <c r="AZ277" s="1236">
        <f ca="1">OFFSET($CQ277,0,AZ$7)+OFFSET($CR277,0,AZ$7)+OFFSET($CS277,0,AZ$7)+OFFSET($CT277,0,AZ$7)</f>
        <v>0</v>
      </c>
      <c r="BA277" s="1236">
        <f ca="1">OFFSET($CQ277,0,BA$7)</f>
        <v>0</v>
      </c>
      <c r="BB277" s="1236">
        <f ca="1">OFFSET($CQ277,0,BB$7)+OFFSET($CR277,0,BB$7)</f>
        <v>0</v>
      </c>
      <c r="BC277" s="1236">
        <f ca="1">OFFSET($CQ277,0,BC$7)+OFFSET($CR277,0,BC$7)+OFFSET($CS277,0,BC$7)</f>
        <v>0</v>
      </c>
      <c r="BD277" s="1236">
        <f ca="1">OFFSET($CQ277,0,BD$7)+OFFSET($CR277,0,BD$7)+OFFSET($CS277,0,BD$7)+OFFSET($CT277,0,BD$7)</f>
        <v>0</v>
      </c>
      <c r="BE277" s="1236">
        <f ca="1">OFFSET($CQ277,0,BE$7)</f>
        <v>0</v>
      </c>
      <c r="BF277" s="1236">
        <f ca="1">OFFSET($CQ277,0,BF$7)+OFFSET($CR277,0,BF$7)</f>
        <v>0</v>
      </c>
      <c r="BG277" s="1236">
        <f ca="1">OFFSET($CQ277,0,BG$7)+OFFSET($CR277,0,BG$7)+OFFSET($CS277,0,BG$7)</f>
        <v>0</v>
      </c>
      <c r="BH277" s="1236">
        <f ca="1">OFFSET($CQ277,0,BH$7)+OFFSET($CR277,0,BH$7)+OFFSET($CS277,0,BH$7)+OFFSET($CT277,0,BH$7)</f>
        <v>0</v>
      </c>
      <c r="BI277" s="1236">
        <f ca="1">OFFSET($CQ277,0,BI$7)</f>
        <v>0</v>
      </c>
      <c r="BJ277" s="1236">
        <f ca="1">OFFSET($CQ277,0,BJ$7)+OFFSET($CR277,0,BJ$7)</f>
        <v>0</v>
      </c>
      <c r="BK277" s="1236">
        <f ca="1">OFFSET($CQ277,0,BK$7)+OFFSET($CR277,0,BK$7)+OFFSET($CS277,0,BK$7)</f>
        <v>0</v>
      </c>
      <c r="BL277" s="1236">
        <f ca="1">OFFSET($CQ277,0,BL$7)+OFFSET($CR277,0,BL$7)+OFFSET($CS277,0,BL$7)+OFFSET($CT277,0,BL$7)</f>
        <v>0</v>
      </c>
      <c r="BM277" s="1236">
        <f ca="1">OFFSET($CQ277,0,BM$7)</f>
        <v>0</v>
      </c>
      <c r="BN277" s="1236">
        <f ca="1">OFFSET($CQ277,0,BN$7)+OFFSET($CR277,0,BN$7)</f>
        <v>0</v>
      </c>
      <c r="BO277" s="1236">
        <f ca="1">OFFSET($CQ277,0,BO$7)+OFFSET($CR277,0,BO$7)+OFFSET($CS277,0,BO$7)</f>
        <v>0</v>
      </c>
      <c r="BP277" s="1236">
        <f ca="1">OFFSET($CQ277,0,BP$7)+OFFSET($CR277,0,BP$7)+OFFSET($CS277,0,BP$7)+OFFSET($CT277,0,BP$7)</f>
        <v>0</v>
      </c>
      <c r="BQ277" s="1236">
        <f ca="1">OFFSET($CQ277,0,BQ$7)</f>
        <v>0</v>
      </c>
      <c r="BR277" s="1236">
        <f ca="1">OFFSET($CQ277,0,BR$7)+OFFSET($CR277,0,BR$7)</f>
        <v>0</v>
      </c>
      <c r="BS277" s="1236">
        <f ca="1">OFFSET($CQ277,0,BS$7)+OFFSET($CR277,0,BS$7)+OFFSET($CS277,0,BS$7)</f>
        <v>0</v>
      </c>
      <c r="BT277" s="1236">
        <f ca="1">OFFSET($CQ277,0,BT$7)+OFFSET($CR277,0,BT$7)+OFFSET($CS277,0,BT$7)+OFFSET($CT277,0,BT$7)</f>
        <v>0</v>
      </c>
      <c r="BU277" s="1236">
        <f ca="1">OFFSET($CQ277,0,BU$7)</f>
        <v>0</v>
      </c>
      <c r="BV277" s="1236">
        <f ca="1">OFFSET($CQ277,0,BV$7)+OFFSET($CR277,0,BV$7)</f>
        <v>0</v>
      </c>
      <c r="BW277" s="1236">
        <f ca="1">OFFSET($CQ277,0,BW$7)+OFFSET($CR277,0,BW$7)+OFFSET($CS277,0,BW$7)</f>
        <v>0</v>
      </c>
      <c r="BX277" s="1236">
        <f ca="1">OFFSET($CQ277,0,BX$7)+OFFSET($CR277,0,BX$7)+OFFSET($CS277,0,BX$7)+OFFSET($CT277,0,BX$7)</f>
        <v>0</v>
      </c>
      <c r="BY277" s="1236">
        <f ca="1">OFFSET($CQ277,0,BY$7)</f>
        <v>0</v>
      </c>
      <c r="BZ277" s="1236">
        <f ca="1">OFFSET($CQ277,0,BZ$7)+OFFSET($CR277,0,BZ$7)</f>
        <v>0</v>
      </c>
      <c r="CA277" s="1236">
        <f ca="1">OFFSET($CQ277,0,CA$7)+OFFSET($CR277,0,CA$7)+OFFSET($CS277,0,CA$7)</f>
        <v>0</v>
      </c>
      <c r="CB277" s="1236">
        <f ca="1">OFFSET($CQ277,0,CB$7)+OFFSET($CR277,0,CB$7)+OFFSET($CS277,0,CB$7)+OFFSET($CT277,0,CB$7)</f>
        <v>0</v>
      </c>
      <c r="CC277" s="1236">
        <f ca="1">OFFSET($CQ277,0,CC$7)</f>
        <v>0</v>
      </c>
      <c r="CD277" s="1236">
        <f ca="1">OFFSET($CQ277,0,CD$7)+OFFSET($CR277,0,CD$7)</f>
        <v>0</v>
      </c>
      <c r="CE277" s="1236">
        <f ca="1">OFFSET($CQ277,0,CE$7)+OFFSET($CR277,0,CE$7)+OFFSET($CS277,0,CE$7)</f>
        <v>0</v>
      </c>
      <c r="CF277" s="1236">
        <f ca="1">OFFSET($CQ277,0,CF$7)+OFFSET($CR277,0,CF$7)+OFFSET($CS277,0,CF$7)+OFFSET($CT277,0,CF$7)</f>
        <v>0</v>
      </c>
      <c r="CG277" s="1236">
        <f ca="1">OFFSET($CQ277,0,CG$7)</f>
        <v>0</v>
      </c>
      <c r="CH277" s="1236">
        <f ca="1">OFFSET($CQ277,0,CH$7)+OFFSET($CR277,0,CH$7)</f>
        <v>0</v>
      </c>
      <c r="CI277" s="1236">
        <f ca="1">OFFSET($CQ277,0,CI$7)+OFFSET($CR277,0,CI$7)+OFFSET($CS277,0,CI$7)</f>
        <v>0</v>
      </c>
      <c r="CJ277" s="1236">
        <f ca="1">OFFSET($CQ277,0,CJ$7)+OFFSET($CR277,0,CJ$7)+OFFSET($CS277,0,CJ$7)+OFFSET($CT277,0,CJ$7)</f>
        <v>0</v>
      </c>
      <c r="CO277" s="1165"/>
      <c r="CP277" s="1165"/>
      <c r="DK277" s="1238"/>
      <c r="DL277" s="1238"/>
      <c r="DM277" s="1238"/>
      <c r="DN277" s="1238"/>
      <c r="DO277" s="1238"/>
      <c r="DP277" s="1238"/>
      <c r="DQ277" s="1238"/>
      <c r="DR277" s="1238"/>
      <c r="DS277" s="1238"/>
      <c r="DT277" s="1238"/>
      <c r="DU277" s="1238"/>
      <c r="DV277" s="1238"/>
      <c r="DW277" s="1238"/>
      <c r="DX277" s="1238"/>
      <c r="DY277" s="1238"/>
      <c r="DZ277" s="1238"/>
      <c r="EA277" s="1238"/>
      <c r="EB277" s="1238"/>
      <c r="EC277" s="1238"/>
      <c r="ED277" s="1238"/>
      <c r="EE277" s="1238"/>
      <c r="EF277" s="1238"/>
      <c r="EG277" s="1238"/>
      <c r="EH277" s="1238"/>
      <c r="EI277" s="1238"/>
      <c r="EJ277" s="1238"/>
      <c r="EK277" s="1238"/>
      <c r="EL277" s="1238"/>
      <c r="EM277" s="1238"/>
      <c r="EN277" s="1238"/>
      <c r="EO277" s="1238"/>
      <c r="EP277" s="1238"/>
      <c r="EQ277" s="1238"/>
      <c r="ER277" s="1238"/>
      <c r="ES277" s="1238"/>
      <c r="ET277" s="1238"/>
    </row>
    <row r="278" spans="1:162">
      <c r="A278" s="1224"/>
      <c r="B278" s="1237" t="s">
        <v>376</v>
      </c>
      <c r="M278" s="1236">
        <f t="shared" ca="1" si="405"/>
        <v>0</v>
      </c>
      <c r="N278" s="1236">
        <f t="shared" ca="1" si="405"/>
        <v>0</v>
      </c>
      <c r="O278" s="1236">
        <f t="shared" ca="1" si="405"/>
        <v>0</v>
      </c>
      <c r="P278" s="1236">
        <f t="shared" ca="1" si="405"/>
        <v>0</v>
      </c>
      <c r="Q278" s="1236">
        <f t="shared" ca="1" si="405"/>
        <v>0</v>
      </c>
      <c r="AG278" s="1236">
        <f ca="1">OFFSET($CQ278,0,AG$7)</f>
        <v>0</v>
      </c>
      <c r="AH278" s="1236">
        <f ca="1">OFFSET($CQ278,0,AH$7)+OFFSET($CR278,0,AH$7)</f>
        <v>0</v>
      </c>
      <c r="AI278" s="1236">
        <f ca="1">OFFSET($CQ278,0,AI$7)+OFFSET($CR278,0,AI$7)+OFFSET($CS278,0,AI$7)</f>
        <v>0</v>
      </c>
      <c r="AJ278" s="1236">
        <f ca="1">OFFSET($CQ278,0,AJ$7)+OFFSET($CR278,0,AJ$7)+OFFSET($CS278,0,AJ$7)+OFFSET($CT278,0,AJ$7)</f>
        <v>0</v>
      </c>
      <c r="AK278" s="1236">
        <f ca="1">OFFSET($CQ278,0,AK$7)</f>
        <v>0</v>
      </c>
      <c r="AL278" s="1236">
        <f ca="1">OFFSET($CQ278,0,AL$7)+OFFSET($CR278,0,AL$7)</f>
        <v>0</v>
      </c>
      <c r="AM278" s="1236">
        <f ca="1">OFFSET($CQ278,0,AM$7)+OFFSET($CR278,0,AM$7)+OFFSET($CS278,0,AM$7)</f>
        <v>0</v>
      </c>
      <c r="AN278" s="1236">
        <f ca="1">OFFSET($CQ278,0,AN$7)+OFFSET($CR278,0,AN$7)+OFFSET($CS278,0,AN$7)+OFFSET($CT278,0,AN$7)</f>
        <v>0</v>
      </c>
      <c r="AO278" s="1236">
        <f ca="1">OFFSET($CQ278,0,AO$7)</f>
        <v>0</v>
      </c>
      <c r="AP278" s="1236">
        <f ca="1">OFFSET($CQ278,0,AP$7)+OFFSET($CR278,0,AP$7)</f>
        <v>0</v>
      </c>
      <c r="AQ278" s="1236">
        <f ca="1">OFFSET($CQ278,0,AQ$7)+OFFSET($CR278,0,AQ$7)+OFFSET($CS278,0,AQ$7)</f>
        <v>0</v>
      </c>
      <c r="AR278" s="1236">
        <f ca="1">OFFSET($CQ278,0,AR$7)+OFFSET($CR278,0,AR$7)+OFFSET($CS278,0,AR$7)+OFFSET($CT278,0,AR$7)</f>
        <v>0</v>
      </c>
      <c r="AS278" s="1236">
        <f ca="1">OFFSET($CQ278,0,AS$7)</f>
        <v>0</v>
      </c>
      <c r="AT278" s="1236">
        <f ca="1">OFFSET($CQ278,0,AT$7)+OFFSET($CR278,0,AT$7)</f>
        <v>0</v>
      </c>
      <c r="AU278" s="1236">
        <f ca="1">OFFSET($CQ278,0,AU$7)+OFFSET($CR278,0,AU$7)+OFFSET($CS278,0,AU$7)</f>
        <v>0</v>
      </c>
      <c r="AV278" s="1236">
        <f ca="1">OFFSET($CQ278,0,AV$7)+OFFSET($CR278,0,AV$7)+OFFSET($CS278,0,AV$7)+OFFSET($CT278,0,AV$7)</f>
        <v>0</v>
      </c>
      <c r="AW278" s="1236">
        <f ca="1">OFFSET($CQ278,0,AW$7)</f>
        <v>0</v>
      </c>
      <c r="AX278" s="1236">
        <f ca="1">OFFSET($CQ278,0,AX$7)+OFFSET($CR278,0,AX$7)</f>
        <v>0</v>
      </c>
      <c r="AY278" s="1236">
        <f ca="1">OFFSET($CQ278,0,AY$7)+OFFSET($CR278,0,AY$7)+OFFSET($CS278,0,AY$7)</f>
        <v>0</v>
      </c>
      <c r="AZ278" s="1236">
        <f ca="1">OFFSET($CQ278,0,AZ$7)+OFFSET($CR278,0,AZ$7)+OFFSET($CS278,0,AZ$7)+OFFSET($CT278,0,AZ$7)</f>
        <v>0</v>
      </c>
      <c r="BA278" s="1236">
        <f ca="1">OFFSET($CQ278,0,BA$7)</f>
        <v>0</v>
      </c>
      <c r="BB278" s="1236">
        <f ca="1">OFFSET($CQ278,0,BB$7)+OFFSET($CR278,0,BB$7)</f>
        <v>0</v>
      </c>
      <c r="BC278" s="1236">
        <f ca="1">OFFSET($CQ278,0,BC$7)+OFFSET($CR278,0,BC$7)+OFFSET($CS278,0,BC$7)</f>
        <v>0</v>
      </c>
      <c r="BD278" s="1236">
        <f ca="1">OFFSET($CQ278,0,BD$7)+OFFSET($CR278,0,BD$7)+OFFSET($CS278,0,BD$7)+OFFSET($CT278,0,BD$7)</f>
        <v>0</v>
      </c>
      <c r="BE278" s="1236">
        <f ca="1">OFFSET($CQ278,0,BE$7)</f>
        <v>0</v>
      </c>
      <c r="BF278" s="1236">
        <f ca="1">OFFSET($CQ278,0,BF$7)+OFFSET($CR278,0,BF$7)</f>
        <v>0</v>
      </c>
      <c r="BG278" s="1236">
        <f ca="1">OFFSET($CQ278,0,BG$7)+OFFSET($CR278,0,BG$7)+OFFSET($CS278,0,BG$7)</f>
        <v>0</v>
      </c>
      <c r="BH278" s="1236">
        <f ca="1">OFFSET($CQ278,0,BH$7)+OFFSET($CR278,0,BH$7)+OFFSET($CS278,0,BH$7)+OFFSET($CT278,0,BH$7)</f>
        <v>0</v>
      </c>
      <c r="BI278" s="1236">
        <f ca="1">OFFSET($CQ278,0,BI$7)</f>
        <v>0</v>
      </c>
      <c r="BJ278" s="1236">
        <f ca="1">OFFSET($CQ278,0,BJ$7)+OFFSET($CR278,0,BJ$7)</f>
        <v>0</v>
      </c>
      <c r="BK278" s="1236">
        <f ca="1">OFFSET($CQ278,0,BK$7)+OFFSET($CR278,0,BK$7)+OFFSET($CS278,0,BK$7)</f>
        <v>0</v>
      </c>
      <c r="BL278" s="1236">
        <f ca="1">OFFSET($CQ278,0,BL$7)+OFFSET($CR278,0,BL$7)+OFFSET($CS278,0,BL$7)+OFFSET($CT278,0,BL$7)</f>
        <v>0</v>
      </c>
      <c r="BM278" s="1236">
        <f ca="1">OFFSET($CQ278,0,BM$7)</f>
        <v>0</v>
      </c>
      <c r="BN278" s="1236">
        <f ca="1">OFFSET($CQ278,0,BN$7)+OFFSET($CR278,0,BN$7)</f>
        <v>0</v>
      </c>
      <c r="BO278" s="1236">
        <f ca="1">OFFSET($CQ278,0,BO$7)+OFFSET($CR278,0,BO$7)+OFFSET($CS278,0,BO$7)</f>
        <v>0</v>
      </c>
      <c r="BP278" s="1236">
        <f ca="1">OFFSET($CQ278,0,BP$7)+OFFSET($CR278,0,BP$7)+OFFSET($CS278,0,BP$7)+OFFSET($CT278,0,BP$7)</f>
        <v>0</v>
      </c>
      <c r="BQ278" s="1236">
        <f ca="1">OFFSET($CQ278,0,BQ$7)</f>
        <v>0</v>
      </c>
      <c r="BR278" s="1236">
        <f ca="1">OFFSET($CQ278,0,BR$7)+OFFSET($CR278,0,BR$7)</f>
        <v>0</v>
      </c>
      <c r="BS278" s="1236">
        <f ca="1">OFFSET($CQ278,0,BS$7)+OFFSET($CR278,0,BS$7)+OFFSET($CS278,0,BS$7)</f>
        <v>0</v>
      </c>
      <c r="BT278" s="1236">
        <f ca="1">OFFSET($CQ278,0,BT$7)+OFFSET($CR278,0,BT$7)+OFFSET($CS278,0,BT$7)+OFFSET($CT278,0,BT$7)</f>
        <v>0</v>
      </c>
      <c r="BU278" s="1236">
        <f ca="1">OFFSET($CQ278,0,BU$7)</f>
        <v>0</v>
      </c>
      <c r="BV278" s="1236">
        <f ca="1">OFFSET($CQ278,0,BV$7)+OFFSET($CR278,0,BV$7)</f>
        <v>0</v>
      </c>
      <c r="BW278" s="1236">
        <f ca="1">OFFSET($CQ278,0,BW$7)+OFFSET($CR278,0,BW$7)+OFFSET($CS278,0,BW$7)</f>
        <v>0</v>
      </c>
      <c r="BX278" s="1236">
        <f ca="1">OFFSET($CQ278,0,BX$7)+OFFSET($CR278,0,BX$7)+OFFSET($CS278,0,BX$7)+OFFSET($CT278,0,BX$7)</f>
        <v>0</v>
      </c>
      <c r="BY278" s="1236">
        <f ca="1">OFFSET($CQ278,0,BY$7)</f>
        <v>0</v>
      </c>
      <c r="BZ278" s="1236">
        <f ca="1">OFFSET($CQ278,0,BZ$7)+OFFSET($CR278,0,BZ$7)</f>
        <v>0</v>
      </c>
      <c r="CA278" s="1236">
        <f ca="1">OFFSET($CQ278,0,CA$7)+OFFSET($CR278,0,CA$7)+OFFSET($CS278,0,CA$7)</f>
        <v>0</v>
      </c>
      <c r="CB278" s="1236">
        <f ca="1">OFFSET($CQ278,0,CB$7)+OFFSET($CR278,0,CB$7)+OFFSET($CS278,0,CB$7)+OFFSET($CT278,0,CB$7)</f>
        <v>0</v>
      </c>
      <c r="CC278" s="1236">
        <f ca="1">OFFSET($CQ278,0,CC$7)</f>
        <v>0</v>
      </c>
      <c r="CD278" s="1236">
        <f ca="1">OFFSET($CQ278,0,CD$7)+OFFSET($CR278,0,CD$7)</f>
        <v>0</v>
      </c>
      <c r="CE278" s="1236">
        <f ca="1">OFFSET($CQ278,0,CE$7)+OFFSET($CR278,0,CE$7)+OFFSET($CS278,0,CE$7)</f>
        <v>0</v>
      </c>
      <c r="CF278" s="1236">
        <f ca="1">OFFSET($CQ278,0,CF$7)+OFFSET($CR278,0,CF$7)+OFFSET($CS278,0,CF$7)+OFFSET($CT278,0,CF$7)</f>
        <v>0</v>
      </c>
      <c r="CG278" s="1236">
        <f ca="1">OFFSET($CQ278,0,CG$7)</f>
        <v>0</v>
      </c>
      <c r="CH278" s="1236">
        <f ca="1">OFFSET($CQ278,0,CH$7)+OFFSET($CR278,0,CH$7)</f>
        <v>0</v>
      </c>
      <c r="CI278" s="1236">
        <f ca="1">OFFSET($CQ278,0,CI$7)+OFFSET($CR278,0,CI$7)+OFFSET($CS278,0,CI$7)</f>
        <v>0</v>
      </c>
      <c r="CJ278" s="1236">
        <f ca="1">OFFSET($CQ278,0,CJ$7)+OFFSET($CR278,0,CJ$7)+OFFSET($CS278,0,CJ$7)+OFFSET($CT278,0,CJ$7)</f>
        <v>0</v>
      </c>
      <c r="CO278" s="1165"/>
      <c r="CP278" s="1165"/>
      <c r="DK278" s="1238"/>
      <c r="DL278" s="1238"/>
      <c r="DM278" s="1238"/>
      <c r="DN278" s="1238"/>
      <c r="DO278" s="1238"/>
      <c r="DP278" s="1238"/>
      <c r="DQ278" s="1238"/>
      <c r="DR278" s="1238"/>
      <c r="DS278" s="1238"/>
      <c r="DT278" s="1238"/>
      <c r="DU278" s="1238"/>
      <c r="DV278" s="1238"/>
      <c r="DW278" s="1238"/>
      <c r="DX278" s="1238"/>
      <c r="DY278" s="1238"/>
      <c r="DZ278" s="1238"/>
      <c r="EA278" s="1238"/>
      <c r="EB278" s="1238"/>
      <c r="EC278" s="1238"/>
      <c r="ED278" s="1238"/>
      <c r="EE278" s="1238"/>
      <c r="EF278" s="1238"/>
      <c r="EG278" s="1238"/>
      <c r="EH278" s="1238"/>
      <c r="EI278" s="1238"/>
      <c r="EJ278" s="1238"/>
      <c r="EK278" s="1238"/>
      <c r="EL278" s="1238"/>
      <c r="EM278" s="1238"/>
      <c r="EN278" s="1238"/>
      <c r="EO278" s="1238"/>
      <c r="EP278" s="1238"/>
      <c r="EQ278" s="1238"/>
      <c r="ER278" s="1238"/>
      <c r="ES278" s="1238"/>
      <c r="ET278" s="1238"/>
    </row>
    <row r="279" spans="1:162">
      <c r="A279" s="1205" t="s">
        <v>678</v>
      </c>
      <c r="B279" s="1230" t="s">
        <v>120</v>
      </c>
      <c r="C279" s="1231"/>
      <c r="D279" s="1231"/>
      <c r="E279" s="1231"/>
      <c r="F279" s="1231"/>
      <c r="G279" s="1231"/>
      <c r="H279" s="1231"/>
      <c r="I279" s="1231"/>
      <c r="J279" s="1231"/>
      <c r="K279" s="1231"/>
      <c r="L279" s="1231"/>
      <c r="M279" s="1231">
        <f t="shared" ca="1" si="405"/>
        <v>0</v>
      </c>
      <c r="N279" s="1231">
        <f t="shared" ca="1" si="405"/>
        <v>0</v>
      </c>
      <c r="O279" s="1231">
        <f t="shared" ca="1" si="405"/>
        <v>0</v>
      </c>
      <c r="P279" s="1231">
        <f t="shared" ca="1" si="405"/>
        <v>0</v>
      </c>
      <c r="Q279" s="1231">
        <f t="shared" ca="1" si="405"/>
        <v>0</v>
      </c>
      <c r="R279" s="1231">
        <f>INDEX('Basic Data TR'!$A$1:$AMJ$9673,MATCH($A279,'Basic Data TR'!$A$1:$A$9673,0),MATCH(R$6,'Basic Data TR'!$A$1:$AMJ$1,0))</f>
        <v>201.33989</v>
      </c>
      <c r="S279" s="1231">
        <f>INDEX('Basic Data TR'!$A$1:$AMJ$9673,MATCH($A279,'Basic Data TR'!$A$1:$A$9673,0),MATCH(S$6,'Basic Data TR'!$A$1:$AMJ$1,0))</f>
        <v>311.822</v>
      </c>
      <c r="T279" s="1231">
        <f>INDEX('Basic Data TR'!$A$1:$AMJ$9673,MATCH($A279,'Basic Data TR'!$A$1:$A$9673,0),MATCH(T$6,'Basic Data TR'!$A$1:$AMJ$1,0))</f>
        <v>0.66900000000000004</v>
      </c>
      <c r="U279" s="1231">
        <f>INDEX('Basic Data TR'!$A$1:$AMJ$9673,MATCH($A279,'Basic Data TR'!$A$1:$A$9673,0),MATCH(U$6,'Basic Data TR'!$A$1:$AMJ$1,0))</f>
        <v>3.2290000000000001</v>
      </c>
      <c r="V279" s="1231">
        <f>INDEX('Basic Data TR'!$A$1:$AMJ$9673,MATCH($A279,'Basic Data TR'!$A$1:$A$9673,0),MATCH(V$6,'Basic Data TR'!$A$1:$AMJ$1,0))</f>
        <v>279.66300000000001</v>
      </c>
      <c r="W279" s="1231">
        <f>INDEX('Basic Data TR'!$A$1:$AMJ$9673,MATCH($A279,'Basic Data TR'!$A$1:$A$9673,0),MATCH(W$6,'Basic Data TR'!$A$1:$AMJ$1,0))</f>
        <v>517.54999999999995</v>
      </c>
      <c r="X279" s="1231">
        <f>INDEX('Basic Data TR'!$A$1:$AMJ$9673,MATCH($A279,'Basic Data TR'!$A$1:$A$9673,0),MATCH(X$6,'Basic Data TR'!$A$1:$AMJ$1,0))</f>
        <v>17.61</v>
      </c>
      <c r="Y279" s="1231">
        <f>INDEX('Basic Data TR'!$A$1:$AMJ$9673,MATCH($A279,'Basic Data TR'!$A$1:$A$9673,0),MATCH(Y$6,'Basic Data TR'!$A$1:$AMJ$1,0))</f>
        <v>343.45600000000002</v>
      </c>
      <c r="Z279" s="1231">
        <f>160.878+8.076</f>
        <v>168.95399999999998</v>
      </c>
      <c r="AA279" s="1231"/>
      <c r="AB279" s="1231"/>
      <c r="AC279" s="1231"/>
      <c r="AD279" s="1231"/>
      <c r="AE279" s="1231"/>
      <c r="AF279" s="1231"/>
      <c r="AG279" s="1231">
        <f ca="1">OFFSET($CQ279,0,AG$7)</f>
        <v>0</v>
      </c>
      <c r="AH279" s="1231">
        <f ca="1">OFFSET($CQ279,0,AH$7)+OFFSET($CR279,0,AH$7)</f>
        <v>0</v>
      </c>
      <c r="AI279" s="1231">
        <f ca="1">OFFSET($CQ279,0,AI$7)+OFFSET($CR279,0,AI$7)+OFFSET($CS279,0,AI$7)</f>
        <v>0</v>
      </c>
      <c r="AJ279" s="1231">
        <f ca="1">OFFSET($CQ279,0,AJ$7)+OFFSET($CR279,0,AJ$7)+OFFSET($CS279,0,AJ$7)+OFFSET($CT279,0,AJ$7)</f>
        <v>0</v>
      </c>
      <c r="AK279" s="1231">
        <f ca="1">OFFSET($CQ279,0,AK$7)</f>
        <v>0</v>
      </c>
      <c r="AL279" s="1231">
        <f ca="1">OFFSET($CQ279,0,AL$7)+OFFSET($CR279,0,AL$7)</f>
        <v>0</v>
      </c>
      <c r="AM279" s="1231">
        <f ca="1">OFFSET($CQ279,0,AM$7)+OFFSET($CR279,0,AM$7)+OFFSET($CS279,0,AM$7)</f>
        <v>0</v>
      </c>
      <c r="AN279" s="1231">
        <f ca="1">OFFSET($CQ279,0,AN$7)+OFFSET($CR279,0,AN$7)+OFFSET($CS279,0,AN$7)+OFFSET($CT279,0,AN$7)</f>
        <v>0</v>
      </c>
      <c r="AO279" s="1231">
        <f ca="1">OFFSET($CQ279,0,AO$7)</f>
        <v>0</v>
      </c>
      <c r="AP279" s="1231">
        <f ca="1">OFFSET($CQ279,0,AP$7)+OFFSET($CR279,0,AP$7)</f>
        <v>0</v>
      </c>
      <c r="AQ279" s="1231">
        <f ca="1">OFFSET($CQ279,0,AQ$7)+OFFSET($CR279,0,AQ$7)+OFFSET($CS279,0,AQ$7)</f>
        <v>0</v>
      </c>
      <c r="AR279" s="1231">
        <f ca="1">OFFSET($CQ279,0,AR$7)+OFFSET($CR279,0,AR$7)+OFFSET($CS279,0,AR$7)+OFFSET($CT279,0,AR$7)</f>
        <v>0</v>
      </c>
      <c r="AS279" s="1231">
        <f ca="1">OFFSET($CQ279,0,AS$7)</f>
        <v>0</v>
      </c>
      <c r="AT279" s="1231">
        <f ca="1">OFFSET($CQ279,0,AT$7)+OFFSET($CR279,0,AT$7)</f>
        <v>0</v>
      </c>
      <c r="AU279" s="1231">
        <f ca="1">OFFSET($CQ279,0,AU$7)+OFFSET($CR279,0,AU$7)+OFFSET($CS279,0,AU$7)</f>
        <v>0</v>
      </c>
      <c r="AV279" s="1231">
        <f ca="1">OFFSET($CQ279,0,AV$7)+OFFSET($CR279,0,AV$7)+OFFSET($CS279,0,AV$7)+OFFSET($CT279,0,AV$7)</f>
        <v>0</v>
      </c>
      <c r="AW279" s="1231">
        <f ca="1">OFFSET($CQ279,0,AW$7)</f>
        <v>0</v>
      </c>
      <c r="AX279" s="1231">
        <f ca="1">OFFSET($CQ279,0,AX$7)+OFFSET($CR279,0,AX$7)</f>
        <v>0</v>
      </c>
      <c r="AY279" s="1231">
        <f ca="1">OFFSET($CQ279,0,AY$7)+OFFSET($CR279,0,AY$7)+OFFSET($CS279,0,AY$7)</f>
        <v>0</v>
      </c>
      <c r="AZ279" s="1231">
        <f ca="1">OFFSET($CQ279,0,AZ$7)+OFFSET($CR279,0,AZ$7)+OFFSET($CS279,0,AZ$7)+OFFSET($CT279,0,AZ$7)</f>
        <v>0</v>
      </c>
      <c r="BA279" s="1231">
        <f ca="1">OFFSET($CQ279,0,BA$7)</f>
        <v>0</v>
      </c>
      <c r="BB279" s="1231">
        <f ca="1">OFFSET($CQ279,0,BB$7)+OFFSET($CR279,0,BB$7)</f>
        <v>0</v>
      </c>
      <c r="BC279" s="1231">
        <f ca="1">OFFSET($CQ279,0,BC$7)+OFFSET($CR279,0,BC$7)+OFFSET($CS279,0,BC$7)</f>
        <v>0</v>
      </c>
      <c r="BD279" s="1231">
        <f ca="1">OFFSET($CQ279,0,BD$7)+OFFSET($CR279,0,BD$7)+OFFSET($CS279,0,BD$7)+OFFSET($CT279,0,BD$7)</f>
        <v>0</v>
      </c>
      <c r="BE279" s="1231">
        <f ca="1">OFFSET($CQ279,0,BE$7)</f>
        <v>0</v>
      </c>
      <c r="BF279" s="1231">
        <f ca="1">OFFSET($CQ279,0,BF$7)+OFFSET($CR279,0,BF$7)</f>
        <v>0</v>
      </c>
      <c r="BG279" s="1231">
        <f ca="1">OFFSET($CQ279,0,BG$7)+OFFSET($CR279,0,BG$7)+OFFSET($CS279,0,BG$7)</f>
        <v>0</v>
      </c>
      <c r="BH279" s="1231">
        <f ca="1">OFFSET($CQ279,0,BH$7)+OFFSET($CR279,0,BH$7)+OFFSET($CS279,0,BH$7)+OFFSET($CT279,0,BH$7)</f>
        <v>0</v>
      </c>
      <c r="BI279" s="1231">
        <f ca="1">OFFSET($CQ279,0,BI$7)</f>
        <v>0</v>
      </c>
      <c r="BJ279" s="1231">
        <f ca="1">OFFSET($CQ279,0,BJ$7)+OFFSET($CR279,0,BJ$7)</f>
        <v>0</v>
      </c>
      <c r="BK279" s="1231">
        <f ca="1">OFFSET($CQ279,0,BK$7)+OFFSET($CR279,0,BK$7)+OFFSET($CS279,0,BK$7)</f>
        <v>0</v>
      </c>
      <c r="BL279" s="1231">
        <f ca="1">OFFSET($CQ279,0,BL$7)+OFFSET($CR279,0,BL$7)+OFFSET($CS279,0,BL$7)+OFFSET($CT279,0,BL$7)</f>
        <v>0</v>
      </c>
      <c r="BM279" s="1231">
        <f ca="1">OFFSET($CQ279,0,BM$7)</f>
        <v>0</v>
      </c>
      <c r="BN279" s="1231">
        <f ca="1">OFFSET($CQ279,0,BN$7)+OFFSET($CR279,0,BN$7)</f>
        <v>0</v>
      </c>
      <c r="BO279" s="1231">
        <f ca="1">OFFSET($CQ279,0,BO$7)+OFFSET($CR279,0,BO$7)+OFFSET($CS279,0,BO$7)</f>
        <v>0</v>
      </c>
      <c r="BP279" s="1231">
        <f ca="1">OFFSET($CQ279,0,BP$7)+OFFSET($CR279,0,BP$7)+OFFSET($CS279,0,BP$7)+OFFSET($CT279,0,BP$7)</f>
        <v>0</v>
      </c>
      <c r="BQ279" s="1231">
        <f ca="1">OFFSET($CQ279,0,BQ$7)</f>
        <v>0</v>
      </c>
      <c r="BR279" s="1231">
        <f ca="1">OFFSET($CQ279,0,BR$7)+OFFSET($CR279,0,BR$7)</f>
        <v>0</v>
      </c>
      <c r="BS279" s="1231">
        <f ca="1">OFFSET($CQ279,0,BS$7)+OFFSET($CR279,0,BS$7)+OFFSET($CS279,0,BS$7)</f>
        <v>0</v>
      </c>
      <c r="BT279" s="1231">
        <f ca="1">OFFSET($CQ279,0,BT$7)+OFFSET($CR279,0,BT$7)+OFFSET($CS279,0,BT$7)+OFFSET($CT279,0,BT$7)</f>
        <v>0</v>
      </c>
      <c r="BU279" s="1231">
        <f ca="1">OFFSET($CQ279,0,BU$7)</f>
        <v>0</v>
      </c>
      <c r="BV279" s="1231">
        <f ca="1">OFFSET($CQ279,0,BV$7)+OFFSET($CR279,0,BV$7)</f>
        <v>0</v>
      </c>
      <c r="BW279" s="1231">
        <f ca="1">OFFSET($CQ279,0,BW$7)+OFFSET($CR279,0,BW$7)+OFFSET($CS279,0,BW$7)</f>
        <v>0</v>
      </c>
      <c r="BX279" s="1231">
        <f ca="1">OFFSET($CQ279,0,BX$7)+OFFSET($CR279,0,BX$7)+OFFSET($CS279,0,BX$7)+OFFSET($CT279,0,BX$7)</f>
        <v>0</v>
      </c>
      <c r="BY279" s="1231">
        <f ca="1">OFFSET($CQ279,0,BY$7)</f>
        <v>0</v>
      </c>
      <c r="BZ279" s="1231">
        <f ca="1">OFFSET($CQ279,0,BZ$7)+OFFSET($CR279,0,BZ$7)</f>
        <v>0</v>
      </c>
      <c r="CA279" s="1231">
        <f ca="1">OFFSET($CQ279,0,CA$7)+OFFSET($CR279,0,CA$7)+OFFSET($CS279,0,CA$7)</f>
        <v>0</v>
      </c>
      <c r="CB279" s="1231">
        <f ca="1">OFFSET($CQ279,0,CB$7)+OFFSET($CR279,0,CB$7)+OFFSET($CS279,0,CB$7)+OFFSET($CT279,0,CB$7)</f>
        <v>0</v>
      </c>
      <c r="CC279" s="1231">
        <f ca="1">OFFSET($CQ279,0,CC$7)</f>
        <v>0</v>
      </c>
      <c r="CD279" s="1231">
        <f ca="1">OFFSET($CQ279,0,CD$7)+OFFSET($CR279,0,CD$7)</f>
        <v>0</v>
      </c>
      <c r="CE279" s="1231">
        <f ca="1">OFFSET($CQ279,0,CE$7)+OFFSET($CR279,0,CE$7)+OFFSET($CS279,0,CE$7)</f>
        <v>0</v>
      </c>
      <c r="CF279" s="1231">
        <f ca="1">OFFSET($CQ279,0,CF$7)+OFFSET($CR279,0,CF$7)+OFFSET($CS279,0,CF$7)+OFFSET($CT279,0,CF$7)</f>
        <v>0</v>
      </c>
      <c r="CG279" s="1231">
        <f ca="1">OFFSET($CQ279,0,CG$7)</f>
        <v>0</v>
      </c>
      <c r="CH279" s="1231">
        <f ca="1">OFFSET($CQ279,0,CH$7)+OFFSET($CR279,0,CH$7)</f>
        <v>0</v>
      </c>
      <c r="CI279" s="1231">
        <f ca="1">OFFSET($CQ279,0,CI$7)+OFFSET($CR279,0,CI$7)+OFFSET($CS279,0,CI$7)</f>
        <v>0</v>
      </c>
      <c r="CJ279" s="1231">
        <f ca="1">OFFSET($CQ279,0,CJ$7)+OFFSET($CR279,0,CJ$7)+OFFSET($CS279,0,CJ$7)+OFFSET($CT279,0,CJ$7)</f>
        <v>0</v>
      </c>
      <c r="CK279" s="1231"/>
      <c r="CL279" s="1231"/>
      <c r="CM279" s="1231"/>
      <c r="CN279" s="1231"/>
      <c r="CO279" s="1165"/>
      <c r="CP279" s="1165"/>
      <c r="CQ279" s="1231"/>
      <c r="CR279" s="1231"/>
      <c r="CS279" s="1231"/>
      <c r="CT279" s="1231"/>
      <c r="CU279" s="1231"/>
      <c r="CV279" s="1231"/>
      <c r="CW279" s="1231"/>
      <c r="CX279" s="1231"/>
      <c r="CY279" s="1231"/>
      <c r="CZ279" s="1231"/>
      <c r="DA279" s="1231"/>
      <c r="DB279" s="1231"/>
      <c r="DC279" s="1231"/>
      <c r="DD279" s="1231"/>
      <c r="DE279" s="1231"/>
      <c r="DF279" s="1231"/>
      <c r="DG279" s="1231"/>
      <c r="DH279" s="1231"/>
      <c r="DI279" s="1231"/>
      <c r="DJ279" s="1231"/>
      <c r="DK279" s="1231"/>
      <c r="DL279" s="1231"/>
      <c r="DM279" s="1231"/>
      <c r="DN279" s="1231"/>
      <c r="DO279" s="1231"/>
      <c r="DP279" s="1231"/>
      <c r="DQ279" s="1231"/>
      <c r="DR279" s="1231"/>
      <c r="DS279" s="1231"/>
      <c r="DT279" s="1231"/>
      <c r="DU279" s="1231"/>
      <c r="DV279" s="1231"/>
      <c r="DW279" s="1231"/>
      <c r="DX279" s="1231"/>
      <c r="DY279" s="1231"/>
      <c r="DZ279" s="1231"/>
      <c r="EA279" s="1231"/>
      <c r="EB279" s="1231"/>
      <c r="EC279" s="1231"/>
      <c r="ED279" s="1231"/>
      <c r="EE279" s="1231"/>
      <c r="EF279" s="1231"/>
      <c r="EG279" s="1231"/>
      <c r="EH279" s="1231"/>
      <c r="EI279" s="1231"/>
      <c r="EJ279" s="1231"/>
      <c r="EK279" s="1231"/>
      <c r="EL279" s="1231"/>
      <c r="EM279" s="1231"/>
      <c r="EN279" s="1231"/>
      <c r="EO279" s="1231"/>
      <c r="EP279" s="1231"/>
      <c r="EQ279" s="1231"/>
      <c r="ER279" s="1231"/>
      <c r="ES279" s="1231"/>
      <c r="ET279" s="1231"/>
      <c r="EU279" s="1231"/>
      <c r="EV279" s="1231"/>
      <c r="EW279" s="1231"/>
      <c r="EX279" s="1231"/>
      <c r="EY279" s="1231"/>
      <c r="EZ279" s="1231"/>
      <c r="FA279" s="1231"/>
      <c r="FB279" s="1231"/>
      <c r="FC279" s="1231"/>
      <c r="FD279" s="1231"/>
      <c r="FE279" s="1231"/>
      <c r="FF279" s="1231"/>
    </row>
    <row r="280" spans="1:162">
      <c r="A280" s="1224"/>
      <c r="CO280" s="1165"/>
      <c r="CP280" s="1165"/>
    </row>
    <row r="281" spans="1:162">
      <c r="A281" s="1205" t="s">
        <v>666</v>
      </c>
      <c r="B281" s="1230" t="s">
        <v>379</v>
      </c>
      <c r="C281" s="1231"/>
      <c r="D281" s="1231"/>
      <c r="E281" s="1231"/>
      <c r="F281" s="1231"/>
      <c r="G281" s="1231"/>
      <c r="H281" s="1231"/>
      <c r="I281" s="1231"/>
      <c r="J281" s="1231"/>
      <c r="K281" s="1231"/>
      <c r="L281" s="1231"/>
      <c r="M281" s="1231">
        <f ca="1">OFFSET($CQ281,0,M$7)+OFFSET($CR281,0,M$7)+OFFSET($CS281,0,M$7)+OFFSET($CT281,0,M$7)</f>
        <v>0</v>
      </c>
      <c r="N281" s="1231">
        <f ca="1">OFFSET($CQ281,0,N$7)+OFFSET($CR281,0,N$7)+OFFSET($CS281,0,N$7)+OFFSET($CT281,0,N$7)</f>
        <v>0</v>
      </c>
      <c r="O281" s="1231">
        <f ca="1">OFFSET($CQ281,0,O$7)+OFFSET($CR281,0,O$7)+OFFSET($CS281,0,O$7)+OFFSET($CT281,0,O$7)</f>
        <v>0</v>
      </c>
      <c r="P281" s="1231">
        <f ca="1">OFFSET($CQ281,0,P$7)+OFFSET($CR281,0,P$7)+OFFSET($CS281,0,P$7)+OFFSET($CT281,0,P$7)</f>
        <v>0</v>
      </c>
      <c r="Q281" s="1231">
        <f ca="1">OFFSET($CQ281,0,Q$7)+OFFSET($CR281,0,Q$7)+OFFSET($CS281,0,Q$7)+OFFSET($CT281,0,Q$7)</f>
        <v>0</v>
      </c>
      <c r="R281" s="1231">
        <f>INDEX('Basic Data TR'!$A$1:$AMJ$9673,MATCH($A281,'Basic Data TR'!$A$1:$A$9673,0),MATCH(R$6,'Basic Data TR'!$A$1:$AMJ$1,0))</f>
        <v>0</v>
      </c>
      <c r="S281" s="1231">
        <f>INDEX('Basic Data TR'!$A$1:$AMJ$9673,MATCH($A281,'Basic Data TR'!$A$1:$A$9673,0),MATCH(S$6,'Basic Data TR'!$A$1:$AMJ$1,0))</f>
        <v>0</v>
      </c>
      <c r="T281" s="1231">
        <f>INDEX('Basic Data TR'!$A$1:$AMJ$9673,MATCH($A281,'Basic Data TR'!$A$1:$A$9673,0),MATCH(T$6,'Basic Data TR'!$A$1:$AMJ$1,0))</f>
        <v>0</v>
      </c>
      <c r="U281" s="1231">
        <f>INDEX('Basic Data TR'!$A$1:$AMJ$9673,MATCH($A281,'Basic Data TR'!$A$1:$A$9673,0),MATCH(U$6,'Basic Data TR'!$A$1:$AMJ$1,0))</f>
        <v>0</v>
      </c>
      <c r="V281" s="1231">
        <f>INDEX('Basic Data TR'!$A$1:$AMJ$9673,MATCH($A281,'Basic Data TR'!$A$1:$A$9673,0),MATCH(V$6,'Basic Data TR'!$A$1:$AMJ$1,0))</f>
        <v>0</v>
      </c>
      <c r="W281" s="1231">
        <f>INDEX('Basic Data TR'!$A$1:$AMJ$9673,MATCH($A281,'Basic Data TR'!$A$1:$A$9673,0),MATCH(W$6,'Basic Data TR'!$A$1:$AMJ$1,0))</f>
        <v>0</v>
      </c>
      <c r="X281" s="1231">
        <f>INDEX('Basic Data TR'!$A$1:$AMJ$9673,MATCH($A281,'Basic Data TR'!$A$1:$A$9673,0),MATCH(X$6,'Basic Data TR'!$A$1:$AMJ$1,0))</f>
        <v>0</v>
      </c>
      <c r="Y281" s="1231">
        <f>INDEX('Basic Data TR'!$A$1:$AMJ$9673,MATCH($A281,'Basic Data TR'!$A$1:$A$9673,0),MATCH(Y$6,'Basic Data TR'!$A$1:$AMJ$1,0))</f>
        <v>0</v>
      </c>
      <c r="Z281" s="1231"/>
      <c r="AA281" s="1231"/>
      <c r="AB281" s="1231"/>
      <c r="AC281" s="1231"/>
      <c r="AD281" s="1231"/>
      <c r="AE281" s="1231"/>
      <c r="AF281" s="1231"/>
      <c r="AG281" s="1231">
        <f ca="1">OFFSET($CQ281,0,AG$7)</f>
        <v>0</v>
      </c>
      <c r="AH281" s="1231">
        <f ca="1">OFFSET($CQ281,0,AH$7)+OFFSET($CR281,0,AH$7)</f>
        <v>0</v>
      </c>
      <c r="AI281" s="1231">
        <f ca="1">OFFSET($CQ281,0,AI$7)+OFFSET($CR281,0,AI$7)+OFFSET($CS281,0,AI$7)</f>
        <v>0</v>
      </c>
      <c r="AJ281" s="1231">
        <f ca="1">OFFSET($CQ281,0,AJ$7)+OFFSET($CR281,0,AJ$7)+OFFSET($CS281,0,AJ$7)+OFFSET($CT281,0,AJ$7)</f>
        <v>0</v>
      </c>
      <c r="AK281" s="1231">
        <f ca="1">OFFSET($CQ281,0,AK$7)</f>
        <v>0</v>
      </c>
      <c r="AL281" s="1231">
        <f ca="1">OFFSET($CQ281,0,AL$7)+OFFSET($CR281,0,AL$7)</f>
        <v>0</v>
      </c>
      <c r="AM281" s="1231">
        <f ca="1">OFFSET($CQ281,0,AM$7)+OFFSET($CR281,0,AM$7)+OFFSET($CS281,0,AM$7)</f>
        <v>0</v>
      </c>
      <c r="AN281" s="1231">
        <f ca="1">OFFSET($CQ281,0,AN$7)+OFFSET($CR281,0,AN$7)+OFFSET($CS281,0,AN$7)+OFFSET($CT281,0,AN$7)</f>
        <v>0</v>
      </c>
      <c r="AO281" s="1231">
        <f ca="1">OFFSET($CQ281,0,AO$7)</f>
        <v>0</v>
      </c>
      <c r="AP281" s="1231">
        <f ca="1">OFFSET($CQ281,0,AP$7)+OFFSET($CR281,0,AP$7)</f>
        <v>0</v>
      </c>
      <c r="AQ281" s="1231">
        <f ca="1">OFFSET($CQ281,0,AQ$7)+OFFSET($CR281,0,AQ$7)+OFFSET($CS281,0,AQ$7)</f>
        <v>0</v>
      </c>
      <c r="AR281" s="1231">
        <f ca="1">OFFSET($CQ281,0,AR$7)+OFFSET($CR281,0,AR$7)+OFFSET($CS281,0,AR$7)+OFFSET($CT281,0,AR$7)</f>
        <v>0</v>
      </c>
      <c r="AS281" s="1231">
        <f ca="1">OFFSET($CQ281,0,AS$7)</f>
        <v>0</v>
      </c>
      <c r="AT281" s="1231">
        <f ca="1">OFFSET($CQ281,0,AT$7)+OFFSET($CR281,0,AT$7)</f>
        <v>0</v>
      </c>
      <c r="AU281" s="1231">
        <f ca="1">OFFSET($CQ281,0,AU$7)+OFFSET($CR281,0,AU$7)+OFFSET($CS281,0,AU$7)</f>
        <v>0</v>
      </c>
      <c r="AV281" s="1231">
        <f ca="1">OFFSET($CQ281,0,AV$7)+OFFSET($CR281,0,AV$7)+OFFSET($CS281,0,AV$7)+OFFSET($CT281,0,AV$7)</f>
        <v>0</v>
      </c>
      <c r="AW281" s="1231">
        <f ca="1">OFFSET($CQ281,0,AW$7)</f>
        <v>0</v>
      </c>
      <c r="AX281" s="1231">
        <f ca="1">OFFSET($CQ281,0,AX$7)+OFFSET($CR281,0,AX$7)</f>
        <v>0</v>
      </c>
      <c r="AY281" s="1231">
        <f ca="1">OFFSET($CQ281,0,AY$7)+OFFSET($CR281,0,AY$7)+OFFSET($CS281,0,AY$7)</f>
        <v>0</v>
      </c>
      <c r="AZ281" s="1231">
        <f ca="1">OFFSET($CQ281,0,AZ$7)+OFFSET($CR281,0,AZ$7)+OFFSET($CS281,0,AZ$7)+OFFSET($CT281,0,AZ$7)</f>
        <v>0</v>
      </c>
      <c r="BA281" s="1231">
        <f ca="1">OFFSET($CQ281,0,BA$7)</f>
        <v>0</v>
      </c>
      <c r="BB281" s="1231">
        <f ca="1">OFFSET($CQ281,0,BB$7)+OFFSET($CR281,0,BB$7)</f>
        <v>0</v>
      </c>
      <c r="BC281" s="1231">
        <f ca="1">OFFSET($CQ281,0,BC$7)+OFFSET($CR281,0,BC$7)+OFFSET($CS281,0,BC$7)</f>
        <v>0</v>
      </c>
      <c r="BD281" s="1231">
        <f ca="1">OFFSET($CQ281,0,BD$7)+OFFSET($CR281,0,BD$7)+OFFSET($CS281,0,BD$7)+OFFSET($CT281,0,BD$7)</f>
        <v>0</v>
      </c>
      <c r="BE281" s="1231">
        <f ca="1">OFFSET($CQ281,0,BE$7)</f>
        <v>0</v>
      </c>
      <c r="BF281" s="1231">
        <f ca="1">OFFSET($CQ281,0,BF$7)+OFFSET($CR281,0,BF$7)</f>
        <v>0</v>
      </c>
      <c r="BG281" s="1231">
        <f ca="1">OFFSET($CQ281,0,BG$7)+OFFSET($CR281,0,BG$7)+OFFSET($CS281,0,BG$7)</f>
        <v>0</v>
      </c>
      <c r="BH281" s="1231">
        <f ca="1">OFFSET($CQ281,0,BH$7)+OFFSET($CR281,0,BH$7)+OFFSET($CS281,0,BH$7)+OFFSET($CT281,0,BH$7)</f>
        <v>0</v>
      </c>
      <c r="BI281" s="1231">
        <f ca="1">OFFSET($CQ281,0,BI$7)</f>
        <v>0</v>
      </c>
      <c r="BJ281" s="1231">
        <f ca="1">OFFSET($CQ281,0,BJ$7)+OFFSET($CR281,0,BJ$7)</f>
        <v>0</v>
      </c>
      <c r="BK281" s="1231">
        <f ca="1">OFFSET($CQ281,0,BK$7)+OFFSET($CR281,0,BK$7)+OFFSET($CS281,0,BK$7)</f>
        <v>0</v>
      </c>
      <c r="BL281" s="1231">
        <f ca="1">OFFSET($CQ281,0,BL$7)+OFFSET($CR281,0,BL$7)+OFFSET($CS281,0,BL$7)+OFFSET($CT281,0,BL$7)</f>
        <v>0</v>
      </c>
      <c r="BM281" s="1231">
        <f ca="1">OFFSET($CQ281,0,BM$7)</f>
        <v>0</v>
      </c>
      <c r="BN281" s="1231">
        <f ca="1">OFFSET($CQ281,0,BN$7)+OFFSET($CR281,0,BN$7)</f>
        <v>0</v>
      </c>
      <c r="BO281" s="1231">
        <f ca="1">OFFSET($CQ281,0,BO$7)+OFFSET($CR281,0,BO$7)+OFFSET($CS281,0,BO$7)</f>
        <v>0</v>
      </c>
      <c r="BP281" s="1231">
        <f ca="1">OFFSET($CQ281,0,BP$7)+OFFSET($CR281,0,BP$7)+OFFSET($CS281,0,BP$7)+OFFSET($CT281,0,BP$7)</f>
        <v>0</v>
      </c>
      <c r="BQ281" s="1231">
        <f ca="1">OFFSET($CQ281,0,BQ$7)</f>
        <v>0</v>
      </c>
      <c r="BR281" s="1231">
        <f ca="1">OFFSET($CQ281,0,BR$7)+OFFSET($CR281,0,BR$7)</f>
        <v>0</v>
      </c>
      <c r="BS281" s="1231">
        <f ca="1">OFFSET($CQ281,0,BS$7)+OFFSET($CR281,0,BS$7)+OFFSET($CS281,0,BS$7)</f>
        <v>0</v>
      </c>
      <c r="BT281" s="1231">
        <f ca="1">OFFSET($CQ281,0,BT$7)+OFFSET($CR281,0,BT$7)+OFFSET($CS281,0,BT$7)+OFFSET($CT281,0,BT$7)</f>
        <v>0</v>
      </c>
      <c r="BU281" s="1231">
        <f ca="1">OFFSET($CQ281,0,BU$7)</f>
        <v>0</v>
      </c>
      <c r="BV281" s="1231">
        <f ca="1">OFFSET($CQ281,0,BV$7)+OFFSET($CR281,0,BV$7)</f>
        <v>0</v>
      </c>
      <c r="BW281" s="1231">
        <f ca="1">OFFSET($CQ281,0,BW$7)+OFFSET($CR281,0,BW$7)+OFFSET($CS281,0,BW$7)</f>
        <v>0</v>
      </c>
      <c r="BX281" s="1231">
        <f ca="1">OFFSET($CQ281,0,BX$7)+OFFSET($CR281,0,BX$7)+OFFSET($CS281,0,BX$7)+OFFSET($CT281,0,BX$7)</f>
        <v>0</v>
      </c>
      <c r="BY281" s="1231">
        <f ca="1">OFFSET($CQ281,0,BY$7)</f>
        <v>0</v>
      </c>
      <c r="BZ281" s="1231">
        <f ca="1">OFFSET($CQ281,0,BZ$7)+OFFSET($CR281,0,BZ$7)</f>
        <v>0</v>
      </c>
      <c r="CA281" s="1231">
        <f ca="1">OFFSET($CQ281,0,CA$7)+OFFSET($CR281,0,CA$7)+OFFSET($CS281,0,CA$7)</f>
        <v>0</v>
      </c>
      <c r="CB281" s="1231">
        <f ca="1">OFFSET($CQ281,0,CB$7)+OFFSET($CR281,0,CB$7)+OFFSET($CS281,0,CB$7)+OFFSET($CT281,0,CB$7)</f>
        <v>0</v>
      </c>
      <c r="CC281" s="1231">
        <f ca="1">OFFSET($CQ281,0,CC$7)</f>
        <v>0</v>
      </c>
      <c r="CD281" s="1231">
        <f ca="1">OFFSET($CQ281,0,CD$7)+OFFSET($CR281,0,CD$7)</f>
        <v>0</v>
      </c>
      <c r="CE281" s="1231">
        <f ca="1">OFFSET($CQ281,0,CE$7)+OFFSET($CR281,0,CE$7)+OFFSET($CS281,0,CE$7)</f>
        <v>0</v>
      </c>
      <c r="CF281" s="1231">
        <f ca="1">OFFSET($CQ281,0,CF$7)+OFFSET($CR281,0,CF$7)+OFFSET($CS281,0,CF$7)+OFFSET($CT281,0,CF$7)</f>
        <v>0</v>
      </c>
      <c r="CG281" s="1231">
        <f ca="1">OFFSET($CQ281,0,CG$7)</f>
        <v>0</v>
      </c>
      <c r="CH281" s="1231">
        <f ca="1">OFFSET($CQ281,0,CH$7)+OFFSET($CR281,0,CH$7)</f>
        <v>0</v>
      </c>
      <c r="CI281" s="1231">
        <f ca="1">OFFSET($CQ281,0,CI$7)+OFFSET($CR281,0,CI$7)+OFFSET($CS281,0,CI$7)</f>
        <v>0</v>
      </c>
      <c r="CJ281" s="1231">
        <f ca="1">OFFSET($CQ281,0,CJ$7)+OFFSET($CR281,0,CJ$7)+OFFSET($CS281,0,CJ$7)+OFFSET($CT281,0,CJ$7)</f>
        <v>0</v>
      </c>
      <c r="CK281" s="1231"/>
      <c r="CL281" s="1231"/>
      <c r="CM281" s="1231"/>
      <c r="CN281" s="1231"/>
      <c r="CO281" s="1165"/>
      <c r="CP281" s="1165"/>
      <c r="CQ281" s="1231"/>
      <c r="CR281" s="1231"/>
      <c r="CS281" s="1231"/>
      <c r="CT281" s="1231"/>
      <c r="CU281" s="1231"/>
      <c r="CV281" s="1231"/>
      <c r="CW281" s="1231"/>
      <c r="CX281" s="1231"/>
      <c r="CY281" s="1231"/>
      <c r="CZ281" s="1231"/>
      <c r="DA281" s="1231"/>
      <c r="DB281" s="1231"/>
      <c r="DC281" s="1231"/>
      <c r="DD281" s="1231"/>
      <c r="DE281" s="1231"/>
      <c r="DF281" s="1231"/>
      <c r="DG281" s="1231"/>
      <c r="DH281" s="1231"/>
      <c r="DI281" s="1231"/>
      <c r="DJ281" s="1231"/>
      <c r="DK281" s="1232"/>
      <c r="DL281" s="1232"/>
      <c r="DM281" s="1232"/>
      <c r="DN281" s="1232"/>
      <c r="DO281" s="1232"/>
      <c r="DP281" s="1232"/>
      <c r="DQ281" s="1232"/>
      <c r="DR281" s="1232"/>
      <c r="DS281" s="1232"/>
      <c r="DT281" s="1232"/>
      <c r="DU281" s="1232"/>
      <c r="DV281" s="1232"/>
      <c r="DW281" s="1232"/>
      <c r="DX281" s="1232"/>
      <c r="DY281" s="1232"/>
      <c r="DZ281" s="1232"/>
      <c r="EA281" s="1232"/>
      <c r="EB281" s="1232"/>
      <c r="EC281" s="1232"/>
      <c r="ED281" s="1232"/>
      <c r="EE281" s="1232"/>
      <c r="EF281" s="1232"/>
      <c r="EG281" s="1232"/>
      <c r="EH281" s="1232"/>
      <c r="EI281" s="1232"/>
      <c r="EJ281" s="1232"/>
      <c r="EK281" s="1232"/>
      <c r="EL281" s="1232"/>
      <c r="EM281" s="1232"/>
      <c r="EN281" s="1232"/>
      <c r="EO281" s="1232"/>
      <c r="EP281" s="1232"/>
      <c r="EQ281" s="1232"/>
      <c r="ER281" s="1232"/>
      <c r="ES281" s="1232"/>
      <c r="ET281" s="1232"/>
      <c r="EU281" s="1231"/>
      <c r="EV281" s="1231"/>
      <c r="EW281" s="1231"/>
      <c r="EX281" s="1231"/>
      <c r="EY281" s="1231"/>
      <c r="EZ281" s="1231"/>
      <c r="FA281" s="1231"/>
      <c r="FB281" s="1231"/>
      <c r="FC281" s="1231"/>
      <c r="FD281" s="1231"/>
      <c r="FE281" s="1231"/>
      <c r="FF281" s="1231"/>
    </row>
    <row r="282" spans="1:162" s="1231" customFormat="1">
      <c r="A282" s="1224"/>
      <c r="B282" s="1165"/>
      <c r="C282" s="1236"/>
      <c r="D282" s="1236"/>
      <c r="E282" s="1236"/>
      <c r="F282" s="1236"/>
      <c r="G282" s="1236"/>
      <c r="H282" s="1236"/>
      <c r="I282" s="1236"/>
      <c r="J282" s="1236"/>
      <c r="K282" s="1236"/>
      <c r="L282" s="1236"/>
      <c r="CK282" s="1236"/>
      <c r="CL282" s="1236"/>
      <c r="CM282" s="1236"/>
      <c r="CN282" s="1236"/>
      <c r="CO282" s="1165"/>
      <c r="CP282" s="1165"/>
    </row>
    <row r="283" spans="1:162">
      <c r="A283" s="1203" t="s">
        <v>681</v>
      </c>
      <c r="B283" s="1237" t="s">
        <v>368</v>
      </c>
      <c r="M283" s="1236">
        <f t="shared" ref="M283:Q287" ca="1" si="406">OFFSET($CQ283,0,M$7)+OFFSET($CR283,0,M$7)+OFFSET($CS283,0,M$7)+OFFSET($CT283,0,M$7)</f>
        <v>0</v>
      </c>
      <c r="N283" s="1236">
        <f t="shared" ca="1" si="406"/>
        <v>0</v>
      </c>
      <c r="O283" s="1236">
        <f t="shared" ca="1" si="406"/>
        <v>0</v>
      </c>
      <c r="P283" s="1236">
        <f t="shared" ca="1" si="406"/>
        <v>0</v>
      </c>
      <c r="Q283" s="1236">
        <f t="shared" ca="1" si="406"/>
        <v>0</v>
      </c>
      <c r="R283" s="1236">
        <f>INDEX('Basic Data TR'!$A$1:$AMJ$9673,MATCH($A283,'Basic Data TR'!$A$1:$A$9673,0),MATCH(R$6,'Basic Data TR'!$A$1:$AMJ$1,0))</f>
        <v>0</v>
      </c>
      <c r="S283" s="1236">
        <f>INDEX('Basic Data TR'!$A$1:$AMJ$9673,MATCH($A283,'Basic Data TR'!$A$1:$A$9673,0),MATCH(S$6,'Basic Data TR'!$A$1:$AMJ$1,0))</f>
        <v>0</v>
      </c>
      <c r="T283" s="1236">
        <f>INDEX('Basic Data TR'!$A$1:$AMJ$9673,MATCH($A283,'Basic Data TR'!$A$1:$A$9673,0),MATCH(T$6,'Basic Data TR'!$A$1:$AMJ$1,0))</f>
        <v>0</v>
      </c>
      <c r="U283" s="1236">
        <f>INDEX('Basic Data TR'!$A$1:$AMJ$9673,MATCH($A283,'Basic Data TR'!$A$1:$A$9673,0),MATCH(U$6,'Basic Data TR'!$A$1:$AMJ$1,0))</f>
        <v>0</v>
      </c>
      <c r="V283" s="1236">
        <f>INDEX('Basic Data TR'!$A$1:$AMJ$9673,MATCH($A283,'Basic Data TR'!$A$1:$A$9673,0),MATCH(V$6,'Basic Data TR'!$A$1:$AMJ$1,0))</f>
        <v>0</v>
      </c>
      <c r="W283" s="1236">
        <f>INDEX('Basic Data TR'!$A$1:$AMJ$9673,MATCH($A283,'Basic Data TR'!$A$1:$A$9673,0),MATCH(W$6,'Basic Data TR'!$A$1:$AMJ$1,0))</f>
        <v>0</v>
      </c>
      <c r="X283" s="1236">
        <f>INDEX('Basic Data TR'!$A$1:$AMJ$9673,MATCH($A283,'Basic Data TR'!$A$1:$A$9673,0),MATCH(X$6,'Basic Data TR'!$A$1:$AMJ$1,0))</f>
        <v>0</v>
      </c>
      <c r="Y283" s="1236">
        <f>INDEX('Basic Data TR'!$A$1:$AMJ$9673,MATCH($A283,'Basic Data TR'!$A$1:$A$9673,0),MATCH(Y$6,'Basic Data TR'!$A$1:$AMJ$1,0))</f>
        <v>-87.858000000000004</v>
      </c>
      <c r="AG283" s="1236">
        <f ca="1">OFFSET($CQ283,0,AG$7)</f>
        <v>0</v>
      </c>
      <c r="AH283" s="1236">
        <f ca="1">OFFSET($CQ283,0,AH$7)+OFFSET($CR283,0,AH$7)</f>
        <v>0</v>
      </c>
      <c r="AI283" s="1236">
        <f ca="1">OFFSET($CQ283,0,AI$7)+OFFSET($CR283,0,AI$7)+OFFSET($CS283,0,AI$7)</f>
        <v>0</v>
      </c>
      <c r="AJ283" s="1236">
        <f ca="1">OFFSET($CQ283,0,AJ$7)+OFFSET($CR283,0,AJ$7)+OFFSET($CS283,0,AJ$7)+OFFSET($CT283,0,AJ$7)</f>
        <v>0</v>
      </c>
      <c r="AK283" s="1236">
        <f ca="1">OFFSET($CQ283,0,AK$7)</f>
        <v>0</v>
      </c>
      <c r="AL283" s="1236">
        <f ca="1">OFFSET($CQ283,0,AL$7)+OFFSET($CR283,0,AL$7)</f>
        <v>0</v>
      </c>
      <c r="AM283" s="1236">
        <f ca="1">OFFSET($CQ283,0,AM$7)+OFFSET($CR283,0,AM$7)+OFFSET($CS283,0,AM$7)</f>
        <v>0</v>
      </c>
      <c r="AN283" s="1236">
        <f ca="1">OFFSET($CQ283,0,AN$7)+OFFSET($CR283,0,AN$7)+OFFSET($CS283,0,AN$7)+OFFSET($CT283,0,AN$7)</f>
        <v>0</v>
      </c>
      <c r="AO283" s="1236">
        <f ca="1">OFFSET($CQ283,0,AO$7)</f>
        <v>0</v>
      </c>
      <c r="AP283" s="1236">
        <f ca="1">OFFSET($CQ283,0,AP$7)+OFFSET($CR283,0,AP$7)</f>
        <v>0</v>
      </c>
      <c r="AQ283" s="1236">
        <f ca="1">OFFSET($CQ283,0,AQ$7)+OFFSET($CR283,0,AQ$7)+OFFSET($CS283,0,AQ$7)</f>
        <v>0</v>
      </c>
      <c r="AR283" s="1236">
        <f ca="1">OFFSET($CQ283,0,AR$7)+OFFSET($CR283,0,AR$7)+OFFSET($CS283,0,AR$7)+OFFSET($CT283,0,AR$7)</f>
        <v>0</v>
      </c>
      <c r="AS283" s="1236">
        <f ca="1">OFFSET($CQ283,0,AS$7)</f>
        <v>0</v>
      </c>
      <c r="AT283" s="1236">
        <f ca="1">OFFSET($CQ283,0,AT$7)+OFFSET($CR283,0,AT$7)</f>
        <v>0</v>
      </c>
      <c r="AU283" s="1236">
        <f ca="1">OFFSET($CQ283,0,AU$7)+OFFSET($CR283,0,AU$7)+OFFSET($CS283,0,AU$7)</f>
        <v>0</v>
      </c>
      <c r="AV283" s="1236">
        <f ca="1">OFFSET($CQ283,0,AV$7)+OFFSET($CR283,0,AV$7)+OFFSET($CS283,0,AV$7)+OFFSET($CT283,0,AV$7)</f>
        <v>0</v>
      </c>
      <c r="AW283" s="1236">
        <f ca="1">OFFSET($CQ283,0,AW$7)</f>
        <v>0</v>
      </c>
      <c r="AX283" s="1236">
        <f ca="1">OFFSET($CQ283,0,AX$7)+OFFSET($CR283,0,AX$7)</f>
        <v>0</v>
      </c>
      <c r="AY283" s="1236">
        <f ca="1">OFFSET($CQ283,0,AY$7)+OFFSET($CR283,0,AY$7)+OFFSET($CS283,0,AY$7)</f>
        <v>0</v>
      </c>
      <c r="AZ283" s="1236">
        <f ca="1">OFFSET($CQ283,0,AZ$7)+OFFSET($CR283,0,AZ$7)+OFFSET($CS283,0,AZ$7)+OFFSET($CT283,0,AZ$7)</f>
        <v>0</v>
      </c>
      <c r="BA283" s="1236">
        <f ca="1">OFFSET($CQ283,0,BA$7)</f>
        <v>0</v>
      </c>
      <c r="BB283" s="1236">
        <f ca="1">OFFSET($CQ283,0,BB$7)+OFFSET($CR283,0,BB$7)</f>
        <v>0</v>
      </c>
      <c r="BC283" s="1236">
        <f ca="1">OFFSET($CQ283,0,BC$7)+OFFSET($CR283,0,BC$7)+OFFSET($CS283,0,BC$7)</f>
        <v>0</v>
      </c>
      <c r="BD283" s="1236">
        <f ca="1">OFFSET($CQ283,0,BD$7)+OFFSET($CR283,0,BD$7)+OFFSET($CS283,0,BD$7)+OFFSET($CT283,0,BD$7)</f>
        <v>0</v>
      </c>
      <c r="BE283" s="1236">
        <f ca="1">OFFSET($CQ283,0,BE$7)</f>
        <v>0</v>
      </c>
      <c r="BF283" s="1236">
        <f ca="1">OFFSET($CQ283,0,BF$7)+OFFSET($CR283,0,BF$7)</f>
        <v>0</v>
      </c>
      <c r="BG283" s="1236">
        <f ca="1">OFFSET($CQ283,0,BG$7)+OFFSET($CR283,0,BG$7)+OFFSET($CS283,0,BG$7)</f>
        <v>0</v>
      </c>
      <c r="BH283" s="1236">
        <f ca="1">OFFSET($CQ283,0,BH$7)+OFFSET($CR283,0,BH$7)+OFFSET($CS283,0,BH$7)+OFFSET($CT283,0,BH$7)</f>
        <v>0</v>
      </c>
      <c r="BI283" s="1236">
        <f ca="1">OFFSET($CQ283,0,BI$7)</f>
        <v>0</v>
      </c>
      <c r="BJ283" s="1236">
        <f ca="1">OFFSET($CQ283,0,BJ$7)+OFFSET($CR283,0,BJ$7)</f>
        <v>0</v>
      </c>
      <c r="BK283" s="1236">
        <f ca="1">OFFSET($CQ283,0,BK$7)+OFFSET($CR283,0,BK$7)+OFFSET($CS283,0,BK$7)</f>
        <v>0</v>
      </c>
      <c r="BL283" s="1236">
        <f ca="1">OFFSET($CQ283,0,BL$7)+OFFSET($CR283,0,BL$7)+OFFSET($CS283,0,BL$7)+OFFSET($CT283,0,BL$7)</f>
        <v>0</v>
      </c>
      <c r="BM283" s="1236">
        <f ca="1">OFFSET($CQ283,0,BM$7)</f>
        <v>0</v>
      </c>
      <c r="BN283" s="1236">
        <f ca="1">OFFSET($CQ283,0,BN$7)+OFFSET($CR283,0,BN$7)</f>
        <v>0</v>
      </c>
      <c r="BO283" s="1236">
        <f ca="1">OFFSET($CQ283,0,BO$7)+OFFSET($CR283,0,BO$7)+OFFSET($CS283,0,BO$7)</f>
        <v>0</v>
      </c>
      <c r="BP283" s="1236">
        <f ca="1">OFFSET($CQ283,0,BP$7)+OFFSET($CR283,0,BP$7)+OFFSET($CS283,0,BP$7)+OFFSET($CT283,0,BP$7)</f>
        <v>0</v>
      </c>
      <c r="BQ283" s="1236">
        <f ca="1">OFFSET($CQ283,0,BQ$7)</f>
        <v>0</v>
      </c>
      <c r="BR283" s="1236">
        <f ca="1">OFFSET($CQ283,0,BR$7)+OFFSET($CR283,0,BR$7)</f>
        <v>0</v>
      </c>
      <c r="BS283" s="1236">
        <f ca="1">OFFSET($CQ283,0,BS$7)+OFFSET($CR283,0,BS$7)+OFFSET($CS283,0,BS$7)</f>
        <v>0</v>
      </c>
      <c r="BT283" s="1236">
        <f ca="1">OFFSET($CQ283,0,BT$7)+OFFSET($CR283,0,BT$7)+OFFSET($CS283,0,BT$7)+OFFSET($CT283,0,BT$7)</f>
        <v>0</v>
      </c>
      <c r="BU283" s="1236">
        <f ca="1">OFFSET($CQ283,0,BU$7)</f>
        <v>0</v>
      </c>
      <c r="BV283" s="1236">
        <f ca="1">OFFSET($CQ283,0,BV$7)+OFFSET($CR283,0,BV$7)</f>
        <v>0</v>
      </c>
      <c r="BW283" s="1236">
        <f ca="1">OFFSET($CQ283,0,BW$7)+OFFSET($CR283,0,BW$7)+OFFSET($CS283,0,BW$7)</f>
        <v>0</v>
      </c>
      <c r="BX283" s="1236">
        <f ca="1">OFFSET($CQ283,0,BX$7)+OFFSET($CR283,0,BX$7)+OFFSET($CS283,0,BX$7)+OFFSET($CT283,0,BX$7)</f>
        <v>0</v>
      </c>
      <c r="BY283" s="1236">
        <f ca="1">OFFSET($CQ283,0,BY$7)</f>
        <v>0</v>
      </c>
      <c r="BZ283" s="1236">
        <f ca="1">OFFSET($CQ283,0,BZ$7)+OFFSET($CR283,0,BZ$7)</f>
        <v>0</v>
      </c>
      <c r="CA283" s="1236">
        <f ca="1">OFFSET($CQ283,0,CA$7)+OFFSET($CR283,0,CA$7)+OFFSET($CS283,0,CA$7)</f>
        <v>0</v>
      </c>
      <c r="CB283" s="1236">
        <f ca="1">OFFSET($CQ283,0,CB$7)+OFFSET($CR283,0,CB$7)+OFFSET($CS283,0,CB$7)+OFFSET($CT283,0,CB$7)</f>
        <v>0</v>
      </c>
      <c r="CC283" s="1236">
        <f ca="1">OFFSET($CQ283,0,CC$7)</f>
        <v>0</v>
      </c>
      <c r="CD283" s="1236">
        <f ca="1">OFFSET($CQ283,0,CD$7)+OFFSET($CR283,0,CD$7)</f>
        <v>0</v>
      </c>
      <c r="CE283" s="1236">
        <f ca="1">OFFSET($CQ283,0,CE$7)+OFFSET($CR283,0,CE$7)+OFFSET($CS283,0,CE$7)</f>
        <v>0</v>
      </c>
      <c r="CF283" s="1236">
        <f ca="1">OFFSET($CQ283,0,CF$7)+OFFSET($CR283,0,CF$7)+OFFSET($CS283,0,CF$7)+OFFSET($CT283,0,CF$7)</f>
        <v>0</v>
      </c>
      <c r="CG283" s="1236">
        <f ca="1">OFFSET($CQ283,0,CG$7)</f>
        <v>0</v>
      </c>
      <c r="CH283" s="1236">
        <f ca="1">OFFSET($CQ283,0,CH$7)+OFFSET($CR283,0,CH$7)</f>
        <v>0</v>
      </c>
      <c r="CI283" s="1236">
        <f ca="1">OFFSET($CQ283,0,CI$7)+OFFSET($CR283,0,CI$7)+OFFSET($CS283,0,CI$7)</f>
        <v>0</v>
      </c>
      <c r="CJ283" s="1236">
        <f ca="1">OFFSET($CQ283,0,CJ$7)+OFFSET($CR283,0,CJ$7)+OFFSET($CS283,0,CJ$7)+OFFSET($CT283,0,CJ$7)</f>
        <v>0</v>
      </c>
      <c r="CO283" s="1165"/>
      <c r="CP283" s="1165"/>
      <c r="DK283" s="1238"/>
      <c r="DL283" s="1238"/>
      <c r="DM283" s="1238"/>
      <c r="DN283" s="1238"/>
      <c r="DO283" s="1238"/>
      <c r="DP283" s="1238"/>
      <c r="DQ283" s="1238"/>
      <c r="DR283" s="1238"/>
      <c r="DS283" s="1238"/>
      <c r="DT283" s="1238"/>
      <c r="DU283" s="1238"/>
      <c r="DV283" s="1238"/>
      <c r="DW283" s="1238"/>
      <c r="DX283" s="1238"/>
      <c r="DY283" s="1238"/>
      <c r="DZ283" s="1238"/>
      <c r="EA283" s="1238"/>
      <c r="EB283" s="1238"/>
      <c r="EC283" s="1238"/>
      <c r="ED283" s="1238"/>
      <c r="EE283" s="1238"/>
      <c r="EF283" s="1238"/>
      <c r="EG283" s="1238"/>
      <c r="EH283" s="1238"/>
      <c r="EI283" s="1238"/>
      <c r="EJ283" s="1238"/>
      <c r="EK283" s="1238"/>
      <c r="EL283" s="1238"/>
      <c r="EM283" s="1238"/>
      <c r="EN283" s="1238"/>
      <c r="EO283" s="1238"/>
      <c r="EP283" s="1238"/>
      <c r="EQ283" s="1238"/>
      <c r="ER283" s="1238"/>
      <c r="ES283" s="1238"/>
      <c r="ET283" s="1238"/>
    </row>
    <row r="284" spans="1:162" s="1231" customFormat="1">
      <c r="A284" s="1224"/>
      <c r="B284" s="1237" t="s">
        <v>369</v>
      </c>
      <c r="C284" s="1236"/>
      <c r="D284" s="1236"/>
      <c r="E284" s="1236"/>
      <c r="F284" s="1236"/>
      <c r="G284" s="1236"/>
      <c r="H284" s="1236"/>
      <c r="I284" s="1236"/>
      <c r="J284" s="1236"/>
      <c r="K284" s="1236"/>
      <c r="L284" s="1236"/>
      <c r="M284" s="1236">
        <f t="shared" ca="1" si="406"/>
        <v>0</v>
      </c>
      <c r="N284" s="1236">
        <f t="shared" ca="1" si="406"/>
        <v>0</v>
      </c>
      <c r="O284" s="1236">
        <f t="shared" ca="1" si="406"/>
        <v>0</v>
      </c>
      <c r="P284" s="1236">
        <f t="shared" ca="1" si="406"/>
        <v>0</v>
      </c>
      <c r="Q284" s="1236">
        <f t="shared" ca="1" si="406"/>
        <v>0</v>
      </c>
      <c r="R284" s="1236"/>
      <c r="S284" s="1236"/>
      <c r="T284" s="1236"/>
      <c r="U284" s="1236"/>
      <c r="V284" s="1236"/>
      <c r="W284" s="1236"/>
      <c r="X284" s="1236"/>
      <c r="Y284" s="1236"/>
      <c r="Z284" s="1236"/>
      <c r="AA284" s="1236"/>
      <c r="AB284" s="1236"/>
      <c r="AC284" s="1236"/>
      <c r="AD284" s="1236"/>
      <c r="AE284" s="1236"/>
      <c r="AF284" s="1236"/>
      <c r="AG284" s="1236">
        <f ca="1">OFFSET($CQ284,0,AG$7)</f>
        <v>0</v>
      </c>
      <c r="AH284" s="1236">
        <f ca="1">OFFSET($CQ284,0,AH$7)+OFFSET($CR284,0,AH$7)</f>
        <v>0</v>
      </c>
      <c r="AI284" s="1236">
        <f ca="1">OFFSET($CQ284,0,AI$7)+OFFSET($CR284,0,AI$7)+OFFSET($CS284,0,AI$7)</f>
        <v>0</v>
      </c>
      <c r="AJ284" s="1236">
        <f ca="1">OFFSET($CQ284,0,AJ$7)+OFFSET($CR284,0,AJ$7)+OFFSET($CS284,0,AJ$7)+OFFSET($CT284,0,AJ$7)</f>
        <v>0</v>
      </c>
      <c r="AK284" s="1236">
        <f ca="1">OFFSET($CQ284,0,AK$7)</f>
        <v>0</v>
      </c>
      <c r="AL284" s="1236">
        <f ca="1">OFFSET($CQ284,0,AL$7)+OFFSET($CR284,0,AL$7)</f>
        <v>0</v>
      </c>
      <c r="AM284" s="1236">
        <f ca="1">OFFSET($CQ284,0,AM$7)+OFFSET($CR284,0,AM$7)+OFFSET($CS284,0,AM$7)</f>
        <v>0</v>
      </c>
      <c r="AN284" s="1236">
        <f ca="1">OFFSET($CQ284,0,AN$7)+OFFSET($CR284,0,AN$7)+OFFSET($CS284,0,AN$7)+OFFSET($CT284,0,AN$7)</f>
        <v>0</v>
      </c>
      <c r="AO284" s="1236">
        <f ca="1">OFFSET($CQ284,0,AO$7)</f>
        <v>0</v>
      </c>
      <c r="AP284" s="1236">
        <f ca="1">OFFSET($CQ284,0,AP$7)+OFFSET($CR284,0,AP$7)</f>
        <v>0</v>
      </c>
      <c r="AQ284" s="1236">
        <f ca="1">OFFSET($CQ284,0,AQ$7)+OFFSET($CR284,0,AQ$7)+OFFSET($CS284,0,AQ$7)</f>
        <v>0</v>
      </c>
      <c r="AR284" s="1236">
        <f ca="1">OFFSET($CQ284,0,AR$7)+OFFSET($CR284,0,AR$7)+OFFSET($CS284,0,AR$7)+OFFSET($CT284,0,AR$7)</f>
        <v>0</v>
      </c>
      <c r="AS284" s="1236">
        <f ca="1">OFFSET($CQ284,0,AS$7)</f>
        <v>0</v>
      </c>
      <c r="AT284" s="1236">
        <f ca="1">OFFSET($CQ284,0,AT$7)+OFFSET($CR284,0,AT$7)</f>
        <v>0</v>
      </c>
      <c r="AU284" s="1236">
        <f ca="1">OFFSET($CQ284,0,AU$7)+OFFSET($CR284,0,AU$7)+OFFSET($CS284,0,AU$7)</f>
        <v>0</v>
      </c>
      <c r="AV284" s="1236">
        <f ca="1">OFFSET($CQ284,0,AV$7)+OFFSET($CR284,0,AV$7)+OFFSET($CS284,0,AV$7)+OFFSET($CT284,0,AV$7)</f>
        <v>0</v>
      </c>
      <c r="AW284" s="1236">
        <f ca="1">OFFSET($CQ284,0,AW$7)</f>
        <v>0</v>
      </c>
      <c r="AX284" s="1236">
        <f ca="1">OFFSET($CQ284,0,AX$7)+OFFSET($CR284,0,AX$7)</f>
        <v>0</v>
      </c>
      <c r="AY284" s="1236">
        <f ca="1">OFFSET($CQ284,0,AY$7)+OFFSET($CR284,0,AY$7)+OFFSET($CS284,0,AY$7)</f>
        <v>0</v>
      </c>
      <c r="AZ284" s="1236">
        <f ca="1">OFFSET($CQ284,0,AZ$7)+OFFSET($CR284,0,AZ$7)+OFFSET($CS284,0,AZ$7)+OFFSET($CT284,0,AZ$7)</f>
        <v>0</v>
      </c>
      <c r="BA284" s="1236">
        <f ca="1">OFFSET($CQ284,0,BA$7)</f>
        <v>0</v>
      </c>
      <c r="BB284" s="1236">
        <f ca="1">OFFSET($CQ284,0,BB$7)+OFFSET($CR284,0,BB$7)</f>
        <v>0</v>
      </c>
      <c r="BC284" s="1236">
        <f ca="1">OFFSET($CQ284,0,BC$7)+OFFSET($CR284,0,BC$7)+OFFSET($CS284,0,BC$7)</f>
        <v>0</v>
      </c>
      <c r="BD284" s="1236">
        <f ca="1">OFFSET($CQ284,0,BD$7)+OFFSET($CR284,0,BD$7)+OFFSET($CS284,0,BD$7)+OFFSET($CT284,0,BD$7)</f>
        <v>0</v>
      </c>
      <c r="BE284" s="1236">
        <f ca="1">OFFSET($CQ284,0,BE$7)</f>
        <v>0</v>
      </c>
      <c r="BF284" s="1236">
        <f ca="1">OFFSET($CQ284,0,BF$7)+OFFSET($CR284,0,BF$7)</f>
        <v>0</v>
      </c>
      <c r="BG284" s="1236">
        <f ca="1">OFFSET($CQ284,0,BG$7)+OFFSET($CR284,0,BG$7)+OFFSET($CS284,0,BG$7)</f>
        <v>0</v>
      </c>
      <c r="BH284" s="1236">
        <f ca="1">OFFSET($CQ284,0,BH$7)+OFFSET($CR284,0,BH$7)+OFFSET($CS284,0,BH$7)+OFFSET($CT284,0,BH$7)</f>
        <v>0</v>
      </c>
      <c r="BI284" s="1236">
        <f ca="1">OFFSET($CQ284,0,BI$7)</f>
        <v>0</v>
      </c>
      <c r="BJ284" s="1236">
        <f ca="1">OFFSET($CQ284,0,BJ$7)+OFFSET($CR284,0,BJ$7)</f>
        <v>0</v>
      </c>
      <c r="BK284" s="1236">
        <f ca="1">OFFSET($CQ284,0,BK$7)+OFFSET($CR284,0,BK$7)+OFFSET($CS284,0,BK$7)</f>
        <v>0</v>
      </c>
      <c r="BL284" s="1236">
        <f ca="1">OFFSET($CQ284,0,BL$7)+OFFSET($CR284,0,BL$7)+OFFSET($CS284,0,BL$7)+OFFSET($CT284,0,BL$7)</f>
        <v>0</v>
      </c>
      <c r="BM284" s="1236">
        <f ca="1">OFFSET($CQ284,0,BM$7)</f>
        <v>0</v>
      </c>
      <c r="BN284" s="1236">
        <f ca="1">OFFSET($CQ284,0,BN$7)+OFFSET($CR284,0,BN$7)</f>
        <v>0</v>
      </c>
      <c r="BO284" s="1236">
        <f ca="1">OFFSET($CQ284,0,BO$7)+OFFSET($CR284,0,BO$7)+OFFSET($CS284,0,BO$7)</f>
        <v>0</v>
      </c>
      <c r="BP284" s="1236">
        <f ca="1">OFFSET($CQ284,0,BP$7)+OFFSET($CR284,0,BP$7)+OFFSET($CS284,0,BP$7)+OFFSET($CT284,0,BP$7)</f>
        <v>0</v>
      </c>
      <c r="BQ284" s="1236">
        <f ca="1">OFFSET($CQ284,0,BQ$7)</f>
        <v>0</v>
      </c>
      <c r="BR284" s="1236">
        <f ca="1">OFFSET($CQ284,0,BR$7)+OFFSET($CR284,0,BR$7)</f>
        <v>0</v>
      </c>
      <c r="BS284" s="1236">
        <f ca="1">OFFSET($CQ284,0,BS$7)+OFFSET($CR284,0,BS$7)+OFFSET($CS284,0,BS$7)</f>
        <v>0</v>
      </c>
      <c r="BT284" s="1236">
        <f ca="1">OFFSET($CQ284,0,BT$7)+OFFSET($CR284,0,BT$7)+OFFSET($CS284,0,BT$7)+OFFSET($CT284,0,BT$7)</f>
        <v>0</v>
      </c>
      <c r="BU284" s="1236">
        <f ca="1">OFFSET($CQ284,0,BU$7)</f>
        <v>0</v>
      </c>
      <c r="BV284" s="1236">
        <f ca="1">OFFSET($CQ284,0,BV$7)+OFFSET($CR284,0,BV$7)</f>
        <v>0</v>
      </c>
      <c r="BW284" s="1236">
        <f ca="1">OFFSET($CQ284,0,BW$7)+OFFSET($CR284,0,BW$7)+OFFSET($CS284,0,BW$7)</f>
        <v>0</v>
      </c>
      <c r="BX284" s="1236">
        <f ca="1">OFFSET($CQ284,0,BX$7)+OFFSET($CR284,0,BX$7)+OFFSET($CS284,0,BX$7)+OFFSET($CT284,0,BX$7)</f>
        <v>0</v>
      </c>
      <c r="BY284" s="1236">
        <f ca="1">OFFSET($CQ284,0,BY$7)</f>
        <v>0</v>
      </c>
      <c r="BZ284" s="1236">
        <f ca="1">OFFSET($CQ284,0,BZ$7)+OFFSET($CR284,0,BZ$7)</f>
        <v>0</v>
      </c>
      <c r="CA284" s="1236">
        <f ca="1">OFFSET($CQ284,0,CA$7)+OFFSET($CR284,0,CA$7)+OFFSET($CS284,0,CA$7)</f>
        <v>0</v>
      </c>
      <c r="CB284" s="1236">
        <f ca="1">OFFSET($CQ284,0,CB$7)+OFFSET($CR284,0,CB$7)+OFFSET($CS284,0,CB$7)+OFFSET($CT284,0,CB$7)</f>
        <v>0</v>
      </c>
      <c r="CC284" s="1236">
        <f ca="1">OFFSET($CQ284,0,CC$7)</f>
        <v>0</v>
      </c>
      <c r="CD284" s="1236">
        <f ca="1">OFFSET($CQ284,0,CD$7)+OFFSET($CR284,0,CD$7)</f>
        <v>0</v>
      </c>
      <c r="CE284" s="1236">
        <f ca="1">OFFSET($CQ284,0,CE$7)+OFFSET($CR284,0,CE$7)+OFFSET($CS284,0,CE$7)</f>
        <v>0</v>
      </c>
      <c r="CF284" s="1236">
        <f ca="1">OFFSET($CQ284,0,CF$7)+OFFSET($CR284,0,CF$7)+OFFSET($CS284,0,CF$7)+OFFSET($CT284,0,CF$7)</f>
        <v>0</v>
      </c>
      <c r="CG284" s="1236">
        <f ca="1">OFFSET($CQ284,0,CG$7)</f>
        <v>0</v>
      </c>
      <c r="CH284" s="1236">
        <f ca="1">OFFSET($CQ284,0,CH$7)+OFFSET($CR284,0,CH$7)</f>
        <v>0</v>
      </c>
      <c r="CI284" s="1236">
        <f ca="1">OFFSET($CQ284,0,CI$7)+OFFSET($CR284,0,CI$7)+OFFSET($CS284,0,CI$7)</f>
        <v>0</v>
      </c>
      <c r="CJ284" s="1236">
        <f ca="1">OFFSET($CQ284,0,CJ$7)+OFFSET($CR284,0,CJ$7)+OFFSET($CS284,0,CJ$7)+OFFSET($CT284,0,CJ$7)</f>
        <v>0</v>
      </c>
      <c r="CK284" s="1236"/>
      <c r="CL284" s="1236"/>
      <c r="CM284" s="1236"/>
      <c r="CN284" s="1236"/>
      <c r="CO284" s="1165"/>
      <c r="CP284" s="1165"/>
      <c r="CQ284" s="1236"/>
      <c r="CR284" s="1236"/>
      <c r="CS284" s="1236"/>
      <c r="CT284" s="1236"/>
      <c r="CU284" s="1236"/>
      <c r="CV284" s="1236"/>
      <c r="CW284" s="1236"/>
      <c r="CX284" s="1236"/>
      <c r="CY284" s="1236"/>
      <c r="CZ284" s="1236"/>
      <c r="DA284" s="1236"/>
      <c r="DB284" s="1236"/>
      <c r="DC284" s="1236"/>
      <c r="DD284" s="1236"/>
      <c r="DE284" s="1236"/>
      <c r="DF284" s="1236"/>
      <c r="DG284" s="1236"/>
      <c r="DH284" s="1236"/>
      <c r="DI284" s="1236"/>
      <c r="DJ284" s="1236"/>
      <c r="DK284" s="1238"/>
      <c r="DL284" s="1238"/>
      <c r="DM284" s="1238"/>
      <c r="DN284" s="1238"/>
      <c r="DO284" s="1238"/>
      <c r="DP284" s="1238"/>
      <c r="DQ284" s="1238"/>
      <c r="DR284" s="1238"/>
      <c r="DS284" s="1238"/>
      <c r="DT284" s="1238"/>
      <c r="DU284" s="1238"/>
      <c r="DV284" s="1238"/>
      <c r="DW284" s="1238"/>
      <c r="DX284" s="1238"/>
      <c r="DY284" s="1238"/>
      <c r="DZ284" s="1238"/>
      <c r="EA284" s="1238"/>
      <c r="EB284" s="1238"/>
      <c r="EC284" s="1238"/>
      <c r="ED284" s="1238"/>
      <c r="EE284" s="1238"/>
      <c r="EF284" s="1238"/>
      <c r="EG284" s="1238"/>
      <c r="EH284" s="1238"/>
      <c r="EI284" s="1238"/>
      <c r="EJ284" s="1238"/>
      <c r="EK284" s="1238"/>
      <c r="EL284" s="1238"/>
      <c r="EM284" s="1238"/>
      <c r="EN284" s="1238"/>
      <c r="EO284" s="1238"/>
      <c r="EP284" s="1238"/>
      <c r="EQ284" s="1238"/>
      <c r="ER284" s="1238"/>
      <c r="ES284" s="1238"/>
      <c r="ET284" s="1238"/>
      <c r="EU284" s="1236"/>
      <c r="EV284" s="1236"/>
      <c r="EW284" s="1236"/>
      <c r="EX284" s="1236"/>
      <c r="EY284" s="1236"/>
      <c r="EZ284" s="1236"/>
      <c r="FA284" s="1236"/>
      <c r="FB284" s="1236"/>
      <c r="FC284" s="1236"/>
      <c r="FD284" s="1236"/>
      <c r="FE284" s="1236"/>
      <c r="FF284" s="1236"/>
    </row>
    <row r="285" spans="1:162" s="1231" customFormat="1">
      <c r="A285" s="1224"/>
      <c r="B285" s="1237" t="s">
        <v>370</v>
      </c>
      <c r="C285" s="1236"/>
      <c r="D285" s="1236"/>
      <c r="E285" s="1236"/>
      <c r="F285" s="1236"/>
      <c r="G285" s="1236"/>
      <c r="H285" s="1236"/>
      <c r="I285" s="1236"/>
      <c r="J285" s="1236"/>
      <c r="K285" s="1236"/>
      <c r="L285" s="1236"/>
      <c r="M285" s="1236">
        <f t="shared" ca="1" si="406"/>
        <v>0</v>
      </c>
      <c r="N285" s="1236">
        <f t="shared" ca="1" si="406"/>
        <v>0</v>
      </c>
      <c r="O285" s="1236">
        <f t="shared" ca="1" si="406"/>
        <v>0</v>
      </c>
      <c r="P285" s="1236">
        <f t="shared" ca="1" si="406"/>
        <v>0</v>
      </c>
      <c r="Q285" s="1236">
        <f t="shared" ca="1" si="406"/>
        <v>0</v>
      </c>
      <c r="R285" s="1236"/>
      <c r="S285" s="1236"/>
      <c r="T285" s="1236"/>
      <c r="U285" s="1236"/>
      <c r="V285" s="1236"/>
      <c r="W285" s="1236"/>
      <c r="X285" s="1236"/>
      <c r="Y285" s="1236"/>
      <c r="Z285" s="1236"/>
      <c r="AA285" s="1236"/>
      <c r="AB285" s="1236"/>
      <c r="AC285" s="1236"/>
      <c r="AD285" s="1236"/>
      <c r="AE285" s="1236"/>
      <c r="AF285" s="1236"/>
      <c r="AG285" s="1236">
        <f ca="1">OFFSET($CQ285,0,AG$7)</f>
        <v>0</v>
      </c>
      <c r="AH285" s="1236">
        <f ca="1">OFFSET($CQ285,0,AH$7)+OFFSET($CR285,0,AH$7)</f>
        <v>0</v>
      </c>
      <c r="AI285" s="1236">
        <f ca="1">OFFSET($CQ285,0,AI$7)+OFFSET($CR285,0,AI$7)+OFFSET($CS285,0,AI$7)</f>
        <v>0</v>
      </c>
      <c r="AJ285" s="1236">
        <f ca="1">OFFSET($CQ285,0,AJ$7)+OFFSET($CR285,0,AJ$7)+OFFSET($CS285,0,AJ$7)+OFFSET($CT285,0,AJ$7)</f>
        <v>0</v>
      </c>
      <c r="AK285" s="1236">
        <f ca="1">OFFSET($CQ285,0,AK$7)</f>
        <v>0</v>
      </c>
      <c r="AL285" s="1236">
        <f ca="1">OFFSET($CQ285,0,AL$7)+OFFSET($CR285,0,AL$7)</f>
        <v>0</v>
      </c>
      <c r="AM285" s="1236">
        <f ca="1">OFFSET($CQ285,0,AM$7)+OFFSET($CR285,0,AM$7)+OFFSET($CS285,0,AM$7)</f>
        <v>0</v>
      </c>
      <c r="AN285" s="1236">
        <f ca="1">OFFSET($CQ285,0,AN$7)+OFFSET($CR285,0,AN$7)+OFFSET($CS285,0,AN$7)+OFFSET($CT285,0,AN$7)</f>
        <v>0</v>
      </c>
      <c r="AO285" s="1236">
        <f ca="1">OFFSET($CQ285,0,AO$7)</f>
        <v>0</v>
      </c>
      <c r="AP285" s="1236">
        <f ca="1">OFFSET($CQ285,0,AP$7)+OFFSET($CR285,0,AP$7)</f>
        <v>0</v>
      </c>
      <c r="AQ285" s="1236">
        <f ca="1">OFFSET($CQ285,0,AQ$7)+OFFSET($CR285,0,AQ$7)+OFFSET($CS285,0,AQ$7)</f>
        <v>0</v>
      </c>
      <c r="AR285" s="1236">
        <f ca="1">OFFSET($CQ285,0,AR$7)+OFFSET($CR285,0,AR$7)+OFFSET($CS285,0,AR$7)+OFFSET($CT285,0,AR$7)</f>
        <v>0</v>
      </c>
      <c r="AS285" s="1236">
        <f ca="1">OFFSET($CQ285,0,AS$7)</f>
        <v>0</v>
      </c>
      <c r="AT285" s="1236">
        <f ca="1">OFFSET($CQ285,0,AT$7)+OFFSET($CR285,0,AT$7)</f>
        <v>0</v>
      </c>
      <c r="AU285" s="1236">
        <f ca="1">OFFSET($CQ285,0,AU$7)+OFFSET($CR285,0,AU$7)+OFFSET($CS285,0,AU$7)</f>
        <v>0</v>
      </c>
      <c r="AV285" s="1236">
        <f ca="1">OFFSET($CQ285,0,AV$7)+OFFSET($CR285,0,AV$7)+OFFSET($CS285,0,AV$7)+OFFSET($CT285,0,AV$7)</f>
        <v>0</v>
      </c>
      <c r="AW285" s="1236">
        <f ca="1">OFFSET($CQ285,0,AW$7)</f>
        <v>0</v>
      </c>
      <c r="AX285" s="1236">
        <f ca="1">OFFSET($CQ285,0,AX$7)+OFFSET($CR285,0,AX$7)</f>
        <v>0</v>
      </c>
      <c r="AY285" s="1236">
        <f ca="1">OFFSET($CQ285,0,AY$7)+OFFSET($CR285,0,AY$7)+OFFSET($CS285,0,AY$7)</f>
        <v>0</v>
      </c>
      <c r="AZ285" s="1236">
        <f ca="1">OFFSET($CQ285,0,AZ$7)+OFFSET($CR285,0,AZ$7)+OFFSET($CS285,0,AZ$7)+OFFSET($CT285,0,AZ$7)</f>
        <v>0</v>
      </c>
      <c r="BA285" s="1236">
        <f ca="1">OFFSET($CQ285,0,BA$7)</f>
        <v>0</v>
      </c>
      <c r="BB285" s="1236">
        <f ca="1">OFFSET($CQ285,0,BB$7)+OFFSET($CR285,0,BB$7)</f>
        <v>0</v>
      </c>
      <c r="BC285" s="1236">
        <f ca="1">OFFSET($CQ285,0,BC$7)+OFFSET($CR285,0,BC$7)+OFFSET($CS285,0,BC$7)</f>
        <v>0</v>
      </c>
      <c r="BD285" s="1236">
        <f ca="1">OFFSET($CQ285,0,BD$7)+OFFSET($CR285,0,BD$7)+OFFSET($CS285,0,BD$7)+OFFSET($CT285,0,BD$7)</f>
        <v>0</v>
      </c>
      <c r="BE285" s="1236">
        <f ca="1">OFFSET($CQ285,0,BE$7)</f>
        <v>0</v>
      </c>
      <c r="BF285" s="1236">
        <f ca="1">OFFSET($CQ285,0,BF$7)+OFFSET($CR285,0,BF$7)</f>
        <v>0</v>
      </c>
      <c r="BG285" s="1236">
        <f ca="1">OFFSET($CQ285,0,BG$7)+OFFSET($CR285,0,BG$7)+OFFSET($CS285,0,BG$7)</f>
        <v>0</v>
      </c>
      <c r="BH285" s="1236">
        <f ca="1">OFFSET($CQ285,0,BH$7)+OFFSET($CR285,0,BH$7)+OFFSET($CS285,0,BH$7)+OFFSET($CT285,0,BH$7)</f>
        <v>0</v>
      </c>
      <c r="BI285" s="1236">
        <f ca="1">OFFSET($CQ285,0,BI$7)</f>
        <v>0</v>
      </c>
      <c r="BJ285" s="1236">
        <f ca="1">OFFSET($CQ285,0,BJ$7)+OFFSET($CR285,0,BJ$7)</f>
        <v>0</v>
      </c>
      <c r="BK285" s="1236">
        <f ca="1">OFFSET($CQ285,0,BK$7)+OFFSET($CR285,0,BK$7)+OFFSET($CS285,0,BK$7)</f>
        <v>0</v>
      </c>
      <c r="BL285" s="1236">
        <f ca="1">OFFSET($CQ285,0,BL$7)+OFFSET($CR285,0,BL$7)+OFFSET($CS285,0,BL$7)+OFFSET($CT285,0,BL$7)</f>
        <v>0</v>
      </c>
      <c r="BM285" s="1236">
        <f ca="1">OFFSET($CQ285,0,BM$7)</f>
        <v>0</v>
      </c>
      <c r="BN285" s="1236">
        <f ca="1">OFFSET($CQ285,0,BN$7)+OFFSET($CR285,0,BN$7)</f>
        <v>0</v>
      </c>
      <c r="BO285" s="1236">
        <f ca="1">OFFSET($CQ285,0,BO$7)+OFFSET($CR285,0,BO$7)+OFFSET($CS285,0,BO$7)</f>
        <v>0</v>
      </c>
      <c r="BP285" s="1236">
        <f ca="1">OFFSET($CQ285,0,BP$7)+OFFSET($CR285,0,BP$7)+OFFSET($CS285,0,BP$7)+OFFSET($CT285,0,BP$7)</f>
        <v>0</v>
      </c>
      <c r="BQ285" s="1236">
        <f ca="1">OFFSET($CQ285,0,BQ$7)</f>
        <v>0</v>
      </c>
      <c r="BR285" s="1236">
        <f ca="1">OFFSET($CQ285,0,BR$7)+OFFSET($CR285,0,BR$7)</f>
        <v>0</v>
      </c>
      <c r="BS285" s="1236">
        <f ca="1">OFFSET($CQ285,0,BS$7)+OFFSET($CR285,0,BS$7)+OFFSET($CS285,0,BS$7)</f>
        <v>0</v>
      </c>
      <c r="BT285" s="1236">
        <f ca="1">OFFSET($CQ285,0,BT$7)+OFFSET($CR285,0,BT$7)+OFFSET($CS285,0,BT$7)+OFFSET($CT285,0,BT$7)</f>
        <v>0</v>
      </c>
      <c r="BU285" s="1236">
        <f ca="1">OFFSET($CQ285,0,BU$7)</f>
        <v>0</v>
      </c>
      <c r="BV285" s="1236">
        <f ca="1">OFFSET($CQ285,0,BV$7)+OFFSET($CR285,0,BV$7)</f>
        <v>0</v>
      </c>
      <c r="BW285" s="1236">
        <f ca="1">OFFSET($CQ285,0,BW$7)+OFFSET($CR285,0,BW$7)+OFFSET($CS285,0,BW$7)</f>
        <v>0</v>
      </c>
      <c r="BX285" s="1236">
        <f ca="1">OFFSET($CQ285,0,BX$7)+OFFSET($CR285,0,BX$7)+OFFSET($CS285,0,BX$7)+OFFSET($CT285,0,BX$7)</f>
        <v>0</v>
      </c>
      <c r="BY285" s="1236">
        <f ca="1">OFFSET($CQ285,0,BY$7)</f>
        <v>0</v>
      </c>
      <c r="BZ285" s="1236">
        <f ca="1">OFFSET($CQ285,0,BZ$7)+OFFSET($CR285,0,BZ$7)</f>
        <v>0</v>
      </c>
      <c r="CA285" s="1236">
        <f ca="1">OFFSET($CQ285,0,CA$7)+OFFSET($CR285,0,CA$7)+OFFSET($CS285,0,CA$7)</f>
        <v>0</v>
      </c>
      <c r="CB285" s="1236">
        <f ca="1">OFFSET($CQ285,0,CB$7)+OFFSET($CR285,0,CB$7)+OFFSET($CS285,0,CB$7)+OFFSET($CT285,0,CB$7)</f>
        <v>0</v>
      </c>
      <c r="CC285" s="1236">
        <f ca="1">OFFSET($CQ285,0,CC$7)</f>
        <v>0</v>
      </c>
      <c r="CD285" s="1236">
        <f ca="1">OFFSET($CQ285,0,CD$7)+OFFSET($CR285,0,CD$7)</f>
        <v>0</v>
      </c>
      <c r="CE285" s="1236">
        <f ca="1">OFFSET($CQ285,0,CE$7)+OFFSET($CR285,0,CE$7)+OFFSET($CS285,0,CE$7)</f>
        <v>0</v>
      </c>
      <c r="CF285" s="1236">
        <f ca="1">OFFSET($CQ285,0,CF$7)+OFFSET($CR285,0,CF$7)+OFFSET($CS285,0,CF$7)+OFFSET($CT285,0,CF$7)</f>
        <v>0</v>
      </c>
      <c r="CG285" s="1236">
        <f ca="1">OFFSET($CQ285,0,CG$7)</f>
        <v>0</v>
      </c>
      <c r="CH285" s="1236">
        <f ca="1">OFFSET($CQ285,0,CH$7)+OFFSET($CR285,0,CH$7)</f>
        <v>0</v>
      </c>
      <c r="CI285" s="1236">
        <f ca="1">OFFSET($CQ285,0,CI$7)+OFFSET($CR285,0,CI$7)+OFFSET($CS285,0,CI$7)</f>
        <v>0</v>
      </c>
      <c r="CJ285" s="1236">
        <f ca="1">OFFSET($CQ285,0,CJ$7)+OFFSET($CR285,0,CJ$7)+OFFSET($CS285,0,CJ$7)+OFFSET($CT285,0,CJ$7)</f>
        <v>0</v>
      </c>
      <c r="CK285" s="1236"/>
      <c r="CL285" s="1236"/>
      <c r="CM285" s="1236"/>
      <c r="CN285" s="1236"/>
      <c r="CO285" s="1165"/>
      <c r="CP285" s="1165"/>
      <c r="CQ285" s="1236"/>
      <c r="CR285" s="1236"/>
      <c r="CS285" s="1236"/>
      <c r="CT285" s="1236"/>
      <c r="CU285" s="1236"/>
      <c r="CV285" s="1236"/>
      <c r="CW285" s="1236"/>
      <c r="CX285" s="1236"/>
      <c r="CY285" s="1236"/>
      <c r="CZ285" s="1236"/>
      <c r="DA285" s="1236"/>
      <c r="DB285" s="1236"/>
      <c r="DC285" s="1236"/>
      <c r="DD285" s="1236"/>
      <c r="DE285" s="1236"/>
      <c r="DF285" s="1236"/>
      <c r="DG285" s="1236"/>
      <c r="DH285" s="1236"/>
      <c r="DI285" s="1236"/>
      <c r="DJ285" s="1236"/>
      <c r="DK285" s="1238"/>
      <c r="DL285" s="1238"/>
      <c r="DM285" s="1238"/>
      <c r="DN285" s="1238"/>
      <c r="DO285" s="1238"/>
      <c r="DP285" s="1238"/>
      <c r="DQ285" s="1238"/>
      <c r="DR285" s="1238"/>
      <c r="DS285" s="1238"/>
      <c r="DT285" s="1238"/>
      <c r="DU285" s="1238"/>
      <c r="DV285" s="1238"/>
      <c r="DW285" s="1238"/>
      <c r="DX285" s="1238"/>
      <c r="DY285" s="1238"/>
      <c r="DZ285" s="1238"/>
      <c r="EA285" s="1238"/>
      <c r="EB285" s="1238"/>
      <c r="EC285" s="1238"/>
      <c r="ED285" s="1238"/>
      <c r="EE285" s="1238"/>
      <c r="EF285" s="1238"/>
      <c r="EG285" s="1238"/>
      <c r="EH285" s="1238"/>
      <c r="EI285" s="1238"/>
      <c r="EJ285" s="1238"/>
      <c r="EK285" s="1238"/>
      <c r="EL285" s="1238"/>
      <c r="EM285" s="1238"/>
      <c r="EN285" s="1238"/>
      <c r="EO285" s="1238"/>
      <c r="EP285" s="1238"/>
      <c r="EQ285" s="1238"/>
      <c r="ER285" s="1238"/>
      <c r="ES285" s="1238"/>
      <c r="ET285" s="1238"/>
      <c r="EU285" s="1236"/>
      <c r="EV285" s="1236"/>
      <c r="EW285" s="1236"/>
      <c r="EX285" s="1236"/>
      <c r="EY285" s="1236"/>
      <c r="EZ285" s="1236"/>
      <c r="FA285" s="1236"/>
      <c r="FB285" s="1236"/>
      <c r="FC285" s="1236"/>
      <c r="FD285" s="1236"/>
      <c r="FE285" s="1236"/>
      <c r="FF285" s="1236"/>
    </row>
    <row r="286" spans="1:162">
      <c r="A286" s="1224"/>
      <c r="B286" s="1237" t="s">
        <v>371</v>
      </c>
      <c r="M286" s="1236">
        <f t="shared" ca="1" si="406"/>
        <v>0</v>
      </c>
      <c r="N286" s="1236">
        <f t="shared" ca="1" si="406"/>
        <v>0</v>
      </c>
      <c r="O286" s="1236">
        <f t="shared" ca="1" si="406"/>
        <v>0</v>
      </c>
      <c r="P286" s="1236">
        <f t="shared" ca="1" si="406"/>
        <v>0</v>
      </c>
      <c r="Q286" s="1236">
        <f t="shared" ca="1" si="406"/>
        <v>0</v>
      </c>
      <c r="AG286" s="1236">
        <f ca="1">OFFSET($CQ286,0,AG$7)</f>
        <v>0</v>
      </c>
      <c r="AH286" s="1236">
        <f ca="1">OFFSET($CQ286,0,AH$7)+OFFSET($CR286,0,AH$7)</f>
        <v>0</v>
      </c>
      <c r="AI286" s="1236">
        <f ca="1">OFFSET($CQ286,0,AI$7)+OFFSET($CR286,0,AI$7)+OFFSET($CS286,0,AI$7)</f>
        <v>0</v>
      </c>
      <c r="AJ286" s="1236">
        <f ca="1">OFFSET($CQ286,0,AJ$7)+OFFSET($CR286,0,AJ$7)+OFFSET($CS286,0,AJ$7)+OFFSET($CT286,0,AJ$7)</f>
        <v>0</v>
      </c>
      <c r="AK286" s="1236">
        <f ca="1">OFFSET($CQ286,0,AK$7)</f>
        <v>0</v>
      </c>
      <c r="AL286" s="1236">
        <f ca="1">OFFSET($CQ286,0,AL$7)+OFFSET($CR286,0,AL$7)</f>
        <v>0</v>
      </c>
      <c r="AM286" s="1236">
        <f ca="1">OFFSET($CQ286,0,AM$7)+OFFSET($CR286,0,AM$7)+OFFSET($CS286,0,AM$7)</f>
        <v>0</v>
      </c>
      <c r="AN286" s="1236">
        <f ca="1">OFFSET($CQ286,0,AN$7)+OFFSET($CR286,0,AN$7)+OFFSET($CS286,0,AN$7)+OFFSET($CT286,0,AN$7)</f>
        <v>0</v>
      </c>
      <c r="AO286" s="1236">
        <f ca="1">OFFSET($CQ286,0,AO$7)</f>
        <v>0</v>
      </c>
      <c r="AP286" s="1236">
        <f ca="1">OFFSET($CQ286,0,AP$7)+OFFSET($CR286,0,AP$7)</f>
        <v>0</v>
      </c>
      <c r="AQ286" s="1236">
        <f ca="1">OFFSET($CQ286,0,AQ$7)+OFFSET($CR286,0,AQ$7)+OFFSET($CS286,0,AQ$7)</f>
        <v>0</v>
      </c>
      <c r="AR286" s="1236">
        <f ca="1">OFFSET($CQ286,0,AR$7)+OFFSET($CR286,0,AR$7)+OFFSET($CS286,0,AR$7)+OFFSET($CT286,0,AR$7)</f>
        <v>0</v>
      </c>
      <c r="AS286" s="1236">
        <f ca="1">OFFSET($CQ286,0,AS$7)</f>
        <v>0</v>
      </c>
      <c r="AT286" s="1236">
        <f ca="1">OFFSET($CQ286,0,AT$7)+OFFSET($CR286,0,AT$7)</f>
        <v>0</v>
      </c>
      <c r="AU286" s="1236">
        <f ca="1">OFFSET($CQ286,0,AU$7)+OFFSET($CR286,0,AU$7)+OFFSET($CS286,0,AU$7)</f>
        <v>0</v>
      </c>
      <c r="AV286" s="1236">
        <f ca="1">OFFSET($CQ286,0,AV$7)+OFFSET($CR286,0,AV$7)+OFFSET($CS286,0,AV$7)+OFFSET($CT286,0,AV$7)</f>
        <v>0</v>
      </c>
      <c r="AW286" s="1236">
        <f ca="1">OFFSET($CQ286,0,AW$7)</f>
        <v>0</v>
      </c>
      <c r="AX286" s="1236">
        <f ca="1">OFFSET($CQ286,0,AX$7)+OFFSET($CR286,0,AX$7)</f>
        <v>0</v>
      </c>
      <c r="AY286" s="1236">
        <f ca="1">OFFSET($CQ286,0,AY$7)+OFFSET($CR286,0,AY$7)+OFFSET($CS286,0,AY$7)</f>
        <v>0</v>
      </c>
      <c r="AZ286" s="1236">
        <f ca="1">OFFSET($CQ286,0,AZ$7)+OFFSET($CR286,0,AZ$7)+OFFSET($CS286,0,AZ$7)+OFFSET($CT286,0,AZ$7)</f>
        <v>0</v>
      </c>
      <c r="BA286" s="1236">
        <f ca="1">OFFSET($CQ286,0,BA$7)</f>
        <v>0</v>
      </c>
      <c r="BB286" s="1236">
        <f ca="1">OFFSET($CQ286,0,BB$7)+OFFSET($CR286,0,BB$7)</f>
        <v>0</v>
      </c>
      <c r="BC286" s="1236">
        <f ca="1">OFFSET($CQ286,0,BC$7)+OFFSET($CR286,0,BC$7)+OFFSET($CS286,0,BC$7)</f>
        <v>0</v>
      </c>
      <c r="BD286" s="1236">
        <f ca="1">OFFSET($CQ286,0,BD$7)+OFFSET($CR286,0,BD$7)+OFFSET($CS286,0,BD$7)+OFFSET($CT286,0,BD$7)</f>
        <v>0</v>
      </c>
      <c r="BE286" s="1236">
        <f ca="1">OFFSET($CQ286,0,BE$7)</f>
        <v>0</v>
      </c>
      <c r="BF286" s="1236">
        <f ca="1">OFFSET($CQ286,0,BF$7)+OFFSET($CR286,0,BF$7)</f>
        <v>0</v>
      </c>
      <c r="BG286" s="1236">
        <f ca="1">OFFSET($CQ286,0,BG$7)+OFFSET($CR286,0,BG$7)+OFFSET($CS286,0,BG$7)</f>
        <v>0</v>
      </c>
      <c r="BH286" s="1236">
        <f ca="1">OFFSET($CQ286,0,BH$7)+OFFSET($CR286,0,BH$7)+OFFSET($CS286,0,BH$7)+OFFSET($CT286,0,BH$7)</f>
        <v>0</v>
      </c>
      <c r="BI286" s="1236">
        <f ca="1">OFFSET($CQ286,0,BI$7)</f>
        <v>0</v>
      </c>
      <c r="BJ286" s="1236">
        <f ca="1">OFFSET($CQ286,0,BJ$7)+OFFSET($CR286,0,BJ$7)</f>
        <v>0</v>
      </c>
      <c r="BK286" s="1236">
        <f ca="1">OFFSET($CQ286,0,BK$7)+OFFSET($CR286,0,BK$7)+OFFSET($CS286,0,BK$7)</f>
        <v>0</v>
      </c>
      <c r="BL286" s="1236">
        <f ca="1">OFFSET($CQ286,0,BL$7)+OFFSET($CR286,0,BL$7)+OFFSET($CS286,0,BL$7)+OFFSET($CT286,0,BL$7)</f>
        <v>0</v>
      </c>
      <c r="BM286" s="1236">
        <f ca="1">OFFSET($CQ286,0,BM$7)</f>
        <v>0</v>
      </c>
      <c r="BN286" s="1236">
        <f ca="1">OFFSET($CQ286,0,BN$7)+OFFSET($CR286,0,BN$7)</f>
        <v>0</v>
      </c>
      <c r="BO286" s="1236">
        <f ca="1">OFFSET($CQ286,0,BO$7)+OFFSET($CR286,0,BO$7)+OFFSET($CS286,0,BO$7)</f>
        <v>0</v>
      </c>
      <c r="BP286" s="1236">
        <f ca="1">OFFSET($CQ286,0,BP$7)+OFFSET($CR286,0,BP$7)+OFFSET($CS286,0,BP$7)+OFFSET($CT286,0,BP$7)</f>
        <v>0</v>
      </c>
      <c r="BQ286" s="1236">
        <f ca="1">OFFSET($CQ286,0,BQ$7)</f>
        <v>0</v>
      </c>
      <c r="BR286" s="1236">
        <f ca="1">OFFSET($CQ286,0,BR$7)+OFFSET($CR286,0,BR$7)</f>
        <v>0</v>
      </c>
      <c r="BS286" s="1236">
        <f ca="1">OFFSET($CQ286,0,BS$7)+OFFSET($CR286,0,BS$7)+OFFSET($CS286,0,BS$7)</f>
        <v>0</v>
      </c>
      <c r="BT286" s="1236">
        <f ca="1">OFFSET($CQ286,0,BT$7)+OFFSET($CR286,0,BT$7)+OFFSET($CS286,0,BT$7)+OFFSET($CT286,0,BT$7)</f>
        <v>0</v>
      </c>
      <c r="BU286" s="1236">
        <f ca="1">OFFSET($CQ286,0,BU$7)</f>
        <v>0</v>
      </c>
      <c r="BV286" s="1236">
        <f ca="1">OFFSET($CQ286,0,BV$7)+OFFSET($CR286,0,BV$7)</f>
        <v>0</v>
      </c>
      <c r="BW286" s="1236">
        <f ca="1">OFFSET($CQ286,0,BW$7)+OFFSET($CR286,0,BW$7)+OFFSET($CS286,0,BW$7)</f>
        <v>0</v>
      </c>
      <c r="BX286" s="1236">
        <f ca="1">OFFSET($CQ286,0,BX$7)+OFFSET($CR286,0,BX$7)+OFFSET($CS286,0,BX$7)+OFFSET($CT286,0,BX$7)</f>
        <v>0</v>
      </c>
      <c r="BY286" s="1236">
        <f ca="1">OFFSET($CQ286,0,BY$7)</f>
        <v>0</v>
      </c>
      <c r="BZ286" s="1236">
        <f ca="1">OFFSET($CQ286,0,BZ$7)+OFFSET($CR286,0,BZ$7)</f>
        <v>0</v>
      </c>
      <c r="CA286" s="1236">
        <f ca="1">OFFSET($CQ286,0,CA$7)+OFFSET($CR286,0,CA$7)+OFFSET($CS286,0,CA$7)</f>
        <v>0</v>
      </c>
      <c r="CB286" s="1236">
        <f ca="1">OFFSET($CQ286,0,CB$7)+OFFSET($CR286,0,CB$7)+OFFSET($CS286,0,CB$7)+OFFSET($CT286,0,CB$7)</f>
        <v>0</v>
      </c>
      <c r="CC286" s="1236">
        <f ca="1">OFFSET($CQ286,0,CC$7)</f>
        <v>0</v>
      </c>
      <c r="CD286" s="1236">
        <f ca="1">OFFSET($CQ286,0,CD$7)+OFFSET($CR286,0,CD$7)</f>
        <v>0</v>
      </c>
      <c r="CE286" s="1236">
        <f ca="1">OFFSET($CQ286,0,CE$7)+OFFSET($CR286,0,CE$7)+OFFSET($CS286,0,CE$7)</f>
        <v>0</v>
      </c>
      <c r="CF286" s="1236">
        <f ca="1">OFFSET($CQ286,0,CF$7)+OFFSET($CR286,0,CF$7)+OFFSET($CS286,0,CF$7)+OFFSET($CT286,0,CF$7)</f>
        <v>0</v>
      </c>
      <c r="CG286" s="1236">
        <f ca="1">OFFSET($CQ286,0,CG$7)</f>
        <v>0</v>
      </c>
      <c r="CH286" s="1236">
        <f ca="1">OFFSET($CQ286,0,CH$7)+OFFSET($CR286,0,CH$7)</f>
        <v>0</v>
      </c>
      <c r="CI286" s="1236">
        <f ca="1">OFFSET($CQ286,0,CI$7)+OFFSET($CR286,0,CI$7)+OFFSET($CS286,0,CI$7)</f>
        <v>0</v>
      </c>
      <c r="CJ286" s="1236">
        <f ca="1">OFFSET($CQ286,0,CJ$7)+OFFSET($CR286,0,CJ$7)+OFFSET($CS286,0,CJ$7)+OFFSET($CT286,0,CJ$7)</f>
        <v>0</v>
      </c>
      <c r="CO286" s="1165"/>
      <c r="CP286" s="1165"/>
      <c r="DK286" s="1238"/>
      <c r="DL286" s="1238"/>
      <c r="DM286" s="1238"/>
      <c r="DN286" s="1238"/>
      <c r="DO286" s="1238"/>
      <c r="DP286" s="1238"/>
      <c r="DQ286" s="1238"/>
      <c r="DR286" s="1238"/>
      <c r="DS286" s="1238"/>
      <c r="DT286" s="1238"/>
      <c r="DU286" s="1238"/>
      <c r="DV286" s="1238"/>
      <c r="DW286" s="1238"/>
      <c r="DX286" s="1238"/>
      <c r="DY286" s="1238"/>
      <c r="DZ286" s="1238"/>
      <c r="EA286" s="1238"/>
      <c r="EB286" s="1238"/>
      <c r="EC286" s="1238"/>
      <c r="ED286" s="1238"/>
      <c r="EE286" s="1238"/>
      <c r="EF286" s="1238"/>
      <c r="EG286" s="1238"/>
      <c r="EH286" s="1238"/>
      <c r="EI286" s="1238"/>
      <c r="EJ286" s="1238"/>
      <c r="EK286" s="1238"/>
      <c r="EL286" s="1238"/>
      <c r="EM286" s="1238"/>
      <c r="EN286" s="1238"/>
      <c r="EO286" s="1238"/>
      <c r="EP286" s="1238"/>
      <c r="EQ286" s="1238"/>
      <c r="ER286" s="1238"/>
      <c r="ES286" s="1238"/>
      <c r="ET286" s="1238"/>
    </row>
    <row r="287" spans="1:162">
      <c r="A287" s="1224"/>
      <c r="B287" s="1230" t="s">
        <v>113</v>
      </c>
      <c r="C287" s="1231"/>
      <c r="D287" s="1231"/>
      <c r="E287" s="1231"/>
      <c r="F287" s="1231"/>
      <c r="G287" s="1231"/>
      <c r="H287" s="1231"/>
      <c r="I287" s="1231"/>
      <c r="J287" s="1231"/>
      <c r="K287" s="1231"/>
      <c r="L287" s="1231"/>
      <c r="M287" s="1231">
        <f t="shared" ca="1" si="406"/>
        <v>0</v>
      </c>
      <c r="N287" s="1231">
        <f t="shared" ca="1" si="406"/>
        <v>0</v>
      </c>
      <c r="O287" s="1231">
        <f t="shared" ca="1" si="406"/>
        <v>0</v>
      </c>
      <c r="P287" s="1231">
        <f t="shared" ca="1" si="406"/>
        <v>0</v>
      </c>
      <c r="Q287" s="1231">
        <f t="shared" ca="1" si="406"/>
        <v>0</v>
      </c>
      <c r="R287" s="1231">
        <f t="shared" ref="R287:Z287" si="407">SUM(R283:R286)</f>
        <v>0</v>
      </c>
      <c r="S287" s="1231">
        <f t="shared" si="407"/>
        <v>0</v>
      </c>
      <c r="T287" s="1231">
        <f t="shared" si="407"/>
        <v>0</v>
      </c>
      <c r="U287" s="1231">
        <f t="shared" si="407"/>
        <v>0</v>
      </c>
      <c r="V287" s="1231">
        <f t="shared" si="407"/>
        <v>0</v>
      </c>
      <c r="W287" s="1231">
        <f t="shared" si="407"/>
        <v>0</v>
      </c>
      <c r="X287" s="1231">
        <f t="shared" si="407"/>
        <v>0</v>
      </c>
      <c r="Y287" s="1231">
        <f t="shared" si="407"/>
        <v>-87.858000000000004</v>
      </c>
      <c r="Z287" s="1231">
        <f t="shared" si="407"/>
        <v>0</v>
      </c>
      <c r="AA287" s="1231"/>
      <c r="AB287" s="1231"/>
      <c r="AC287" s="1231"/>
      <c r="AD287" s="1231"/>
      <c r="AE287" s="1231"/>
      <c r="AF287" s="1231"/>
      <c r="AG287" s="1231">
        <f ca="1">OFFSET($CQ287,0,AG$7)</f>
        <v>0</v>
      </c>
      <c r="AH287" s="1231">
        <f ca="1">OFFSET($CQ287,0,AH$7)+OFFSET($CR287,0,AH$7)</f>
        <v>0</v>
      </c>
      <c r="AI287" s="1231">
        <f ca="1">OFFSET($CQ287,0,AI$7)+OFFSET($CR287,0,AI$7)+OFFSET($CS287,0,AI$7)</f>
        <v>0</v>
      </c>
      <c r="AJ287" s="1231">
        <f ca="1">OFFSET($CQ287,0,AJ$7)+OFFSET($CR287,0,AJ$7)+OFFSET($CS287,0,AJ$7)+OFFSET($CT287,0,AJ$7)</f>
        <v>0</v>
      </c>
      <c r="AK287" s="1231">
        <f ca="1">OFFSET($CQ287,0,AK$7)</f>
        <v>0</v>
      </c>
      <c r="AL287" s="1231">
        <f ca="1">OFFSET($CQ287,0,AL$7)+OFFSET($CR287,0,AL$7)</f>
        <v>0</v>
      </c>
      <c r="AM287" s="1231">
        <f ca="1">OFFSET($CQ287,0,AM$7)+OFFSET($CR287,0,AM$7)+OFFSET($CS287,0,AM$7)</f>
        <v>0</v>
      </c>
      <c r="AN287" s="1231">
        <f ca="1">OFFSET($CQ287,0,AN$7)+OFFSET($CR287,0,AN$7)+OFFSET($CS287,0,AN$7)+OFFSET($CT287,0,AN$7)</f>
        <v>0</v>
      </c>
      <c r="AO287" s="1231">
        <f ca="1">OFFSET($CQ287,0,AO$7)</f>
        <v>0</v>
      </c>
      <c r="AP287" s="1231">
        <f ca="1">OFFSET($CQ287,0,AP$7)+OFFSET($CR287,0,AP$7)</f>
        <v>0</v>
      </c>
      <c r="AQ287" s="1231">
        <f ca="1">OFFSET($CQ287,0,AQ$7)+OFFSET($CR287,0,AQ$7)+OFFSET($CS287,0,AQ$7)</f>
        <v>0</v>
      </c>
      <c r="AR287" s="1231">
        <f ca="1">OFFSET($CQ287,0,AR$7)+OFFSET($CR287,0,AR$7)+OFFSET($CS287,0,AR$7)+OFFSET($CT287,0,AR$7)</f>
        <v>0</v>
      </c>
      <c r="AS287" s="1231">
        <f ca="1">OFFSET($CQ287,0,AS$7)</f>
        <v>0</v>
      </c>
      <c r="AT287" s="1231">
        <f ca="1">OFFSET($CQ287,0,AT$7)+OFFSET($CR287,0,AT$7)</f>
        <v>0</v>
      </c>
      <c r="AU287" s="1231">
        <f ca="1">OFFSET($CQ287,0,AU$7)+OFFSET($CR287,0,AU$7)+OFFSET($CS287,0,AU$7)</f>
        <v>0</v>
      </c>
      <c r="AV287" s="1231">
        <f ca="1">OFFSET($CQ287,0,AV$7)+OFFSET($CR287,0,AV$7)+OFFSET($CS287,0,AV$7)+OFFSET($CT287,0,AV$7)</f>
        <v>0</v>
      </c>
      <c r="AW287" s="1231">
        <f ca="1">OFFSET($CQ287,0,AW$7)</f>
        <v>0</v>
      </c>
      <c r="AX287" s="1231">
        <f ca="1">OFFSET($CQ287,0,AX$7)+OFFSET($CR287,0,AX$7)</f>
        <v>0</v>
      </c>
      <c r="AY287" s="1231">
        <f ca="1">OFFSET($CQ287,0,AY$7)+OFFSET($CR287,0,AY$7)+OFFSET($CS287,0,AY$7)</f>
        <v>0</v>
      </c>
      <c r="AZ287" s="1231">
        <f ca="1">OFFSET($CQ287,0,AZ$7)+OFFSET($CR287,0,AZ$7)+OFFSET($CS287,0,AZ$7)+OFFSET($CT287,0,AZ$7)</f>
        <v>0</v>
      </c>
      <c r="BA287" s="1231">
        <f ca="1">OFFSET($CQ287,0,BA$7)</f>
        <v>0</v>
      </c>
      <c r="BB287" s="1231">
        <f ca="1">OFFSET($CQ287,0,BB$7)+OFFSET($CR287,0,BB$7)</f>
        <v>0</v>
      </c>
      <c r="BC287" s="1231">
        <f ca="1">OFFSET($CQ287,0,BC$7)+OFFSET($CR287,0,BC$7)+OFFSET($CS287,0,BC$7)</f>
        <v>0</v>
      </c>
      <c r="BD287" s="1231">
        <f ca="1">OFFSET($CQ287,0,BD$7)+OFFSET($CR287,0,BD$7)+OFFSET($CS287,0,BD$7)+OFFSET($CT287,0,BD$7)</f>
        <v>0</v>
      </c>
      <c r="BE287" s="1231">
        <f ca="1">OFFSET($CQ287,0,BE$7)</f>
        <v>0</v>
      </c>
      <c r="BF287" s="1231">
        <f ca="1">OFFSET($CQ287,0,BF$7)+OFFSET($CR287,0,BF$7)</f>
        <v>0</v>
      </c>
      <c r="BG287" s="1231">
        <f ca="1">OFFSET($CQ287,0,BG$7)+OFFSET($CR287,0,BG$7)+OFFSET($CS287,0,BG$7)</f>
        <v>0</v>
      </c>
      <c r="BH287" s="1231">
        <f ca="1">OFFSET($CQ287,0,BH$7)+OFFSET($CR287,0,BH$7)+OFFSET($CS287,0,BH$7)+OFFSET($CT287,0,BH$7)</f>
        <v>0</v>
      </c>
      <c r="BI287" s="1231">
        <f ca="1">OFFSET($CQ287,0,BI$7)</f>
        <v>0</v>
      </c>
      <c r="BJ287" s="1231">
        <f ca="1">OFFSET($CQ287,0,BJ$7)+OFFSET($CR287,0,BJ$7)</f>
        <v>0</v>
      </c>
      <c r="BK287" s="1231">
        <f ca="1">OFFSET($CQ287,0,BK$7)+OFFSET($CR287,0,BK$7)+OFFSET($CS287,0,BK$7)</f>
        <v>0</v>
      </c>
      <c r="BL287" s="1231">
        <f ca="1">OFFSET($CQ287,0,BL$7)+OFFSET($CR287,0,BL$7)+OFFSET($CS287,0,BL$7)+OFFSET($CT287,0,BL$7)</f>
        <v>0</v>
      </c>
      <c r="BM287" s="1231">
        <f ca="1">OFFSET($CQ287,0,BM$7)</f>
        <v>0</v>
      </c>
      <c r="BN287" s="1231">
        <f ca="1">OFFSET($CQ287,0,BN$7)+OFFSET($CR287,0,BN$7)</f>
        <v>0</v>
      </c>
      <c r="BO287" s="1231">
        <f ca="1">OFFSET($CQ287,0,BO$7)+OFFSET($CR287,0,BO$7)+OFFSET($CS287,0,BO$7)</f>
        <v>0</v>
      </c>
      <c r="BP287" s="1231">
        <f ca="1">OFFSET($CQ287,0,BP$7)+OFFSET($CR287,0,BP$7)+OFFSET($CS287,0,BP$7)+OFFSET($CT287,0,BP$7)</f>
        <v>0</v>
      </c>
      <c r="BQ287" s="1231">
        <f ca="1">OFFSET($CQ287,0,BQ$7)</f>
        <v>0</v>
      </c>
      <c r="BR287" s="1231">
        <f ca="1">OFFSET($CQ287,0,BR$7)+OFFSET($CR287,0,BR$7)</f>
        <v>0</v>
      </c>
      <c r="BS287" s="1231">
        <f ca="1">OFFSET($CQ287,0,BS$7)+OFFSET($CR287,0,BS$7)+OFFSET($CS287,0,BS$7)</f>
        <v>0</v>
      </c>
      <c r="BT287" s="1231">
        <f ca="1">OFFSET($CQ287,0,BT$7)+OFFSET($CR287,0,BT$7)+OFFSET($CS287,0,BT$7)+OFFSET($CT287,0,BT$7)</f>
        <v>0</v>
      </c>
      <c r="BU287" s="1231">
        <f ca="1">OFFSET($CQ287,0,BU$7)</f>
        <v>0</v>
      </c>
      <c r="BV287" s="1231">
        <f ca="1">OFFSET($CQ287,0,BV$7)+OFFSET($CR287,0,BV$7)</f>
        <v>0</v>
      </c>
      <c r="BW287" s="1231">
        <f ca="1">OFFSET($CQ287,0,BW$7)+OFFSET($CR287,0,BW$7)+OFFSET($CS287,0,BW$7)</f>
        <v>0</v>
      </c>
      <c r="BX287" s="1231">
        <f ca="1">OFFSET($CQ287,0,BX$7)+OFFSET($CR287,0,BX$7)+OFFSET($CS287,0,BX$7)+OFFSET($CT287,0,BX$7)</f>
        <v>0</v>
      </c>
      <c r="BY287" s="1231">
        <f ca="1">OFFSET($CQ287,0,BY$7)</f>
        <v>0</v>
      </c>
      <c r="BZ287" s="1231">
        <f ca="1">OFFSET($CQ287,0,BZ$7)+OFFSET($CR287,0,BZ$7)</f>
        <v>0</v>
      </c>
      <c r="CA287" s="1231">
        <f ca="1">OFFSET($CQ287,0,CA$7)+OFFSET($CR287,0,CA$7)+OFFSET($CS287,0,CA$7)</f>
        <v>0</v>
      </c>
      <c r="CB287" s="1231">
        <f ca="1">OFFSET($CQ287,0,CB$7)+OFFSET($CR287,0,CB$7)+OFFSET($CS287,0,CB$7)+OFFSET($CT287,0,CB$7)</f>
        <v>0</v>
      </c>
      <c r="CC287" s="1231">
        <f ca="1">OFFSET($CQ287,0,CC$7)</f>
        <v>0</v>
      </c>
      <c r="CD287" s="1231">
        <f ca="1">OFFSET($CQ287,0,CD$7)+OFFSET($CR287,0,CD$7)</f>
        <v>0</v>
      </c>
      <c r="CE287" s="1231">
        <f ca="1">OFFSET($CQ287,0,CE$7)+OFFSET($CR287,0,CE$7)+OFFSET($CS287,0,CE$7)</f>
        <v>0</v>
      </c>
      <c r="CF287" s="1231">
        <f ca="1">OFFSET($CQ287,0,CF$7)+OFFSET($CR287,0,CF$7)+OFFSET($CS287,0,CF$7)+OFFSET($CT287,0,CF$7)</f>
        <v>0</v>
      </c>
      <c r="CG287" s="1231">
        <f ca="1">OFFSET($CQ287,0,CG$7)</f>
        <v>0</v>
      </c>
      <c r="CH287" s="1231">
        <f ca="1">OFFSET($CQ287,0,CH$7)+OFFSET($CR287,0,CH$7)</f>
        <v>0</v>
      </c>
      <c r="CI287" s="1231">
        <f ca="1">OFFSET($CQ287,0,CI$7)+OFFSET($CR287,0,CI$7)+OFFSET($CS287,0,CI$7)</f>
        <v>0</v>
      </c>
      <c r="CJ287" s="1231">
        <f ca="1">OFFSET($CQ287,0,CJ$7)+OFFSET($CR287,0,CJ$7)+OFFSET($CS287,0,CJ$7)+OFFSET($CT287,0,CJ$7)</f>
        <v>0</v>
      </c>
      <c r="CK287" s="1231"/>
      <c r="CL287" s="1231"/>
      <c r="CM287" s="1231"/>
      <c r="CN287" s="1231"/>
      <c r="CO287" s="1165"/>
      <c r="CP287" s="1165"/>
      <c r="CQ287" s="1231"/>
      <c r="CR287" s="1231"/>
      <c r="CS287" s="1231"/>
      <c r="CT287" s="1231"/>
      <c r="CU287" s="1231"/>
      <c r="CV287" s="1231"/>
      <c r="CW287" s="1231"/>
      <c r="CX287" s="1231"/>
      <c r="CY287" s="1231"/>
      <c r="CZ287" s="1231"/>
      <c r="DA287" s="1231"/>
      <c r="DB287" s="1231"/>
      <c r="DC287" s="1231"/>
      <c r="DD287" s="1231"/>
      <c r="DE287" s="1231"/>
      <c r="DF287" s="1231"/>
      <c r="DG287" s="1231"/>
      <c r="DH287" s="1231"/>
      <c r="DI287" s="1231"/>
      <c r="DJ287" s="1231"/>
      <c r="DK287" s="1231"/>
      <c r="DL287" s="1231"/>
      <c r="DM287" s="1231"/>
      <c r="DN287" s="1231"/>
      <c r="DO287" s="1231"/>
      <c r="DP287" s="1231"/>
      <c r="DQ287" s="1231"/>
      <c r="DR287" s="1231"/>
      <c r="DS287" s="1231"/>
      <c r="DT287" s="1231"/>
      <c r="DU287" s="1231"/>
      <c r="DV287" s="1231"/>
      <c r="DW287" s="1231"/>
      <c r="DX287" s="1231"/>
      <c r="DY287" s="1231"/>
      <c r="DZ287" s="1231"/>
      <c r="EA287" s="1231"/>
      <c r="EB287" s="1231"/>
      <c r="EC287" s="1231"/>
      <c r="ED287" s="1231"/>
      <c r="EE287" s="1231"/>
      <c r="EF287" s="1231"/>
      <c r="EG287" s="1231"/>
      <c r="EH287" s="1231"/>
      <c r="EI287" s="1231"/>
      <c r="EJ287" s="1231"/>
      <c r="EK287" s="1231"/>
      <c r="EL287" s="1231"/>
      <c r="EM287" s="1231"/>
      <c r="EN287" s="1231"/>
      <c r="EO287" s="1231"/>
      <c r="EP287" s="1231"/>
      <c r="EQ287" s="1231"/>
      <c r="ER287" s="1231"/>
      <c r="ES287" s="1231"/>
      <c r="ET287" s="1231"/>
      <c r="EU287" s="1231"/>
      <c r="EV287" s="1231"/>
      <c r="EW287" s="1231"/>
      <c r="EX287" s="1231"/>
      <c r="EY287" s="1231"/>
      <c r="EZ287" s="1231"/>
      <c r="FA287" s="1231"/>
      <c r="FB287" s="1231"/>
      <c r="FC287" s="1231"/>
      <c r="FD287" s="1231"/>
      <c r="FE287" s="1231"/>
      <c r="FF287" s="1231"/>
    </row>
    <row r="288" spans="1:162">
      <c r="A288" s="1224"/>
      <c r="CO288" s="1165"/>
      <c r="CP288" s="1165"/>
    </row>
    <row r="289" spans="1:162">
      <c r="A289" s="1208" t="s">
        <v>682</v>
      </c>
      <c r="B289" s="1237" t="s">
        <v>372</v>
      </c>
      <c r="M289" s="1236">
        <f t="shared" ref="M289:Q291" ca="1" si="408">OFFSET($CQ289,0,M$7)+OFFSET($CR289,0,M$7)+OFFSET($CS289,0,M$7)+OFFSET($CT289,0,M$7)</f>
        <v>0</v>
      </c>
      <c r="N289" s="1236">
        <f t="shared" ca="1" si="408"/>
        <v>0</v>
      </c>
      <c r="O289" s="1236">
        <f t="shared" ca="1" si="408"/>
        <v>0</v>
      </c>
      <c r="P289" s="1236">
        <f t="shared" ca="1" si="408"/>
        <v>0</v>
      </c>
      <c r="Q289" s="1236">
        <f t="shared" ca="1" si="408"/>
        <v>0</v>
      </c>
      <c r="R289" s="1236">
        <f>INDEX('Basic Data TR'!$A$1:$AMJ$9673,MATCH($A289,'Basic Data TR'!$A$1:$A$9673,0),MATCH(R$6,'Basic Data TR'!$A$1:$AMJ$1,0))</f>
        <v>716.67645000000005</v>
      </c>
      <c r="S289" s="1236">
        <f>INDEX('Basic Data TR'!$A$1:$AMJ$9673,MATCH($A289,'Basic Data TR'!$A$1:$A$9673,0),MATCH(S$6,'Basic Data TR'!$A$1:$AMJ$1,0))</f>
        <v>0</v>
      </c>
      <c r="T289" s="1236">
        <f>INDEX('Basic Data TR'!$A$1:$AMJ$9673,MATCH($A289,'Basic Data TR'!$A$1:$A$9673,0),MATCH(T$6,'Basic Data TR'!$A$1:$AMJ$1,0))</f>
        <v>0</v>
      </c>
      <c r="U289" s="1236">
        <f>INDEX('Basic Data TR'!$A$1:$AMJ$9673,MATCH($A289,'Basic Data TR'!$A$1:$A$9673,0),MATCH(U$6,'Basic Data TR'!$A$1:$AMJ$1,0))</f>
        <v>195.8</v>
      </c>
      <c r="V289" s="1236">
        <f>INDEX('Basic Data TR'!$A$1:$AMJ$9673,MATCH($A289,'Basic Data TR'!$A$1:$A$9673,0),MATCH(V$6,'Basic Data TR'!$A$1:$AMJ$1,0))</f>
        <v>696.07799999999997</v>
      </c>
      <c r="W289" s="1236">
        <f>INDEX('Basic Data TR'!$A$1:$AMJ$9673,MATCH($A289,'Basic Data TR'!$A$1:$A$9673,0),MATCH(W$6,'Basic Data TR'!$A$1:$AMJ$1,0))</f>
        <v>0</v>
      </c>
      <c r="X289" s="1236">
        <f>INDEX('Basic Data TR'!$A$1:$AMJ$9673,MATCH($A289,'Basic Data TR'!$A$1:$A$9673,0),MATCH(X$6,'Basic Data TR'!$A$1:$AMJ$1,0))</f>
        <v>441.15499999999997</v>
      </c>
      <c r="Y289" s="1236">
        <f>INDEX('Basic Data TR'!$A$1:$AMJ$9673,MATCH($A289,'Basic Data TR'!$A$1:$A$9673,0),MATCH(Y$6,'Basic Data TR'!$A$1:$AMJ$1,0))</f>
        <v>0</v>
      </c>
      <c r="AG289" s="1236">
        <f ca="1">OFFSET($CQ289,0,AG$7)</f>
        <v>0</v>
      </c>
      <c r="AH289" s="1236">
        <f ca="1">OFFSET($CQ289,0,AH$7)+OFFSET($CR289,0,AH$7)</f>
        <v>0</v>
      </c>
      <c r="AI289" s="1236">
        <f ca="1">OFFSET($CQ289,0,AI$7)+OFFSET($CR289,0,AI$7)+OFFSET($CS289,0,AI$7)</f>
        <v>0</v>
      </c>
      <c r="AJ289" s="1236">
        <f ca="1">OFFSET($CQ289,0,AJ$7)+OFFSET($CR289,0,AJ$7)+OFFSET($CS289,0,AJ$7)+OFFSET($CT289,0,AJ$7)</f>
        <v>0</v>
      </c>
      <c r="AK289" s="1236">
        <f ca="1">OFFSET($CQ289,0,AK$7)</f>
        <v>0</v>
      </c>
      <c r="AL289" s="1236">
        <f ca="1">OFFSET($CQ289,0,AL$7)+OFFSET($CR289,0,AL$7)</f>
        <v>0</v>
      </c>
      <c r="AM289" s="1236">
        <f ca="1">OFFSET($CQ289,0,AM$7)+OFFSET($CR289,0,AM$7)+OFFSET($CS289,0,AM$7)</f>
        <v>0</v>
      </c>
      <c r="AN289" s="1236">
        <f ca="1">OFFSET($CQ289,0,AN$7)+OFFSET($CR289,0,AN$7)+OFFSET($CS289,0,AN$7)+OFFSET($CT289,0,AN$7)</f>
        <v>0</v>
      </c>
      <c r="AO289" s="1236">
        <f ca="1">OFFSET($CQ289,0,AO$7)</f>
        <v>0</v>
      </c>
      <c r="AP289" s="1236">
        <f ca="1">OFFSET($CQ289,0,AP$7)+OFFSET($CR289,0,AP$7)</f>
        <v>0</v>
      </c>
      <c r="AQ289" s="1236">
        <f ca="1">OFFSET($CQ289,0,AQ$7)+OFFSET($CR289,0,AQ$7)+OFFSET($CS289,0,AQ$7)</f>
        <v>0</v>
      </c>
      <c r="AR289" s="1236">
        <f ca="1">OFFSET($CQ289,0,AR$7)+OFFSET($CR289,0,AR$7)+OFFSET($CS289,0,AR$7)+OFFSET($CT289,0,AR$7)</f>
        <v>0</v>
      </c>
      <c r="AS289" s="1236">
        <f ca="1">OFFSET($CQ289,0,AS$7)</f>
        <v>0</v>
      </c>
      <c r="AT289" s="1236">
        <f ca="1">OFFSET($CQ289,0,AT$7)+OFFSET($CR289,0,AT$7)</f>
        <v>0</v>
      </c>
      <c r="AU289" s="1236">
        <f ca="1">OFFSET($CQ289,0,AU$7)+OFFSET($CR289,0,AU$7)+OFFSET($CS289,0,AU$7)</f>
        <v>0</v>
      </c>
      <c r="AV289" s="1236">
        <f ca="1">OFFSET($CQ289,0,AV$7)+OFFSET($CR289,0,AV$7)+OFFSET($CS289,0,AV$7)+OFFSET($CT289,0,AV$7)</f>
        <v>0</v>
      </c>
      <c r="AW289" s="1236">
        <f ca="1">OFFSET($CQ289,0,AW$7)</f>
        <v>0</v>
      </c>
      <c r="AX289" s="1236">
        <f ca="1">OFFSET($CQ289,0,AX$7)+OFFSET($CR289,0,AX$7)</f>
        <v>0</v>
      </c>
      <c r="AY289" s="1236">
        <f ca="1">OFFSET($CQ289,0,AY$7)+OFFSET($CR289,0,AY$7)+OFFSET($CS289,0,AY$7)</f>
        <v>0</v>
      </c>
      <c r="AZ289" s="1236">
        <f ca="1">OFFSET($CQ289,0,AZ$7)+OFFSET($CR289,0,AZ$7)+OFFSET($CS289,0,AZ$7)+OFFSET($CT289,0,AZ$7)</f>
        <v>0</v>
      </c>
      <c r="BA289" s="1236">
        <f ca="1">OFFSET($CQ289,0,BA$7)</f>
        <v>0</v>
      </c>
      <c r="BB289" s="1236">
        <f ca="1">OFFSET($CQ289,0,BB$7)+OFFSET($CR289,0,BB$7)</f>
        <v>0</v>
      </c>
      <c r="BC289" s="1236">
        <f ca="1">OFFSET($CQ289,0,BC$7)+OFFSET($CR289,0,BC$7)+OFFSET($CS289,0,BC$7)</f>
        <v>0</v>
      </c>
      <c r="BD289" s="1236">
        <f ca="1">OFFSET($CQ289,0,BD$7)+OFFSET($CR289,0,BD$7)+OFFSET($CS289,0,BD$7)+OFFSET($CT289,0,BD$7)</f>
        <v>0</v>
      </c>
      <c r="BE289" s="1236">
        <f ca="1">OFFSET($CQ289,0,BE$7)</f>
        <v>0</v>
      </c>
      <c r="BF289" s="1236">
        <f ca="1">OFFSET($CQ289,0,BF$7)+OFFSET($CR289,0,BF$7)</f>
        <v>0</v>
      </c>
      <c r="BG289" s="1236">
        <f ca="1">OFFSET($CQ289,0,BG$7)+OFFSET($CR289,0,BG$7)+OFFSET($CS289,0,BG$7)</f>
        <v>0</v>
      </c>
      <c r="BH289" s="1236">
        <f ca="1">OFFSET($CQ289,0,BH$7)+OFFSET($CR289,0,BH$7)+OFFSET($CS289,0,BH$7)+OFFSET($CT289,0,BH$7)</f>
        <v>0</v>
      </c>
      <c r="BI289" s="1236">
        <f ca="1">OFFSET($CQ289,0,BI$7)</f>
        <v>0</v>
      </c>
      <c r="BJ289" s="1236">
        <f ca="1">OFFSET($CQ289,0,BJ$7)+OFFSET($CR289,0,BJ$7)</f>
        <v>0</v>
      </c>
      <c r="BK289" s="1236">
        <f ca="1">OFFSET($CQ289,0,BK$7)+OFFSET($CR289,0,BK$7)+OFFSET($CS289,0,BK$7)</f>
        <v>0</v>
      </c>
      <c r="BL289" s="1236">
        <f ca="1">OFFSET($CQ289,0,BL$7)+OFFSET($CR289,0,BL$7)+OFFSET($CS289,0,BL$7)+OFFSET($CT289,0,BL$7)</f>
        <v>0</v>
      </c>
      <c r="BM289" s="1236">
        <f ca="1">OFFSET($CQ289,0,BM$7)</f>
        <v>0</v>
      </c>
      <c r="BN289" s="1236">
        <f ca="1">OFFSET($CQ289,0,BN$7)+OFFSET($CR289,0,BN$7)</f>
        <v>0</v>
      </c>
      <c r="BO289" s="1236">
        <f ca="1">OFFSET($CQ289,0,BO$7)+OFFSET($CR289,0,BO$7)+OFFSET($CS289,0,BO$7)</f>
        <v>0</v>
      </c>
      <c r="BP289" s="1236">
        <f ca="1">OFFSET($CQ289,0,BP$7)+OFFSET($CR289,0,BP$7)+OFFSET($CS289,0,BP$7)+OFFSET($CT289,0,BP$7)</f>
        <v>0</v>
      </c>
      <c r="BQ289" s="1236">
        <f ca="1">OFFSET($CQ289,0,BQ$7)</f>
        <v>0</v>
      </c>
      <c r="BR289" s="1236">
        <f ca="1">OFFSET($CQ289,0,BR$7)+OFFSET($CR289,0,BR$7)</f>
        <v>0</v>
      </c>
      <c r="BS289" s="1236">
        <f ca="1">OFFSET($CQ289,0,BS$7)+OFFSET($CR289,0,BS$7)+OFFSET($CS289,0,BS$7)</f>
        <v>0</v>
      </c>
      <c r="BT289" s="1236">
        <f ca="1">OFFSET($CQ289,0,BT$7)+OFFSET($CR289,0,BT$7)+OFFSET($CS289,0,BT$7)+OFFSET($CT289,0,BT$7)</f>
        <v>0</v>
      </c>
      <c r="BU289" s="1236">
        <f ca="1">OFFSET($CQ289,0,BU$7)</f>
        <v>0</v>
      </c>
      <c r="BV289" s="1236">
        <f ca="1">OFFSET($CQ289,0,BV$7)+OFFSET($CR289,0,BV$7)</f>
        <v>0</v>
      </c>
      <c r="BW289" s="1236">
        <f ca="1">OFFSET($CQ289,0,BW$7)+OFFSET($CR289,0,BW$7)+OFFSET($CS289,0,BW$7)</f>
        <v>0</v>
      </c>
      <c r="BX289" s="1236">
        <f ca="1">OFFSET($CQ289,0,BX$7)+OFFSET($CR289,0,BX$7)+OFFSET($CS289,0,BX$7)+OFFSET($CT289,0,BX$7)</f>
        <v>0</v>
      </c>
      <c r="BY289" s="1236">
        <f ca="1">OFFSET($CQ289,0,BY$7)</f>
        <v>0</v>
      </c>
      <c r="BZ289" s="1236">
        <f ca="1">OFFSET($CQ289,0,BZ$7)+OFFSET($CR289,0,BZ$7)</f>
        <v>0</v>
      </c>
      <c r="CA289" s="1236">
        <f ca="1">OFFSET($CQ289,0,CA$7)+OFFSET($CR289,0,CA$7)+OFFSET($CS289,0,CA$7)</f>
        <v>0</v>
      </c>
      <c r="CB289" s="1236">
        <f ca="1">OFFSET($CQ289,0,CB$7)+OFFSET($CR289,0,CB$7)+OFFSET($CS289,0,CB$7)+OFFSET($CT289,0,CB$7)</f>
        <v>0</v>
      </c>
      <c r="CC289" s="1236">
        <f ca="1">OFFSET($CQ289,0,CC$7)</f>
        <v>0</v>
      </c>
      <c r="CD289" s="1236">
        <f ca="1">OFFSET($CQ289,0,CD$7)+OFFSET($CR289,0,CD$7)</f>
        <v>0</v>
      </c>
      <c r="CE289" s="1236">
        <f ca="1">OFFSET($CQ289,0,CE$7)+OFFSET($CR289,0,CE$7)+OFFSET($CS289,0,CE$7)</f>
        <v>0</v>
      </c>
      <c r="CF289" s="1236">
        <f ca="1">OFFSET($CQ289,0,CF$7)+OFFSET($CR289,0,CF$7)+OFFSET($CS289,0,CF$7)+OFFSET($CT289,0,CF$7)</f>
        <v>0</v>
      </c>
      <c r="CG289" s="1236">
        <f ca="1">OFFSET($CQ289,0,CG$7)</f>
        <v>0</v>
      </c>
      <c r="CH289" s="1236">
        <f ca="1">OFFSET($CQ289,0,CH$7)+OFFSET($CR289,0,CH$7)</f>
        <v>0</v>
      </c>
      <c r="CI289" s="1236">
        <f ca="1">OFFSET($CQ289,0,CI$7)+OFFSET($CR289,0,CI$7)+OFFSET($CS289,0,CI$7)</f>
        <v>0</v>
      </c>
      <c r="CJ289" s="1236">
        <f ca="1">OFFSET($CQ289,0,CJ$7)+OFFSET($CR289,0,CJ$7)+OFFSET($CS289,0,CJ$7)+OFFSET($CT289,0,CJ$7)</f>
        <v>0</v>
      </c>
      <c r="CO289" s="1165"/>
      <c r="CP289" s="1165"/>
      <c r="DK289" s="1238"/>
      <c r="DL289" s="1238"/>
      <c r="DM289" s="1238"/>
      <c r="DN289" s="1238"/>
      <c r="DO289" s="1238"/>
      <c r="DP289" s="1238"/>
      <c r="DQ289" s="1238"/>
      <c r="DR289" s="1238"/>
      <c r="DS289" s="1238"/>
      <c r="DT289" s="1238"/>
      <c r="DU289" s="1238"/>
      <c r="DV289" s="1238"/>
      <c r="DW289" s="1238"/>
      <c r="DX289" s="1238"/>
      <c r="DY289" s="1238"/>
      <c r="DZ289" s="1238"/>
      <c r="EA289" s="1238"/>
      <c r="EB289" s="1238"/>
      <c r="EC289" s="1238"/>
      <c r="ED289" s="1238"/>
      <c r="EE289" s="1238"/>
      <c r="EF289" s="1238"/>
      <c r="EG289" s="1238"/>
      <c r="EH289" s="1238"/>
      <c r="EI289" s="1238"/>
      <c r="EJ289" s="1238"/>
      <c r="EK289" s="1238"/>
      <c r="EL289" s="1238"/>
      <c r="EM289" s="1238"/>
      <c r="EN289" s="1238"/>
      <c r="EO289" s="1238"/>
      <c r="EP289" s="1238"/>
      <c r="EQ289" s="1238"/>
      <c r="ER289" s="1238"/>
      <c r="ES289" s="1238"/>
      <c r="ET289" s="1238"/>
    </row>
    <row r="290" spans="1:162" s="1231" customFormat="1">
      <c r="A290" s="1208" t="s">
        <v>683</v>
      </c>
      <c r="B290" s="1237" t="s">
        <v>373</v>
      </c>
      <c r="C290" s="1236"/>
      <c r="D290" s="1236"/>
      <c r="E290" s="1236"/>
      <c r="F290" s="1236"/>
      <c r="G290" s="1236"/>
      <c r="H290" s="1236"/>
      <c r="I290" s="1236"/>
      <c r="J290" s="1236"/>
      <c r="K290" s="1236"/>
      <c r="L290" s="1236"/>
      <c r="M290" s="1236">
        <f t="shared" ca="1" si="408"/>
        <v>0</v>
      </c>
      <c r="N290" s="1236">
        <f t="shared" ca="1" si="408"/>
        <v>0</v>
      </c>
      <c r="O290" s="1236">
        <f t="shared" ca="1" si="408"/>
        <v>0</v>
      </c>
      <c r="P290" s="1236">
        <f t="shared" ca="1" si="408"/>
        <v>0</v>
      </c>
      <c r="Q290" s="1236">
        <f t="shared" ca="1" si="408"/>
        <v>0</v>
      </c>
      <c r="R290" s="1236">
        <f>INDEX('Basic Data TR'!$A$1:$AMJ$9673,MATCH($A290,'Basic Data TR'!$A$1:$A$9673,0),MATCH(R$6,'Basic Data TR'!$A$1:$AMJ$1,0))</f>
        <v>0</v>
      </c>
      <c r="S290" s="1236">
        <f>INDEX('Basic Data TR'!$A$1:$AMJ$9673,MATCH($A290,'Basic Data TR'!$A$1:$A$9673,0),MATCH(S$6,'Basic Data TR'!$A$1:$AMJ$1,0))</f>
        <v>0</v>
      </c>
      <c r="T290" s="1236">
        <f>INDEX('Basic Data TR'!$A$1:$AMJ$9673,MATCH($A290,'Basic Data TR'!$A$1:$A$9673,0),MATCH(T$6,'Basic Data TR'!$A$1:$AMJ$1,0))</f>
        <v>0</v>
      </c>
      <c r="U290" s="1236">
        <f>INDEX('Basic Data TR'!$A$1:$AMJ$9673,MATCH($A290,'Basic Data TR'!$A$1:$A$9673,0),MATCH(U$6,'Basic Data TR'!$A$1:$AMJ$1,0))</f>
        <v>0</v>
      </c>
      <c r="V290" s="1236">
        <f>INDEX('Basic Data TR'!$A$1:$AMJ$9673,MATCH($A290,'Basic Data TR'!$A$1:$A$9673,0),MATCH(V$6,'Basic Data TR'!$A$1:$AMJ$1,0))</f>
        <v>0</v>
      </c>
      <c r="W290" s="1236">
        <f>INDEX('Basic Data TR'!$A$1:$AMJ$9673,MATCH($A290,'Basic Data TR'!$A$1:$A$9673,0),MATCH(W$6,'Basic Data TR'!$A$1:$AMJ$1,0))</f>
        <v>0</v>
      </c>
      <c r="X290" s="1236">
        <f>INDEX('Basic Data TR'!$A$1:$AMJ$9673,MATCH($A290,'Basic Data TR'!$A$1:$A$9673,0),MATCH(X$6,'Basic Data TR'!$A$1:$AMJ$1,0))</f>
        <v>0</v>
      </c>
      <c r="Y290" s="1236">
        <f>INDEX('Basic Data TR'!$A$1:$AMJ$9673,MATCH($A290,'Basic Data TR'!$A$1:$A$9673,0),MATCH(Y$6,'Basic Data TR'!$A$1:$AMJ$1,0))</f>
        <v>0</v>
      </c>
      <c r="Z290" s="1236"/>
      <c r="AA290" s="1236"/>
      <c r="AB290" s="1236"/>
      <c r="AC290" s="1236"/>
      <c r="AD290" s="1236"/>
      <c r="AE290" s="1236"/>
      <c r="AF290" s="1236"/>
      <c r="AG290" s="1236">
        <f ca="1">OFFSET($CQ290,0,AG$7)</f>
        <v>0</v>
      </c>
      <c r="AH290" s="1236">
        <f ca="1">OFFSET($CQ290,0,AH$7)+OFFSET($CR290,0,AH$7)</f>
        <v>0</v>
      </c>
      <c r="AI290" s="1236">
        <f ca="1">OFFSET($CQ290,0,AI$7)+OFFSET($CR290,0,AI$7)+OFFSET($CS290,0,AI$7)</f>
        <v>0</v>
      </c>
      <c r="AJ290" s="1236">
        <f ca="1">OFFSET($CQ290,0,AJ$7)+OFFSET($CR290,0,AJ$7)+OFFSET($CS290,0,AJ$7)+OFFSET($CT290,0,AJ$7)</f>
        <v>0</v>
      </c>
      <c r="AK290" s="1236">
        <f ca="1">OFFSET($CQ290,0,AK$7)</f>
        <v>0</v>
      </c>
      <c r="AL290" s="1236">
        <f ca="1">OFFSET($CQ290,0,AL$7)+OFFSET($CR290,0,AL$7)</f>
        <v>0</v>
      </c>
      <c r="AM290" s="1236">
        <f ca="1">OFFSET($CQ290,0,AM$7)+OFFSET($CR290,0,AM$7)+OFFSET($CS290,0,AM$7)</f>
        <v>0</v>
      </c>
      <c r="AN290" s="1236">
        <f ca="1">OFFSET($CQ290,0,AN$7)+OFFSET($CR290,0,AN$7)+OFFSET($CS290,0,AN$7)+OFFSET($CT290,0,AN$7)</f>
        <v>0</v>
      </c>
      <c r="AO290" s="1236">
        <f ca="1">OFFSET($CQ290,0,AO$7)</f>
        <v>0</v>
      </c>
      <c r="AP290" s="1236">
        <f ca="1">OFFSET($CQ290,0,AP$7)+OFFSET($CR290,0,AP$7)</f>
        <v>0</v>
      </c>
      <c r="AQ290" s="1236">
        <f ca="1">OFFSET($CQ290,0,AQ$7)+OFFSET($CR290,0,AQ$7)+OFFSET($CS290,0,AQ$7)</f>
        <v>0</v>
      </c>
      <c r="AR290" s="1236">
        <f ca="1">OFFSET($CQ290,0,AR$7)+OFFSET($CR290,0,AR$7)+OFFSET($CS290,0,AR$7)+OFFSET($CT290,0,AR$7)</f>
        <v>0</v>
      </c>
      <c r="AS290" s="1236">
        <f ca="1">OFFSET($CQ290,0,AS$7)</f>
        <v>0</v>
      </c>
      <c r="AT290" s="1236">
        <f ca="1">OFFSET($CQ290,0,AT$7)+OFFSET($CR290,0,AT$7)</f>
        <v>0</v>
      </c>
      <c r="AU290" s="1236">
        <f ca="1">OFFSET($CQ290,0,AU$7)+OFFSET($CR290,0,AU$7)+OFFSET($CS290,0,AU$7)</f>
        <v>0</v>
      </c>
      <c r="AV290" s="1236">
        <f ca="1">OFFSET($CQ290,0,AV$7)+OFFSET($CR290,0,AV$7)+OFFSET($CS290,0,AV$7)+OFFSET($CT290,0,AV$7)</f>
        <v>0</v>
      </c>
      <c r="AW290" s="1236">
        <f ca="1">OFFSET($CQ290,0,AW$7)</f>
        <v>0</v>
      </c>
      <c r="AX290" s="1236">
        <f ca="1">OFFSET($CQ290,0,AX$7)+OFFSET($CR290,0,AX$7)</f>
        <v>0</v>
      </c>
      <c r="AY290" s="1236">
        <f ca="1">OFFSET($CQ290,0,AY$7)+OFFSET($CR290,0,AY$7)+OFFSET($CS290,0,AY$7)</f>
        <v>0</v>
      </c>
      <c r="AZ290" s="1236">
        <f ca="1">OFFSET($CQ290,0,AZ$7)+OFFSET($CR290,0,AZ$7)+OFFSET($CS290,0,AZ$7)+OFFSET($CT290,0,AZ$7)</f>
        <v>0</v>
      </c>
      <c r="BA290" s="1236">
        <f ca="1">OFFSET($CQ290,0,BA$7)</f>
        <v>0</v>
      </c>
      <c r="BB290" s="1236">
        <f ca="1">OFFSET($CQ290,0,BB$7)+OFFSET($CR290,0,BB$7)</f>
        <v>0</v>
      </c>
      <c r="BC290" s="1236">
        <f ca="1">OFFSET($CQ290,0,BC$7)+OFFSET($CR290,0,BC$7)+OFFSET($CS290,0,BC$7)</f>
        <v>0</v>
      </c>
      <c r="BD290" s="1236">
        <f ca="1">OFFSET($CQ290,0,BD$7)+OFFSET($CR290,0,BD$7)+OFFSET($CS290,0,BD$7)+OFFSET($CT290,0,BD$7)</f>
        <v>0</v>
      </c>
      <c r="BE290" s="1236">
        <f ca="1">OFFSET($CQ290,0,BE$7)</f>
        <v>0</v>
      </c>
      <c r="BF290" s="1236">
        <f ca="1">OFFSET($CQ290,0,BF$7)+OFFSET($CR290,0,BF$7)</f>
        <v>0</v>
      </c>
      <c r="BG290" s="1236">
        <f ca="1">OFFSET($CQ290,0,BG$7)+OFFSET($CR290,0,BG$7)+OFFSET($CS290,0,BG$7)</f>
        <v>0</v>
      </c>
      <c r="BH290" s="1236">
        <f ca="1">OFFSET($CQ290,0,BH$7)+OFFSET($CR290,0,BH$7)+OFFSET($CS290,0,BH$7)+OFFSET($CT290,0,BH$7)</f>
        <v>0</v>
      </c>
      <c r="BI290" s="1236">
        <f ca="1">OFFSET($CQ290,0,BI$7)</f>
        <v>0</v>
      </c>
      <c r="BJ290" s="1236">
        <f ca="1">OFFSET($CQ290,0,BJ$7)+OFFSET($CR290,0,BJ$7)</f>
        <v>0</v>
      </c>
      <c r="BK290" s="1236">
        <f ca="1">OFFSET($CQ290,0,BK$7)+OFFSET($CR290,0,BK$7)+OFFSET($CS290,0,BK$7)</f>
        <v>0</v>
      </c>
      <c r="BL290" s="1236">
        <f ca="1">OFFSET($CQ290,0,BL$7)+OFFSET($CR290,0,BL$7)+OFFSET($CS290,0,BL$7)+OFFSET($CT290,0,BL$7)</f>
        <v>0</v>
      </c>
      <c r="BM290" s="1236">
        <f ca="1">OFFSET($CQ290,0,BM$7)</f>
        <v>0</v>
      </c>
      <c r="BN290" s="1236">
        <f ca="1">OFFSET($CQ290,0,BN$7)+OFFSET($CR290,0,BN$7)</f>
        <v>0</v>
      </c>
      <c r="BO290" s="1236">
        <f ca="1">OFFSET($CQ290,0,BO$7)+OFFSET($CR290,0,BO$7)+OFFSET($CS290,0,BO$7)</f>
        <v>0</v>
      </c>
      <c r="BP290" s="1236">
        <f ca="1">OFFSET($CQ290,0,BP$7)+OFFSET($CR290,0,BP$7)+OFFSET($CS290,0,BP$7)+OFFSET($CT290,0,BP$7)</f>
        <v>0</v>
      </c>
      <c r="BQ290" s="1236">
        <f ca="1">OFFSET($CQ290,0,BQ$7)</f>
        <v>0</v>
      </c>
      <c r="BR290" s="1236">
        <f ca="1">OFFSET($CQ290,0,BR$7)+OFFSET($CR290,0,BR$7)</f>
        <v>0</v>
      </c>
      <c r="BS290" s="1236">
        <f ca="1">OFFSET($CQ290,0,BS$7)+OFFSET($CR290,0,BS$7)+OFFSET($CS290,0,BS$7)</f>
        <v>0</v>
      </c>
      <c r="BT290" s="1236">
        <f ca="1">OFFSET($CQ290,0,BT$7)+OFFSET($CR290,0,BT$7)+OFFSET($CS290,0,BT$7)+OFFSET($CT290,0,BT$7)</f>
        <v>0</v>
      </c>
      <c r="BU290" s="1236">
        <f ca="1">OFFSET($CQ290,0,BU$7)</f>
        <v>0</v>
      </c>
      <c r="BV290" s="1236">
        <f ca="1">OFFSET($CQ290,0,BV$7)+OFFSET($CR290,0,BV$7)</f>
        <v>0</v>
      </c>
      <c r="BW290" s="1236">
        <f ca="1">OFFSET($CQ290,0,BW$7)+OFFSET($CR290,0,BW$7)+OFFSET($CS290,0,BW$7)</f>
        <v>0</v>
      </c>
      <c r="BX290" s="1236">
        <f ca="1">OFFSET($CQ290,0,BX$7)+OFFSET($CR290,0,BX$7)+OFFSET($CS290,0,BX$7)+OFFSET($CT290,0,BX$7)</f>
        <v>0</v>
      </c>
      <c r="BY290" s="1236">
        <f ca="1">OFFSET($CQ290,0,BY$7)</f>
        <v>0</v>
      </c>
      <c r="BZ290" s="1236">
        <f ca="1">OFFSET($CQ290,0,BZ$7)+OFFSET($CR290,0,BZ$7)</f>
        <v>0</v>
      </c>
      <c r="CA290" s="1236">
        <f ca="1">OFFSET($CQ290,0,CA$7)+OFFSET($CR290,0,CA$7)+OFFSET($CS290,0,CA$7)</f>
        <v>0</v>
      </c>
      <c r="CB290" s="1236">
        <f ca="1">OFFSET($CQ290,0,CB$7)+OFFSET($CR290,0,CB$7)+OFFSET($CS290,0,CB$7)+OFFSET($CT290,0,CB$7)</f>
        <v>0</v>
      </c>
      <c r="CC290" s="1236">
        <f ca="1">OFFSET($CQ290,0,CC$7)</f>
        <v>0</v>
      </c>
      <c r="CD290" s="1236">
        <f ca="1">OFFSET($CQ290,0,CD$7)+OFFSET($CR290,0,CD$7)</f>
        <v>0</v>
      </c>
      <c r="CE290" s="1236">
        <f ca="1">OFFSET($CQ290,0,CE$7)+OFFSET($CR290,0,CE$7)+OFFSET($CS290,0,CE$7)</f>
        <v>0</v>
      </c>
      <c r="CF290" s="1236">
        <f ca="1">OFFSET($CQ290,0,CF$7)+OFFSET($CR290,0,CF$7)+OFFSET($CS290,0,CF$7)+OFFSET($CT290,0,CF$7)</f>
        <v>0</v>
      </c>
      <c r="CG290" s="1236">
        <f ca="1">OFFSET($CQ290,0,CG$7)</f>
        <v>0</v>
      </c>
      <c r="CH290" s="1236">
        <f ca="1">OFFSET($CQ290,0,CH$7)+OFFSET($CR290,0,CH$7)</f>
        <v>0</v>
      </c>
      <c r="CI290" s="1236">
        <f ca="1">OFFSET($CQ290,0,CI$7)+OFFSET($CR290,0,CI$7)+OFFSET($CS290,0,CI$7)</f>
        <v>0</v>
      </c>
      <c r="CJ290" s="1236">
        <f ca="1">OFFSET($CQ290,0,CJ$7)+OFFSET($CR290,0,CJ$7)+OFFSET($CS290,0,CJ$7)+OFFSET($CT290,0,CJ$7)</f>
        <v>0</v>
      </c>
      <c r="CK290" s="1236"/>
      <c r="CL290" s="1236"/>
      <c r="CM290" s="1236"/>
      <c r="CN290" s="1236"/>
      <c r="CO290" s="1165"/>
      <c r="CP290" s="1165"/>
      <c r="CQ290" s="1236"/>
      <c r="CR290" s="1236"/>
      <c r="CS290" s="1236"/>
      <c r="CT290" s="1236"/>
      <c r="CU290" s="1236"/>
      <c r="CV290" s="1236"/>
      <c r="CW290" s="1236"/>
      <c r="CX290" s="1236"/>
      <c r="CY290" s="1236"/>
      <c r="CZ290" s="1236"/>
      <c r="DA290" s="1236"/>
      <c r="DB290" s="1236"/>
      <c r="DC290" s="1236"/>
      <c r="DD290" s="1236"/>
      <c r="DE290" s="1236"/>
      <c r="DF290" s="1236"/>
      <c r="DG290" s="1236"/>
      <c r="DH290" s="1236"/>
      <c r="DI290" s="1236"/>
      <c r="DJ290" s="1236"/>
      <c r="DK290" s="1238"/>
      <c r="DL290" s="1238"/>
      <c r="DM290" s="1238"/>
      <c r="DN290" s="1238"/>
      <c r="DO290" s="1238"/>
      <c r="DP290" s="1238"/>
      <c r="DQ290" s="1238"/>
      <c r="DR290" s="1238"/>
      <c r="DS290" s="1238"/>
      <c r="DT290" s="1238"/>
      <c r="DU290" s="1238"/>
      <c r="DV290" s="1238"/>
      <c r="DW290" s="1238"/>
      <c r="DX290" s="1238"/>
      <c r="DY290" s="1238"/>
      <c r="DZ290" s="1238"/>
      <c r="EA290" s="1238"/>
      <c r="EB290" s="1238"/>
      <c r="EC290" s="1238"/>
      <c r="ED290" s="1238"/>
      <c r="EE290" s="1238"/>
      <c r="EF290" s="1238"/>
      <c r="EG290" s="1238"/>
      <c r="EH290" s="1238"/>
      <c r="EI290" s="1238"/>
      <c r="EJ290" s="1238"/>
      <c r="EK290" s="1238"/>
      <c r="EL290" s="1238"/>
      <c r="EM290" s="1238"/>
      <c r="EN290" s="1238"/>
      <c r="EO290" s="1238"/>
      <c r="EP290" s="1238"/>
      <c r="EQ290" s="1238"/>
      <c r="ER290" s="1238"/>
      <c r="ES290" s="1238"/>
      <c r="ET290" s="1238"/>
      <c r="EU290" s="1236"/>
      <c r="EV290" s="1236"/>
      <c r="EW290" s="1236"/>
      <c r="EX290" s="1236"/>
      <c r="EY290" s="1236"/>
      <c r="EZ290" s="1236"/>
      <c r="FA290" s="1236"/>
      <c r="FB290" s="1236"/>
      <c r="FC290" s="1236"/>
      <c r="FD290" s="1236"/>
      <c r="FE290" s="1236"/>
      <c r="FF290" s="1236"/>
    </row>
    <row r="291" spans="1:162">
      <c r="A291" s="1224"/>
      <c r="B291" s="1230" t="s">
        <v>173</v>
      </c>
      <c r="C291" s="1231"/>
      <c r="D291" s="1231"/>
      <c r="E291" s="1231"/>
      <c r="F291" s="1231"/>
      <c r="G291" s="1231"/>
      <c r="H291" s="1231"/>
      <c r="I291" s="1231"/>
      <c r="J291" s="1231"/>
      <c r="K291" s="1231"/>
      <c r="L291" s="1231"/>
      <c r="M291" s="1231">
        <f t="shared" ca="1" si="408"/>
        <v>0</v>
      </c>
      <c r="N291" s="1231">
        <f t="shared" ca="1" si="408"/>
        <v>0</v>
      </c>
      <c r="O291" s="1231">
        <f t="shared" ca="1" si="408"/>
        <v>0</v>
      </c>
      <c r="P291" s="1231">
        <f t="shared" ca="1" si="408"/>
        <v>0</v>
      </c>
      <c r="Q291" s="1231">
        <f t="shared" ca="1" si="408"/>
        <v>0</v>
      </c>
      <c r="R291" s="1231">
        <f t="shared" ref="R291:Y291" si="409">SUM(R289:R290)</f>
        <v>716.67645000000005</v>
      </c>
      <c r="S291" s="1231">
        <f t="shared" si="409"/>
        <v>0</v>
      </c>
      <c r="T291" s="1231">
        <f t="shared" si="409"/>
        <v>0</v>
      </c>
      <c r="U291" s="1231">
        <f t="shared" si="409"/>
        <v>195.8</v>
      </c>
      <c r="V291" s="1231">
        <f t="shared" si="409"/>
        <v>696.07799999999997</v>
      </c>
      <c r="W291" s="1231">
        <f t="shared" si="409"/>
        <v>0</v>
      </c>
      <c r="X291" s="1231">
        <f t="shared" si="409"/>
        <v>441.15499999999997</v>
      </c>
      <c r="Y291" s="1231">
        <f t="shared" si="409"/>
        <v>0</v>
      </c>
      <c r="Z291" s="1231"/>
      <c r="AA291" s="1231"/>
      <c r="AB291" s="1231"/>
      <c r="AC291" s="1231"/>
      <c r="AD291" s="1231"/>
      <c r="AE291" s="1231"/>
      <c r="AF291" s="1231"/>
      <c r="AG291" s="1231">
        <f ca="1">OFFSET($CQ291,0,AG$7)</f>
        <v>0</v>
      </c>
      <c r="AH291" s="1231">
        <f ca="1">OFFSET($CQ291,0,AH$7)+OFFSET($CR291,0,AH$7)</f>
        <v>0</v>
      </c>
      <c r="AI291" s="1231">
        <f ca="1">OFFSET($CQ291,0,AI$7)+OFFSET($CR291,0,AI$7)+OFFSET($CS291,0,AI$7)</f>
        <v>0</v>
      </c>
      <c r="AJ291" s="1231">
        <f ca="1">OFFSET($CQ291,0,AJ$7)+OFFSET($CR291,0,AJ$7)+OFFSET($CS291,0,AJ$7)+OFFSET($CT291,0,AJ$7)</f>
        <v>0</v>
      </c>
      <c r="AK291" s="1231">
        <f ca="1">OFFSET($CQ291,0,AK$7)</f>
        <v>0</v>
      </c>
      <c r="AL291" s="1231">
        <f ca="1">OFFSET($CQ291,0,AL$7)+OFFSET($CR291,0,AL$7)</f>
        <v>0</v>
      </c>
      <c r="AM291" s="1231">
        <f ca="1">OFFSET($CQ291,0,AM$7)+OFFSET($CR291,0,AM$7)+OFFSET($CS291,0,AM$7)</f>
        <v>0</v>
      </c>
      <c r="AN291" s="1231">
        <f ca="1">OFFSET($CQ291,0,AN$7)+OFFSET($CR291,0,AN$7)+OFFSET($CS291,0,AN$7)+OFFSET($CT291,0,AN$7)</f>
        <v>0</v>
      </c>
      <c r="AO291" s="1231">
        <f ca="1">OFFSET($CQ291,0,AO$7)</f>
        <v>0</v>
      </c>
      <c r="AP291" s="1231">
        <f ca="1">OFFSET($CQ291,0,AP$7)+OFFSET($CR291,0,AP$7)</f>
        <v>0</v>
      </c>
      <c r="AQ291" s="1231">
        <f ca="1">OFFSET($CQ291,0,AQ$7)+OFFSET($CR291,0,AQ$7)+OFFSET($CS291,0,AQ$7)</f>
        <v>0</v>
      </c>
      <c r="AR291" s="1231">
        <f ca="1">OFFSET($CQ291,0,AR$7)+OFFSET($CR291,0,AR$7)+OFFSET($CS291,0,AR$7)+OFFSET($CT291,0,AR$7)</f>
        <v>0</v>
      </c>
      <c r="AS291" s="1231">
        <f ca="1">OFFSET($CQ291,0,AS$7)</f>
        <v>0</v>
      </c>
      <c r="AT291" s="1231">
        <f ca="1">OFFSET($CQ291,0,AT$7)+OFFSET($CR291,0,AT$7)</f>
        <v>0</v>
      </c>
      <c r="AU291" s="1231">
        <f ca="1">OFFSET($CQ291,0,AU$7)+OFFSET($CR291,0,AU$7)+OFFSET($CS291,0,AU$7)</f>
        <v>0</v>
      </c>
      <c r="AV291" s="1231">
        <f ca="1">OFFSET($CQ291,0,AV$7)+OFFSET($CR291,0,AV$7)+OFFSET($CS291,0,AV$7)+OFFSET($CT291,0,AV$7)</f>
        <v>0</v>
      </c>
      <c r="AW291" s="1231">
        <f ca="1">OFFSET($CQ291,0,AW$7)</f>
        <v>0</v>
      </c>
      <c r="AX291" s="1231">
        <f ca="1">OFFSET($CQ291,0,AX$7)+OFFSET($CR291,0,AX$7)</f>
        <v>0</v>
      </c>
      <c r="AY291" s="1231">
        <f ca="1">OFFSET($CQ291,0,AY$7)+OFFSET($CR291,0,AY$7)+OFFSET($CS291,0,AY$7)</f>
        <v>0</v>
      </c>
      <c r="AZ291" s="1231">
        <f ca="1">OFFSET($CQ291,0,AZ$7)+OFFSET($CR291,0,AZ$7)+OFFSET($CS291,0,AZ$7)+OFFSET($CT291,0,AZ$7)</f>
        <v>0</v>
      </c>
      <c r="BA291" s="1231">
        <f ca="1">OFFSET($CQ291,0,BA$7)</f>
        <v>0</v>
      </c>
      <c r="BB291" s="1231">
        <f ca="1">OFFSET($CQ291,0,BB$7)+OFFSET($CR291,0,BB$7)</f>
        <v>0</v>
      </c>
      <c r="BC291" s="1231">
        <f ca="1">OFFSET($CQ291,0,BC$7)+OFFSET($CR291,0,BC$7)+OFFSET($CS291,0,BC$7)</f>
        <v>0</v>
      </c>
      <c r="BD291" s="1231">
        <f ca="1">OFFSET($CQ291,0,BD$7)+OFFSET($CR291,0,BD$7)+OFFSET($CS291,0,BD$7)+OFFSET($CT291,0,BD$7)</f>
        <v>0</v>
      </c>
      <c r="BE291" s="1231">
        <f ca="1">OFFSET($CQ291,0,BE$7)</f>
        <v>0</v>
      </c>
      <c r="BF291" s="1231">
        <f ca="1">OFFSET($CQ291,0,BF$7)+OFFSET($CR291,0,BF$7)</f>
        <v>0</v>
      </c>
      <c r="BG291" s="1231">
        <f ca="1">OFFSET($CQ291,0,BG$7)+OFFSET($CR291,0,BG$7)+OFFSET($CS291,0,BG$7)</f>
        <v>0</v>
      </c>
      <c r="BH291" s="1231">
        <f ca="1">OFFSET($CQ291,0,BH$7)+OFFSET($CR291,0,BH$7)+OFFSET($CS291,0,BH$7)+OFFSET($CT291,0,BH$7)</f>
        <v>0</v>
      </c>
      <c r="BI291" s="1231">
        <f ca="1">OFFSET($CQ291,0,BI$7)</f>
        <v>0</v>
      </c>
      <c r="BJ291" s="1231">
        <f ca="1">OFFSET($CQ291,0,BJ$7)+OFFSET($CR291,0,BJ$7)</f>
        <v>0</v>
      </c>
      <c r="BK291" s="1231">
        <f ca="1">OFFSET($CQ291,0,BK$7)+OFFSET($CR291,0,BK$7)+OFFSET($CS291,0,BK$7)</f>
        <v>0</v>
      </c>
      <c r="BL291" s="1231">
        <f ca="1">OFFSET($CQ291,0,BL$7)+OFFSET($CR291,0,BL$7)+OFFSET($CS291,0,BL$7)+OFFSET($CT291,0,BL$7)</f>
        <v>0</v>
      </c>
      <c r="BM291" s="1231">
        <f ca="1">OFFSET($CQ291,0,BM$7)</f>
        <v>0</v>
      </c>
      <c r="BN291" s="1231">
        <f ca="1">OFFSET($CQ291,0,BN$7)+OFFSET($CR291,0,BN$7)</f>
        <v>0</v>
      </c>
      <c r="BO291" s="1231">
        <f ca="1">OFFSET($CQ291,0,BO$7)+OFFSET($CR291,0,BO$7)+OFFSET($CS291,0,BO$7)</f>
        <v>0</v>
      </c>
      <c r="BP291" s="1231">
        <f ca="1">OFFSET($CQ291,0,BP$7)+OFFSET($CR291,0,BP$7)+OFFSET($CS291,0,BP$7)+OFFSET($CT291,0,BP$7)</f>
        <v>0</v>
      </c>
      <c r="BQ291" s="1231">
        <f ca="1">OFFSET($CQ291,0,BQ$7)</f>
        <v>0</v>
      </c>
      <c r="BR291" s="1231">
        <f ca="1">OFFSET($CQ291,0,BR$7)+OFFSET($CR291,0,BR$7)</f>
        <v>0</v>
      </c>
      <c r="BS291" s="1231">
        <f ca="1">OFFSET($CQ291,0,BS$7)+OFFSET($CR291,0,BS$7)+OFFSET($CS291,0,BS$7)</f>
        <v>0</v>
      </c>
      <c r="BT291" s="1231">
        <f ca="1">OFFSET($CQ291,0,BT$7)+OFFSET($CR291,0,BT$7)+OFFSET($CS291,0,BT$7)+OFFSET($CT291,0,BT$7)</f>
        <v>0</v>
      </c>
      <c r="BU291" s="1231">
        <f ca="1">OFFSET($CQ291,0,BU$7)</f>
        <v>0</v>
      </c>
      <c r="BV291" s="1231">
        <f ca="1">OFFSET($CQ291,0,BV$7)+OFFSET($CR291,0,BV$7)</f>
        <v>0</v>
      </c>
      <c r="BW291" s="1231">
        <f ca="1">OFFSET($CQ291,0,BW$7)+OFFSET($CR291,0,BW$7)+OFFSET($CS291,0,BW$7)</f>
        <v>0</v>
      </c>
      <c r="BX291" s="1231">
        <f ca="1">OFFSET($CQ291,0,BX$7)+OFFSET($CR291,0,BX$7)+OFFSET($CS291,0,BX$7)+OFFSET($CT291,0,BX$7)</f>
        <v>0</v>
      </c>
      <c r="BY291" s="1231">
        <f ca="1">OFFSET($CQ291,0,BY$7)</f>
        <v>0</v>
      </c>
      <c r="BZ291" s="1231">
        <f ca="1">OFFSET($CQ291,0,BZ$7)+OFFSET($CR291,0,BZ$7)</f>
        <v>0</v>
      </c>
      <c r="CA291" s="1231">
        <f ca="1">OFFSET($CQ291,0,CA$7)+OFFSET($CR291,0,CA$7)+OFFSET($CS291,0,CA$7)</f>
        <v>0</v>
      </c>
      <c r="CB291" s="1231">
        <f ca="1">OFFSET($CQ291,0,CB$7)+OFFSET($CR291,0,CB$7)+OFFSET($CS291,0,CB$7)+OFFSET($CT291,0,CB$7)</f>
        <v>0</v>
      </c>
      <c r="CC291" s="1231">
        <f ca="1">OFFSET($CQ291,0,CC$7)</f>
        <v>0</v>
      </c>
      <c r="CD291" s="1231">
        <f ca="1">OFFSET($CQ291,0,CD$7)+OFFSET($CR291,0,CD$7)</f>
        <v>0</v>
      </c>
      <c r="CE291" s="1231">
        <f ca="1">OFFSET($CQ291,0,CE$7)+OFFSET($CR291,0,CE$7)+OFFSET($CS291,0,CE$7)</f>
        <v>0</v>
      </c>
      <c r="CF291" s="1231">
        <f ca="1">OFFSET($CQ291,0,CF$7)+OFFSET($CR291,0,CF$7)+OFFSET($CS291,0,CF$7)+OFFSET($CT291,0,CF$7)</f>
        <v>0</v>
      </c>
      <c r="CG291" s="1231">
        <f ca="1">OFFSET($CQ291,0,CG$7)</f>
        <v>0</v>
      </c>
      <c r="CH291" s="1231">
        <f ca="1">OFFSET($CQ291,0,CH$7)+OFFSET($CR291,0,CH$7)</f>
        <v>0</v>
      </c>
      <c r="CI291" s="1231">
        <f ca="1">OFFSET($CQ291,0,CI$7)+OFFSET($CR291,0,CI$7)+OFFSET($CS291,0,CI$7)</f>
        <v>0</v>
      </c>
      <c r="CJ291" s="1231">
        <f ca="1">OFFSET($CQ291,0,CJ$7)+OFFSET($CR291,0,CJ$7)+OFFSET($CS291,0,CJ$7)+OFFSET($CT291,0,CJ$7)</f>
        <v>0</v>
      </c>
      <c r="CK291" s="1231"/>
      <c r="CL291" s="1231"/>
      <c r="CM291" s="1231"/>
      <c r="CN291" s="1231"/>
      <c r="CO291" s="1165"/>
      <c r="CP291" s="1165"/>
      <c r="CQ291" s="1231"/>
      <c r="CR291" s="1231"/>
      <c r="CS291" s="1231"/>
      <c r="CT291" s="1231"/>
      <c r="CU291" s="1231"/>
      <c r="CV291" s="1231"/>
      <c r="CW291" s="1231"/>
      <c r="CX291" s="1231"/>
      <c r="CY291" s="1231"/>
      <c r="CZ291" s="1231"/>
      <c r="DA291" s="1231"/>
      <c r="DB291" s="1231"/>
      <c r="DC291" s="1231"/>
      <c r="DD291" s="1231"/>
      <c r="DE291" s="1231"/>
      <c r="DF291" s="1231"/>
      <c r="DG291" s="1231"/>
      <c r="DH291" s="1231"/>
      <c r="DI291" s="1231"/>
      <c r="DJ291" s="1231"/>
      <c r="DK291" s="1231"/>
      <c r="DL291" s="1231"/>
      <c r="DM291" s="1231"/>
      <c r="DN291" s="1231"/>
      <c r="DO291" s="1231"/>
      <c r="DP291" s="1231"/>
      <c r="DQ291" s="1231"/>
      <c r="DR291" s="1231"/>
      <c r="DS291" s="1231"/>
      <c r="DT291" s="1231"/>
      <c r="DU291" s="1231"/>
      <c r="DV291" s="1231"/>
      <c r="DW291" s="1231"/>
      <c r="DX291" s="1231"/>
      <c r="DY291" s="1231"/>
      <c r="DZ291" s="1231"/>
      <c r="EA291" s="1231"/>
      <c r="EB291" s="1231"/>
      <c r="EC291" s="1231"/>
      <c r="ED291" s="1231"/>
      <c r="EE291" s="1231"/>
      <c r="EF291" s="1231"/>
      <c r="EG291" s="1231"/>
      <c r="EH291" s="1231"/>
      <c r="EI291" s="1231"/>
      <c r="EJ291" s="1231"/>
      <c r="EK291" s="1231"/>
      <c r="EL291" s="1231"/>
      <c r="EM291" s="1231"/>
      <c r="EN291" s="1231"/>
      <c r="EO291" s="1231"/>
      <c r="EP291" s="1231"/>
      <c r="EQ291" s="1231"/>
      <c r="ER291" s="1231"/>
      <c r="ES291" s="1231"/>
      <c r="ET291" s="1231"/>
      <c r="EU291" s="1231"/>
      <c r="EV291" s="1231"/>
      <c r="EW291" s="1231"/>
      <c r="EX291" s="1231"/>
      <c r="EY291" s="1231"/>
      <c r="EZ291" s="1231"/>
      <c r="FA291" s="1231"/>
      <c r="FB291" s="1231"/>
      <c r="FC291" s="1231"/>
      <c r="FD291" s="1231"/>
      <c r="FE291" s="1231"/>
      <c r="FF291" s="1231"/>
    </row>
    <row r="292" spans="1:162">
      <c r="A292" s="1224"/>
      <c r="CO292" s="1165"/>
      <c r="CP292" s="1165"/>
    </row>
    <row r="293" spans="1:162">
      <c r="A293" s="1224"/>
      <c r="B293" s="1237" t="s">
        <v>374</v>
      </c>
      <c r="M293" s="1236">
        <f t="shared" ref="M293:Q295" ca="1" si="410">OFFSET($CQ293,0,M$7)+OFFSET($CR293,0,M$7)+OFFSET($CS293,0,M$7)+OFFSET($CT293,0,M$7)</f>
        <v>0</v>
      </c>
      <c r="N293" s="1236">
        <f t="shared" ca="1" si="410"/>
        <v>0</v>
      </c>
      <c r="O293" s="1236">
        <f t="shared" ca="1" si="410"/>
        <v>0</v>
      </c>
      <c r="P293" s="1236">
        <f t="shared" ca="1" si="410"/>
        <v>0</v>
      </c>
      <c r="Q293" s="1236">
        <f t="shared" ca="1" si="410"/>
        <v>0</v>
      </c>
      <c r="AG293" s="1236">
        <f ca="1">OFFSET($CQ293,0,AG$7)</f>
        <v>0</v>
      </c>
      <c r="AH293" s="1236">
        <f ca="1">OFFSET($CQ293,0,AH$7)+OFFSET($CR293,0,AH$7)</f>
        <v>0</v>
      </c>
      <c r="AI293" s="1236">
        <f ca="1">OFFSET($CQ293,0,AI$7)+OFFSET($CR293,0,AI$7)+OFFSET($CS293,0,AI$7)</f>
        <v>0</v>
      </c>
      <c r="AJ293" s="1236">
        <f ca="1">OFFSET($CQ293,0,AJ$7)+OFFSET($CR293,0,AJ$7)+OFFSET($CS293,0,AJ$7)+OFFSET($CT293,0,AJ$7)</f>
        <v>0</v>
      </c>
      <c r="AK293" s="1236">
        <f ca="1">OFFSET($CQ293,0,AK$7)</f>
        <v>0</v>
      </c>
      <c r="AL293" s="1236">
        <f ca="1">OFFSET($CQ293,0,AL$7)+OFFSET($CR293,0,AL$7)</f>
        <v>0</v>
      </c>
      <c r="AM293" s="1236">
        <f ca="1">OFFSET($CQ293,0,AM$7)+OFFSET($CR293,0,AM$7)+OFFSET($CS293,0,AM$7)</f>
        <v>0</v>
      </c>
      <c r="AN293" s="1236">
        <f ca="1">OFFSET($CQ293,0,AN$7)+OFFSET($CR293,0,AN$7)+OFFSET($CS293,0,AN$7)+OFFSET($CT293,0,AN$7)</f>
        <v>0</v>
      </c>
      <c r="AO293" s="1236">
        <f ca="1">OFFSET($CQ293,0,AO$7)</f>
        <v>0</v>
      </c>
      <c r="AP293" s="1236">
        <f ca="1">OFFSET($CQ293,0,AP$7)+OFFSET($CR293,0,AP$7)</f>
        <v>0</v>
      </c>
      <c r="AQ293" s="1236">
        <f ca="1">OFFSET($CQ293,0,AQ$7)+OFFSET($CR293,0,AQ$7)+OFFSET($CS293,0,AQ$7)</f>
        <v>0</v>
      </c>
      <c r="AR293" s="1236">
        <f ca="1">OFFSET($CQ293,0,AR$7)+OFFSET($CR293,0,AR$7)+OFFSET($CS293,0,AR$7)+OFFSET($CT293,0,AR$7)</f>
        <v>0</v>
      </c>
      <c r="AS293" s="1236">
        <f ca="1">OFFSET($CQ293,0,AS$7)</f>
        <v>0</v>
      </c>
      <c r="AT293" s="1236">
        <f ca="1">OFFSET($CQ293,0,AT$7)+OFFSET($CR293,0,AT$7)</f>
        <v>0</v>
      </c>
      <c r="AU293" s="1236">
        <f ca="1">OFFSET($CQ293,0,AU$7)+OFFSET($CR293,0,AU$7)+OFFSET($CS293,0,AU$7)</f>
        <v>0</v>
      </c>
      <c r="AV293" s="1236">
        <f ca="1">OFFSET($CQ293,0,AV$7)+OFFSET($CR293,0,AV$7)+OFFSET($CS293,0,AV$7)+OFFSET($CT293,0,AV$7)</f>
        <v>0</v>
      </c>
      <c r="AW293" s="1236">
        <f ca="1">OFFSET($CQ293,0,AW$7)</f>
        <v>0</v>
      </c>
      <c r="AX293" s="1236">
        <f ca="1">OFFSET($CQ293,0,AX$7)+OFFSET($CR293,0,AX$7)</f>
        <v>0</v>
      </c>
      <c r="AY293" s="1236">
        <f ca="1">OFFSET($CQ293,0,AY$7)+OFFSET($CR293,0,AY$7)+OFFSET($CS293,0,AY$7)</f>
        <v>0</v>
      </c>
      <c r="AZ293" s="1236">
        <f ca="1">OFFSET($CQ293,0,AZ$7)+OFFSET($CR293,0,AZ$7)+OFFSET($CS293,0,AZ$7)+OFFSET($CT293,0,AZ$7)</f>
        <v>0</v>
      </c>
      <c r="BA293" s="1236">
        <f ca="1">OFFSET($CQ293,0,BA$7)</f>
        <v>0</v>
      </c>
      <c r="BB293" s="1236">
        <f ca="1">OFFSET($CQ293,0,BB$7)+OFFSET($CR293,0,BB$7)</f>
        <v>0</v>
      </c>
      <c r="BC293" s="1236">
        <f ca="1">OFFSET($CQ293,0,BC$7)+OFFSET($CR293,0,BC$7)+OFFSET($CS293,0,BC$7)</f>
        <v>0</v>
      </c>
      <c r="BD293" s="1236">
        <f ca="1">OFFSET($CQ293,0,BD$7)+OFFSET($CR293,0,BD$7)+OFFSET($CS293,0,BD$7)+OFFSET($CT293,0,BD$7)</f>
        <v>0</v>
      </c>
      <c r="BE293" s="1236">
        <f ca="1">OFFSET($CQ293,0,BE$7)</f>
        <v>0</v>
      </c>
      <c r="BF293" s="1236">
        <f ca="1">OFFSET($CQ293,0,BF$7)+OFFSET($CR293,0,BF$7)</f>
        <v>0</v>
      </c>
      <c r="BG293" s="1236">
        <f ca="1">OFFSET($CQ293,0,BG$7)+OFFSET($CR293,0,BG$7)+OFFSET($CS293,0,BG$7)</f>
        <v>0</v>
      </c>
      <c r="BH293" s="1236">
        <f ca="1">OFFSET($CQ293,0,BH$7)+OFFSET($CR293,0,BH$7)+OFFSET($CS293,0,BH$7)+OFFSET($CT293,0,BH$7)</f>
        <v>0</v>
      </c>
      <c r="BI293" s="1236">
        <f ca="1">OFFSET($CQ293,0,BI$7)</f>
        <v>0</v>
      </c>
      <c r="BJ293" s="1236">
        <f ca="1">OFFSET($CQ293,0,BJ$7)+OFFSET($CR293,0,BJ$7)</f>
        <v>0</v>
      </c>
      <c r="BK293" s="1236">
        <f ca="1">OFFSET($CQ293,0,BK$7)+OFFSET($CR293,0,BK$7)+OFFSET($CS293,0,BK$7)</f>
        <v>0</v>
      </c>
      <c r="BL293" s="1236">
        <f ca="1">OFFSET($CQ293,0,BL$7)+OFFSET($CR293,0,BL$7)+OFFSET($CS293,0,BL$7)+OFFSET($CT293,0,BL$7)</f>
        <v>0</v>
      </c>
      <c r="BM293" s="1236">
        <f ca="1">OFFSET($CQ293,0,BM$7)</f>
        <v>0</v>
      </c>
      <c r="BN293" s="1236">
        <f ca="1">OFFSET($CQ293,0,BN$7)+OFFSET($CR293,0,BN$7)</f>
        <v>0</v>
      </c>
      <c r="BO293" s="1236">
        <f ca="1">OFFSET($CQ293,0,BO$7)+OFFSET($CR293,0,BO$7)+OFFSET($CS293,0,BO$7)</f>
        <v>0</v>
      </c>
      <c r="BP293" s="1236">
        <f ca="1">OFFSET($CQ293,0,BP$7)+OFFSET($CR293,0,BP$7)+OFFSET($CS293,0,BP$7)+OFFSET($CT293,0,BP$7)</f>
        <v>0</v>
      </c>
      <c r="BQ293" s="1236">
        <f ca="1">OFFSET($CQ293,0,BQ$7)</f>
        <v>0</v>
      </c>
      <c r="BR293" s="1236">
        <f ca="1">OFFSET($CQ293,0,BR$7)+OFFSET($CR293,0,BR$7)</f>
        <v>0</v>
      </c>
      <c r="BS293" s="1236">
        <f ca="1">OFFSET($CQ293,0,BS$7)+OFFSET($CR293,0,BS$7)+OFFSET($CS293,0,BS$7)</f>
        <v>0</v>
      </c>
      <c r="BT293" s="1236">
        <f ca="1">OFFSET($CQ293,0,BT$7)+OFFSET($CR293,0,BT$7)+OFFSET($CS293,0,BT$7)+OFFSET($CT293,0,BT$7)</f>
        <v>0</v>
      </c>
      <c r="BU293" s="1236">
        <f ca="1">OFFSET($CQ293,0,BU$7)</f>
        <v>0</v>
      </c>
      <c r="BV293" s="1236">
        <f ca="1">OFFSET($CQ293,0,BV$7)+OFFSET($CR293,0,BV$7)</f>
        <v>0</v>
      </c>
      <c r="BW293" s="1236">
        <f ca="1">OFFSET($CQ293,0,BW$7)+OFFSET($CR293,0,BW$7)+OFFSET($CS293,0,BW$7)</f>
        <v>0</v>
      </c>
      <c r="BX293" s="1236">
        <f ca="1">OFFSET($CQ293,0,BX$7)+OFFSET($CR293,0,BX$7)+OFFSET($CS293,0,BX$7)+OFFSET($CT293,0,BX$7)</f>
        <v>0</v>
      </c>
      <c r="BY293" s="1236">
        <f ca="1">OFFSET($CQ293,0,BY$7)</f>
        <v>0</v>
      </c>
      <c r="BZ293" s="1236">
        <f ca="1">OFFSET($CQ293,0,BZ$7)+OFFSET($CR293,0,BZ$7)</f>
        <v>0</v>
      </c>
      <c r="CA293" s="1236">
        <f ca="1">OFFSET($CQ293,0,CA$7)+OFFSET($CR293,0,CA$7)+OFFSET($CS293,0,CA$7)</f>
        <v>0</v>
      </c>
      <c r="CB293" s="1236">
        <f ca="1">OFFSET($CQ293,0,CB$7)+OFFSET($CR293,0,CB$7)+OFFSET($CS293,0,CB$7)+OFFSET($CT293,0,CB$7)</f>
        <v>0</v>
      </c>
      <c r="CC293" s="1236">
        <f ca="1">OFFSET($CQ293,0,CC$7)</f>
        <v>0</v>
      </c>
      <c r="CD293" s="1236">
        <f ca="1">OFFSET($CQ293,0,CD$7)+OFFSET($CR293,0,CD$7)</f>
        <v>0</v>
      </c>
      <c r="CE293" s="1236">
        <f ca="1">OFFSET($CQ293,0,CE$7)+OFFSET($CR293,0,CE$7)+OFFSET($CS293,0,CE$7)</f>
        <v>0</v>
      </c>
      <c r="CF293" s="1236">
        <f ca="1">OFFSET($CQ293,0,CF$7)+OFFSET($CR293,0,CF$7)+OFFSET($CS293,0,CF$7)+OFFSET($CT293,0,CF$7)</f>
        <v>0</v>
      </c>
      <c r="CG293" s="1236">
        <f ca="1">OFFSET($CQ293,0,CG$7)</f>
        <v>0</v>
      </c>
      <c r="CH293" s="1236">
        <f ca="1">OFFSET($CQ293,0,CH$7)+OFFSET($CR293,0,CH$7)</f>
        <v>0</v>
      </c>
      <c r="CI293" s="1236">
        <f ca="1">OFFSET($CQ293,0,CI$7)+OFFSET($CR293,0,CI$7)+OFFSET($CS293,0,CI$7)</f>
        <v>0</v>
      </c>
      <c r="CJ293" s="1236">
        <f ca="1">OFFSET($CQ293,0,CJ$7)+OFFSET($CR293,0,CJ$7)+OFFSET($CS293,0,CJ$7)+OFFSET($CT293,0,CJ$7)</f>
        <v>0</v>
      </c>
      <c r="CO293" s="1165"/>
      <c r="CP293" s="1165"/>
      <c r="DK293" s="1238"/>
      <c r="DL293" s="1238"/>
      <c r="DM293" s="1238"/>
      <c r="DN293" s="1238"/>
      <c r="DO293" s="1238"/>
      <c r="DP293" s="1238"/>
      <c r="DQ293" s="1238"/>
      <c r="DR293" s="1238"/>
      <c r="DS293" s="1238"/>
      <c r="DT293" s="1238"/>
      <c r="DU293" s="1238"/>
      <c r="DV293" s="1238"/>
      <c r="DW293" s="1238"/>
      <c r="DX293" s="1238"/>
      <c r="DY293" s="1238"/>
      <c r="DZ293" s="1238"/>
      <c r="EA293" s="1238"/>
      <c r="EB293" s="1238"/>
      <c r="EC293" s="1238"/>
      <c r="ED293" s="1238"/>
      <c r="EE293" s="1238"/>
      <c r="EF293" s="1238"/>
      <c r="EG293" s="1238"/>
      <c r="EH293" s="1238"/>
      <c r="EI293" s="1238"/>
      <c r="EJ293" s="1238"/>
      <c r="EK293" s="1238"/>
      <c r="EL293" s="1238"/>
      <c r="EM293" s="1238"/>
      <c r="EN293" s="1238"/>
      <c r="EO293" s="1238"/>
      <c r="EP293" s="1238"/>
      <c r="EQ293" s="1238"/>
      <c r="ER293" s="1238"/>
      <c r="ES293" s="1238"/>
      <c r="ET293" s="1238"/>
    </row>
    <row r="294" spans="1:162" s="1231" customFormat="1">
      <c r="A294" s="1224"/>
      <c r="B294" s="1237" t="s">
        <v>375</v>
      </c>
      <c r="C294" s="1236"/>
      <c r="D294" s="1236"/>
      <c r="E294" s="1236"/>
      <c r="F294" s="1236"/>
      <c r="G294" s="1236"/>
      <c r="H294" s="1236"/>
      <c r="I294" s="1236"/>
      <c r="J294" s="1236"/>
      <c r="K294" s="1236"/>
      <c r="L294" s="1236"/>
      <c r="M294" s="1236">
        <f t="shared" ca="1" si="410"/>
        <v>0</v>
      </c>
      <c r="N294" s="1236">
        <f t="shared" ca="1" si="410"/>
        <v>0</v>
      </c>
      <c r="O294" s="1236">
        <f t="shared" ca="1" si="410"/>
        <v>0</v>
      </c>
      <c r="P294" s="1236">
        <f t="shared" ca="1" si="410"/>
        <v>0</v>
      </c>
      <c r="Q294" s="1236">
        <f t="shared" ca="1" si="410"/>
        <v>0</v>
      </c>
      <c r="R294" s="1236"/>
      <c r="S294" s="1236"/>
      <c r="T294" s="1236"/>
      <c r="U294" s="1236"/>
      <c r="V294" s="1236"/>
      <c r="W294" s="1236"/>
      <c r="X294" s="1236"/>
      <c r="Y294" s="1236"/>
      <c r="Z294" s="1236"/>
      <c r="AA294" s="1236"/>
      <c r="AB294" s="1236"/>
      <c r="AC294" s="1236"/>
      <c r="AD294" s="1236"/>
      <c r="AE294" s="1236"/>
      <c r="AF294" s="1236"/>
      <c r="AG294" s="1236">
        <f ca="1">OFFSET($CQ294,0,AG$7)</f>
        <v>0</v>
      </c>
      <c r="AH294" s="1236">
        <f ca="1">OFFSET($CQ294,0,AH$7)+OFFSET($CR294,0,AH$7)</f>
        <v>0</v>
      </c>
      <c r="AI294" s="1236">
        <f ca="1">OFFSET($CQ294,0,AI$7)+OFFSET($CR294,0,AI$7)+OFFSET($CS294,0,AI$7)</f>
        <v>0</v>
      </c>
      <c r="AJ294" s="1236">
        <f ca="1">OFFSET($CQ294,0,AJ$7)+OFFSET($CR294,0,AJ$7)+OFFSET($CS294,0,AJ$7)+OFFSET($CT294,0,AJ$7)</f>
        <v>0</v>
      </c>
      <c r="AK294" s="1236">
        <f ca="1">OFFSET($CQ294,0,AK$7)</f>
        <v>0</v>
      </c>
      <c r="AL294" s="1236">
        <f ca="1">OFFSET($CQ294,0,AL$7)+OFFSET($CR294,0,AL$7)</f>
        <v>0</v>
      </c>
      <c r="AM294" s="1236">
        <f ca="1">OFFSET($CQ294,0,AM$7)+OFFSET($CR294,0,AM$7)+OFFSET($CS294,0,AM$7)</f>
        <v>0</v>
      </c>
      <c r="AN294" s="1236">
        <f ca="1">OFFSET($CQ294,0,AN$7)+OFFSET($CR294,0,AN$7)+OFFSET($CS294,0,AN$7)+OFFSET($CT294,0,AN$7)</f>
        <v>0</v>
      </c>
      <c r="AO294" s="1236">
        <f ca="1">OFFSET($CQ294,0,AO$7)</f>
        <v>0</v>
      </c>
      <c r="AP294" s="1236">
        <f ca="1">OFFSET($CQ294,0,AP$7)+OFFSET($CR294,0,AP$7)</f>
        <v>0</v>
      </c>
      <c r="AQ294" s="1236">
        <f ca="1">OFFSET($CQ294,0,AQ$7)+OFFSET($CR294,0,AQ$7)+OFFSET($CS294,0,AQ$7)</f>
        <v>0</v>
      </c>
      <c r="AR294" s="1236">
        <f ca="1">OFFSET($CQ294,0,AR$7)+OFFSET($CR294,0,AR$7)+OFFSET($CS294,0,AR$7)+OFFSET($CT294,0,AR$7)</f>
        <v>0</v>
      </c>
      <c r="AS294" s="1236">
        <f ca="1">OFFSET($CQ294,0,AS$7)</f>
        <v>0</v>
      </c>
      <c r="AT294" s="1236">
        <f ca="1">OFFSET($CQ294,0,AT$7)+OFFSET($CR294,0,AT$7)</f>
        <v>0</v>
      </c>
      <c r="AU294" s="1236">
        <f ca="1">OFFSET($CQ294,0,AU$7)+OFFSET($CR294,0,AU$7)+OFFSET($CS294,0,AU$7)</f>
        <v>0</v>
      </c>
      <c r="AV294" s="1236">
        <f ca="1">OFFSET($CQ294,0,AV$7)+OFFSET($CR294,0,AV$7)+OFFSET($CS294,0,AV$7)+OFFSET($CT294,0,AV$7)</f>
        <v>0</v>
      </c>
      <c r="AW294" s="1236">
        <f ca="1">OFFSET($CQ294,0,AW$7)</f>
        <v>0</v>
      </c>
      <c r="AX294" s="1236">
        <f ca="1">OFFSET($CQ294,0,AX$7)+OFFSET($CR294,0,AX$7)</f>
        <v>0</v>
      </c>
      <c r="AY294" s="1236">
        <f ca="1">OFFSET($CQ294,0,AY$7)+OFFSET($CR294,0,AY$7)+OFFSET($CS294,0,AY$7)</f>
        <v>0</v>
      </c>
      <c r="AZ294" s="1236">
        <f ca="1">OFFSET($CQ294,0,AZ$7)+OFFSET($CR294,0,AZ$7)+OFFSET($CS294,0,AZ$7)+OFFSET($CT294,0,AZ$7)</f>
        <v>0</v>
      </c>
      <c r="BA294" s="1236">
        <f ca="1">OFFSET($CQ294,0,BA$7)</f>
        <v>0</v>
      </c>
      <c r="BB294" s="1236">
        <f ca="1">OFFSET($CQ294,0,BB$7)+OFFSET($CR294,0,BB$7)</f>
        <v>0</v>
      </c>
      <c r="BC294" s="1236">
        <f ca="1">OFFSET($CQ294,0,BC$7)+OFFSET($CR294,0,BC$7)+OFFSET($CS294,0,BC$7)</f>
        <v>0</v>
      </c>
      <c r="BD294" s="1236">
        <f ca="1">OFFSET($CQ294,0,BD$7)+OFFSET($CR294,0,BD$7)+OFFSET($CS294,0,BD$7)+OFFSET($CT294,0,BD$7)</f>
        <v>0</v>
      </c>
      <c r="BE294" s="1236">
        <f ca="1">OFFSET($CQ294,0,BE$7)</f>
        <v>0</v>
      </c>
      <c r="BF294" s="1236">
        <f ca="1">OFFSET($CQ294,0,BF$7)+OFFSET($CR294,0,BF$7)</f>
        <v>0</v>
      </c>
      <c r="BG294" s="1236">
        <f ca="1">OFFSET($CQ294,0,BG$7)+OFFSET($CR294,0,BG$7)+OFFSET($CS294,0,BG$7)</f>
        <v>0</v>
      </c>
      <c r="BH294" s="1236">
        <f ca="1">OFFSET($CQ294,0,BH$7)+OFFSET($CR294,0,BH$7)+OFFSET($CS294,0,BH$7)+OFFSET($CT294,0,BH$7)</f>
        <v>0</v>
      </c>
      <c r="BI294" s="1236">
        <f ca="1">OFFSET($CQ294,0,BI$7)</f>
        <v>0</v>
      </c>
      <c r="BJ294" s="1236">
        <f ca="1">OFFSET($CQ294,0,BJ$7)+OFFSET($CR294,0,BJ$7)</f>
        <v>0</v>
      </c>
      <c r="BK294" s="1236">
        <f ca="1">OFFSET($CQ294,0,BK$7)+OFFSET($CR294,0,BK$7)+OFFSET($CS294,0,BK$7)</f>
        <v>0</v>
      </c>
      <c r="BL294" s="1236">
        <f ca="1">OFFSET($CQ294,0,BL$7)+OFFSET($CR294,0,BL$7)+OFFSET($CS294,0,BL$7)+OFFSET($CT294,0,BL$7)</f>
        <v>0</v>
      </c>
      <c r="BM294" s="1236">
        <f ca="1">OFFSET($CQ294,0,BM$7)</f>
        <v>0</v>
      </c>
      <c r="BN294" s="1236">
        <f ca="1">OFFSET($CQ294,0,BN$7)+OFFSET($CR294,0,BN$7)</f>
        <v>0</v>
      </c>
      <c r="BO294" s="1236">
        <f ca="1">OFFSET($CQ294,0,BO$7)+OFFSET($CR294,0,BO$7)+OFFSET($CS294,0,BO$7)</f>
        <v>0</v>
      </c>
      <c r="BP294" s="1236">
        <f ca="1">OFFSET($CQ294,0,BP$7)+OFFSET($CR294,0,BP$7)+OFFSET($CS294,0,BP$7)+OFFSET($CT294,0,BP$7)</f>
        <v>0</v>
      </c>
      <c r="BQ294" s="1236">
        <f ca="1">OFFSET($CQ294,0,BQ$7)</f>
        <v>0</v>
      </c>
      <c r="BR294" s="1236">
        <f ca="1">OFFSET($CQ294,0,BR$7)+OFFSET($CR294,0,BR$7)</f>
        <v>0</v>
      </c>
      <c r="BS294" s="1236">
        <f ca="1">OFFSET($CQ294,0,BS$7)+OFFSET($CR294,0,BS$7)+OFFSET($CS294,0,BS$7)</f>
        <v>0</v>
      </c>
      <c r="BT294" s="1236">
        <f ca="1">OFFSET($CQ294,0,BT$7)+OFFSET($CR294,0,BT$7)+OFFSET($CS294,0,BT$7)+OFFSET($CT294,0,BT$7)</f>
        <v>0</v>
      </c>
      <c r="BU294" s="1236">
        <f ca="1">OFFSET($CQ294,0,BU$7)</f>
        <v>0</v>
      </c>
      <c r="BV294" s="1236">
        <f ca="1">OFFSET($CQ294,0,BV$7)+OFFSET($CR294,0,BV$7)</f>
        <v>0</v>
      </c>
      <c r="BW294" s="1236">
        <f ca="1">OFFSET($CQ294,0,BW$7)+OFFSET($CR294,0,BW$7)+OFFSET($CS294,0,BW$7)</f>
        <v>0</v>
      </c>
      <c r="BX294" s="1236">
        <f ca="1">OFFSET($CQ294,0,BX$7)+OFFSET($CR294,0,BX$7)+OFFSET($CS294,0,BX$7)+OFFSET($CT294,0,BX$7)</f>
        <v>0</v>
      </c>
      <c r="BY294" s="1236">
        <f ca="1">OFFSET($CQ294,0,BY$7)</f>
        <v>0</v>
      </c>
      <c r="BZ294" s="1236">
        <f ca="1">OFFSET($CQ294,0,BZ$7)+OFFSET($CR294,0,BZ$7)</f>
        <v>0</v>
      </c>
      <c r="CA294" s="1236">
        <f ca="1">OFFSET($CQ294,0,CA$7)+OFFSET($CR294,0,CA$7)+OFFSET($CS294,0,CA$7)</f>
        <v>0</v>
      </c>
      <c r="CB294" s="1236">
        <f ca="1">OFFSET($CQ294,0,CB$7)+OFFSET($CR294,0,CB$7)+OFFSET($CS294,0,CB$7)+OFFSET($CT294,0,CB$7)</f>
        <v>0</v>
      </c>
      <c r="CC294" s="1236">
        <f ca="1">OFFSET($CQ294,0,CC$7)</f>
        <v>0</v>
      </c>
      <c r="CD294" s="1236">
        <f ca="1">OFFSET($CQ294,0,CD$7)+OFFSET($CR294,0,CD$7)</f>
        <v>0</v>
      </c>
      <c r="CE294" s="1236">
        <f ca="1">OFFSET($CQ294,0,CE$7)+OFFSET($CR294,0,CE$7)+OFFSET($CS294,0,CE$7)</f>
        <v>0</v>
      </c>
      <c r="CF294" s="1236">
        <f ca="1">OFFSET($CQ294,0,CF$7)+OFFSET($CR294,0,CF$7)+OFFSET($CS294,0,CF$7)+OFFSET($CT294,0,CF$7)</f>
        <v>0</v>
      </c>
      <c r="CG294" s="1236">
        <f ca="1">OFFSET($CQ294,0,CG$7)</f>
        <v>0</v>
      </c>
      <c r="CH294" s="1236">
        <f ca="1">OFFSET($CQ294,0,CH$7)+OFFSET($CR294,0,CH$7)</f>
        <v>0</v>
      </c>
      <c r="CI294" s="1236">
        <f ca="1">OFFSET($CQ294,0,CI$7)+OFFSET($CR294,0,CI$7)+OFFSET($CS294,0,CI$7)</f>
        <v>0</v>
      </c>
      <c r="CJ294" s="1236">
        <f ca="1">OFFSET($CQ294,0,CJ$7)+OFFSET($CR294,0,CJ$7)+OFFSET($CS294,0,CJ$7)+OFFSET($CT294,0,CJ$7)</f>
        <v>0</v>
      </c>
      <c r="CK294" s="1236"/>
      <c r="CL294" s="1236"/>
      <c r="CM294" s="1236"/>
      <c r="CN294" s="1236"/>
      <c r="CO294" s="1165"/>
      <c r="CP294" s="1165"/>
      <c r="CQ294" s="1236"/>
      <c r="CR294" s="1236"/>
      <c r="CS294" s="1236"/>
      <c r="CT294" s="1236"/>
      <c r="CU294" s="1236"/>
      <c r="CV294" s="1236"/>
      <c r="CW294" s="1236"/>
      <c r="CX294" s="1236"/>
      <c r="CY294" s="1236"/>
      <c r="CZ294" s="1236"/>
      <c r="DA294" s="1236"/>
      <c r="DB294" s="1236"/>
      <c r="DC294" s="1236"/>
      <c r="DD294" s="1236"/>
      <c r="DE294" s="1236"/>
      <c r="DF294" s="1236"/>
      <c r="DG294" s="1236"/>
      <c r="DH294" s="1236"/>
      <c r="DI294" s="1236"/>
      <c r="DJ294" s="1236"/>
      <c r="DK294" s="1238"/>
      <c r="DL294" s="1238"/>
      <c r="DM294" s="1238"/>
      <c r="DN294" s="1238"/>
      <c r="DO294" s="1238"/>
      <c r="DP294" s="1238"/>
      <c r="DQ294" s="1238"/>
      <c r="DR294" s="1238"/>
      <c r="DS294" s="1238"/>
      <c r="DT294" s="1238"/>
      <c r="DU294" s="1238"/>
      <c r="DV294" s="1238"/>
      <c r="DW294" s="1238"/>
      <c r="DX294" s="1238"/>
      <c r="DY294" s="1238"/>
      <c r="DZ294" s="1238"/>
      <c r="EA294" s="1238"/>
      <c r="EB294" s="1238"/>
      <c r="EC294" s="1238"/>
      <c r="ED294" s="1238"/>
      <c r="EE294" s="1238"/>
      <c r="EF294" s="1238"/>
      <c r="EG294" s="1238"/>
      <c r="EH294" s="1238"/>
      <c r="EI294" s="1238"/>
      <c r="EJ294" s="1238"/>
      <c r="EK294" s="1238"/>
      <c r="EL294" s="1238"/>
      <c r="EM294" s="1238"/>
      <c r="EN294" s="1238"/>
      <c r="EO294" s="1238"/>
      <c r="EP294" s="1238"/>
      <c r="EQ294" s="1238"/>
      <c r="ER294" s="1238"/>
      <c r="ES294" s="1238"/>
      <c r="ET294" s="1238"/>
      <c r="EU294" s="1236"/>
      <c r="EV294" s="1236"/>
      <c r="EW294" s="1236"/>
      <c r="EX294" s="1236"/>
      <c r="EY294" s="1236"/>
      <c r="EZ294" s="1236"/>
      <c r="FA294" s="1236"/>
      <c r="FB294" s="1236"/>
      <c r="FC294" s="1236"/>
      <c r="FD294" s="1236"/>
      <c r="FE294" s="1236"/>
      <c r="FF294" s="1236"/>
    </row>
    <row r="295" spans="1:162">
      <c r="A295" s="1224"/>
      <c r="B295" s="1230" t="s">
        <v>121</v>
      </c>
      <c r="C295" s="1231"/>
      <c r="D295" s="1231"/>
      <c r="E295" s="1231"/>
      <c r="F295" s="1231"/>
      <c r="G295" s="1231"/>
      <c r="H295" s="1231"/>
      <c r="I295" s="1231"/>
      <c r="J295" s="1231"/>
      <c r="K295" s="1231"/>
      <c r="L295" s="1231"/>
      <c r="M295" s="1231">
        <f t="shared" ca="1" si="410"/>
        <v>0</v>
      </c>
      <c r="N295" s="1231">
        <f t="shared" ca="1" si="410"/>
        <v>0</v>
      </c>
      <c r="O295" s="1231">
        <f t="shared" ca="1" si="410"/>
        <v>0</v>
      </c>
      <c r="P295" s="1231">
        <f t="shared" ca="1" si="410"/>
        <v>0</v>
      </c>
      <c r="Q295" s="1231">
        <f t="shared" ca="1" si="410"/>
        <v>0</v>
      </c>
      <c r="R295" s="1231">
        <f t="shared" ref="R295:Y295" si="411">SUM(R293:R294)</f>
        <v>0</v>
      </c>
      <c r="S295" s="1231">
        <f t="shared" si="411"/>
        <v>0</v>
      </c>
      <c r="T295" s="1231">
        <f t="shared" si="411"/>
        <v>0</v>
      </c>
      <c r="U295" s="1231">
        <f t="shared" si="411"/>
        <v>0</v>
      </c>
      <c r="V295" s="1231">
        <f t="shared" si="411"/>
        <v>0</v>
      </c>
      <c r="W295" s="1231">
        <f t="shared" si="411"/>
        <v>0</v>
      </c>
      <c r="X295" s="1231">
        <f t="shared" si="411"/>
        <v>0</v>
      </c>
      <c r="Y295" s="1231">
        <f t="shared" si="411"/>
        <v>0</v>
      </c>
      <c r="Z295" s="1231"/>
      <c r="AA295" s="1231"/>
      <c r="AB295" s="1231"/>
      <c r="AC295" s="1231"/>
      <c r="AD295" s="1231"/>
      <c r="AE295" s="1231"/>
      <c r="AF295" s="1231"/>
      <c r="AG295" s="1231">
        <f ca="1">OFFSET($CQ295,0,AG$7)</f>
        <v>0</v>
      </c>
      <c r="AH295" s="1231">
        <f ca="1">OFFSET($CQ295,0,AH$7)+OFFSET($CR295,0,AH$7)</f>
        <v>0</v>
      </c>
      <c r="AI295" s="1231">
        <f ca="1">OFFSET($CQ295,0,AI$7)+OFFSET($CR295,0,AI$7)+OFFSET($CS295,0,AI$7)</f>
        <v>0</v>
      </c>
      <c r="AJ295" s="1231">
        <f ca="1">OFFSET($CQ295,0,AJ$7)+OFFSET($CR295,0,AJ$7)+OFFSET($CS295,0,AJ$7)+OFFSET($CT295,0,AJ$7)</f>
        <v>0</v>
      </c>
      <c r="AK295" s="1231">
        <f ca="1">OFFSET($CQ295,0,AK$7)</f>
        <v>0</v>
      </c>
      <c r="AL295" s="1231">
        <f ca="1">OFFSET($CQ295,0,AL$7)+OFFSET($CR295,0,AL$7)</f>
        <v>0</v>
      </c>
      <c r="AM295" s="1231">
        <f ca="1">OFFSET($CQ295,0,AM$7)+OFFSET($CR295,0,AM$7)+OFFSET($CS295,0,AM$7)</f>
        <v>0</v>
      </c>
      <c r="AN295" s="1231">
        <f ca="1">OFFSET($CQ295,0,AN$7)+OFFSET($CR295,0,AN$7)+OFFSET($CS295,0,AN$7)+OFFSET($CT295,0,AN$7)</f>
        <v>0</v>
      </c>
      <c r="AO295" s="1231">
        <f ca="1">OFFSET($CQ295,0,AO$7)</f>
        <v>0</v>
      </c>
      <c r="AP295" s="1231">
        <f ca="1">OFFSET($CQ295,0,AP$7)+OFFSET($CR295,0,AP$7)</f>
        <v>0</v>
      </c>
      <c r="AQ295" s="1231">
        <f ca="1">OFFSET($CQ295,0,AQ$7)+OFFSET($CR295,0,AQ$7)+OFFSET($CS295,0,AQ$7)</f>
        <v>0</v>
      </c>
      <c r="AR295" s="1231">
        <f ca="1">OFFSET($CQ295,0,AR$7)+OFFSET($CR295,0,AR$7)+OFFSET($CS295,0,AR$7)+OFFSET($CT295,0,AR$7)</f>
        <v>0</v>
      </c>
      <c r="AS295" s="1231">
        <f ca="1">OFFSET($CQ295,0,AS$7)</f>
        <v>0</v>
      </c>
      <c r="AT295" s="1231">
        <f ca="1">OFFSET($CQ295,0,AT$7)+OFFSET($CR295,0,AT$7)</f>
        <v>0</v>
      </c>
      <c r="AU295" s="1231">
        <f ca="1">OFFSET($CQ295,0,AU$7)+OFFSET($CR295,0,AU$7)+OFFSET($CS295,0,AU$7)</f>
        <v>0</v>
      </c>
      <c r="AV295" s="1231">
        <f ca="1">OFFSET($CQ295,0,AV$7)+OFFSET($CR295,0,AV$7)+OFFSET($CS295,0,AV$7)+OFFSET($CT295,0,AV$7)</f>
        <v>0</v>
      </c>
      <c r="AW295" s="1231">
        <f ca="1">OFFSET($CQ295,0,AW$7)</f>
        <v>0</v>
      </c>
      <c r="AX295" s="1231">
        <f ca="1">OFFSET($CQ295,0,AX$7)+OFFSET($CR295,0,AX$7)</f>
        <v>0</v>
      </c>
      <c r="AY295" s="1231">
        <f ca="1">OFFSET($CQ295,0,AY$7)+OFFSET($CR295,0,AY$7)+OFFSET($CS295,0,AY$7)</f>
        <v>0</v>
      </c>
      <c r="AZ295" s="1231">
        <f ca="1">OFFSET($CQ295,0,AZ$7)+OFFSET($CR295,0,AZ$7)+OFFSET($CS295,0,AZ$7)+OFFSET($CT295,0,AZ$7)</f>
        <v>0</v>
      </c>
      <c r="BA295" s="1231">
        <f ca="1">OFFSET($CQ295,0,BA$7)</f>
        <v>0</v>
      </c>
      <c r="BB295" s="1231">
        <f ca="1">OFFSET($CQ295,0,BB$7)+OFFSET($CR295,0,BB$7)</f>
        <v>0</v>
      </c>
      <c r="BC295" s="1231">
        <f ca="1">OFFSET($CQ295,0,BC$7)+OFFSET($CR295,0,BC$7)+OFFSET($CS295,0,BC$7)</f>
        <v>0</v>
      </c>
      <c r="BD295" s="1231">
        <f ca="1">OFFSET($CQ295,0,BD$7)+OFFSET($CR295,0,BD$7)+OFFSET($CS295,0,BD$7)+OFFSET($CT295,0,BD$7)</f>
        <v>0</v>
      </c>
      <c r="BE295" s="1231">
        <f ca="1">OFFSET($CQ295,0,BE$7)</f>
        <v>0</v>
      </c>
      <c r="BF295" s="1231">
        <f ca="1">OFFSET($CQ295,0,BF$7)+OFFSET($CR295,0,BF$7)</f>
        <v>0</v>
      </c>
      <c r="BG295" s="1231">
        <f ca="1">OFFSET($CQ295,0,BG$7)+OFFSET($CR295,0,BG$7)+OFFSET($CS295,0,BG$7)</f>
        <v>0</v>
      </c>
      <c r="BH295" s="1231">
        <f ca="1">OFFSET($CQ295,0,BH$7)+OFFSET($CR295,0,BH$7)+OFFSET($CS295,0,BH$7)+OFFSET($CT295,0,BH$7)</f>
        <v>0</v>
      </c>
      <c r="BI295" s="1231">
        <f ca="1">OFFSET($CQ295,0,BI$7)</f>
        <v>0</v>
      </c>
      <c r="BJ295" s="1231">
        <f ca="1">OFFSET($CQ295,0,BJ$7)+OFFSET($CR295,0,BJ$7)</f>
        <v>0</v>
      </c>
      <c r="BK295" s="1231">
        <f ca="1">OFFSET($CQ295,0,BK$7)+OFFSET($CR295,0,BK$7)+OFFSET($CS295,0,BK$7)</f>
        <v>0</v>
      </c>
      <c r="BL295" s="1231">
        <f ca="1">OFFSET($CQ295,0,BL$7)+OFFSET($CR295,0,BL$7)+OFFSET($CS295,0,BL$7)+OFFSET($CT295,0,BL$7)</f>
        <v>0</v>
      </c>
      <c r="BM295" s="1231">
        <f ca="1">OFFSET($CQ295,0,BM$7)</f>
        <v>0</v>
      </c>
      <c r="BN295" s="1231">
        <f ca="1">OFFSET($CQ295,0,BN$7)+OFFSET($CR295,0,BN$7)</f>
        <v>0</v>
      </c>
      <c r="BO295" s="1231">
        <f ca="1">OFFSET($CQ295,0,BO$7)+OFFSET($CR295,0,BO$7)+OFFSET($CS295,0,BO$7)</f>
        <v>0</v>
      </c>
      <c r="BP295" s="1231">
        <f ca="1">OFFSET($CQ295,0,BP$7)+OFFSET($CR295,0,BP$7)+OFFSET($CS295,0,BP$7)+OFFSET($CT295,0,BP$7)</f>
        <v>0</v>
      </c>
      <c r="BQ295" s="1231">
        <f ca="1">OFFSET($CQ295,0,BQ$7)</f>
        <v>0</v>
      </c>
      <c r="BR295" s="1231">
        <f ca="1">OFFSET($CQ295,0,BR$7)+OFFSET($CR295,0,BR$7)</f>
        <v>0</v>
      </c>
      <c r="BS295" s="1231">
        <f ca="1">OFFSET($CQ295,0,BS$7)+OFFSET($CR295,0,BS$7)+OFFSET($CS295,0,BS$7)</f>
        <v>0</v>
      </c>
      <c r="BT295" s="1231">
        <f ca="1">OFFSET($CQ295,0,BT$7)+OFFSET($CR295,0,BT$7)+OFFSET($CS295,0,BT$7)+OFFSET($CT295,0,BT$7)</f>
        <v>0</v>
      </c>
      <c r="BU295" s="1231">
        <f ca="1">OFFSET($CQ295,0,BU$7)</f>
        <v>0</v>
      </c>
      <c r="BV295" s="1231">
        <f ca="1">OFFSET($CQ295,0,BV$7)+OFFSET($CR295,0,BV$7)</f>
        <v>0</v>
      </c>
      <c r="BW295" s="1231">
        <f ca="1">OFFSET($CQ295,0,BW$7)+OFFSET($CR295,0,BW$7)+OFFSET($CS295,0,BW$7)</f>
        <v>0</v>
      </c>
      <c r="BX295" s="1231">
        <f ca="1">OFFSET($CQ295,0,BX$7)+OFFSET($CR295,0,BX$7)+OFFSET($CS295,0,BX$7)+OFFSET($CT295,0,BX$7)</f>
        <v>0</v>
      </c>
      <c r="BY295" s="1231">
        <f ca="1">OFFSET($CQ295,0,BY$7)</f>
        <v>0</v>
      </c>
      <c r="BZ295" s="1231">
        <f ca="1">OFFSET($CQ295,0,BZ$7)+OFFSET($CR295,0,BZ$7)</f>
        <v>0</v>
      </c>
      <c r="CA295" s="1231">
        <f ca="1">OFFSET($CQ295,0,CA$7)+OFFSET($CR295,0,CA$7)+OFFSET($CS295,0,CA$7)</f>
        <v>0</v>
      </c>
      <c r="CB295" s="1231">
        <f ca="1">OFFSET($CQ295,0,CB$7)+OFFSET($CR295,0,CB$7)+OFFSET($CS295,0,CB$7)+OFFSET($CT295,0,CB$7)</f>
        <v>0</v>
      </c>
      <c r="CC295" s="1231">
        <f ca="1">OFFSET($CQ295,0,CC$7)</f>
        <v>0</v>
      </c>
      <c r="CD295" s="1231">
        <f ca="1">OFFSET($CQ295,0,CD$7)+OFFSET($CR295,0,CD$7)</f>
        <v>0</v>
      </c>
      <c r="CE295" s="1231">
        <f ca="1">OFFSET($CQ295,0,CE$7)+OFFSET($CR295,0,CE$7)+OFFSET($CS295,0,CE$7)</f>
        <v>0</v>
      </c>
      <c r="CF295" s="1231">
        <f ca="1">OFFSET($CQ295,0,CF$7)+OFFSET($CR295,0,CF$7)+OFFSET($CS295,0,CF$7)+OFFSET($CT295,0,CF$7)</f>
        <v>0</v>
      </c>
      <c r="CG295" s="1231">
        <f ca="1">OFFSET($CQ295,0,CG$7)</f>
        <v>0</v>
      </c>
      <c r="CH295" s="1231">
        <f ca="1">OFFSET($CQ295,0,CH$7)+OFFSET($CR295,0,CH$7)</f>
        <v>0</v>
      </c>
      <c r="CI295" s="1231">
        <f ca="1">OFFSET($CQ295,0,CI$7)+OFFSET($CR295,0,CI$7)+OFFSET($CS295,0,CI$7)</f>
        <v>0</v>
      </c>
      <c r="CJ295" s="1231">
        <f ca="1">OFFSET($CQ295,0,CJ$7)+OFFSET($CR295,0,CJ$7)+OFFSET($CS295,0,CJ$7)+OFFSET($CT295,0,CJ$7)</f>
        <v>0</v>
      </c>
      <c r="CK295" s="1231"/>
      <c r="CL295" s="1231"/>
      <c r="CM295" s="1231"/>
      <c r="CN295" s="1231"/>
      <c r="CO295" s="1165"/>
      <c r="CP295" s="1165"/>
      <c r="CQ295" s="1231"/>
      <c r="CR295" s="1231"/>
      <c r="CS295" s="1231"/>
      <c r="CT295" s="1231"/>
      <c r="CU295" s="1231"/>
      <c r="CV295" s="1231"/>
      <c r="CW295" s="1231"/>
      <c r="CX295" s="1231"/>
      <c r="CY295" s="1231"/>
      <c r="CZ295" s="1231"/>
      <c r="DA295" s="1231"/>
      <c r="DB295" s="1231"/>
      <c r="DC295" s="1231"/>
      <c r="DD295" s="1231"/>
      <c r="DE295" s="1231"/>
      <c r="DF295" s="1231"/>
      <c r="DG295" s="1231"/>
      <c r="DH295" s="1231"/>
      <c r="DI295" s="1231"/>
      <c r="DJ295" s="1231"/>
      <c r="DK295" s="1231"/>
      <c r="DL295" s="1231"/>
      <c r="DM295" s="1231"/>
      <c r="DN295" s="1231"/>
      <c r="DO295" s="1231"/>
      <c r="DP295" s="1231"/>
      <c r="DQ295" s="1231"/>
      <c r="DR295" s="1231"/>
      <c r="DS295" s="1231"/>
      <c r="DT295" s="1231"/>
      <c r="DU295" s="1231"/>
      <c r="DV295" s="1231"/>
      <c r="DW295" s="1231"/>
      <c r="DX295" s="1231"/>
      <c r="DY295" s="1231"/>
      <c r="DZ295" s="1231"/>
      <c r="EA295" s="1231"/>
      <c r="EB295" s="1231"/>
      <c r="EC295" s="1231"/>
      <c r="ED295" s="1231"/>
      <c r="EE295" s="1231"/>
      <c r="EF295" s="1231"/>
      <c r="EG295" s="1231"/>
      <c r="EH295" s="1231"/>
      <c r="EI295" s="1231"/>
      <c r="EJ295" s="1231"/>
      <c r="EK295" s="1231"/>
      <c r="EL295" s="1231"/>
      <c r="EM295" s="1231"/>
      <c r="EN295" s="1231"/>
      <c r="EO295" s="1231"/>
      <c r="EP295" s="1231"/>
      <c r="EQ295" s="1231"/>
      <c r="ER295" s="1231"/>
      <c r="ES295" s="1231"/>
      <c r="ET295" s="1231"/>
      <c r="EU295" s="1231"/>
      <c r="EV295" s="1231"/>
      <c r="EW295" s="1231"/>
      <c r="EX295" s="1231"/>
      <c r="EY295" s="1231"/>
      <c r="EZ295" s="1231"/>
      <c r="FA295" s="1231"/>
      <c r="FB295" s="1231"/>
      <c r="FC295" s="1231"/>
      <c r="FD295" s="1231"/>
      <c r="FE295" s="1231"/>
      <c r="FF295" s="1231"/>
    </row>
    <row r="296" spans="1:162">
      <c r="A296" s="1224"/>
      <c r="CO296" s="1165"/>
      <c r="CP296" s="1165"/>
    </row>
    <row r="297" spans="1:162">
      <c r="A297" s="1224"/>
      <c r="B297" s="1237" t="s">
        <v>32</v>
      </c>
      <c r="M297" s="1236">
        <f t="shared" ref="M297:Q301" ca="1" si="412">OFFSET($CQ297,0,M$7)+OFFSET($CR297,0,M$7)+OFFSET($CS297,0,M$7)+OFFSET($CT297,0,M$7)</f>
        <v>0</v>
      </c>
      <c r="N297" s="1236">
        <f t="shared" ca="1" si="412"/>
        <v>0</v>
      </c>
      <c r="O297" s="1236">
        <f t="shared" ca="1" si="412"/>
        <v>0</v>
      </c>
      <c r="P297" s="1236">
        <f t="shared" ca="1" si="412"/>
        <v>0</v>
      </c>
      <c r="Q297" s="1236">
        <f t="shared" ca="1" si="412"/>
        <v>0</v>
      </c>
      <c r="AG297" s="1236">
        <f ca="1">OFFSET($CQ297,0,AG$7)</f>
        <v>0</v>
      </c>
      <c r="AH297" s="1236">
        <f ca="1">OFFSET($CQ297,0,AH$7)+OFFSET($CR297,0,AH$7)</f>
        <v>0</v>
      </c>
      <c r="AI297" s="1236">
        <f ca="1">OFFSET($CQ297,0,AI$7)+OFFSET($CR297,0,AI$7)+OFFSET($CS297,0,AI$7)</f>
        <v>0</v>
      </c>
      <c r="AJ297" s="1236">
        <f ca="1">OFFSET($CQ297,0,AJ$7)+OFFSET($CR297,0,AJ$7)+OFFSET($CS297,0,AJ$7)+OFFSET($CT297,0,AJ$7)</f>
        <v>0</v>
      </c>
      <c r="AK297" s="1236">
        <f ca="1">OFFSET($CQ297,0,AK$7)</f>
        <v>0</v>
      </c>
      <c r="AL297" s="1236">
        <f ca="1">OFFSET($CQ297,0,AL$7)+OFFSET($CR297,0,AL$7)</f>
        <v>0</v>
      </c>
      <c r="AM297" s="1236">
        <f ca="1">OFFSET($CQ297,0,AM$7)+OFFSET($CR297,0,AM$7)+OFFSET($CS297,0,AM$7)</f>
        <v>0</v>
      </c>
      <c r="AN297" s="1236">
        <f ca="1">OFFSET($CQ297,0,AN$7)+OFFSET($CR297,0,AN$7)+OFFSET($CS297,0,AN$7)+OFFSET($CT297,0,AN$7)</f>
        <v>0</v>
      </c>
      <c r="AO297" s="1236">
        <f ca="1">OFFSET($CQ297,0,AO$7)</f>
        <v>0</v>
      </c>
      <c r="AP297" s="1236">
        <f ca="1">OFFSET($CQ297,0,AP$7)+OFFSET($CR297,0,AP$7)</f>
        <v>0</v>
      </c>
      <c r="AQ297" s="1236">
        <f ca="1">OFFSET($CQ297,0,AQ$7)+OFFSET($CR297,0,AQ$7)+OFFSET($CS297,0,AQ$7)</f>
        <v>0</v>
      </c>
      <c r="AR297" s="1236">
        <f ca="1">OFFSET($CQ297,0,AR$7)+OFFSET($CR297,0,AR$7)+OFFSET($CS297,0,AR$7)+OFFSET($CT297,0,AR$7)</f>
        <v>0</v>
      </c>
      <c r="AS297" s="1236">
        <f ca="1">OFFSET($CQ297,0,AS$7)</f>
        <v>0</v>
      </c>
      <c r="AT297" s="1236">
        <f ca="1">OFFSET($CQ297,0,AT$7)+OFFSET($CR297,0,AT$7)</f>
        <v>0</v>
      </c>
      <c r="AU297" s="1236">
        <f ca="1">OFFSET($CQ297,0,AU$7)+OFFSET($CR297,0,AU$7)+OFFSET($CS297,0,AU$7)</f>
        <v>0</v>
      </c>
      <c r="AV297" s="1236">
        <f ca="1">OFFSET($CQ297,0,AV$7)+OFFSET($CR297,0,AV$7)+OFFSET($CS297,0,AV$7)+OFFSET($CT297,0,AV$7)</f>
        <v>0</v>
      </c>
      <c r="AW297" s="1236">
        <f ca="1">OFFSET($CQ297,0,AW$7)</f>
        <v>0</v>
      </c>
      <c r="AX297" s="1236">
        <f ca="1">OFFSET($CQ297,0,AX$7)+OFFSET($CR297,0,AX$7)</f>
        <v>0</v>
      </c>
      <c r="AY297" s="1236">
        <f ca="1">OFFSET($CQ297,0,AY$7)+OFFSET($CR297,0,AY$7)+OFFSET($CS297,0,AY$7)</f>
        <v>0</v>
      </c>
      <c r="AZ297" s="1236">
        <f ca="1">OFFSET($CQ297,0,AZ$7)+OFFSET($CR297,0,AZ$7)+OFFSET($CS297,0,AZ$7)+OFFSET($CT297,0,AZ$7)</f>
        <v>0</v>
      </c>
      <c r="BA297" s="1236">
        <f ca="1">OFFSET($CQ297,0,BA$7)</f>
        <v>0</v>
      </c>
      <c r="BB297" s="1236">
        <f ca="1">OFFSET($CQ297,0,BB$7)+OFFSET($CR297,0,BB$7)</f>
        <v>0</v>
      </c>
      <c r="BC297" s="1236">
        <f ca="1">OFFSET($CQ297,0,BC$7)+OFFSET($CR297,0,BC$7)+OFFSET($CS297,0,BC$7)</f>
        <v>0</v>
      </c>
      <c r="BD297" s="1236">
        <f ca="1">OFFSET($CQ297,0,BD$7)+OFFSET($CR297,0,BD$7)+OFFSET($CS297,0,BD$7)+OFFSET($CT297,0,BD$7)</f>
        <v>0</v>
      </c>
      <c r="BE297" s="1236">
        <f ca="1">OFFSET($CQ297,0,BE$7)</f>
        <v>0</v>
      </c>
      <c r="BF297" s="1236">
        <f ca="1">OFFSET($CQ297,0,BF$7)+OFFSET($CR297,0,BF$7)</f>
        <v>0</v>
      </c>
      <c r="BG297" s="1236">
        <f ca="1">OFFSET($CQ297,0,BG$7)+OFFSET($CR297,0,BG$7)+OFFSET($CS297,0,BG$7)</f>
        <v>0</v>
      </c>
      <c r="BH297" s="1236">
        <f ca="1">OFFSET($CQ297,0,BH$7)+OFFSET($CR297,0,BH$7)+OFFSET($CS297,0,BH$7)+OFFSET($CT297,0,BH$7)</f>
        <v>0</v>
      </c>
      <c r="BI297" s="1236">
        <f ca="1">OFFSET($CQ297,0,BI$7)</f>
        <v>0</v>
      </c>
      <c r="BJ297" s="1236">
        <f ca="1">OFFSET($CQ297,0,BJ$7)+OFFSET($CR297,0,BJ$7)</f>
        <v>0</v>
      </c>
      <c r="BK297" s="1236">
        <f ca="1">OFFSET($CQ297,0,BK$7)+OFFSET($CR297,0,BK$7)+OFFSET($CS297,0,BK$7)</f>
        <v>0</v>
      </c>
      <c r="BL297" s="1236">
        <f ca="1">OFFSET($CQ297,0,BL$7)+OFFSET($CR297,0,BL$7)+OFFSET($CS297,0,BL$7)+OFFSET($CT297,0,BL$7)</f>
        <v>0</v>
      </c>
      <c r="BM297" s="1236">
        <f ca="1">OFFSET($CQ297,0,BM$7)</f>
        <v>0</v>
      </c>
      <c r="BN297" s="1236">
        <f ca="1">OFFSET($CQ297,0,BN$7)+OFFSET($CR297,0,BN$7)</f>
        <v>0</v>
      </c>
      <c r="BO297" s="1236">
        <f ca="1">OFFSET($CQ297,0,BO$7)+OFFSET($CR297,0,BO$7)+OFFSET($CS297,0,BO$7)</f>
        <v>0</v>
      </c>
      <c r="BP297" s="1236">
        <f ca="1">OFFSET($CQ297,0,BP$7)+OFFSET($CR297,0,BP$7)+OFFSET($CS297,0,BP$7)+OFFSET($CT297,0,BP$7)</f>
        <v>0</v>
      </c>
      <c r="BQ297" s="1236">
        <f ca="1">OFFSET($CQ297,0,BQ$7)</f>
        <v>0</v>
      </c>
      <c r="BR297" s="1236">
        <f ca="1">OFFSET($CQ297,0,BR$7)+OFFSET($CR297,0,BR$7)</f>
        <v>0</v>
      </c>
      <c r="BS297" s="1236">
        <f ca="1">OFFSET($CQ297,0,BS$7)+OFFSET($CR297,0,BS$7)+OFFSET($CS297,0,BS$7)</f>
        <v>0</v>
      </c>
      <c r="BT297" s="1236">
        <f ca="1">OFFSET($CQ297,0,BT$7)+OFFSET($CR297,0,BT$7)+OFFSET($CS297,0,BT$7)+OFFSET($CT297,0,BT$7)</f>
        <v>0</v>
      </c>
      <c r="BU297" s="1236">
        <f ca="1">OFFSET($CQ297,0,BU$7)</f>
        <v>0</v>
      </c>
      <c r="BV297" s="1236">
        <f ca="1">OFFSET($CQ297,0,BV$7)+OFFSET($CR297,0,BV$7)</f>
        <v>0</v>
      </c>
      <c r="BW297" s="1236">
        <f ca="1">OFFSET($CQ297,0,BW$7)+OFFSET($CR297,0,BW$7)+OFFSET($CS297,0,BW$7)</f>
        <v>0</v>
      </c>
      <c r="BX297" s="1236">
        <f ca="1">OFFSET($CQ297,0,BX$7)+OFFSET($CR297,0,BX$7)+OFFSET($CS297,0,BX$7)+OFFSET($CT297,0,BX$7)</f>
        <v>0</v>
      </c>
      <c r="BY297" s="1236">
        <f ca="1">OFFSET($CQ297,0,BY$7)</f>
        <v>0</v>
      </c>
      <c r="BZ297" s="1236">
        <f ca="1">OFFSET($CQ297,0,BZ$7)+OFFSET($CR297,0,BZ$7)</f>
        <v>0</v>
      </c>
      <c r="CA297" s="1236">
        <f ca="1">OFFSET($CQ297,0,CA$7)+OFFSET($CR297,0,CA$7)+OFFSET($CS297,0,CA$7)</f>
        <v>0</v>
      </c>
      <c r="CB297" s="1236">
        <f ca="1">OFFSET($CQ297,0,CB$7)+OFFSET($CR297,0,CB$7)+OFFSET($CS297,0,CB$7)+OFFSET($CT297,0,CB$7)</f>
        <v>0</v>
      </c>
      <c r="CC297" s="1236">
        <f ca="1">OFFSET($CQ297,0,CC$7)</f>
        <v>0</v>
      </c>
      <c r="CD297" s="1236">
        <f ca="1">OFFSET($CQ297,0,CD$7)+OFFSET($CR297,0,CD$7)</f>
        <v>0</v>
      </c>
      <c r="CE297" s="1236">
        <f ca="1">OFFSET($CQ297,0,CE$7)+OFFSET($CR297,0,CE$7)+OFFSET($CS297,0,CE$7)</f>
        <v>0</v>
      </c>
      <c r="CF297" s="1236">
        <f ca="1">OFFSET($CQ297,0,CF$7)+OFFSET($CR297,0,CF$7)+OFFSET($CS297,0,CF$7)+OFFSET($CT297,0,CF$7)</f>
        <v>0</v>
      </c>
      <c r="CG297" s="1236">
        <f ca="1">OFFSET($CQ297,0,CG$7)</f>
        <v>0</v>
      </c>
      <c r="CH297" s="1236">
        <f ca="1">OFFSET($CQ297,0,CH$7)+OFFSET($CR297,0,CH$7)</f>
        <v>0</v>
      </c>
      <c r="CI297" s="1236">
        <f ca="1">OFFSET($CQ297,0,CI$7)+OFFSET($CR297,0,CI$7)+OFFSET($CS297,0,CI$7)</f>
        <v>0</v>
      </c>
      <c r="CJ297" s="1236">
        <f ca="1">OFFSET($CQ297,0,CJ$7)+OFFSET($CR297,0,CJ$7)+OFFSET($CS297,0,CJ$7)+OFFSET($CT297,0,CJ$7)</f>
        <v>0</v>
      </c>
      <c r="CO297" s="1165"/>
      <c r="CP297" s="1165"/>
    </row>
    <row r="298" spans="1:162" s="1231" customFormat="1">
      <c r="A298" s="1224"/>
      <c r="B298" s="1237" t="s">
        <v>33</v>
      </c>
      <c r="C298" s="1236"/>
      <c r="D298" s="1236"/>
      <c r="E298" s="1236"/>
      <c r="F298" s="1236"/>
      <c r="G298" s="1236"/>
      <c r="H298" s="1236"/>
      <c r="I298" s="1236"/>
      <c r="J298" s="1236"/>
      <c r="K298" s="1236"/>
      <c r="L298" s="1236"/>
      <c r="M298" s="1236">
        <f t="shared" ca="1" si="412"/>
        <v>0</v>
      </c>
      <c r="N298" s="1236">
        <f t="shared" ca="1" si="412"/>
        <v>0</v>
      </c>
      <c r="O298" s="1236">
        <f t="shared" ca="1" si="412"/>
        <v>0</v>
      </c>
      <c r="P298" s="1236">
        <f t="shared" ca="1" si="412"/>
        <v>0</v>
      </c>
      <c r="Q298" s="1236">
        <f t="shared" ca="1" si="412"/>
        <v>0</v>
      </c>
      <c r="R298" s="1236"/>
      <c r="S298" s="1236"/>
      <c r="T298" s="1236"/>
      <c r="U298" s="1236"/>
      <c r="V298" s="1236"/>
      <c r="W298" s="1236"/>
      <c r="X298" s="1236"/>
      <c r="Y298" s="1236"/>
      <c r="Z298" s="1236"/>
      <c r="AA298" s="1236"/>
      <c r="AB298" s="1236"/>
      <c r="AC298" s="1236"/>
      <c r="AD298" s="1236"/>
      <c r="AE298" s="1236"/>
      <c r="AF298" s="1236"/>
      <c r="AG298" s="1236">
        <f ca="1">OFFSET($CQ298,0,AG$7)</f>
        <v>0</v>
      </c>
      <c r="AH298" s="1236">
        <f ca="1">OFFSET($CQ298,0,AH$7)+OFFSET($CR298,0,AH$7)</f>
        <v>0</v>
      </c>
      <c r="AI298" s="1236">
        <f ca="1">OFFSET($CQ298,0,AI$7)+OFFSET($CR298,0,AI$7)+OFFSET($CS298,0,AI$7)</f>
        <v>0</v>
      </c>
      <c r="AJ298" s="1236">
        <f ca="1">OFFSET($CQ298,0,AJ$7)+OFFSET($CR298,0,AJ$7)+OFFSET($CS298,0,AJ$7)+OFFSET($CT298,0,AJ$7)</f>
        <v>0</v>
      </c>
      <c r="AK298" s="1236">
        <f ca="1">OFFSET($CQ298,0,AK$7)</f>
        <v>0</v>
      </c>
      <c r="AL298" s="1236">
        <f ca="1">OFFSET($CQ298,0,AL$7)+OFFSET($CR298,0,AL$7)</f>
        <v>0</v>
      </c>
      <c r="AM298" s="1236">
        <f ca="1">OFFSET($CQ298,0,AM$7)+OFFSET($CR298,0,AM$7)+OFFSET($CS298,0,AM$7)</f>
        <v>0</v>
      </c>
      <c r="AN298" s="1236">
        <f ca="1">OFFSET($CQ298,0,AN$7)+OFFSET($CR298,0,AN$7)+OFFSET($CS298,0,AN$7)+OFFSET($CT298,0,AN$7)</f>
        <v>0</v>
      </c>
      <c r="AO298" s="1236">
        <f ca="1">OFFSET($CQ298,0,AO$7)</f>
        <v>0</v>
      </c>
      <c r="AP298" s="1236">
        <f ca="1">OFFSET($CQ298,0,AP$7)+OFFSET($CR298,0,AP$7)</f>
        <v>0</v>
      </c>
      <c r="AQ298" s="1236">
        <f ca="1">OFFSET($CQ298,0,AQ$7)+OFFSET($CR298,0,AQ$7)+OFFSET($CS298,0,AQ$7)</f>
        <v>0</v>
      </c>
      <c r="AR298" s="1236">
        <f ca="1">OFFSET($CQ298,0,AR$7)+OFFSET($CR298,0,AR$7)+OFFSET($CS298,0,AR$7)+OFFSET($CT298,0,AR$7)</f>
        <v>0</v>
      </c>
      <c r="AS298" s="1236">
        <f ca="1">OFFSET($CQ298,0,AS$7)</f>
        <v>0</v>
      </c>
      <c r="AT298" s="1236">
        <f ca="1">OFFSET($CQ298,0,AT$7)+OFFSET($CR298,0,AT$7)</f>
        <v>0</v>
      </c>
      <c r="AU298" s="1236">
        <f ca="1">OFFSET($CQ298,0,AU$7)+OFFSET($CR298,0,AU$7)+OFFSET($CS298,0,AU$7)</f>
        <v>0</v>
      </c>
      <c r="AV298" s="1236">
        <f ca="1">OFFSET($CQ298,0,AV$7)+OFFSET($CR298,0,AV$7)+OFFSET($CS298,0,AV$7)+OFFSET($CT298,0,AV$7)</f>
        <v>0</v>
      </c>
      <c r="AW298" s="1236">
        <f ca="1">OFFSET($CQ298,0,AW$7)</f>
        <v>0</v>
      </c>
      <c r="AX298" s="1236">
        <f ca="1">OFFSET($CQ298,0,AX$7)+OFFSET($CR298,0,AX$7)</f>
        <v>0</v>
      </c>
      <c r="AY298" s="1236">
        <f ca="1">OFFSET($CQ298,0,AY$7)+OFFSET($CR298,0,AY$7)+OFFSET($CS298,0,AY$7)</f>
        <v>0</v>
      </c>
      <c r="AZ298" s="1236">
        <f ca="1">OFFSET($CQ298,0,AZ$7)+OFFSET($CR298,0,AZ$7)+OFFSET($CS298,0,AZ$7)+OFFSET($CT298,0,AZ$7)</f>
        <v>0</v>
      </c>
      <c r="BA298" s="1236">
        <f ca="1">OFFSET($CQ298,0,BA$7)</f>
        <v>0</v>
      </c>
      <c r="BB298" s="1236">
        <f ca="1">OFFSET($CQ298,0,BB$7)+OFFSET($CR298,0,BB$7)</f>
        <v>0</v>
      </c>
      <c r="BC298" s="1236">
        <f ca="1">OFFSET($CQ298,0,BC$7)+OFFSET($CR298,0,BC$7)+OFFSET($CS298,0,BC$7)</f>
        <v>0</v>
      </c>
      <c r="BD298" s="1236">
        <f ca="1">OFFSET($CQ298,0,BD$7)+OFFSET($CR298,0,BD$7)+OFFSET($CS298,0,BD$7)+OFFSET($CT298,0,BD$7)</f>
        <v>0</v>
      </c>
      <c r="BE298" s="1236">
        <f ca="1">OFFSET($CQ298,0,BE$7)</f>
        <v>0</v>
      </c>
      <c r="BF298" s="1236">
        <f ca="1">OFFSET($CQ298,0,BF$7)+OFFSET($CR298,0,BF$7)</f>
        <v>0</v>
      </c>
      <c r="BG298" s="1236">
        <f ca="1">OFFSET($CQ298,0,BG$7)+OFFSET($CR298,0,BG$7)+OFFSET($CS298,0,BG$7)</f>
        <v>0</v>
      </c>
      <c r="BH298" s="1236">
        <f ca="1">OFFSET($CQ298,0,BH$7)+OFFSET($CR298,0,BH$7)+OFFSET($CS298,0,BH$7)+OFFSET($CT298,0,BH$7)</f>
        <v>0</v>
      </c>
      <c r="BI298" s="1236">
        <f ca="1">OFFSET($CQ298,0,BI$7)</f>
        <v>0</v>
      </c>
      <c r="BJ298" s="1236">
        <f ca="1">OFFSET($CQ298,0,BJ$7)+OFFSET($CR298,0,BJ$7)</f>
        <v>0</v>
      </c>
      <c r="BK298" s="1236">
        <f ca="1">OFFSET($CQ298,0,BK$7)+OFFSET($CR298,0,BK$7)+OFFSET($CS298,0,BK$7)</f>
        <v>0</v>
      </c>
      <c r="BL298" s="1236">
        <f ca="1">OFFSET($CQ298,0,BL$7)+OFFSET($CR298,0,BL$7)+OFFSET($CS298,0,BL$7)+OFFSET($CT298,0,BL$7)</f>
        <v>0</v>
      </c>
      <c r="BM298" s="1236">
        <f ca="1">OFFSET($CQ298,0,BM$7)</f>
        <v>0</v>
      </c>
      <c r="BN298" s="1236">
        <f ca="1">OFFSET($CQ298,0,BN$7)+OFFSET($CR298,0,BN$7)</f>
        <v>0</v>
      </c>
      <c r="BO298" s="1236">
        <f ca="1">OFFSET($CQ298,0,BO$7)+OFFSET($CR298,0,BO$7)+OFFSET($CS298,0,BO$7)</f>
        <v>0</v>
      </c>
      <c r="BP298" s="1236">
        <f ca="1">OFFSET($CQ298,0,BP$7)+OFFSET($CR298,0,BP$7)+OFFSET($CS298,0,BP$7)+OFFSET($CT298,0,BP$7)</f>
        <v>0</v>
      </c>
      <c r="BQ298" s="1236">
        <f ca="1">OFFSET($CQ298,0,BQ$7)</f>
        <v>0</v>
      </c>
      <c r="BR298" s="1236">
        <f ca="1">OFFSET($CQ298,0,BR$7)+OFFSET($CR298,0,BR$7)</f>
        <v>0</v>
      </c>
      <c r="BS298" s="1236">
        <f ca="1">OFFSET($CQ298,0,BS$7)+OFFSET($CR298,0,BS$7)+OFFSET($CS298,0,BS$7)</f>
        <v>0</v>
      </c>
      <c r="BT298" s="1236">
        <f ca="1">OFFSET($CQ298,0,BT$7)+OFFSET($CR298,0,BT$7)+OFFSET($CS298,0,BT$7)+OFFSET($CT298,0,BT$7)</f>
        <v>0</v>
      </c>
      <c r="BU298" s="1236">
        <f ca="1">OFFSET($CQ298,0,BU$7)</f>
        <v>0</v>
      </c>
      <c r="BV298" s="1236">
        <f ca="1">OFFSET($CQ298,0,BV$7)+OFFSET($CR298,0,BV$7)</f>
        <v>0</v>
      </c>
      <c r="BW298" s="1236">
        <f ca="1">OFFSET($CQ298,0,BW$7)+OFFSET($CR298,0,BW$7)+OFFSET($CS298,0,BW$7)</f>
        <v>0</v>
      </c>
      <c r="BX298" s="1236">
        <f ca="1">OFFSET($CQ298,0,BX$7)+OFFSET($CR298,0,BX$7)+OFFSET($CS298,0,BX$7)+OFFSET($CT298,0,BX$7)</f>
        <v>0</v>
      </c>
      <c r="BY298" s="1236">
        <f ca="1">OFFSET($CQ298,0,BY$7)</f>
        <v>0</v>
      </c>
      <c r="BZ298" s="1236">
        <f ca="1">OFFSET($CQ298,0,BZ$7)+OFFSET($CR298,0,BZ$7)</f>
        <v>0</v>
      </c>
      <c r="CA298" s="1236">
        <f ca="1">OFFSET($CQ298,0,CA$7)+OFFSET($CR298,0,CA$7)+OFFSET($CS298,0,CA$7)</f>
        <v>0</v>
      </c>
      <c r="CB298" s="1236">
        <f ca="1">OFFSET($CQ298,0,CB$7)+OFFSET($CR298,0,CB$7)+OFFSET($CS298,0,CB$7)+OFFSET($CT298,0,CB$7)</f>
        <v>0</v>
      </c>
      <c r="CC298" s="1236">
        <f ca="1">OFFSET($CQ298,0,CC$7)</f>
        <v>0</v>
      </c>
      <c r="CD298" s="1236">
        <f ca="1">OFFSET($CQ298,0,CD$7)+OFFSET($CR298,0,CD$7)</f>
        <v>0</v>
      </c>
      <c r="CE298" s="1236">
        <f ca="1">OFFSET($CQ298,0,CE$7)+OFFSET($CR298,0,CE$7)+OFFSET($CS298,0,CE$7)</f>
        <v>0</v>
      </c>
      <c r="CF298" s="1236">
        <f ca="1">OFFSET($CQ298,0,CF$7)+OFFSET($CR298,0,CF$7)+OFFSET($CS298,0,CF$7)+OFFSET($CT298,0,CF$7)</f>
        <v>0</v>
      </c>
      <c r="CG298" s="1236">
        <f ca="1">OFFSET($CQ298,0,CG$7)</f>
        <v>0</v>
      </c>
      <c r="CH298" s="1236">
        <f ca="1">OFFSET($CQ298,0,CH$7)+OFFSET($CR298,0,CH$7)</f>
        <v>0</v>
      </c>
      <c r="CI298" s="1236">
        <f ca="1">OFFSET($CQ298,0,CI$7)+OFFSET($CR298,0,CI$7)+OFFSET($CS298,0,CI$7)</f>
        <v>0</v>
      </c>
      <c r="CJ298" s="1236">
        <f ca="1">OFFSET($CQ298,0,CJ$7)+OFFSET($CR298,0,CJ$7)+OFFSET($CS298,0,CJ$7)+OFFSET($CT298,0,CJ$7)</f>
        <v>0</v>
      </c>
      <c r="CK298" s="1236"/>
      <c r="CL298" s="1236"/>
      <c r="CM298" s="1236"/>
      <c r="CN298" s="1236"/>
      <c r="CO298" s="1165"/>
      <c r="CP298" s="1165"/>
      <c r="CQ298" s="1236"/>
      <c r="CR298" s="1236"/>
      <c r="CS298" s="1236"/>
      <c r="CT298" s="1236"/>
      <c r="CU298" s="1236"/>
      <c r="CV298" s="1236"/>
      <c r="CW298" s="1236"/>
      <c r="CX298" s="1236"/>
      <c r="CY298" s="1236"/>
      <c r="CZ298" s="1236"/>
      <c r="DA298" s="1236"/>
      <c r="DB298" s="1236"/>
      <c r="DC298" s="1236"/>
      <c r="DD298" s="1236"/>
      <c r="DE298" s="1236"/>
      <c r="DF298" s="1236"/>
      <c r="DG298" s="1236"/>
      <c r="DH298" s="1236"/>
      <c r="DI298" s="1236"/>
      <c r="DJ298" s="1236"/>
      <c r="DK298" s="1236"/>
      <c r="DL298" s="1236"/>
      <c r="DM298" s="1236"/>
      <c r="DN298" s="1236"/>
      <c r="DO298" s="1236"/>
      <c r="DP298" s="1236"/>
      <c r="DQ298" s="1236"/>
      <c r="DR298" s="1236"/>
      <c r="DS298" s="1236"/>
      <c r="DT298" s="1236"/>
      <c r="DU298" s="1236"/>
      <c r="DV298" s="1236"/>
      <c r="DW298" s="1236"/>
      <c r="DX298" s="1236"/>
      <c r="DY298" s="1236"/>
      <c r="DZ298" s="1236"/>
      <c r="EA298" s="1236"/>
      <c r="EB298" s="1236"/>
      <c r="EC298" s="1236"/>
      <c r="ED298" s="1236"/>
      <c r="EE298" s="1236"/>
      <c r="EF298" s="1236"/>
      <c r="EG298" s="1236"/>
      <c r="EH298" s="1236"/>
      <c r="EI298" s="1236"/>
      <c r="EJ298" s="1236"/>
      <c r="EK298" s="1236"/>
      <c r="EL298" s="1236"/>
      <c r="EM298" s="1236"/>
      <c r="EN298" s="1236"/>
      <c r="EO298" s="1236"/>
      <c r="EP298" s="1236"/>
      <c r="EQ298" s="1236"/>
      <c r="ER298" s="1236"/>
      <c r="ES298" s="1236"/>
      <c r="ET298" s="1236"/>
      <c r="EU298" s="1236"/>
      <c r="EV298" s="1236"/>
      <c r="EW298" s="1236"/>
      <c r="EX298" s="1236"/>
      <c r="EY298" s="1236"/>
      <c r="EZ298" s="1236"/>
      <c r="FA298" s="1236"/>
      <c r="FB298" s="1236"/>
      <c r="FC298" s="1236"/>
      <c r="FD298" s="1236"/>
      <c r="FE298" s="1236"/>
      <c r="FF298" s="1236"/>
    </row>
    <row r="299" spans="1:162">
      <c r="A299" s="1224"/>
      <c r="B299" s="1230" t="s">
        <v>166</v>
      </c>
      <c r="C299" s="1231"/>
      <c r="D299" s="1231"/>
      <c r="E299" s="1231"/>
      <c r="F299" s="1231"/>
      <c r="G299" s="1231"/>
      <c r="H299" s="1231"/>
      <c r="I299" s="1231"/>
      <c r="J299" s="1231"/>
      <c r="K299" s="1231"/>
      <c r="L299" s="1231"/>
      <c r="M299" s="1231">
        <f t="shared" ca="1" si="412"/>
        <v>0</v>
      </c>
      <c r="N299" s="1231">
        <f t="shared" ca="1" si="412"/>
        <v>0</v>
      </c>
      <c r="O299" s="1231">
        <f t="shared" ca="1" si="412"/>
        <v>0</v>
      </c>
      <c r="P299" s="1231">
        <f t="shared" ca="1" si="412"/>
        <v>0</v>
      </c>
      <c r="Q299" s="1231">
        <f t="shared" ca="1" si="412"/>
        <v>0</v>
      </c>
      <c r="R299" s="1231"/>
      <c r="S299" s="1231"/>
      <c r="T299" s="1231"/>
      <c r="U299" s="1231"/>
      <c r="V299" s="1231"/>
      <c r="W299" s="1231"/>
      <c r="X299" s="1231"/>
      <c r="Y299" s="1231"/>
      <c r="Z299" s="1231"/>
      <c r="AA299" s="1231"/>
      <c r="AB299" s="1231"/>
      <c r="AC299" s="1231"/>
      <c r="AD299" s="1231"/>
      <c r="AE299" s="1231"/>
      <c r="AF299" s="1231"/>
      <c r="AG299" s="1231">
        <f ca="1">OFFSET($CQ299,0,AG$7)</f>
        <v>0</v>
      </c>
      <c r="AH299" s="1231">
        <f ca="1">OFFSET($CQ299,0,AH$7)+OFFSET($CR299,0,AH$7)</f>
        <v>0</v>
      </c>
      <c r="AI299" s="1231">
        <f ca="1">OFFSET($CQ299,0,AI$7)+OFFSET($CR299,0,AI$7)+OFFSET($CS299,0,AI$7)</f>
        <v>0</v>
      </c>
      <c r="AJ299" s="1231">
        <f ca="1">OFFSET($CQ299,0,AJ$7)+OFFSET($CR299,0,AJ$7)+OFFSET($CS299,0,AJ$7)+OFFSET($CT299,0,AJ$7)</f>
        <v>0</v>
      </c>
      <c r="AK299" s="1231">
        <f ca="1">OFFSET($CQ299,0,AK$7)</f>
        <v>0</v>
      </c>
      <c r="AL299" s="1231">
        <f ca="1">OFFSET($CQ299,0,AL$7)+OFFSET($CR299,0,AL$7)</f>
        <v>0</v>
      </c>
      <c r="AM299" s="1231">
        <f ca="1">OFFSET($CQ299,0,AM$7)+OFFSET($CR299,0,AM$7)+OFFSET($CS299,0,AM$7)</f>
        <v>0</v>
      </c>
      <c r="AN299" s="1231">
        <f ca="1">OFFSET($CQ299,0,AN$7)+OFFSET($CR299,0,AN$7)+OFFSET($CS299,0,AN$7)+OFFSET($CT299,0,AN$7)</f>
        <v>0</v>
      </c>
      <c r="AO299" s="1231">
        <f ca="1">OFFSET($CQ299,0,AO$7)</f>
        <v>0</v>
      </c>
      <c r="AP299" s="1231">
        <f ca="1">OFFSET($CQ299,0,AP$7)+OFFSET($CR299,0,AP$7)</f>
        <v>0</v>
      </c>
      <c r="AQ299" s="1231">
        <f ca="1">OFFSET($CQ299,0,AQ$7)+OFFSET($CR299,0,AQ$7)+OFFSET($CS299,0,AQ$7)</f>
        <v>0</v>
      </c>
      <c r="AR299" s="1231">
        <f ca="1">OFFSET($CQ299,0,AR$7)+OFFSET($CR299,0,AR$7)+OFFSET($CS299,0,AR$7)+OFFSET($CT299,0,AR$7)</f>
        <v>0</v>
      </c>
      <c r="AS299" s="1231">
        <f ca="1">OFFSET($CQ299,0,AS$7)</f>
        <v>0</v>
      </c>
      <c r="AT299" s="1231">
        <f ca="1">OFFSET($CQ299,0,AT$7)+OFFSET($CR299,0,AT$7)</f>
        <v>0</v>
      </c>
      <c r="AU299" s="1231">
        <f ca="1">OFFSET($CQ299,0,AU$7)+OFFSET($CR299,0,AU$7)+OFFSET($CS299,0,AU$7)</f>
        <v>0</v>
      </c>
      <c r="AV299" s="1231">
        <f ca="1">OFFSET($CQ299,0,AV$7)+OFFSET($CR299,0,AV$7)+OFFSET($CS299,0,AV$7)+OFFSET($CT299,0,AV$7)</f>
        <v>0</v>
      </c>
      <c r="AW299" s="1231">
        <f ca="1">OFFSET($CQ299,0,AW$7)</f>
        <v>0</v>
      </c>
      <c r="AX299" s="1231">
        <f ca="1">OFFSET($CQ299,0,AX$7)+OFFSET($CR299,0,AX$7)</f>
        <v>0</v>
      </c>
      <c r="AY299" s="1231">
        <f ca="1">OFFSET($CQ299,0,AY$7)+OFFSET($CR299,0,AY$7)+OFFSET($CS299,0,AY$7)</f>
        <v>0</v>
      </c>
      <c r="AZ299" s="1231">
        <f ca="1">OFFSET($CQ299,0,AZ$7)+OFFSET($CR299,0,AZ$7)+OFFSET($CS299,0,AZ$7)+OFFSET($CT299,0,AZ$7)</f>
        <v>0</v>
      </c>
      <c r="BA299" s="1231">
        <f ca="1">OFFSET($CQ299,0,BA$7)</f>
        <v>0</v>
      </c>
      <c r="BB299" s="1231">
        <f ca="1">OFFSET($CQ299,0,BB$7)+OFFSET($CR299,0,BB$7)</f>
        <v>0</v>
      </c>
      <c r="BC299" s="1231">
        <f ca="1">OFFSET($CQ299,0,BC$7)+OFFSET($CR299,0,BC$7)+OFFSET($CS299,0,BC$7)</f>
        <v>0</v>
      </c>
      <c r="BD299" s="1231">
        <f ca="1">OFFSET($CQ299,0,BD$7)+OFFSET($CR299,0,BD$7)+OFFSET($CS299,0,BD$7)+OFFSET($CT299,0,BD$7)</f>
        <v>0</v>
      </c>
      <c r="BE299" s="1231">
        <f ca="1">OFFSET($CQ299,0,BE$7)</f>
        <v>0</v>
      </c>
      <c r="BF299" s="1231">
        <f ca="1">OFFSET($CQ299,0,BF$7)+OFFSET($CR299,0,BF$7)</f>
        <v>0</v>
      </c>
      <c r="BG299" s="1231">
        <f ca="1">OFFSET($CQ299,0,BG$7)+OFFSET($CR299,0,BG$7)+OFFSET($CS299,0,BG$7)</f>
        <v>0</v>
      </c>
      <c r="BH299" s="1231">
        <f ca="1">OFFSET($CQ299,0,BH$7)+OFFSET($CR299,0,BH$7)+OFFSET($CS299,0,BH$7)+OFFSET($CT299,0,BH$7)</f>
        <v>0</v>
      </c>
      <c r="BI299" s="1231">
        <f ca="1">OFFSET($CQ299,0,BI$7)</f>
        <v>0</v>
      </c>
      <c r="BJ299" s="1231">
        <f ca="1">OFFSET($CQ299,0,BJ$7)+OFFSET($CR299,0,BJ$7)</f>
        <v>0</v>
      </c>
      <c r="BK299" s="1231">
        <f ca="1">OFFSET($CQ299,0,BK$7)+OFFSET($CR299,0,BK$7)+OFFSET($CS299,0,BK$7)</f>
        <v>0</v>
      </c>
      <c r="BL299" s="1231">
        <f ca="1">OFFSET($CQ299,0,BL$7)+OFFSET($CR299,0,BL$7)+OFFSET($CS299,0,BL$7)+OFFSET($CT299,0,BL$7)</f>
        <v>0</v>
      </c>
      <c r="BM299" s="1231">
        <f ca="1">OFFSET($CQ299,0,BM$7)</f>
        <v>0</v>
      </c>
      <c r="BN299" s="1231">
        <f ca="1">OFFSET($CQ299,0,BN$7)+OFFSET($CR299,0,BN$7)</f>
        <v>0</v>
      </c>
      <c r="BO299" s="1231">
        <f ca="1">OFFSET($CQ299,0,BO$7)+OFFSET($CR299,0,BO$7)+OFFSET($CS299,0,BO$7)</f>
        <v>0</v>
      </c>
      <c r="BP299" s="1231">
        <f ca="1">OFFSET($CQ299,0,BP$7)+OFFSET($CR299,0,BP$7)+OFFSET($CS299,0,BP$7)+OFFSET($CT299,0,BP$7)</f>
        <v>0</v>
      </c>
      <c r="BQ299" s="1231">
        <f ca="1">OFFSET($CQ299,0,BQ$7)</f>
        <v>0</v>
      </c>
      <c r="BR299" s="1231">
        <f ca="1">OFFSET($CQ299,0,BR$7)+OFFSET($CR299,0,BR$7)</f>
        <v>0</v>
      </c>
      <c r="BS299" s="1231">
        <f ca="1">OFFSET($CQ299,0,BS$7)+OFFSET($CR299,0,BS$7)+OFFSET($CS299,0,BS$7)</f>
        <v>0</v>
      </c>
      <c r="BT299" s="1231">
        <f ca="1">OFFSET($CQ299,0,BT$7)+OFFSET($CR299,0,BT$7)+OFFSET($CS299,0,BT$7)+OFFSET($CT299,0,BT$7)</f>
        <v>0</v>
      </c>
      <c r="BU299" s="1231">
        <f ca="1">OFFSET($CQ299,0,BU$7)</f>
        <v>0</v>
      </c>
      <c r="BV299" s="1231">
        <f ca="1">OFFSET($CQ299,0,BV$7)+OFFSET($CR299,0,BV$7)</f>
        <v>0</v>
      </c>
      <c r="BW299" s="1231">
        <f ca="1">OFFSET($CQ299,0,BW$7)+OFFSET($CR299,0,BW$7)+OFFSET($CS299,0,BW$7)</f>
        <v>0</v>
      </c>
      <c r="BX299" s="1231">
        <f ca="1">OFFSET($CQ299,0,BX$7)+OFFSET($CR299,0,BX$7)+OFFSET($CS299,0,BX$7)+OFFSET($CT299,0,BX$7)</f>
        <v>0</v>
      </c>
      <c r="BY299" s="1231">
        <f ca="1">OFFSET($CQ299,0,BY$7)</f>
        <v>0</v>
      </c>
      <c r="BZ299" s="1231">
        <f ca="1">OFFSET($CQ299,0,BZ$7)+OFFSET($CR299,0,BZ$7)</f>
        <v>0</v>
      </c>
      <c r="CA299" s="1231">
        <f ca="1">OFFSET($CQ299,0,CA$7)+OFFSET($CR299,0,CA$7)+OFFSET($CS299,0,CA$7)</f>
        <v>0</v>
      </c>
      <c r="CB299" s="1231">
        <f ca="1">OFFSET($CQ299,0,CB$7)+OFFSET($CR299,0,CB$7)+OFFSET($CS299,0,CB$7)+OFFSET($CT299,0,CB$7)</f>
        <v>0</v>
      </c>
      <c r="CC299" s="1231">
        <f ca="1">OFFSET($CQ299,0,CC$7)</f>
        <v>0</v>
      </c>
      <c r="CD299" s="1231">
        <f ca="1">OFFSET($CQ299,0,CD$7)+OFFSET($CR299,0,CD$7)</f>
        <v>0</v>
      </c>
      <c r="CE299" s="1231">
        <f ca="1">OFFSET($CQ299,0,CE$7)+OFFSET($CR299,0,CE$7)+OFFSET($CS299,0,CE$7)</f>
        <v>0</v>
      </c>
      <c r="CF299" s="1231">
        <f ca="1">OFFSET($CQ299,0,CF$7)+OFFSET($CR299,0,CF$7)+OFFSET($CS299,0,CF$7)+OFFSET($CT299,0,CF$7)</f>
        <v>0</v>
      </c>
      <c r="CG299" s="1231">
        <f ca="1">OFFSET($CQ299,0,CG$7)</f>
        <v>0</v>
      </c>
      <c r="CH299" s="1231">
        <f ca="1">OFFSET($CQ299,0,CH$7)+OFFSET($CR299,0,CH$7)</f>
        <v>0</v>
      </c>
      <c r="CI299" s="1231">
        <f ca="1">OFFSET($CQ299,0,CI$7)+OFFSET($CR299,0,CI$7)+OFFSET($CS299,0,CI$7)</f>
        <v>0</v>
      </c>
      <c r="CJ299" s="1231">
        <f ca="1">OFFSET($CQ299,0,CJ$7)+OFFSET($CR299,0,CJ$7)+OFFSET($CS299,0,CJ$7)+OFFSET($CT299,0,CJ$7)</f>
        <v>0</v>
      </c>
      <c r="CK299" s="1231"/>
      <c r="CL299" s="1231"/>
      <c r="CM299" s="1231"/>
      <c r="CN299" s="1231"/>
      <c r="CO299" s="1165"/>
      <c r="CP299" s="1165"/>
      <c r="CQ299" s="1231"/>
      <c r="CR299" s="1231"/>
      <c r="CS299" s="1231"/>
      <c r="CT299" s="1231"/>
      <c r="CU299" s="1231"/>
      <c r="CV299" s="1231"/>
      <c r="CW299" s="1231"/>
      <c r="CX299" s="1231"/>
      <c r="CY299" s="1231"/>
      <c r="CZ299" s="1231"/>
      <c r="DA299" s="1231"/>
      <c r="DB299" s="1231"/>
      <c r="DC299" s="1231"/>
      <c r="DD299" s="1231"/>
      <c r="DE299" s="1231"/>
      <c r="DF299" s="1231"/>
      <c r="DG299" s="1231"/>
      <c r="DH299" s="1231"/>
      <c r="DI299" s="1231"/>
      <c r="DJ299" s="1231"/>
      <c r="DK299" s="1232"/>
      <c r="DL299" s="1232"/>
      <c r="DM299" s="1232"/>
      <c r="DN299" s="1232"/>
      <c r="DO299" s="1232"/>
      <c r="DP299" s="1232"/>
      <c r="DQ299" s="1232"/>
      <c r="DR299" s="1232"/>
      <c r="DS299" s="1232"/>
      <c r="DT299" s="1232"/>
      <c r="DU299" s="1232"/>
      <c r="DV299" s="1232"/>
      <c r="DW299" s="1232"/>
      <c r="DX299" s="1232"/>
      <c r="DY299" s="1232"/>
      <c r="DZ299" s="1232"/>
      <c r="EA299" s="1232"/>
      <c r="EB299" s="1232"/>
      <c r="EC299" s="1232"/>
      <c r="ED299" s="1232"/>
      <c r="EE299" s="1232"/>
      <c r="EF299" s="1232"/>
      <c r="EG299" s="1232"/>
      <c r="EH299" s="1232"/>
      <c r="EI299" s="1232"/>
      <c r="EJ299" s="1232"/>
      <c r="EK299" s="1232"/>
      <c r="EL299" s="1232"/>
      <c r="EM299" s="1232"/>
      <c r="EN299" s="1232"/>
      <c r="EO299" s="1232"/>
      <c r="EP299" s="1232"/>
      <c r="EQ299" s="1232"/>
      <c r="ER299" s="1232"/>
      <c r="ES299" s="1232"/>
      <c r="ET299" s="1232"/>
      <c r="EU299" s="1231"/>
      <c r="EV299" s="1231"/>
      <c r="EW299" s="1231"/>
      <c r="EX299" s="1231"/>
      <c r="EY299" s="1231"/>
      <c r="EZ299" s="1231"/>
      <c r="FA299" s="1231"/>
      <c r="FB299" s="1231"/>
      <c r="FC299" s="1231"/>
      <c r="FD299" s="1231"/>
      <c r="FE299" s="1231"/>
      <c r="FF299" s="1231"/>
    </row>
    <row r="300" spans="1:162">
      <c r="A300" s="1224"/>
      <c r="M300" s="1236">
        <f t="shared" ca="1" si="412"/>
        <v>0</v>
      </c>
      <c r="N300" s="1236">
        <f t="shared" ca="1" si="412"/>
        <v>0</v>
      </c>
      <c r="O300" s="1236">
        <f t="shared" ca="1" si="412"/>
        <v>0</v>
      </c>
      <c r="P300" s="1236">
        <f t="shared" ca="1" si="412"/>
        <v>0</v>
      </c>
      <c r="Q300" s="1236">
        <f t="shared" ca="1" si="412"/>
        <v>0</v>
      </c>
      <c r="CO300" s="1165"/>
      <c r="CP300" s="1165"/>
    </row>
    <row r="301" spans="1:162">
      <c r="A301" s="1224"/>
      <c r="B301" s="1230" t="s">
        <v>400</v>
      </c>
      <c r="C301" s="1231"/>
      <c r="D301" s="1231"/>
      <c r="E301" s="1231"/>
      <c r="F301" s="1231"/>
      <c r="G301" s="1231"/>
      <c r="H301" s="1231"/>
      <c r="I301" s="1231"/>
      <c r="J301" s="1231"/>
      <c r="K301" s="1231"/>
      <c r="L301" s="1231"/>
      <c r="M301" s="1231">
        <f t="shared" ca="1" si="412"/>
        <v>0</v>
      </c>
      <c r="N301" s="1231">
        <f t="shared" ca="1" si="412"/>
        <v>0</v>
      </c>
      <c r="O301" s="1231">
        <f t="shared" ca="1" si="412"/>
        <v>0</v>
      </c>
      <c r="P301" s="1231">
        <f t="shared" ca="1" si="412"/>
        <v>0</v>
      </c>
      <c r="Q301" s="1231">
        <f t="shared" ca="1" si="412"/>
        <v>0</v>
      </c>
      <c r="R301" s="1231">
        <f t="shared" ref="R301:Y301" si="413">R303-R279-R281-R287-R291-R295-R299</f>
        <v>-955.86747000000003</v>
      </c>
      <c r="S301" s="1231">
        <f t="shared" si="413"/>
        <v>-42.966999999999985</v>
      </c>
      <c r="T301" s="1231">
        <f t="shared" si="413"/>
        <v>183.43199999999999</v>
      </c>
      <c r="U301" s="1231">
        <f t="shared" si="413"/>
        <v>-25.571000000000026</v>
      </c>
      <c r="V301" s="1231">
        <f t="shared" si="413"/>
        <v>-299.05799999999999</v>
      </c>
      <c r="W301" s="1231">
        <f t="shared" si="413"/>
        <v>19.52800000000002</v>
      </c>
      <c r="X301" s="1231">
        <f t="shared" si="413"/>
        <v>2156.0129999999999</v>
      </c>
      <c r="Y301" s="1231">
        <f t="shared" si="413"/>
        <v>1015.9929999999999</v>
      </c>
      <c r="Z301" s="1231"/>
      <c r="AA301" s="1231"/>
      <c r="AB301" s="1231"/>
      <c r="AC301" s="1231"/>
      <c r="AD301" s="1231"/>
      <c r="AE301" s="1231"/>
      <c r="AF301" s="1231"/>
      <c r="AG301" s="1231">
        <f ca="1">OFFSET($CQ301,0,AG$7)</f>
        <v>0</v>
      </c>
      <c r="AH301" s="1231">
        <f ca="1">OFFSET($CQ301,0,AH$7)+OFFSET($CR301,0,AH$7)</f>
        <v>0</v>
      </c>
      <c r="AI301" s="1231">
        <f ca="1">OFFSET($CQ301,0,AI$7)+OFFSET($CR301,0,AI$7)+OFFSET($CS301,0,AI$7)</f>
        <v>0</v>
      </c>
      <c r="AJ301" s="1231">
        <f ca="1">OFFSET($CQ301,0,AJ$7)+OFFSET($CR301,0,AJ$7)+OFFSET($CS301,0,AJ$7)+OFFSET($CT301,0,AJ$7)</f>
        <v>0</v>
      </c>
      <c r="AK301" s="1231">
        <f ca="1">OFFSET($CQ301,0,AK$7)</f>
        <v>0</v>
      </c>
      <c r="AL301" s="1231">
        <f ca="1">OFFSET($CQ301,0,AL$7)+OFFSET($CR301,0,AL$7)</f>
        <v>0</v>
      </c>
      <c r="AM301" s="1231">
        <f ca="1">OFFSET($CQ301,0,AM$7)+OFFSET($CR301,0,AM$7)+OFFSET($CS301,0,AM$7)</f>
        <v>0</v>
      </c>
      <c r="AN301" s="1231">
        <f ca="1">OFFSET($CQ301,0,AN$7)+OFFSET($CR301,0,AN$7)+OFFSET($CS301,0,AN$7)+OFFSET($CT301,0,AN$7)</f>
        <v>0</v>
      </c>
      <c r="AO301" s="1231">
        <f ca="1">OFFSET($CQ301,0,AO$7)</f>
        <v>0</v>
      </c>
      <c r="AP301" s="1231">
        <f ca="1">OFFSET($CQ301,0,AP$7)+OFFSET($CR301,0,AP$7)</f>
        <v>0</v>
      </c>
      <c r="AQ301" s="1231">
        <f ca="1">OFFSET($CQ301,0,AQ$7)+OFFSET($CR301,0,AQ$7)+OFFSET($CS301,0,AQ$7)</f>
        <v>0</v>
      </c>
      <c r="AR301" s="1231">
        <f ca="1">OFFSET($CQ301,0,AR$7)+OFFSET($CR301,0,AR$7)+OFFSET($CS301,0,AR$7)+OFFSET($CT301,0,AR$7)</f>
        <v>0</v>
      </c>
      <c r="AS301" s="1231">
        <f ca="1">OFFSET($CQ301,0,AS$7)</f>
        <v>0</v>
      </c>
      <c r="AT301" s="1231">
        <f ca="1">OFFSET($CQ301,0,AT$7)+OFFSET($CR301,0,AT$7)</f>
        <v>0</v>
      </c>
      <c r="AU301" s="1231">
        <f ca="1">OFFSET($CQ301,0,AU$7)+OFFSET($CR301,0,AU$7)+OFFSET($CS301,0,AU$7)</f>
        <v>0</v>
      </c>
      <c r="AV301" s="1231">
        <f ca="1">OFFSET($CQ301,0,AV$7)+OFFSET($CR301,0,AV$7)+OFFSET($CS301,0,AV$7)+OFFSET($CT301,0,AV$7)</f>
        <v>0</v>
      </c>
      <c r="AW301" s="1231">
        <f ca="1">OFFSET($CQ301,0,AW$7)</f>
        <v>0</v>
      </c>
      <c r="AX301" s="1231">
        <f ca="1">OFFSET($CQ301,0,AX$7)+OFFSET($CR301,0,AX$7)</f>
        <v>0</v>
      </c>
      <c r="AY301" s="1231">
        <f ca="1">OFFSET($CQ301,0,AY$7)+OFFSET($CR301,0,AY$7)+OFFSET($CS301,0,AY$7)</f>
        <v>0</v>
      </c>
      <c r="AZ301" s="1231">
        <f ca="1">OFFSET($CQ301,0,AZ$7)+OFFSET($CR301,0,AZ$7)+OFFSET($CS301,0,AZ$7)+OFFSET($CT301,0,AZ$7)</f>
        <v>0</v>
      </c>
      <c r="BA301" s="1231">
        <f ca="1">OFFSET($CQ301,0,BA$7)</f>
        <v>0</v>
      </c>
      <c r="BB301" s="1231">
        <f ca="1">OFFSET($CQ301,0,BB$7)+OFFSET($CR301,0,BB$7)</f>
        <v>0</v>
      </c>
      <c r="BC301" s="1231">
        <f ca="1">OFFSET($CQ301,0,BC$7)+OFFSET($CR301,0,BC$7)+OFFSET($CS301,0,BC$7)</f>
        <v>0</v>
      </c>
      <c r="BD301" s="1231">
        <f ca="1">OFFSET($CQ301,0,BD$7)+OFFSET($CR301,0,BD$7)+OFFSET($CS301,0,BD$7)+OFFSET($CT301,0,BD$7)</f>
        <v>0</v>
      </c>
      <c r="BE301" s="1231">
        <f ca="1">OFFSET($CQ301,0,BE$7)</f>
        <v>0</v>
      </c>
      <c r="BF301" s="1231">
        <f ca="1">OFFSET($CQ301,0,BF$7)+OFFSET($CR301,0,BF$7)</f>
        <v>0</v>
      </c>
      <c r="BG301" s="1231">
        <f ca="1">OFFSET($CQ301,0,BG$7)+OFFSET($CR301,0,BG$7)+OFFSET($CS301,0,BG$7)</f>
        <v>0</v>
      </c>
      <c r="BH301" s="1231">
        <f ca="1">OFFSET($CQ301,0,BH$7)+OFFSET($CR301,0,BH$7)+OFFSET($CS301,0,BH$7)+OFFSET($CT301,0,BH$7)</f>
        <v>0</v>
      </c>
      <c r="BI301" s="1231">
        <f ca="1">OFFSET($CQ301,0,BI$7)</f>
        <v>0</v>
      </c>
      <c r="BJ301" s="1231">
        <f ca="1">OFFSET($CQ301,0,BJ$7)+OFFSET($CR301,0,BJ$7)</f>
        <v>0</v>
      </c>
      <c r="BK301" s="1231">
        <f ca="1">OFFSET($CQ301,0,BK$7)+OFFSET($CR301,0,BK$7)+OFFSET($CS301,0,BK$7)</f>
        <v>0</v>
      </c>
      <c r="BL301" s="1231">
        <f ca="1">OFFSET($CQ301,0,BL$7)+OFFSET($CR301,0,BL$7)+OFFSET($CS301,0,BL$7)+OFFSET($CT301,0,BL$7)</f>
        <v>0</v>
      </c>
      <c r="BM301" s="1231">
        <f ca="1">OFFSET($CQ301,0,BM$7)</f>
        <v>0</v>
      </c>
      <c r="BN301" s="1231">
        <f ca="1">OFFSET($CQ301,0,BN$7)+OFFSET($CR301,0,BN$7)</f>
        <v>0</v>
      </c>
      <c r="BO301" s="1231">
        <f ca="1">OFFSET($CQ301,0,BO$7)+OFFSET($CR301,0,BO$7)+OFFSET($CS301,0,BO$7)</f>
        <v>0</v>
      </c>
      <c r="BP301" s="1231">
        <f ca="1">OFFSET($CQ301,0,BP$7)+OFFSET($CR301,0,BP$7)+OFFSET($CS301,0,BP$7)+OFFSET($CT301,0,BP$7)</f>
        <v>0</v>
      </c>
      <c r="BQ301" s="1231">
        <f ca="1">OFFSET($CQ301,0,BQ$7)</f>
        <v>0</v>
      </c>
      <c r="BR301" s="1231">
        <f ca="1">OFFSET($CQ301,0,BR$7)+OFFSET($CR301,0,BR$7)</f>
        <v>0</v>
      </c>
      <c r="BS301" s="1231">
        <f ca="1">OFFSET($CQ301,0,BS$7)+OFFSET($CR301,0,BS$7)+OFFSET($CS301,0,BS$7)</f>
        <v>0</v>
      </c>
      <c r="BT301" s="1231">
        <f ca="1">OFFSET($CQ301,0,BT$7)+OFFSET($CR301,0,BT$7)+OFFSET($CS301,0,BT$7)+OFFSET($CT301,0,BT$7)</f>
        <v>0</v>
      </c>
      <c r="BU301" s="1231">
        <f ca="1">OFFSET($CQ301,0,BU$7)</f>
        <v>0</v>
      </c>
      <c r="BV301" s="1231">
        <f ca="1">OFFSET($CQ301,0,BV$7)+OFFSET($CR301,0,BV$7)</f>
        <v>0</v>
      </c>
      <c r="BW301" s="1231">
        <f ca="1">OFFSET($CQ301,0,BW$7)+OFFSET($CR301,0,BW$7)+OFFSET($CS301,0,BW$7)</f>
        <v>0</v>
      </c>
      <c r="BX301" s="1231">
        <f ca="1">OFFSET($CQ301,0,BX$7)+OFFSET($CR301,0,BX$7)+OFFSET($CS301,0,BX$7)+OFFSET($CT301,0,BX$7)</f>
        <v>0</v>
      </c>
      <c r="BY301" s="1231">
        <f ca="1">OFFSET($CQ301,0,BY$7)</f>
        <v>0</v>
      </c>
      <c r="BZ301" s="1231">
        <f ca="1">OFFSET($CQ301,0,BZ$7)+OFFSET($CR301,0,BZ$7)</f>
        <v>0</v>
      </c>
      <c r="CA301" s="1231">
        <f ca="1">OFFSET($CQ301,0,CA$7)+OFFSET($CR301,0,CA$7)+OFFSET($CS301,0,CA$7)</f>
        <v>0</v>
      </c>
      <c r="CB301" s="1231">
        <f ca="1">OFFSET($CQ301,0,CB$7)+OFFSET($CR301,0,CB$7)+OFFSET($CS301,0,CB$7)+OFFSET($CT301,0,CB$7)</f>
        <v>0</v>
      </c>
      <c r="CC301" s="1231">
        <f ca="1">OFFSET($CQ301,0,CC$7)</f>
        <v>0</v>
      </c>
      <c r="CD301" s="1231">
        <f ca="1">OFFSET($CQ301,0,CD$7)+OFFSET($CR301,0,CD$7)</f>
        <v>0</v>
      </c>
      <c r="CE301" s="1231">
        <f ca="1">OFFSET($CQ301,0,CE$7)+OFFSET($CR301,0,CE$7)+OFFSET($CS301,0,CE$7)</f>
        <v>0</v>
      </c>
      <c r="CF301" s="1231">
        <f ca="1">OFFSET($CQ301,0,CF$7)+OFFSET($CR301,0,CF$7)+OFFSET($CS301,0,CF$7)+OFFSET($CT301,0,CF$7)</f>
        <v>0</v>
      </c>
      <c r="CG301" s="1231">
        <f ca="1">OFFSET($CQ301,0,CG$7)</f>
        <v>0</v>
      </c>
      <c r="CH301" s="1231">
        <f ca="1">OFFSET($CQ301,0,CH$7)+OFFSET($CR301,0,CH$7)</f>
        <v>0</v>
      </c>
      <c r="CI301" s="1231">
        <f ca="1">OFFSET($CQ301,0,CI$7)+OFFSET($CR301,0,CI$7)+OFFSET($CS301,0,CI$7)</f>
        <v>0</v>
      </c>
      <c r="CJ301" s="1231">
        <f ca="1">OFFSET($CQ301,0,CJ$7)+OFFSET($CR301,0,CJ$7)+OFFSET($CS301,0,CJ$7)+OFFSET($CT301,0,CJ$7)</f>
        <v>0</v>
      </c>
      <c r="CK301" s="1231"/>
      <c r="CL301" s="1231"/>
      <c r="CM301" s="1231"/>
      <c r="CN301" s="1231"/>
      <c r="CO301" s="1165"/>
      <c r="CP301" s="1165"/>
      <c r="CQ301" s="1231"/>
      <c r="CR301" s="1231"/>
      <c r="CS301" s="1231"/>
      <c r="CT301" s="1231"/>
      <c r="CU301" s="1231"/>
      <c r="CV301" s="1231"/>
      <c r="CW301" s="1231"/>
      <c r="CX301" s="1231"/>
      <c r="CY301" s="1231"/>
      <c r="CZ301" s="1231"/>
      <c r="DA301" s="1231"/>
      <c r="DB301" s="1231"/>
      <c r="DC301" s="1231"/>
      <c r="DD301" s="1231"/>
      <c r="DE301" s="1231"/>
      <c r="DF301" s="1231"/>
      <c r="DG301" s="1231"/>
      <c r="DH301" s="1231"/>
      <c r="DI301" s="1231"/>
      <c r="DJ301" s="1231"/>
      <c r="DK301" s="1231"/>
      <c r="DL301" s="1231"/>
      <c r="DM301" s="1231"/>
      <c r="DN301" s="1231"/>
      <c r="DO301" s="1231"/>
      <c r="DP301" s="1231"/>
      <c r="DQ301" s="1231"/>
      <c r="DR301" s="1231"/>
      <c r="DS301" s="1231"/>
      <c r="DT301" s="1231"/>
      <c r="DU301" s="1231"/>
      <c r="DV301" s="1231"/>
      <c r="DW301" s="1231"/>
      <c r="DX301" s="1231"/>
      <c r="DY301" s="1231"/>
      <c r="DZ301" s="1231"/>
      <c r="EA301" s="1231"/>
      <c r="EB301" s="1231"/>
      <c r="EC301" s="1231"/>
      <c r="ED301" s="1231"/>
      <c r="EE301" s="1231"/>
      <c r="EF301" s="1231"/>
      <c r="EG301" s="1231"/>
      <c r="EH301" s="1231"/>
      <c r="EI301" s="1231"/>
      <c r="EJ301" s="1231"/>
      <c r="EK301" s="1231"/>
      <c r="EL301" s="1231"/>
      <c r="EM301" s="1231"/>
      <c r="EN301" s="1231"/>
      <c r="EO301" s="1231"/>
      <c r="EP301" s="1231"/>
      <c r="EQ301" s="1231"/>
      <c r="ER301" s="1231"/>
      <c r="ES301" s="1231"/>
      <c r="ET301" s="1231"/>
      <c r="EU301" s="1231"/>
      <c r="EV301" s="1231"/>
      <c r="EW301" s="1231"/>
      <c r="EX301" s="1231"/>
      <c r="EY301" s="1231"/>
      <c r="EZ301" s="1231"/>
      <c r="FA301" s="1231"/>
      <c r="FB301" s="1231"/>
      <c r="FC301" s="1231"/>
      <c r="FD301" s="1231"/>
      <c r="FE301" s="1231"/>
      <c r="FF301" s="1231"/>
    </row>
    <row r="302" spans="1:162">
      <c r="A302" s="1224"/>
      <c r="CO302" s="1165"/>
      <c r="CP302" s="1165"/>
    </row>
    <row r="303" spans="1:162">
      <c r="A303" s="1206" t="s">
        <v>688</v>
      </c>
      <c r="B303" s="1230" t="s">
        <v>129</v>
      </c>
      <c r="C303" s="1231"/>
      <c r="D303" s="1231"/>
      <c r="E303" s="1231"/>
      <c r="F303" s="1231"/>
      <c r="G303" s="1231"/>
      <c r="H303" s="1231"/>
      <c r="I303" s="1231"/>
      <c r="J303" s="1231"/>
      <c r="K303" s="1231"/>
      <c r="L303" s="1231"/>
      <c r="M303" s="1231">
        <f ca="1">OFFSET($CQ303,0,M$7)+OFFSET($CR303,0,M$7)+OFFSET($CS303,0,M$7)+OFFSET($CT303,0,M$7)</f>
        <v>0</v>
      </c>
      <c r="N303" s="1231">
        <f ca="1">OFFSET($CQ303,0,N$7)+OFFSET($CR303,0,N$7)+OFFSET($CS303,0,N$7)+OFFSET($CT303,0,N$7)</f>
        <v>0</v>
      </c>
      <c r="O303" s="1231">
        <f ca="1">OFFSET($CQ303,0,O$7)+OFFSET($CR303,0,O$7)+OFFSET($CS303,0,O$7)+OFFSET($CT303,0,O$7)</f>
        <v>0</v>
      </c>
      <c r="P303" s="1231">
        <f ca="1">OFFSET($CQ303,0,P$7)+OFFSET($CR303,0,P$7)+OFFSET($CS303,0,P$7)+OFFSET($CT303,0,P$7)</f>
        <v>0</v>
      </c>
      <c r="Q303" s="1231">
        <f ca="1">OFFSET($CQ303,0,Q$7)+OFFSET($CR303,0,Q$7)+OFFSET($CS303,0,Q$7)+OFFSET($CT303,0,Q$7)</f>
        <v>0</v>
      </c>
      <c r="R303" s="1231">
        <f>INDEX('Basic Data TR'!$A$1:$AMJ$9673,MATCH($A303,'Basic Data TR'!$A$1:$A$9673,0),MATCH(R$6,'Basic Data TR'!$A$1:$AMJ$1,0))</f>
        <v>-37.851129999999998</v>
      </c>
      <c r="S303" s="1231">
        <f>INDEX('Basic Data TR'!$A$1:$AMJ$9673,MATCH($A303,'Basic Data TR'!$A$1:$A$9673,0),MATCH(S$6,'Basic Data TR'!$A$1:$AMJ$1,0))</f>
        <v>268.85500000000002</v>
      </c>
      <c r="T303" s="1231">
        <f>INDEX('Basic Data TR'!$A$1:$AMJ$9673,MATCH($A303,'Basic Data TR'!$A$1:$A$9673,0),MATCH(T$6,'Basic Data TR'!$A$1:$AMJ$1,0))</f>
        <v>184.101</v>
      </c>
      <c r="U303" s="1231">
        <f>INDEX('Basic Data TR'!$A$1:$AMJ$9673,MATCH($A303,'Basic Data TR'!$A$1:$A$9673,0),MATCH(U$6,'Basic Data TR'!$A$1:$AMJ$1,0))</f>
        <v>173.458</v>
      </c>
      <c r="V303" s="1231">
        <f>INDEX('Basic Data TR'!$A$1:$AMJ$9673,MATCH($A303,'Basic Data TR'!$A$1:$A$9673,0),MATCH(V$6,'Basic Data TR'!$A$1:$AMJ$1,0))</f>
        <v>676.68299999999999</v>
      </c>
      <c r="W303" s="1231">
        <f>INDEX('Basic Data TR'!$A$1:$AMJ$9673,MATCH($A303,'Basic Data TR'!$A$1:$A$9673,0),MATCH(W$6,'Basic Data TR'!$A$1:$AMJ$1,0))</f>
        <v>537.07799999999997</v>
      </c>
      <c r="X303" s="1231">
        <f>INDEX('Basic Data TR'!$A$1:$AMJ$9673,MATCH($A303,'Basic Data TR'!$A$1:$A$9673,0),MATCH(X$6,'Basic Data TR'!$A$1:$AMJ$1,0))</f>
        <v>2614.7779999999998</v>
      </c>
      <c r="Y303" s="1231">
        <f>INDEX('Basic Data TR'!$A$1:$AMJ$9673,MATCH($A303,'Basic Data TR'!$A$1:$A$9673,0),MATCH(Y$6,'Basic Data TR'!$A$1:$AMJ$1,0))</f>
        <v>1271.5909999999999</v>
      </c>
      <c r="Z303" s="1231">
        <v>2376.922</v>
      </c>
      <c r="AA303" s="1231"/>
      <c r="AB303" s="1231"/>
      <c r="AC303" s="1231"/>
      <c r="AD303" s="1231"/>
      <c r="AE303" s="1231"/>
      <c r="AF303" s="1231"/>
      <c r="AG303" s="1231">
        <f ca="1">OFFSET($CQ303,0,AG$7)</f>
        <v>0</v>
      </c>
      <c r="AH303" s="1231">
        <f ca="1">OFFSET($CQ303,0,AH$7)+OFFSET($CR303,0,AH$7)</f>
        <v>0</v>
      </c>
      <c r="AI303" s="1231">
        <f ca="1">OFFSET($CQ303,0,AI$7)+OFFSET($CR303,0,AI$7)+OFFSET($CS303,0,AI$7)</f>
        <v>0</v>
      </c>
      <c r="AJ303" s="1231">
        <f ca="1">OFFSET($CQ303,0,AJ$7)+OFFSET($CR303,0,AJ$7)+OFFSET($CS303,0,AJ$7)+OFFSET($CT303,0,AJ$7)</f>
        <v>0</v>
      </c>
      <c r="AK303" s="1231">
        <f ca="1">OFFSET($CQ303,0,AK$7)</f>
        <v>0</v>
      </c>
      <c r="AL303" s="1231">
        <f ca="1">OFFSET($CQ303,0,AL$7)+OFFSET($CR303,0,AL$7)</f>
        <v>0</v>
      </c>
      <c r="AM303" s="1231">
        <f ca="1">OFFSET($CQ303,0,AM$7)+OFFSET($CR303,0,AM$7)+OFFSET($CS303,0,AM$7)</f>
        <v>0</v>
      </c>
      <c r="AN303" s="1231">
        <f ca="1">OFFSET($CQ303,0,AN$7)+OFFSET($CR303,0,AN$7)+OFFSET($CS303,0,AN$7)+OFFSET($CT303,0,AN$7)</f>
        <v>0</v>
      </c>
      <c r="AO303" s="1231">
        <f ca="1">OFFSET($CQ303,0,AO$7)</f>
        <v>0</v>
      </c>
      <c r="AP303" s="1231">
        <f ca="1">OFFSET($CQ303,0,AP$7)+OFFSET($CR303,0,AP$7)</f>
        <v>0</v>
      </c>
      <c r="AQ303" s="1231">
        <f ca="1">OFFSET($CQ303,0,AQ$7)+OFFSET($CR303,0,AQ$7)+OFFSET($CS303,0,AQ$7)</f>
        <v>0</v>
      </c>
      <c r="AR303" s="1231">
        <f ca="1">OFFSET($CQ303,0,AR$7)+OFFSET($CR303,0,AR$7)+OFFSET($CS303,0,AR$7)+OFFSET($CT303,0,AR$7)</f>
        <v>0</v>
      </c>
      <c r="AS303" s="1231">
        <f ca="1">OFFSET($CQ303,0,AS$7)</f>
        <v>0</v>
      </c>
      <c r="AT303" s="1231">
        <f ca="1">OFFSET($CQ303,0,AT$7)+OFFSET($CR303,0,AT$7)</f>
        <v>0</v>
      </c>
      <c r="AU303" s="1231">
        <f ca="1">OFFSET($CQ303,0,AU$7)+OFFSET($CR303,0,AU$7)+OFFSET($CS303,0,AU$7)</f>
        <v>0</v>
      </c>
      <c r="AV303" s="1231">
        <f ca="1">OFFSET($CQ303,0,AV$7)+OFFSET($CR303,0,AV$7)+OFFSET($CS303,0,AV$7)+OFFSET($CT303,0,AV$7)</f>
        <v>0</v>
      </c>
      <c r="AW303" s="1231">
        <f ca="1">OFFSET($CQ303,0,AW$7)</f>
        <v>0</v>
      </c>
      <c r="AX303" s="1231">
        <f ca="1">OFFSET($CQ303,0,AX$7)+OFFSET($CR303,0,AX$7)</f>
        <v>0</v>
      </c>
      <c r="AY303" s="1231">
        <f ca="1">OFFSET($CQ303,0,AY$7)+OFFSET($CR303,0,AY$7)+OFFSET($CS303,0,AY$7)</f>
        <v>0</v>
      </c>
      <c r="AZ303" s="1231">
        <f ca="1">OFFSET($CQ303,0,AZ$7)+OFFSET($CR303,0,AZ$7)+OFFSET($CS303,0,AZ$7)+OFFSET($CT303,0,AZ$7)</f>
        <v>0</v>
      </c>
      <c r="BA303" s="1231">
        <f ca="1">OFFSET($CQ303,0,BA$7)</f>
        <v>0</v>
      </c>
      <c r="BB303" s="1231">
        <f ca="1">OFFSET($CQ303,0,BB$7)+OFFSET($CR303,0,BB$7)</f>
        <v>0</v>
      </c>
      <c r="BC303" s="1231">
        <f ca="1">OFFSET($CQ303,0,BC$7)+OFFSET($CR303,0,BC$7)+OFFSET($CS303,0,BC$7)</f>
        <v>0</v>
      </c>
      <c r="BD303" s="1231">
        <f ca="1">OFFSET($CQ303,0,BD$7)+OFFSET($CR303,0,BD$7)+OFFSET($CS303,0,BD$7)+OFFSET($CT303,0,BD$7)</f>
        <v>0</v>
      </c>
      <c r="BE303" s="1231">
        <f ca="1">OFFSET($CQ303,0,BE$7)</f>
        <v>0</v>
      </c>
      <c r="BF303" s="1231">
        <f ca="1">OFFSET($CQ303,0,BF$7)+OFFSET($CR303,0,BF$7)</f>
        <v>0</v>
      </c>
      <c r="BG303" s="1231">
        <f ca="1">OFFSET($CQ303,0,BG$7)+OFFSET($CR303,0,BG$7)+OFFSET($CS303,0,BG$7)</f>
        <v>0</v>
      </c>
      <c r="BH303" s="1231">
        <f ca="1">OFFSET($CQ303,0,BH$7)+OFFSET($CR303,0,BH$7)+OFFSET($CS303,0,BH$7)+OFFSET($CT303,0,BH$7)</f>
        <v>0</v>
      </c>
      <c r="BI303" s="1231">
        <f ca="1">OFFSET($CQ303,0,BI$7)</f>
        <v>0</v>
      </c>
      <c r="BJ303" s="1231">
        <f ca="1">OFFSET($CQ303,0,BJ$7)+OFFSET($CR303,0,BJ$7)</f>
        <v>0</v>
      </c>
      <c r="BK303" s="1231">
        <f ca="1">OFFSET($CQ303,0,BK$7)+OFFSET($CR303,0,BK$7)+OFFSET($CS303,0,BK$7)</f>
        <v>0</v>
      </c>
      <c r="BL303" s="1231">
        <f ca="1">OFFSET($CQ303,0,BL$7)+OFFSET($CR303,0,BL$7)+OFFSET($CS303,0,BL$7)+OFFSET($CT303,0,BL$7)</f>
        <v>0</v>
      </c>
      <c r="BM303" s="1231">
        <f ca="1">OFFSET($CQ303,0,BM$7)</f>
        <v>0</v>
      </c>
      <c r="BN303" s="1231">
        <f ca="1">OFFSET($CQ303,0,BN$7)+OFFSET($CR303,0,BN$7)</f>
        <v>0</v>
      </c>
      <c r="BO303" s="1231">
        <f ca="1">OFFSET($CQ303,0,BO$7)+OFFSET($CR303,0,BO$7)+OFFSET($CS303,0,BO$7)</f>
        <v>0</v>
      </c>
      <c r="BP303" s="1231">
        <f ca="1">OFFSET($CQ303,0,BP$7)+OFFSET($CR303,0,BP$7)+OFFSET($CS303,0,BP$7)+OFFSET($CT303,0,BP$7)</f>
        <v>0</v>
      </c>
      <c r="BQ303" s="1231">
        <f ca="1">OFFSET($CQ303,0,BQ$7)</f>
        <v>0</v>
      </c>
      <c r="BR303" s="1231">
        <f ca="1">OFFSET($CQ303,0,BR$7)+OFFSET($CR303,0,BR$7)</f>
        <v>0</v>
      </c>
      <c r="BS303" s="1231">
        <f ca="1">OFFSET($CQ303,0,BS$7)+OFFSET($CR303,0,BS$7)+OFFSET($CS303,0,BS$7)</f>
        <v>0</v>
      </c>
      <c r="BT303" s="1231">
        <f ca="1">OFFSET($CQ303,0,BT$7)+OFFSET($CR303,0,BT$7)+OFFSET($CS303,0,BT$7)+OFFSET($CT303,0,BT$7)</f>
        <v>0</v>
      </c>
      <c r="BU303" s="1231">
        <f ca="1">OFFSET($CQ303,0,BU$7)</f>
        <v>0</v>
      </c>
      <c r="BV303" s="1231">
        <f ca="1">OFFSET($CQ303,0,BV$7)+OFFSET($CR303,0,BV$7)</f>
        <v>0</v>
      </c>
      <c r="BW303" s="1231">
        <f ca="1">OFFSET($CQ303,0,BW$7)+OFFSET($CR303,0,BW$7)+OFFSET($CS303,0,BW$7)</f>
        <v>0</v>
      </c>
      <c r="BX303" s="1231">
        <f ca="1">OFFSET($CQ303,0,BX$7)+OFFSET($CR303,0,BX$7)+OFFSET($CS303,0,BX$7)+OFFSET($CT303,0,BX$7)</f>
        <v>0</v>
      </c>
      <c r="BY303" s="1231">
        <f ca="1">OFFSET($CQ303,0,BY$7)</f>
        <v>0</v>
      </c>
      <c r="BZ303" s="1231">
        <f ca="1">OFFSET($CQ303,0,BZ$7)+OFFSET($CR303,0,BZ$7)</f>
        <v>0</v>
      </c>
      <c r="CA303" s="1231">
        <f ca="1">OFFSET($CQ303,0,CA$7)+OFFSET($CR303,0,CA$7)+OFFSET($CS303,0,CA$7)</f>
        <v>0</v>
      </c>
      <c r="CB303" s="1231">
        <f ca="1">OFFSET($CQ303,0,CB$7)+OFFSET($CR303,0,CB$7)+OFFSET($CS303,0,CB$7)+OFFSET($CT303,0,CB$7)</f>
        <v>0</v>
      </c>
      <c r="CC303" s="1231">
        <f ca="1">OFFSET($CQ303,0,CC$7)</f>
        <v>0</v>
      </c>
      <c r="CD303" s="1231">
        <f ca="1">OFFSET($CQ303,0,CD$7)+OFFSET($CR303,0,CD$7)</f>
        <v>0</v>
      </c>
      <c r="CE303" s="1231">
        <f ca="1">OFFSET($CQ303,0,CE$7)+OFFSET($CR303,0,CE$7)+OFFSET($CS303,0,CE$7)</f>
        <v>0</v>
      </c>
      <c r="CF303" s="1231">
        <f ca="1">OFFSET($CQ303,0,CF$7)+OFFSET($CR303,0,CF$7)+OFFSET($CS303,0,CF$7)+OFFSET($CT303,0,CF$7)</f>
        <v>0</v>
      </c>
      <c r="CG303" s="1231">
        <f ca="1">OFFSET($CQ303,0,CG$7)</f>
        <v>0</v>
      </c>
      <c r="CH303" s="1231">
        <f ca="1">OFFSET($CQ303,0,CH$7)+OFFSET($CR303,0,CH$7)</f>
        <v>0</v>
      </c>
      <c r="CI303" s="1231">
        <f ca="1">OFFSET($CQ303,0,CI$7)+OFFSET($CR303,0,CI$7)+OFFSET($CS303,0,CI$7)</f>
        <v>0</v>
      </c>
      <c r="CJ303" s="1231">
        <f ca="1">OFFSET($CQ303,0,CJ$7)+OFFSET($CR303,0,CJ$7)+OFFSET($CS303,0,CJ$7)+OFFSET($CT303,0,CJ$7)</f>
        <v>0</v>
      </c>
      <c r="CK303" s="1231"/>
      <c r="CL303" s="1231"/>
      <c r="CM303" s="1231"/>
      <c r="CN303" s="1231"/>
      <c r="CO303" s="1165"/>
      <c r="CP303" s="1165"/>
      <c r="CQ303" s="1231"/>
      <c r="CR303" s="1231"/>
      <c r="CS303" s="1231"/>
      <c r="CT303" s="1231"/>
      <c r="CU303" s="1231"/>
      <c r="CV303" s="1231"/>
      <c r="CW303" s="1231"/>
      <c r="CX303" s="1231"/>
      <c r="CY303" s="1231"/>
      <c r="CZ303" s="1231"/>
      <c r="DA303" s="1231"/>
      <c r="DB303" s="1231"/>
      <c r="DC303" s="1231"/>
      <c r="DD303" s="1231"/>
      <c r="DE303" s="1231"/>
      <c r="DF303" s="1231"/>
      <c r="DG303" s="1231"/>
      <c r="DH303" s="1231"/>
      <c r="DI303" s="1231"/>
      <c r="DJ303" s="1231"/>
      <c r="DK303" s="1231"/>
      <c r="DL303" s="1231"/>
      <c r="DM303" s="1231"/>
      <c r="DN303" s="1231"/>
      <c r="DO303" s="1231"/>
      <c r="DP303" s="1231"/>
      <c r="DQ303" s="1231"/>
      <c r="DR303" s="1231"/>
      <c r="DS303" s="1231"/>
      <c r="DT303" s="1231"/>
      <c r="DU303" s="1231"/>
      <c r="DV303" s="1231"/>
      <c r="DW303" s="1231"/>
      <c r="DX303" s="1231"/>
      <c r="DY303" s="1231"/>
      <c r="DZ303" s="1231"/>
      <c r="EA303" s="1231"/>
      <c r="EB303" s="1231"/>
      <c r="EC303" s="1231"/>
      <c r="ED303" s="1231"/>
      <c r="EE303" s="1231"/>
      <c r="EF303" s="1231"/>
      <c r="EG303" s="1231"/>
      <c r="EH303" s="1231"/>
      <c r="EI303" s="1231"/>
      <c r="EJ303" s="1231"/>
      <c r="EK303" s="1231"/>
      <c r="EL303" s="1231"/>
      <c r="EM303" s="1231"/>
      <c r="EN303" s="1231"/>
      <c r="EO303" s="1231"/>
      <c r="EP303" s="1231"/>
      <c r="EQ303" s="1231"/>
      <c r="ER303" s="1231"/>
      <c r="ES303" s="1231"/>
      <c r="ET303" s="1231"/>
      <c r="EU303" s="1231"/>
      <c r="EV303" s="1231"/>
      <c r="EW303" s="1231"/>
      <c r="EX303" s="1231"/>
      <c r="EY303" s="1231"/>
      <c r="EZ303" s="1231"/>
      <c r="FA303" s="1231"/>
      <c r="FB303" s="1231"/>
      <c r="FC303" s="1231"/>
      <c r="FD303" s="1231"/>
      <c r="FE303" s="1231"/>
      <c r="FF303" s="1231"/>
    </row>
    <row r="304" spans="1:162">
      <c r="A304" s="1224"/>
      <c r="B304" s="1234" t="s">
        <v>6</v>
      </c>
      <c r="C304" s="1235"/>
      <c r="D304" s="1235"/>
      <c r="E304" s="1235"/>
      <c r="F304" s="1235"/>
      <c r="G304" s="1235"/>
      <c r="H304" s="1235"/>
      <c r="I304" s="1235"/>
      <c r="J304" s="1235"/>
      <c r="K304" s="1235"/>
      <c r="L304" s="1235"/>
      <c r="M304" s="1235"/>
      <c r="N304" s="1235"/>
      <c r="O304" s="1235"/>
      <c r="P304" s="1235"/>
      <c r="Q304" s="1235"/>
      <c r="R304" s="1235" t="e">
        <f>Model!#REF!-R303</f>
        <v>#REF!</v>
      </c>
      <c r="S304" s="1235" t="e">
        <f>Model!#REF!-S303</f>
        <v>#REF!</v>
      </c>
      <c r="T304" s="1235">
        <f>Model!C194-T303</f>
        <v>-184.101</v>
      </c>
      <c r="U304" s="1235">
        <f>Model!D194-U303</f>
        <v>0</v>
      </c>
      <c r="V304" s="1235">
        <f>Model!E194-V303</f>
        <v>0</v>
      </c>
      <c r="W304" s="1235">
        <f>Model!F194-W303</f>
        <v>0</v>
      </c>
      <c r="X304" s="1235">
        <f>Model!G194-X303</f>
        <v>0</v>
      </c>
      <c r="Y304" s="1235">
        <f>Model!H194-Y303</f>
        <v>0</v>
      </c>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c r="CB304" s="1235"/>
      <c r="CC304" s="1235"/>
      <c r="CD304" s="1235"/>
      <c r="CE304" s="1235"/>
      <c r="CF304" s="1235"/>
      <c r="CG304" s="1235"/>
      <c r="CH304" s="1235"/>
      <c r="CI304" s="1235"/>
      <c r="CJ304" s="1235"/>
      <c r="CK304" s="1235"/>
      <c r="CL304" s="1235"/>
      <c r="CM304" s="1235"/>
      <c r="CN304" s="1235"/>
      <c r="CO304" s="1165"/>
      <c r="CP304" s="1165"/>
      <c r="CQ304" s="1165"/>
      <c r="CR304" s="1235"/>
      <c r="CS304" s="1235"/>
      <c r="CT304" s="1235"/>
      <c r="CU304" s="1165"/>
      <c r="CV304" s="1235"/>
      <c r="CW304" s="1235"/>
      <c r="CX304" s="1235"/>
      <c r="CY304" s="1235"/>
      <c r="CZ304" s="1235"/>
      <c r="DA304" s="1235"/>
      <c r="DB304" s="1235"/>
      <c r="DC304" s="1235"/>
      <c r="DD304" s="1235"/>
      <c r="DE304" s="1235"/>
      <c r="DF304" s="1235"/>
      <c r="DG304" s="1235"/>
      <c r="DH304" s="1235"/>
      <c r="DI304" s="1235"/>
      <c r="DJ304" s="1235"/>
      <c r="DK304" s="1235"/>
      <c r="DL304" s="1235"/>
      <c r="DM304" s="1235"/>
      <c r="DN304" s="1235"/>
      <c r="DO304" s="1235"/>
      <c r="DP304" s="1235"/>
      <c r="DQ304" s="1235"/>
      <c r="DR304" s="1235"/>
      <c r="DS304" s="1235"/>
      <c r="DT304" s="1235"/>
      <c r="DU304" s="1235"/>
      <c r="DV304" s="1235"/>
      <c r="DW304" s="1235"/>
      <c r="DX304" s="1235"/>
      <c r="DY304" s="1235"/>
      <c r="DZ304" s="1235"/>
      <c r="EA304" s="1235"/>
      <c r="EB304" s="1235"/>
      <c r="EC304" s="1235"/>
      <c r="ED304" s="1235"/>
      <c r="EE304" s="1235"/>
      <c r="EF304" s="1235"/>
      <c r="EG304" s="1235"/>
      <c r="EH304" s="1235"/>
      <c r="EI304" s="1235"/>
      <c r="EJ304" s="1235"/>
      <c r="EK304" s="1235"/>
      <c r="EL304" s="1235"/>
      <c r="EM304" s="1235"/>
      <c r="EN304" s="1235"/>
      <c r="EO304" s="1235"/>
      <c r="EP304" s="1235"/>
      <c r="EQ304" s="1235"/>
      <c r="ER304" s="1235"/>
      <c r="ES304" s="1235"/>
      <c r="ET304" s="1235"/>
      <c r="EU304" s="1235"/>
      <c r="EV304" s="1235"/>
      <c r="EW304" s="1235"/>
      <c r="EX304" s="1235"/>
      <c r="EY304" s="1235"/>
      <c r="EZ304" s="1235"/>
      <c r="FA304" s="1235"/>
      <c r="FB304" s="1235"/>
      <c r="FC304" s="1235"/>
      <c r="FD304" s="1235"/>
      <c r="FE304" s="1235"/>
      <c r="FF304" s="1235"/>
    </row>
    <row r="305" spans="1:162">
      <c r="A305" s="1224"/>
      <c r="B305" s="1234"/>
      <c r="D305" s="1235"/>
      <c r="E305" s="1235"/>
      <c r="F305" s="1235"/>
      <c r="G305" s="1235"/>
      <c r="H305" s="1235"/>
      <c r="I305" s="1235"/>
      <c r="J305" s="1235"/>
      <c r="K305" s="1235"/>
      <c r="L305" s="1235"/>
      <c r="M305" s="1214"/>
      <c r="N305" s="1214"/>
      <c r="O305" s="1214"/>
      <c r="P305" s="1214"/>
      <c r="Q305" s="1214"/>
      <c r="R305" s="1214"/>
      <c r="S305" s="1214"/>
      <c r="T305" s="1214"/>
      <c r="U305" s="1214"/>
      <c r="V305" s="1214"/>
      <c r="W305" s="1214"/>
      <c r="X305" s="1214"/>
      <c r="Y305" s="1214"/>
      <c r="Z305" s="1214"/>
      <c r="AA305" s="1214"/>
      <c r="AB305" s="1214"/>
      <c r="AC305" s="1214"/>
      <c r="AD305" s="1214"/>
      <c r="AE305" s="1214"/>
      <c r="AF305" s="1235"/>
      <c r="AG305" s="1214"/>
      <c r="AH305" s="1214"/>
      <c r="AI305" s="1214"/>
      <c r="AJ305" s="1214"/>
      <c r="AK305" s="1214"/>
      <c r="AL305" s="1214"/>
      <c r="AM305" s="1214"/>
      <c r="AN305" s="1214"/>
      <c r="AO305" s="1214"/>
      <c r="AP305" s="1214"/>
      <c r="AQ305" s="1214"/>
      <c r="AR305" s="1214"/>
      <c r="AS305" s="1214"/>
      <c r="AT305" s="1214"/>
      <c r="AU305" s="1214"/>
      <c r="AV305" s="1214"/>
      <c r="AW305" s="1214"/>
      <c r="AX305" s="1214"/>
      <c r="AY305" s="1214"/>
      <c r="AZ305" s="1214"/>
      <c r="BA305" s="1214"/>
      <c r="BB305" s="1214"/>
      <c r="BC305" s="1214"/>
      <c r="BD305" s="1214"/>
      <c r="BE305" s="1214"/>
      <c r="BF305" s="1214"/>
      <c r="BG305" s="1214"/>
      <c r="BH305" s="1214"/>
      <c r="BI305" s="1214"/>
      <c r="BJ305" s="1214"/>
      <c r="BK305" s="1214"/>
      <c r="BL305" s="1214"/>
      <c r="BM305" s="1214"/>
      <c r="BN305" s="1214"/>
      <c r="BO305" s="1214"/>
      <c r="BP305" s="1214"/>
      <c r="BQ305" s="1214"/>
      <c r="BR305" s="1214"/>
      <c r="BS305" s="1214"/>
      <c r="BT305" s="1214"/>
      <c r="BU305" s="1214"/>
      <c r="BV305" s="1214"/>
      <c r="BW305" s="1214"/>
      <c r="BX305" s="1214"/>
      <c r="BY305" s="1214"/>
      <c r="BZ305" s="1214"/>
      <c r="CA305" s="1214"/>
      <c r="CB305" s="1214"/>
      <c r="CC305" s="1214"/>
      <c r="CD305" s="1214"/>
      <c r="CE305" s="1214"/>
      <c r="CF305" s="1214"/>
      <c r="CG305" s="1214"/>
      <c r="CH305" s="1214"/>
      <c r="CI305" s="1214"/>
      <c r="CJ305" s="1214"/>
      <c r="CO305" s="1165"/>
      <c r="CP305" s="1165"/>
    </row>
    <row r="306" spans="1:162" s="1231" customFormat="1">
      <c r="A306" s="1205" t="s">
        <v>689</v>
      </c>
      <c r="B306" s="1230" t="s">
        <v>67</v>
      </c>
      <c r="M306" s="1231">
        <f ca="1">OFFSET($CQ306,0,M$7)+OFFSET($CR306,0,M$7)+OFFSET($CS306,0,M$7)+OFFSET($CT306,0,M$7)</f>
        <v>0</v>
      </c>
      <c r="N306" s="1231">
        <f ca="1">OFFSET($CQ306,0,N$7)+OFFSET($CR306,0,N$7)+OFFSET($CS306,0,N$7)+OFFSET($CT306,0,N$7)</f>
        <v>0</v>
      </c>
      <c r="O306" s="1231">
        <f ca="1">OFFSET($CQ306,0,O$7)+OFFSET($CR306,0,O$7)+OFFSET($CS306,0,O$7)+OFFSET($CT306,0,O$7)</f>
        <v>0</v>
      </c>
      <c r="P306" s="1231">
        <f ca="1">OFFSET($CQ306,0,P$7)+OFFSET($CR306,0,P$7)+OFFSET($CS306,0,P$7)+OFFSET($CT306,0,P$7)</f>
        <v>0</v>
      </c>
      <c r="Q306" s="1231">
        <f ca="1">OFFSET($CQ306,0,Q$7)+OFFSET($CR306,0,Q$7)+OFFSET($CS306,0,Q$7)+OFFSET($CT306,0,Q$7)</f>
        <v>0</v>
      </c>
      <c r="R306" s="1231">
        <f>INDEX('Basic Data TR'!$A$1:$AMJ$9673,MATCH($A306,'Basic Data TR'!$A$1:$A$9673,0),MATCH(R$6,'Basic Data TR'!$A$1:$AMJ$1,0))</f>
        <v>-0.70262000000000002</v>
      </c>
      <c r="S306" s="1231">
        <f>INDEX('Basic Data TR'!$A$1:$AMJ$9673,MATCH($A306,'Basic Data TR'!$A$1:$A$9673,0),MATCH(S$6,'Basic Data TR'!$A$1:$AMJ$1,0))</f>
        <v>1.2250000000000001</v>
      </c>
      <c r="T306" s="1231">
        <f>INDEX('Basic Data TR'!$A$1:$AMJ$9673,MATCH($A306,'Basic Data TR'!$A$1:$A$9673,0),MATCH(T$6,'Basic Data TR'!$A$1:$AMJ$1,0))</f>
        <v>-0.115</v>
      </c>
      <c r="U306" s="1231">
        <f>INDEX('Basic Data TR'!$A$1:$AMJ$9673,MATCH($A306,'Basic Data TR'!$A$1:$A$9673,0),MATCH(U$6,'Basic Data TR'!$A$1:$AMJ$1,0))</f>
        <v>-1.4E-2</v>
      </c>
      <c r="V306" s="1231">
        <f>INDEX('Basic Data TR'!$A$1:$AMJ$9673,MATCH($A306,'Basic Data TR'!$A$1:$A$9673,0),MATCH(V$6,'Basic Data TR'!$A$1:$AMJ$1,0))</f>
        <v>-0.109</v>
      </c>
      <c r="W306" s="1231">
        <f>INDEX('Basic Data TR'!$A$1:$AMJ$9673,MATCH($A306,'Basic Data TR'!$A$1:$A$9673,0),MATCH(W$6,'Basic Data TR'!$A$1:$AMJ$1,0))</f>
        <v>-14.554</v>
      </c>
      <c r="X306" s="1231">
        <f>INDEX('Basic Data TR'!$A$1:$AMJ$9673,MATCH($A306,'Basic Data TR'!$A$1:$A$9673,0),MATCH(X$6,'Basic Data TR'!$A$1:$AMJ$1,0))</f>
        <v>-27.837</v>
      </c>
      <c r="Y306" s="1231">
        <f>INDEX('Basic Data TR'!$A$1:$AMJ$9673,MATCH($A306,'Basic Data TR'!$A$1:$A$9673,0),MATCH(Y$6,'Basic Data TR'!$A$1:$AMJ$1,0))</f>
        <v>22.151</v>
      </c>
      <c r="Z306" s="1231">
        <f>-16.413-14.554</f>
        <v>-30.966999999999999</v>
      </c>
      <c r="AG306" s="1231">
        <f ca="1">OFFSET($CQ306,0,AG$7)</f>
        <v>0</v>
      </c>
      <c r="AH306" s="1231">
        <f ca="1">OFFSET($CQ306,0,AH$7)+OFFSET($CR306,0,AH$7)</f>
        <v>0</v>
      </c>
      <c r="AI306" s="1231">
        <f ca="1">OFFSET($CQ306,0,AI$7)+OFFSET($CR306,0,AI$7)+OFFSET($CS306,0,AI$7)</f>
        <v>0</v>
      </c>
      <c r="AJ306" s="1231">
        <f ca="1">OFFSET($CQ306,0,AJ$7)+OFFSET($CR306,0,AJ$7)+OFFSET($CS306,0,AJ$7)+OFFSET($CT306,0,AJ$7)</f>
        <v>0</v>
      </c>
      <c r="AK306" s="1231">
        <f ca="1">OFFSET($CQ306,0,AK$7)</f>
        <v>0</v>
      </c>
      <c r="AL306" s="1231">
        <f ca="1">OFFSET($CQ306,0,AL$7)+OFFSET($CR306,0,AL$7)</f>
        <v>0</v>
      </c>
      <c r="AM306" s="1231">
        <f ca="1">OFFSET($CQ306,0,AM$7)+OFFSET($CR306,0,AM$7)+OFFSET($CS306,0,AM$7)</f>
        <v>0</v>
      </c>
      <c r="AN306" s="1231">
        <f ca="1">OFFSET($CQ306,0,AN$7)+OFFSET($CR306,0,AN$7)+OFFSET($CS306,0,AN$7)+OFFSET($CT306,0,AN$7)</f>
        <v>0</v>
      </c>
      <c r="AO306" s="1231">
        <f ca="1">OFFSET($CQ306,0,AO$7)</f>
        <v>0</v>
      </c>
      <c r="AP306" s="1231">
        <f ca="1">OFFSET($CQ306,0,AP$7)+OFFSET($CR306,0,AP$7)</f>
        <v>0</v>
      </c>
      <c r="AQ306" s="1231">
        <f ca="1">OFFSET($CQ306,0,AQ$7)+OFFSET($CR306,0,AQ$7)+OFFSET($CS306,0,AQ$7)</f>
        <v>0</v>
      </c>
      <c r="AR306" s="1231">
        <f ca="1">OFFSET($CQ306,0,AR$7)+OFFSET($CR306,0,AR$7)+OFFSET($CS306,0,AR$7)+OFFSET($CT306,0,AR$7)</f>
        <v>0</v>
      </c>
      <c r="AS306" s="1231">
        <f ca="1">OFFSET($CQ306,0,AS$7)</f>
        <v>0</v>
      </c>
      <c r="AT306" s="1231">
        <f ca="1">OFFSET($CQ306,0,AT$7)+OFFSET($CR306,0,AT$7)</f>
        <v>0</v>
      </c>
      <c r="AU306" s="1231">
        <f ca="1">OFFSET($CQ306,0,AU$7)+OFFSET($CR306,0,AU$7)+OFFSET($CS306,0,AU$7)</f>
        <v>0</v>
      </c>
      <c r="AV306" s="1231">
        <f ca="1">OFFSET($CQ306,0,AV$7)+OFFSET($CR306,0,AV$7)+OFFSET($CS306,0,AV$7)+OFFSET($CT306,0,AV$7)</f>
        <v>0</v>
      </c>
      <c r="AW306" s="1231">
        <f ca="1">OFFSET($CQ306,0,AW$7)</f>
        <v>0</v>
      </c>
      <c r="AX306" s="1231">
        <f ca="1">OFFSET($CQ306,0,AX$7)+OFFSET($CR306,0,AX$7)</f>
        <v>0</v>
      </c>
      <c r="AY306" s="1231">
        <f ca="1">OFFSET($CQ306,0,AY$7)+OFFSET($CR306,0,AY$7)+OFFSET($CS306,0,AY$7)</f>
        <v>0</v>
      </c>
      <c r="AZ306" s="1231">
        <f ca="1">OFFSET($CQ306,0,AZ$7)+OFFSET($CR306,0,AZ$7)+OFFSET($CS306,0,AZ$7)+OFFSET($CT306,0,AZ$7)</f>
        <v>0</v>
      </c>
      <c r="BA306" s="1231">
        <f ca="1">OFFSET($CQ306,0,BA$7)</f>
        <v>0</v>
      </c>
      <c r="BB306" s="1231">
        <f ca="1">OFFSET($CQ306,0,BB$7)+OFFSET($CR306,0,BB$7)</f>
        <v>0</v>
      </c>
      <c r="BC306" s="1231">
        <f ca="1">OFFSET($CQ306,0,BC$7)+OFFSET($CR306,0,BC$7)+OFFSET($CS306,0,BC$7)</f>
        <v>0</v>
      </c>
      <c r="BD306" s="1231">
        <f ca="1">OFFSET($CQ306,0,BD$7)+OFFSET($CR306,0,BD$7)+OFFSET($CS306,0,BD$7)+OFFSET($CT306,0,BD$7)</f>
        <v>0</v>
      </c>
      <c r="BE306" s="1231">
        <f ca="1">OFFSET($CQ306,0,BE$7)</f>
        <v>0</v>
      </c>
      <c r="BF306" s="1231">
        <f ca="1">OFFSET($CQ306,0,BF$7)+OFFSET($CR306,0,BF$7)</f>
        <v>0</v>
      </c>
      <c r="BG306" s="1231">
        <f ca="1">OFFSET($CQ306,0,BG$7)+OFFSET($CR306,0,BG$7)+OFFSET($CS306,0,BG$7)</f>
        <v>0</v>
      </c>
      <c r="BH306" s="1231">
        <f ca="1">OFFSET($CQ306,0,BH$7)+OFFSET($CR306,0,BH$7)+OFFSET($CS306,0,BH$7)+OFFSET($CT306,0,BH$7)</f>
        <v>0</v>
      </c>
      <c r="BI306" s="1231">
        <f ca="1">OFFSET($CQ306,0,BI$7)</f>
        <v>0</v>
      </c>
      <c r="BJ306" s="1231">
        <f ca="1">OFFSET($CQ306,0,BJ$7)+OFFSET($CR306,0,BJ$7)</f>
        <v>0</v>
      </c>
      <c r="BK306" s="1231">
        <f ca="1">OFFSET($CQ306,0,BK$7)+OFFSET($CR306,0,BK$7)+OFFSET($CS306,0,BK$7)</f>
        <v>0</v>
      </c>
      <c r="BL306" s="1231">
        <f ca="1">OFFSET($CQ306,0,BL$7)+OFFSET($CR306,0,BL$7)+OFFSET($CS306,0,BL$7)+OFFSET($CT306,0,BL$7)</f>
        <v>0</v>
      </c>
      <c r="BM306" s="1231">
        <f ca="1">OFFSET($CQ306,0,BM$7)</f>
        <v>0</v>
      </c>
      <c r="BN306" s="1231">
        <f ca="1">OFFSET($CQ306,0,BN$7)+OFFSET($CR306,0,BN$7)</f>
        <v>0</v>
      </c>
      <c r="BO306" s="1231">
        <f ca="1">OFFSET($CQ306,0,BO$7)+OFFSET($CR306,0,BO$7)+OFFSET($CS306,0,BO$7)</f>
        <v>0</v>
      </c>
      <c r="BP306" s="1231">
        <f ca="1">OFFSET($CQ306,0,BP$7)+OFFSET($CR306,0,BP$7)+OFFSET($CS306,0,BP$7)+OFFSET($CT306,0,BP$7)</f>
        <v>0</v>
      </c>
      <c r="BQ306" s="1231">
        <f ca="1">OFFSET($CQ306,0,BQ$7)</f>
        <v>0</v>
      </c>
      <c r="BR306" s="1231">
        <f ca="1">OFFSET($CQ306,0,BR$7)+OFFSET($CR306,0,BR$7)</f>
        <v>0</v>
      </c>
      <c r="BS306" s="1231">
        <f ca="1">OFFSET($CQ306,0,BS$7)+OFFSET($CR306,0,BS$7)+OFFSET($CS306,0,BS$7)</f>
        <v>0</v>
      </c>
      <c r="BT306" s="1231">
        <f ca="1">OFFSET($CQ306,0,BT$7)+OFFSET($CR306,0,BT$7)+OFFSET($CS306,0,BT$7)+OFFSET($CT306,0,BT$7)</f>
        <v>0</v>
      </c>
      <c r="BU306" s="1231">
        <f ca="1">OFFSET($CQ306,0,BU$7)</f>
        <v>0</v>
      </c>
      <c r="BV306" s="1231">
        <f ca="1">OFFSET($CQ306,0,BV$7)+OFFSET($CR306,0,BV$7)</f>
        <v>0</v>
      </c>
      <c r="BW306" s="1231">
        <f ca="1">OFFSET($CQ306,0,BW$7)+OFFSET($CR306,0,BW$7)+OFFSET($CS306,0,BW$7)</f>
        <v>0</v>
      </c>
      <c r="BX306" s="1231">
        <f ca="1">OFFSET($CQ306,0,BX$7)+OFFSET($CR306,0,BX$7)+OFFSET($CS306,0,BX$7)+OFFSET($CT306,0,BX$7)</f>
        <v>0</v>
      </c>
      <c r="BY306" s="1231">
        <f ca="1">OFFSET($CQ306,0,BY$7)</f>
        <v>0</v>
      </c>
      <c r="BZ306" s="1231">
        <f ca="1">OFFSET($CQ306,0,BZ$7)+OFFSET($CR306,0,BZ$7)</f>
        <v>0</v>
      </c>
      <c r="CA306" s="1231">
        <f ca="1">OFFSET($CQ306,0,CA$7)+OFFSET($CR306,0,CA$7)+OFFSET($CS306,0,CA$7)</f>
        <v>0</v>
      </c>
      <c r="CB306" s="1231">
        <f ca="1">OFFSET($CQ306,0,CB$7)+OFFSET($CR306,0,CB$7)+OFFSET($CS306,0,CB$7)+OFFSET($CT306,0,CB$7)</f>
        <v>0</v>
      </c>
      <c r="CC306" s="1231">
        <f ca="1">OFFSET($CQ306,0,CC$7)</f>
        <v>0</v>
      </c>
      <c r="CD306" s="1231">
        <f ca="1">OFFSET($CQ306,0,CD$7)+OFFSET($CR306,0,CD$7)</f>
        <v>0</v>
      </c>
      <c r="CE306" s="1231">
        <f ca="1">OFFSET($CQ306,0,CE$7)+OFFSET($CR306,0,CE$7)+OFFSET($CS306,0,CE$7)</f>
        <v>0</v>
      </c>
      <c r="CF306" s="1231">
        <f ca="1">OFFSET($CQ306,0,CF$7)+OFFSET($CR306,0,CF$7)+OFFSET($CS306,0,CF$7)+OFFSET($CT306,0,CF$7)</f>
        <v>0</v>
      </c>
      <c r="CG306" s="1231">
        <f ca="1">OFFSET($CQ306,0,CG$7)</f>
        <v>0</v>
      </c>
      <c r="CH306" s="1231">
        <f ca="1">OFFSET($CQ306,0,CH$7)+OFFSET($CR306,0,CH$7)</f>
        <v>0</v>
      </c>
      <c r="CI306" s="1231">
        <f ca="1">OFFSET($CQ306,0,CI$7)+OFFSET($CR306,0,CI$7)+OFFSET($CS306,0,CI$7)</f>
        <v>0</v>
      </c>
      <c r="CJ306" s="1231">
        <f ca="1">OFFSET($CQ306,0,CJ$7)+OFFSET($CR306,0,CJ$7)+OFFSET($CS306,0,CJ$7)+OFFSET($CT306,0,CJ$7)</f>
        <v>0</v>
      </c>
      <c r="CO306" s="1165"/>
      <c r="CP306" s="1165"/>
      <c r="DK306" s="1232"/>
      <c r="DL306" s="1232"/>
      <c r="DM306" s="1232"/>
      <c r="DN306" s="1232"/>
      <c r="DO306" s="1232"/>
      <c r="DP306" s="1232"/>
      <c r="DQ306" s="1232"/>
      <c r="DR306" s="1232"/>
      <c r="DS306" s="1232"/>
      <c r="DT306" s="1232"/>
      <c r="DU306" s="1232"/>
      <c r="DV306" s="1232"/>
      <c r="DW306" s="1232"/>
      <c r="DX306" s="1232"/>
      <c r="DY306" s="1232"/>
      <c r="DZ306" s="1232"/>
      <c r="EA306" s="1232"/>
      <c r="EB306" s="1232"/>
      <c r="EC306" s="1232"/>
      <c r="ED306" s="1232"/>
      <c r="EE306" s="1232"/>
      <c r="EF306" s="1232"/>
      <c r="EG306" s="1232"/>
      <c r="EH306" s="1232"/>
      <c r="EI306" s="1232"/>
      <c r="EJ306" s="1232"/>
      <c r="EK306" s="1232"/>
      <c r="EL306" s="1232"/>
      <c r="EM306" s="1232"/>
      <c r="EN306" s="1232"/>
      <c r="EO306" s="1232"/>
      <c r="EP306" s="1232"/>
      <c r="EQ306" s="1232"/>
      <c r="ER306" s="1232"/>
      <c r="ES306" s="1232"/>
      <c r="ET306" s="1232"/>
    </row>
    <row r="307" spans="1:162" s="1235" customFormat="1">
      <c r="A307" s="1233"/>
      <c r="B307" s="1165"/>
      <c r="C307" s="1236"/>
      <c r="D307" s="1236"/>
      <c r="E307" s="1236"/>
      <c r="F307" s="1236"/>
      <c r="G307" s="1236"/>
      <c r="H307" s="1236"/>
      <c r="I307" s="1236"/>
      <c r="J307" s="1236"/>
      <c r="K307" s="1236"/>
      <c r="L307" s="1236"/>
      <c r="M307" s="1236"/>
      <c r="N307" s="1236"/>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c r="CB307" s="1236"/>
      <c r="CC307" s="1236"/>
      <c r="CD307" s="1236"/>
      <c r="CE307" s="1236"/>
      <c r="CF307" s="1236"/>
      <c r="CG307" s="1236"/>
      <c r="CH307" s="1236"/>
      <c r="CI307" s="1236"/>
      <c r="CJ307" s="1236"/>
      <c r="CK307" s="1236"/>
      <c r="CL307" s="1236"/>
      <c r="CM307" s="1236"/>
      <c r="CN307" s="1236"/>
      <c r="CO307" s="1165"/>
      <c r="CP307" s="1165"/>
      <c r="CQ307" s="1236"/>
      <c r="CR307" s="1236"/>
      <c r="CS307" s="1236"/>
      <c r="CT307" s="1236"/>
      <c r="CU307" s="1236"/>
      <c r="CV307" s="1236"/>
      <c r="CW307" s="1236"/>
      <c r="CX307" s="1236"/>
      <c r="CY307" s="1236"/>
      <c r="CZ307" s="1236"/>
      <c r="DA307" s="1236"/>
      <c r="DB307" s="1236"/>
      <c r="DC307" s="1236"/>
      <c r="DD307" s="1236"/>
      <c r="DE307" s="1236"/>
      <c r="DF307" s="1236"/>
      <c r="DG307" s="1236"/>
      <c r="DH307" s="1236"/>
      <c r="DI307" s="1236"/>
      <c r="DJ307" s="1236"/>
      <c r="DK307" s="1236"/>
      <c r="DL307" s="1236"/>
      <c r="DM307" s="1236"/>
      <c r="DN307" s="1236"/>
      <c r="DO307" s="1236"/>
      <c r="DP307" s="1236"/>
      <c r="DQ307" s="1236"/>
      <c r="DR307" s="1236"/>
      <c r="DS307" s="1236"/>
      <c r="DT307" s="1236"/>
      <c r="DU307" s="1236"/>
      <c r="DV307" s="1236"/>
      <c r="DW307" s="1236"/>
      <c r="DX307" s="1236"/>
      <c r="DY307" s="1236"/>
      <c r="DZ307" s="1236"/>
      <c r="EA307" s="1236"/>
      <c r="EB307" s="1236"/>
      <c r="EC307" s="1236"/>
      <c r="ED307" s="1236"/>
      <c r="EE307" s="1236"/>
      <c r="EF307" s="1236"/>
      <c r="EG307" s="1236"/>
      <c r="EH307" s="1236"/>
      <c r="EI307" s="1236"/>
      <c r="EJ307" s="1236"/>
      <c r="EK307" s="1236"/>
      <c r="EL307" s="1236"/>
      <c r="EM307" s="1236"/>
      <c r="EN307" s="1236"/>
      <c r="EO307" s="1236"/>
      <c r="EP307" s="1236"/>
      <c r="EQ307" s="1236"/>
      <c r="ER307" s="1236"/>
      <c r="ES307" s="1236"/>
      <c r="ET307" s="1236"/>
      <c r="EU307" s="1236"/>
      <c r="EV307" s="1236"/>
      <c r="EW307" s="1236"/>
      <c r="EX307" s="1236"/>
      <c r="EY307" s="1236"/>
      <c r="EZ307" s="1236"/>
      <c r="FA307" s="1236"/>
      <c r="FB307" s="1236"/>
      <c r="FC307" s="1236"/>
      <c r="FD307" s="1236"/>
      <c r="FE307" s="1236"/>
      <c r="FF307" s="1236"/>
    </row>
    <row r="308" spans="1:162">
      <c r="A308" s="1224"/>
      <c r="B308" s="1230" t="s">
        <v>29</v>
      </c>
      <c r="C308" s="1231"/>
      <c r="D308" s="1231"/>
      <c r="E308" s="1231"/>
      <c r="F308" s="1231"/>
      <c r="G308" s="1231"/>
      <c r="H308" s="1231"/>
      <c r="I308" s="1231"/>
      <c r="J308" s="1231"/>
      <c r="K308" s="1231"/>
      <c r="L308" s="1231"/>
      <c r="M308" s="1231">
        <f ca="1">OFFSET($CQ308,0,M$7)+OFFSET($CR308,0,M$7)+OFFSET($CS308,0,M$7)+OFFSET($CT308,0,M$7)</f>
        <v>0</v>
      </c>
      <c r="N308" s="1231">
        <f ca="1">OFFSET($CQ308,0,N$7)+OFFSET($CR308,0,N$7)+OFFSET($CS308,0,N$7)+OFFSET($CT308,0,N$7)</f>
        <v>0</v>
      </c>
      <c r="O308" s="1231">
        <f ca="1">OFFSET($CQ308,0,O$7)+OFFSET($CR308,0,O$7)+OFFSET($CS308,0,O$7)+OFFSET($CT308,0,O$7)</f>
        <v>0</v>
      </c>
      <c r="P308" s="1231">
        <f ca="1">OFFSET($CQ308,0,P$7)+OFFSET($CR308,0,P$7)+OFFSET($CS308,0,P$7)+OFFSET($CT308,0,P$7)</f>
        <v>0</v>
      </c>
      <c r="Q308" s="1231">
        <f ca="1">OFFSET($CQ308,0,Q$7)+OFFSET($CR308,0,Q$7)+OFFSET($CS308,0,Q$7)+OFFSET($CT308,0,Q$7)</f>
        <v>0</v>
      </c>
      <c r="R308" s="1231">
        <f t="shared" ref="R308:Y308" si="414">R246+R272+R303+R306</f>
        <v>72.345820000000046</v>
      </c>
      <c r="S308" s="1231">
        <f t="shared" si="414"/>
        <v>-254.1929999999999</v>
      </c>
      <c r="T308" s="1231">
        <f t="shared" si="414"/>
        <v>96.874999999999957</v>
      </c>
      <c r="U308" s="1231">
        <f t="shared" si="414"/>
        <v>103.99299999999998</v>
      </c>
      <c r="V308" s="1231">
        <f t="shared" si="414"/>
        <v>140.55299999999991</v>
      </c>
      <c r="W308" s="1231">
        <f t="shared" si="414"/>
        <v>402.16499999999996</v>
      </c>
      <c r="X308" s="1231">
        <f t="shared" si="414"/>
        <v>1120.8099999999997</v>
      </c>
      <c r="Y308" s="1231">
        <f t="shared" si="414"/>
        <v>-287.7110000000003</v>
      </c>
      <c r="Z308" s="1231"/>
      <c r="AA308" s="1231"/>
      <c r="AB308" s="1231"/>
      <c r="AC308" s="1231"/>
      <c r="AD308" s="1231"/>
      <c r="AE308" s="1231"/>
      <c r="AF308" s="1231"/>
      <c r="AG308" s="1231">
        <f ca="1">OFFSET($CQ308,0,AG$7)</f>
        <v>0</v>
      </c>
      <c r="AH308" s="1231">
        <f ca="1">OFFSET($CQ308,0,AH$7)+OFFSET($CR308,0,AH$7)</f>
        <v>0</v>
      </c>
      <c r="AI308" s="1231">
        <f ca="1">OFFSET($CQ308,0,AI$7)+OFFSET($CR308,0,AI$7)+OFFSET($CS308,0,AI$7)</f>
        <v>0</v>
      </c>
      <c r="AJ308" s="1231">
        <f ca="1">OFFSET($CQ308,0,AJ$7)+OFFSET($CR308,0,AJ$7)+OFFSET($CS308,0,AJ$7)+OFFSET($CT308,0,AJ$7)</f>
        <v>0</v>
      </c>
      <c r="AK308" s="1231">
        <f ca="1">OFFSET($CQ308,0,AK$7)</f>
        <v>0</v>
      </c>
      <c r="AL308" s="1231">
        <f ca="1">OFFSET($CQ308,0,AL$7)+OFFSET($CR308,0,AL$7)</f>
        <v>0</v>
      </c>
      <c r="AM308" s="1231">
        <f ca="1">OFFSET($CQ308,0,AM$7)+OFFSET($CR308,0,AM$7)+OFFSET($CS308,0,AM$7)</f>
        <v>0</v>
      </c>
      <c r="AN308" s="1231">
        <f ca="1">OFFSET($CQ308,0,AN$7)+OFFSET($CR308,0,AN$7)+OFFSET($CS308,0,AN$7)+OFFSET($CT308,0,AN$7)</f>
        <v>0</v>
      </c>
      <c r="AO308" s="1231">
        <f ca="1">OFFSET($CQ308,0,AO$7)</f>
        <v>0</v>
      </c>
      <c r="AP308" s="1231">
        <f ca="1">OFFSET($CQ308,0,AP$7)+OFFSET($CR308,0,AP$7)</f>
        <v>0</v>
      </c>
      <c r="AQ308" s="1231">
        <f ca="1">OFFSET($CQ308,0,AQ$7)+OFFSET($CR308,0,AQ$7)+OFFSET($CS308,0,AQ$7)</f>
        <v>0</v>
      </c>
      <c r="AR308" s="1231">
        <f ca="1">OFFSET($CQ308,0,AR$7)+OFFSET($CR308,0,AR$7)+OFFSET($CS308,0,AR$7)+OFFSET($CT308,0,AR$7)</f>
        <v>0</v>
      </c>
      <c r="AS308" s="1231">
        <f ca="1">OFFSET($CQ308,0,AS$7)</f>
        <v>0</v>
      </c>
      <c r="AT308" s="1231">
        <f ca="1">OFFSET($CQ308,0,AT$7)+OFFSET($CR308,0,AT$7)</f>
        <v>0</v>
      </c>
      <c r="AU308" s="1231">
        <f ca="1">OFFSET($CQ308,0,AU$7)+OFFSET($CR308,0,AU$7)+OFFSET($CS308,0,AU$7)</f>
        <v>0</v>
      </c>
      <c r="AV308" s="1231">
        <f ca="1">OFFSET($CQ308,0,AV$7)+OFFSET($CR308,0,AV$7)+OFFSET($CS308,0,AV$7)+OFFSET($CT308,0,AV$7)</f>
        <v>0</v>
      </c>
      <c r="AW308" s="1231">
        <f ca="1">OFFSET($CQ308,0,AW$7)</f>
        <v>0</v>
      </c>
      <c r="AX308" s="1231">
        <f ca="1">OFFSET($CQ308,0,AX$7)+OFFSET($CR308,0,AX$7)</f>
        <v>0</v>
      </c>
      <c r="AY308" s="1231">
        <f ca="1">OFFSET($CQ308,0,AY$7)+OFFSET($CR308,0,AY$7)+OFFSET($CS308,0,AY$7)</f>
        <v>0</v>
      </c>
      <c r="AZ308" s="1231">
        <f ca="1">OFFSET($CQ308,0,AZ$7)+OFFSET($CR308,0,AZ$7)+OFFSET($CS308,0,AZ$7)+OFFSET($CT308,0,AZ$7)</f>
        <v>0</v>
      </c>
      <c r="BA308" s="1231">
        <f ca="1">OFFSET($CQ308,0,BA$7)</f>
        <v>0</v>
      </c>
      <c r="BB308" s="1231">
        <f ca="1">OFFSET($CQ308,0,BB$7)+OFFSET($CR308,0,BB$7)</f>
        <v>0</v>
      </c>
      <c r="BC308" s="1231">
        <f ca="1">OFFSET($CQ308,0,BC$7)+OFFSET($CR308,0,BC$7)+OFFSET($CS308,0,BC$7)</f>
        <v>0</v>
      </c>
      <c r="BD308" s="1231">
        <f ca="1">OFFSET($CQ308,0,BD$7)+OFFSET($CR308,0,BD$7)+OFFSET($CS308,0,BD$7)+OFFSET($CT308,0,BD$7)</f>
        <v>0</v>
      </c>
      <c r="BE308" s="1231">
        <f ca="1">OFFSET($CQ308,0,BE$7)</f>
        <v>0</v>
      </c>
      <c r="BF308" s="1231">
        <f ca="1">OFFSET($CQ308,0,BF$7)+OFFSET($CR308,0,BF$7)</f>
        <v>0</v>
      </c>
      <c r="BG308" s="1231">
        <f ca="1">OFFSET($CQ308,0,BG$7)+OFFSET($CR308,0,BG$7)+OFFSET($CS308,0,BG$7)</f>
        <v>0</v>
      </c>
      <c r="BH308" s="1231">
        <f ca="1">OFFSET($CQ308,0,BH$7)+OFFSET($CR308,0,BH$7)+OFFSET($CS308,0,BH$7)+OFFSET($CT308,0,BH$7)</f>
        <v>0</v>
      </c>
      <c r="BI308" s="1231">
        <f ca="1">OFFSET($CQ308,0,BI$7)</f>
        <v>0</v>
      </c>
      <c r="BJ308" s="1231">
        <f ca="1">OFFSET($CQ308,0,BJ$7)+OFFSET($CR308,0,BJ$7)</f>
        <v>0</v>
      </c>
      <c r="BK308" s="1231">
        <f ca="1">OFFSET($CQ308,0,BK$7)+OFFSET($CR308,0,BK$7)+OFFSET($CS308,0,BK$7)</f>
        <v>0</v>
      </c>
      <c r="BL308" s="1231">
        <f ca="1">OFFSET($CQ308,0,BL$7)+OFFSET($CR308,0,BL$7)+OFFSET($CS308,0,BL$7)+OFFSET($CT308,0,BL$7)</f>
        <v>0</v>
      </c>
      <c r="BM308" s="1231">
        <f ca="1">OFFSET($CQ308,0,BM$7)</f>
        <v>0</v>
      </c>
      <c r="BN308" s="1231">
        <f ca="1">OFFSET($CQ308,0,BN$7)+OFFSET($CR308,0,BN$7)</f>
        <v>0</v>
      </c>
      <c r="BO308" s="1231">
        <f ca="1">OFFSET($CQ308,0,BO$7)+OFFSET($CR308,0,BO$7)+OFFSET($CS308,0,BO$7)</f>
        <v>0</v>
      </c>
      <c r="BP308" s="1231">
        <f ca="1">OFFSET($CQ308,0,BP$7)+OFFSET($CR308,0,BP$7)+OFFSET($CS308,0,BP$7)+OFFSET($CT308,0,BP$7)</f>
        <v>0</v>
      </c>
      <c r="BQ308" s="1231">
        <f ca="1">OFFSET($CQ308,0,BQ$7)</f>
        <v>0</v>
      </c>
      <c r="BR308" s="1231">
        <f ca="1">OFFSET($CQ308,0,BR$7)+OFFSET($CR308,0,BR$7)</f>
        <v>0</v>
      </c>
      <c r="BS308" s="1231">
        <f ca="1">OFFSET($CQ308,0,BS$7)+OFFSET($CR308,0,BS$7)+OFFSET($CS308,0,BS$7)</f>
        <v>0</v>
      </c>
      <c r="BT308" s="1231">
        <f ca="1">OFFSET($CQ308,0,BT$7)+OFFSET($CR308,0,BT$7)+OFFSET($CS308,0,BT$7)+OFFSET($CT308,0,BT$7)</f>
        <v>0</v>
      </c>
      <c r="BU308" s="1231">
        <f ca="1">OFFSET($CQ308,0,BU$7)</f>
        <v>0</v>
      </c>
      <c r="BV308" s="1231">
        <f ca="1">OFFSET($CQ308,0,BV$7)+OFFSET($CR308,0,BV$7)</f>
        <v>0</v>
      </c>
      <c r="BW308" s="1231">
        <f ca="1">OFFSET($CQ308,0,BW$7)+OFFSET($CR308,0,BW$7)+OFFSET($CS308,0,BW$7)</f>
        <v>0</v>
      </c>
      <c r="BX308" s="1231">
        <f ca="1">OFFSET($CQ308,0,BX$7)+OFFSET($CR308,0,BX$7)+OFFSET($CS308,0,BX$7)+OFFSET($CT308,0,BX$7)</f>
        <v>0</v>
      </c>
      <c r="BY308" s="1231">
        <f ca="1">OFFSET($CQ308,0,BY$7)</f>
        <v>0</v>
      </c>
      <c r="BZ308" s="1231">
        <f ca="1">OFFSET($CQ308,0,BZ$7)+OFFSET($CR308,0,BZ$7)</f>
        <v>0</v>
      </c>
      <c r="CA308" s="1231">
        <f ca="1">OFFSET($CQ308,0,CA$7)+OFFSET($CR308,0,CA$7)+OFFSET($CS308,0,CA$7)</f>
        <v>0</v>
      </c>
      <c r="CB308" s="1231">
        <f ca="1">OFFSET($CQ308,0,CB$7)+OFFSET($CR308,0,CB$7)+OFFSET($CS308,0,CB$7)+OFFSET($CT308,0,CB$7)</f>
        <v>0</v>
      </c>
      <c r="CC308" s="1231">
        <f ca="1">OFFSET($CQ308,0,CC$7)</f>
        <v>0</v>
      </c>
      <c r="CD308" s="1231">
        <f ca="1">OFFSET($CQ308,0,CD$7)+OFFSET($CR308,0,CD$7)</f>
        <v>0</v>
      </c>
      <c r="CE308" s="1231">
        <f ca="1">OFFSET($CQ308,0,CE$7)+OFFSET($CR308,0,CE$7)+OFFSET($CS308,0,CE$7)</f>
        <v>0</v>
      </c>
      <c r="CF308" s="1231">
        <f ca="1">OFFSET($CQ308,0,CF$7)+OFFSET($CR308,0,CF$7)+OFFSET($CS308,0,CF$7)+OFFSET($CT308,0,CF$7)</f>
        <v>0</v>
      </c>
      <c r="CG308" s="1231">
        <f ca="1">OFFSET($CQ308,0,CG$7)</f>
        <v>0</v>
      </c>
      <c r="CH308" s="1231">
        <f ca="1">OFFSET($CQ308,0,CH$7)+OFFSET($CR308,0,CH$7)</f>
        <v>0</v>
      </c>
      <c r="CI308" s="1231">
        <f ca="1">OFFSET($CQ308,0,CI$7)+OFFSET($CR308,0,CI$7)+OFFSET($CS308,0,CI$7)</f>
        <v>0</v>
      </c>
      <c r="CJ308" s="1231">
        <f ca="1">OFFSET($CQ308,0,CJ$7)+OFFSET($CR308,0,CJ$7)+OFFSET($CS308,0,CJ$7)+OFFSET($CT308,0,CJ$7)</f>
        <v>0</v>
      </c>
      <c r="CK308" s="1231"/>
      <c r="CL308" s="1231"/>
      <c r="CM308" s="1231"/>
      <c r="CN308" s="1231"/>
      <c r="CO308" s="1165"/>
      <c r="CP308" s="1165"/>
      <c r="CQ308" s="1231"/>
      <c r="CR308" s="1231"/>
      <c r="CS308" s="1231"/>
      <c r="CT308" s="1231"/>
      <c r="CU308" s="1231"/>
      <c r="CV308" s="1231"/>
      <c r="CW308" s="1231"/>
      <c r="CX308" s="1231"/>
      <c r="CY308" s="1231"/>
      <c r="CZ308" s="1231"/>
      <c r="DA308" s="1231"/>
      <c r="DB308" s="1231"/>
      <c r="DC308" s="1231"/>
      <c r="DD308" s="1231"/>
      <c r="DE308" s="1231"/>
      <c r="DF308" s="1231"/>
      <c r="DG308" s="1231"/>
      <c r="DH308" s="1231"/>
      <c r="DI308" s="1231"/>
      <c r="DJ308" s="1231"/>
      <c r="DK308" s="1231"/>
      <c r="DL308" s="1231"/>
      <c r="DM308" s="1231"/>
      <c r="DN308" s="1231"/>
      <c r="DO308" s="1231"/>
      <c r="DP308" s="1231"/>
      <c r="DQ308" s="1231"/>
      <c r="DR308" s="1231"/>
      <c r="DS308" s="1231"/>
      <c r="DT308" s="1231"/>
      <c r="DU308" s="1231"/>
      <c r="DV308" s="1231"/>
      <c r="DW308" s="1231"/>
      <c r="DX308" s="1231"/>
      <c r="DY308" s="1231"/>
      <c r="DZ308" s="1231"/>
      <c r="EA308" s="1231"/>
      <c r="EB308" s="1231"/>
      <c r="EC308" s="1231"/>
      <c r="ED308" s="1231"/>
      <c r="EE308" s="1231"/>
      <c r="EF308" s="1231"/>
      <c r="EG308" s="1231"/>
      <c r="EH308" s="1231"/>
      <c r="EI308" s="1231"/>
      <c r="EJ308" s="1231"/>
      <c r="EK308" s="1231"/>
      <c r="EL308" s="1231"/>
      <c r="EM308" s="1231"/>
      <c r="EN308" s="1231"/>
      <c r="EO308" s="1231"/>
      <c r="EP308" s="1231"/>
      <c r="EQ308" s="1231"/>
      <c r="ER308" s="1231"/>
      <c r="ES308" s="1231"/>
      <c r="ET308" s="1231"/>
      <c r="EU308" s="1231"/>
      <c r="EV308" s="1231"/>
      <c r="EW308" s="1231"/>
      <c r="EX308" s="1231"/>
      <c r="EY308" s="1231"/>
      <c r="EZ308" s="1231"/>
      <c r="FA308" s="1231"/>
      <c r="FB308" s="1231"/>
      <c r="FC308" s="1231"/>
      <c r="FD308" s="1231"/>
      <c r="FE308" s="1231"/>
      <c r="FF308" s="1231"/>
    </row>
    <row r="309" spans="1:162" s="1231" customFormat="1">
      <c r="A309" s="1224"/>
      <c r="B309" s="1234" t="s">
        <v>6</v>
      </c>
      <c r="C309" s="1235"/>
      <c r="D309" s="1235"/>
      <c r="E309" s="1235"/>
      <c r="F309" s="1235"/>
      <c r="G309" s="1235"/>
      <c r="H309" s="1235"/>
      <c r="I309" s="1235"/>
      <c r="J309" s="1235"/>
      <c r="K309" s="1235"/>
      <c r="L309" s="1235"/>
      <c r="M309" s="1235"/>
      <c r="N309" s="1235"/>
      <c r="O309" s="1235"/>
      <c r="P309" s="1235"/>
      <c r="Q309" s="1235"/>
      <c r="R309" s="1235" t="e">
        <f>Model!#REF!-R308</f>
        <v>#REF!</v>
      </c>
      <c r="S309" s="1235" t="e">
        <f>Model!#REF!-S308</f>
        <v>#REF!</v>
      </c>
      <c r="T309" s="1235">
        <f>Model!C198-T308</f>
        <v>-96.874999999999957</v>
      </c>
      <c r="U309" s="1235">
        <f>Model!D198-U308</f>
        <v>358.49</v>
      </c>
      <c r="V309" s="1235">
        <f>Model!E198-V308</f>
        <v>0</v>
      </c>
      <c r="W309" s="1235">
        <f>Model!F198-W308</f>
        <v>0</v>
      </c>
      <c r="X309" s="1235">
        <f>Model!G198-X308</f>
        <v>0</v>
      </c>
      <c r="Y309" s="1235">
        <f>Model!H198-Y308</f>
        <v>0</v>
      </c>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c r="CB309" s="1235"/>
      <c r="CC309" s="1235"/>
      <c r="CD309" s="1235"/>
      <c r="CE309" s="1235"/>
      <c r="CF309" s="1235"/>
      <c r="CG309" s="1235"/>
      <c r="CH309" s="1235"/>
      <c r="CI309" s="1235"/>
      <c r="CJ309" s="1235"/>
      <c r="CK309" s="1235"/>
      <c r="CL309" s="1235"/>
      <c r="CM309" s="1235"/>
      <c r="CN309" s="1235"/>
      <c r="CO309" s="1165"/>
      <c r="CP309" s="1165"/>
      <c r="CQ309" s="1165"/>
      <c r="CR309" s="1235"/>
      <c r="CS309" s="1235"/>
      <c r="CT309" s="1235"/>
      <c r="CU309" s="1165"/>
      <c r="CV309" s="1235"/>
      <c r="CW309" s="1235"/>
      <c r="CX309" s="1235"/>
      <c r="CY309" s="1235"/>
      <c r="CZ309" s="1235"/>
      <c r="DA309" s="1235"/>
      <c r="DB309" s="1235"/>
      <c r="DC309" s="1235"/>
      <c r="DD309" s="1235"/>
      <c r="DE309" s="1235"/>
      <c r="DF309" s="1235"/>
      <c r="DG309" s="1235"/>
      <c r="DH309" s="1235"/>
      <c r="DI309" s="1235"/>
      <c r="DJ309" s="1235"/>
      <c r="DK309" s="1235"/>
      <c r="DL309" s="1235"/>
      <c r="DM309" s="1235"/>
      <c r="DN309" s="1235"/>
      <c r="DO309" s="1235"/>
      <c r="DP309" s="1235"/>
      <c r="DQ309" s="1235"/>
      <c r="DR309" s="1235"/>
      <c r="DS309" s="1235"/>
      <c r="DT309" s="1235"/>
      <c r="DU309" s="1235"/>
      <c r="DV309" s="1235"/>
      <c r="DW309" s="1235"/>
      <c r="DX309" s="1235"/>
      <c r="DY309" s="1235"/>
      <c r="DZ309" s="1235"/>
      <c r="EA309" s="1235"/>
      <c r="EB309" s="1235"/>
      <c r="EC309" s="1235"/>
      <c r="ED309" s="1235"/>
      <c r="EE309" s="1235"/>
      <c r="EF309" s="1235"/>
      <c r="EG309" s="1235"/>
      <c r="EH309" s="1235"/>
      <c r="EI309" s="1235"/>
      <c r="EJ309" s="1235"/>
      <c r="EK309" s="1235"/>
      <c r="EL309" s="1235"/>
      <c r="EM309" s="1235"/>
      <c r="EN309" s="1235"/>
      <c r="EO309" s="1235"/>
      <c r="EP309" s="1235"/>
      <c r="EQ309" s="1235"/>
      <c r="ER309" s="1235"/>
      <c r="ES309" s="1235"/>
      <c r="ET309" s="1235"/>
      <c r="EU309" s="1235"/>
      <c r="EV309" s="1235"/>
      <c r="EW309" s="1235"/>
      <c r="EX309" s="1235"/>
      <c r="EY309" s="1235"/>
      <c r="EZ309" s="1235"/>
      <c r="FA309" s="1235"/>
      <c r="FB309" s="1235"/>
      <c r="FC309" s="1235"/>
      <c r="FD309" s="1235"/>
      <c r="FE309" s="1235"/>
      <c r="FF309" s="1235"/>
    </row>
    <row r="310" spans="1:162">
      <c r="B310" s="1234"/>
      <c r="M310" s="1214"/>
      <c r="N310" s="1214"/>
      <c r="O310" s="1214"/>
      <c r="P310" s="1214"/>
      <c r="Q310" s="1214"/>
      <c r="R310" s="1214"/>
      <c r="S310" s="1214"/>
      <c r="T310" s="1214"/>
      <c r="U310" s="1214"/>
      <c r="V310" s="1214"/>
      <c r="W310" s="1214"/>
      <c r="X310" s="1214"/>
      <c r="Y310" s="1214"/>
      <c r="Z310" s="1214"/>
      <c r="AA310" s="1214"/>
      <c r="AB310" s="1214"/>
      <c r="AC310" s="1214"/>
      <c r="AD310" s="1214"/>
      <c r="AE310" s="1214"/>
      <c r="AG310" s="1214"/>
      <c r="AH310" s="1214"/>
      <c r="AI310" s="1214"/>
      <c r="AJ310" s="1214"/>
      <c r="AK310" s="1214"/>
      <c r="AL310" s="1214"/>
      <c r="AM310" s="1214"/>
      <c r="AN310" s="1214"/>
      <c r="AO310" s="1214"/>
      <c r="AP310" s="1214"/>
      <c r="AQ310" s="1214"/>
      <c r="AR310" s="1214"/>
      <c r="AS310" s="1214"/>
      <c r="AT310" s="1214"/>
      <c r="AU310" s="1214"/>
      <c r="AV310" s="1214"/>
      <c r="AW310" s="1214"/>
      <c r="AX310" s="1214"/>
      <c r="AY310" s="1214"/>
      <c r="AZ310" s="1214"/>
      <c r="BA310" s="1214"/>
      <c r="BB310" s="1214"/>
      <c r="BC310" s="1214"/>
      <c r="BD310" s="1214"/>
      <c r="BE310" s="1214"/>
      <c r="BF310" s="1214"/>
      <c r="BG310" s="1214"/>
      <c r="BH310" s="1214"/>
      <c r="BI310" s="1214"/>
      <c r="BJ310" s="1214"/>
      <c r="BK310" s="1214"/>
      <c r="BL310" s="1214"/>
      <c r="BM310" s="1214"/>
      <c r="BN310" s="1214"/>
      <c r="BO310" s="1214"/>
      <c r="BP310" s="1214"/>
      <c r="BQ310" s="1214"/>
      <c r="BR310" s="1214"/>
      <c r="BS310" s="1214"/>
      <c r="BT310" s="1214"/>
      <c r="BU310" s="1214"/>
      <c r="BV310" s="1214"/>
      <c r="BW310" s="1214"/>
      <c r="BX310" s="1214"/>
      <c r="BY310" s="1214"/>
      <c r="BZ310" s="1214"/>
      <c r="CA310" s="1214"/>
      <c r="CB310" s="1214"/>
      <c r="CC310" s="1214"/>
      <c r="CD310" s="1214"/>
      <c r="CE310" s="1214"/>
      <c r="CF310" s="1214"/>
      <c r="CG310" s="1214"/>
      <c r="CH310" s="1214"/>
      <c r="CI310" s="1214"/>
      <c r="CJ310" s="1214"/>
      <c r="CO310" s="1165"/>
      <c r="CP310" s="1165"/>
    </row>
    <row r="311" spans="1:162">
      <c r="B311" s="1234" t="s">
        <v>6</v>
      </c>
      <c r="M311" s="1212">
        <f t="shared" ref="M311:X311" ca="1" si="415">M120-L120-M308</f>
        <v>0</v>
      </c>
      <c r="N311" s="1212">
        <f t="shared" ca="1" si="415"/>
        <v>0</v>
      </c>
      <c r="O311" s="1212">
        <f t="shared" ca="1" si="415"/>
        <v>0</v>
      </c>
      <c r="P311" s="1212">
        <f t="shared" ca="1" si="415"/>
        <v>0</v>
      </c>
      <c r="Q311" s="1212">
        <f t="shared" ca="1" si="415"/>
        <v>0</v>
      </c>
      <c r="R311" s="1212">
        <f t="shared" ca="1" si="415"/>
        <v>443.4625099999999</v>
      </c>
      <c r="S311" s="1212">
        <f t="shared" si="415"/>
        <v>-3.3000000004790309E-4</v>
      </c>
      <c r="T311" s="1212">
        <f t="shared" si="415"/>
        <v>0</v>
      </c>
      <c r="U311" s="1212">
        <f t="shared" si="415"/>
        <v>0</v>
      </c>
      <c r="V311" s="1212">
        <f t="shared" si="415"/>
        <v>0</v>
      </c>
      <c r="W311" s="1212">
        <f t="shared" si="415"/>
        <v>0</v>
      </c>
      <c r="X311" s="1212">
        <f t="shared" si="415"/>
        <v>0</v>
      </c>
      <c r="Y311" s="1212">
        <f>Y120-X120-Y308</f>
        <v>0</v>
      </c>
      <c r="Z311" s="1212"/>
      <c r="AA311" s="1212"/>
      <c r="AB311" s="1212"/>
      <c r="AC311" s="1212"/>
      <c r="AD311" s="1212"/>
      <c r="AE311" s="1212"/>
      <c r="AG311" s="1212"/>
      <c r="AH311" s="1212"/>
      <c r="AI311" s="1212"/>
      <c r="AJ311" s="1212"/>
      <c r="AK311" s="1212"/>
      <c r="AL311" s="1212"/>
      <c r="AM311" s="1212"/>
      <c r="AN311" s="1212"/>
      <c r="AO311" s="1212"/>
      <c r="AP311" s="1212"/>
      <c r="AQ311" s="1212"/>
      <c r="AR311" s="1212"/>
      <c r="AS311" s="1212"/>
      <c r="AT311" s="1212"/>
      <c r="AU311" s="1212"/>
      <c r="AV311" s="1212"/>
      <c r="AW311" s="1212"/>
      <c r="AX311" s="1212"/>
      <c r="AY311" s="1212"/>
      <c r="AZ311" s="1212"/>
      <c r="BA311" s="1212"/>
      <c r="BB311" s="1212"/>
      <c r="BC311" s="1212"/>
      <c r="BD311" s="1212"/>
      <c r="BE311" s="1212"/>
      <c r="BF311" s="1212"/>
      <c r="BG311" s="1212"/>
      <c r="BH311" s="1212"/>
      <c r="BI311" s="1212"/>
      <c r="BJ311" s="1212"/>
      <c r="BK311" s="1212"/>
      <c r="BL311" s="1212"/>
      <c r="BM311" s="1212"/>
      <c r="BN311" s="1212"/>
      <c r="BO311" s="1212"/>
      <c r="BP311" s="1212"/>
      <c r="BQ311" s="1212"/>
      <c r="BR311" s="1212"/>
      <c r="BS311" s="1212"/>
      <c r="BT311" s="1212"/>
      <c r="BU311" s="1212"/>
      <c r="BV311" s="1212"/>
      <c r="BW311" s="1212"/>
      <c r="BX311" s="1212"/>
      <c r="BY311" s="1212"/>
      <c r="BZ311" s="1212"/>
      <c r="CA311" s="1212"/>
      <c r="CB311" s="1212"/>
      <c r="CC311" s="1212"/>
      <c r="CD311" s="1212"/>
      <c r="CE311" s="1212"/>
      <c r="CF311" s="1212"/>
      <c r="CG311" s="1212"/>
      <c r="CH311" s="1212"/>
      <c r="CI311" s="1212"/>
      <c r="CJ311" s="1212"/>
      <c r="CO311" s="1165"/>
      <c r="CP311" s="1165"/>
      <c r="CQ311" s="1165"/>
      <c r="CR311" s="1165"/>
      <c r="CS311" s="1165"/>
      <c r="CT311" s="1165"/>
      <c r="CU311" s="1165"/>
      <c r="CV311" s="1165"/>
      <c r="CW311" s="1165"/>
      <c r="CX311" s="1165"/>
    </row>
    <row r="312" spans="1:162" s="1235" customFormat="1">
      <c r="A312" s="1233"/>
      <c r="B312" s="1165"/>
      <c r="C312" s="1236"/>
      <c r="D312" s="1236"/>
      <c r="E312" s="1236"/>
      <c r="F312" s="1236"/>
      <c r="G312" s="1236"/>
      <c r="H312" s="1236"/>
      <c r="I312" s="1236"/>
      <c r="J312" s="1236"/>
      <c r="K312" s="1236"/>
      <c r="L312" s="1236"/>
      <c r="M312" s="1236"/>
      <c r="N312" s="1236"/>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c r="CB312" s="1236"/>
      <c r="CC312" s="1236"/>
      <c r="CD312" s="1236"/>
      <c r="CE312" s="1236"/>
      <c r="CF312" s="1236"/>
      <c r="CG312" s="1236"/>
      <c r="CH312" s="1236"/>
      <c r="CI312" s="1236"/>
      <c r="CJ312" s="1236"/>
      <c r="CK312" s="1236"/>
      <c r="CL312" s="1236"/>
      <c r="CM312" s="1236"/>
      <c r="CN312" s="1236"/>
      <c r="CO312" s="1165"/>
      <c r="CP312" s="1165"/>
      <c r="CQ312" s="1165"/>
      <c r="CR312" s="1165"/>
      <c r="CS312" s="1165"/>
      <c r="CT312" s="1165"/>
      <c r="CU312" s="1165"/>
      <c r="CV312" s="1165"/>
      <c r="CW312" s="1165"/>
      <c r="CX312" s="1165"/>
      <c r="CY312" s="1236"/>
      <c r="CZ312" s="1236"/>
      <c r="DA312" s="1236"/>
      <c r="DB312" s="1236"/>
      <c r="DC312" s="1236"/>
      <c r="DD312" s="1236"/>
      <c r="DE312" s="1236"/>
      <c r="DF312" s="1236"/>
      <c r="DG312" s="1236"/>
      <c r="DH312" s="1236"/>
      <c r="DI312" s="1236"/>
      <c r="DJ312" s="1236"/>
      <c r="DK312" s="1236"/>
      <c r="DL312" s="1236"/>
      <c r="DM312" s="1236"/>
      <c r="DN312" s="1236"/>
      <c r="DO312" s="1236"/>
      <c r="DP312" s="1236"/>
      <c r="DQ312" s="1236"/>
      <c r="DR312" s="1236"/>
      <c r="DS312" s="1236"/>
      <c r="DT312" s="1236"/>
      <c r="DU312" s="1236"/>
      <c r="DV312" s="1236"/>
      <c r="DW312" s="1236"/>
      <c r="DX312" s="1236"/>
      <c r="DY312" s="1236"/>
      <c r="DZ312" s="1236"/>
      <c r="EA312" s="1236"/>
      <c r="EB312" s="1236"/>
      <c r="EC312" s="1236"/>
      <c r="ED312" s="1236"/>
      <c r="EE312" s="1236"/>
      <c r="EF312" s="1236"/>
      <c r="EG312" s="1236"/>
      <c r="EH312" s="1236"/>
      <c r="EI312" s="1236"/>
      <c r="EJ312" s="1236"/>
      <c r="EK312" s="1236"/>
      <c r="EL312" s="1236"/>
      <c r="EM312" s="1236"/>
      <c r="EN312" s="1236"/>
      <c r="EO312" s="1236"/>
      <c r="EP312" s="1236"/>
      <c r="EQ312" s="1236"/>
      <c r="ER312" s="1236"/>
      <c r="ES312" s="1236"/>
      <c r="ET312" s="1236"/>
      <c r="EU312" s="1236"/>
      <c r="EV312" s="1236"/>
      <c r="EW312" s="1236"/>
      <c r="EX312" s="1236"/>
      <c r="EY312" s="1236"/>
      <c r="EZ312" s="1236"/>
      <c r="FA312" s="1236"/>
      <c r="FB312" s="1236"/>
      <c r="FC312" s="1236"/>
      <c r="FD312" s="1236"/>
      <c r="FE312" s="1236"/>
      <c r="FF312" s="1236"/>
    </row>
    <row r="313" spans="1:162">
      <c r="CO313" s="1165"/>
      <c r="CP313" s="1165"/>
      <c r="CQ313" s="1165"/>
      <c r="CR313" s="1165"/>
      <c r="CS313" s="1165"/>
      <c r="CT313" s="1165"/>
      <c r="CU313" s="1165"/>
      <c r="CV313" s="1165"/>
      <c r="CW313" s="1165"/>
      <c r="CX313" s="1165"/>
    </row>
    <row r="314" spans="1:162">
      <c r="CO314" s="1165"/>
      <c r="CP314" s="1165"/>
      <c r="CQ314" s="1165"/>
      <c r="CR314" s="1165"/>
      <c r="CS314" s="1165"/>
      <c r="CT314" s="1165"/>
      <c r="CU314" s="1165"/>
      <c r="CV314" s="1165"/>
      <c r="CW314" s="1165"/>
      <c r="CX314" s="1165"/>
    </row>
    <row r="316" spans="1:162">
      <c r="B316" s="1165" t="s">
        <v>185</v>
      </c>
    </row>
  </sheetData>
  <dataValidations count="1">
    <dataValidation allowBlank="1" sqref="O1:P1 A1" xr:uid="{00000000-0002-0000-1500-000000000000}"/>
  </dataValidations>
  <pageMargins left="0.75" right="0.75" top="1" bottom="1" header="0.5" footer="0.5"/>
  <pageSetup paperSize="9" orientation="portrait" r:id="rId1"/>
  <headerFooter alignWithMargins="0"/>
  <customProperties>
    <customPr name="Qube.Worksheet.Visibility" r:id="rId2"/>
    <customPr name="QXL_SHEET_ID" r:id="rId3"/>
    <customPr name="SHEET_UNIQUE_ID" r:id="rId4"/>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pageSetUpPr fitToPage="1"/>
  </sheetPr>
  <dimension ref="A1:CG260"/>
  <sheetViews>
    <sheetView showGridLines="0" showOutlineSymbols="0" showWhiteSpace="0" topLeftCell="B1" workbookViewId="0">
      <pane xSplit="11" ySplit="10" topLeftCell="M11" activePane="bottomRight" state="frozen"/>
      <selection activeCell="B1" sqref="B1"/>
      <selection pane="topRight" activeCell="M1" sqref="M1"/>
      <selection pane="bottomLeft" activeCell="B11" sqref="B11"/>
      <selection pane="bottomRight" activeCell="P52" sqref="P52"/>
    </sheetView>
  </sheetViews>
  <sheetFormatPr defaultColWidth="9.140625" defaultRowHeight="12.75" outlineLevelCol="1"/>
  <cols>
    <col min="1" max="1" width="1.5703125" style="180" hidden="1" customWidth="1"/>
    <col min="2" max="2" width="32" style="7" customWidth="1"/>
    <col min="3" max="5" width="10.5703125" style="26" hidden="1" customWidth="1" outlineLevel="1"/>
    <col min="6" max="6" width="10.5703125" style="26" hidden="1" customWidth="1" outlineLevel="1" collapsed="1"/>
    <col min="7" max="12" width="10.5703125" style="26" hidden="1" customWidth="1" outlineLevel="1"/>
    <col min="13" max="13" width="10.5703125" style="26" customWidth="1" collapsed="1"/>
    <col min="14" max="19" width="10.5703125" style="26" customWidth="1"/>
    <col min="20" max="20" width="10.5703125" style="26" customWidth="1" outlineLevel="1"/>
    <col min="21" max="21" width="5.5703125" style="26" customWidth="1"/>
    <col min="22" max="29" width="10.42578125" style="26" hidden="1" customWidth="1" outlineLevel="1"/>
    <col min="30" max="30" width="10.42578125" style="26" hidden="1" customWidth="1" outlineLevel="1" collapsed="1"/>
    <col min="31" max="33" width="10.42578125" style="26" hidden="1" customWidth="1" outlineLevel="1"/>
    <col min="34" max="34" width="10.42578125" style="26" hidden="1" customWidth="1" outlineLevel="1" collapsed="1"/>
    <col min="35" max="37" width="10.42578125" style="26" hidden="1" customWidth="1" outlineLevel="1"/>
    <col min="38" max="38" width="10.42578125" style="26" hidden="1" customWidth="1" outlineLevel="1" collapsed="1"/>
    <col min="39" max="40" width="9.85546875" style="26" hidden="1" customWidth="1" outlineLevel="1"/>
    <col min="41" max="41" width="9.85546875" style="584" hidden="1" customWidth="1" outlineLevel="1"/>
    <col min="42" max="44" width="9.85546875" style="26" hidden="1" customWidth="1" outlineLevel="1"/>
    <col min="45" max="45" width="9.85546875" style="584" hidden="1" customWidth="1" outlineLevel="1"/>
    <col min="46" max="48" width="9.85546875" style="26" hidden="1" customWidth="1" outlineLevel="1"/>
    <col min="49" max="49" width="9.85546875" style="584" hidden="1" customWidth="1" outlineLevel="1"/>
    <col min="50" max="52" width="9.85546875" style="26" hidden="1" customWidth="1" outlineLevel="1"/>
    <col min="53" max="53" width="9.85546875" style="584" hidden="1" customWidth="1" outlineLevel="1"/>
    <col min="54" max="56" width="9.85546875" style="26" hidden="1" customWidth="1" outlineLevel="1"/>
    <col min="57" max="57" width="9.85546875" style="584" hidden="1" customWidth="1" outlineLevel="1"/>
    <col min="58" max="58" width="11.28515625" style="26" hidden="1" customWidth="1" outlineLevel="1" collapsed="1"/>
    <col min="59" max="60" width="9.85546875" style="26" hidden="1" customWidth="1" outlineLevel="1"/>
    <col min="61" max="61" width="9.85546875" style="584" hidden="1" customWidth="1" outlineLevel="1"/>
    <col min="62" max="64" width="9.85546875" style="26" hidden="1" customWidth="1" outlineLevel="1"/>
    <col min="65" max="65" width="9.85546875" style="584" hidden="1" customWidth="1" outlineLevel="1"/>
    <col min="66" max="66" width="9.85546875" style="26" customWidth="1" collapsed="1"/>
    <col min="67" max="68" width="9.85546875" style="26" customWidth="1"/>
    <col min="69" max="69" width="9.85546875" style="584" customWidth="1"/>
    <col min="70" max="72" width="9.85546875" style="26" customWidth="1"/>
    <col min="73" max="73" width="9.85546875" style="584" customWidth="1"/>
    <col min="74" max="76" width="9.85546875" style="26" customWidth="1"/>
    <col min="77" max="77" width="9.85546875" style="584" customWidth="1"/>
    <col min="78" max="80" width="9.85546875" style="26" customWidth="1"/>
    <col min="81" max="81" width="9.85546875" style="584" customWidth="1"/>
    <col min="82" max="84" width="9.85546875" style="26" customWidth="1"/>
    <col min="85" max="85" width="9.85546875" style="584" customWidth="1"/>
    <col min="86" max="16384" width="9.140625" style="26"/>
  </cols>
  <sheetData>
    <row r="1" spans="1:85" s="184" customFormat="1" ht="12.75" customHeight="1">
      <c r="A1" s="182"/>
      <c r="B1" s="193">
        <f ca="1">TODAY()</f>
        <v>46181</v>
      </c>
      <c r="C1" s="183"/>
      <c r="D1" s="183"/>
      <c r="E1" s="183"/>
      <c r="F1" s="194"/>
      <c r="G1" s="195"/>
      <c r="H1" s="183"/>
      <c r="I1" s="183"/>
      <c r="J1" s="183"/>
      <c r="K1" s="183"/>
      <c r="L1" s="183"/>
      <c r="M1" s="183"/>
      <c r="N1" s="183"/>
      <c r="O1" s="183"/>
      <c r="P1" s="183"/>
      <c r="Q1" s="1144"/>
      <c r="R1" s="183"/>
      <c r="S1" s="183"/>
      <c r="T1" s="183"/>
      <c r="U1" s="183"/>
      <c r="AO1" s="561"/>
      <c r="AS1" s="602"/>
      <c r="AW1" s="602"/>
      <c r="BA1" s="602"/>
      <c r="BE1" s="602"/>
      <c r="BI1" s="602"/>
      <c r="BM1" s="602"/>
      <c r="BQ1" s="602"/>
      <c r="BU1" s="602"/>
      <c r="BY1" s="602"/>
      <c r="CC1" s="602"/>
      <c r="CG1" s="602"/>
    </row>
    <row r="2" spans="1:85" s="184" customFormat="1" ht="12.75" customHeight="1">
      <c r="A2" s="182"/>
      <c r="B2" s="193"/>
      <c r="C2" s="183"/>
      <c r="D2" s="183"/>
      <c r="E2" s="183"/>
      <c r="F2" s="194"/>
      <c r="G2" s="195"/>
      <c r="H2" s="183"/>
      <c r="I2" s="183"/>
      <c r="J2" s="183"/>
      <c r="K2" s="183"/>
      <c r="L2" s="183"/>
      <c r="M2" s="183"/>
      <c r="N2" s="183"/>
      <c r="O2" s="183"/>
      <c r="P2" s="983"/>
      <c r="Q2" s="183"/>
      <c r="R2" s="183"/>
      <c r="S2" s="183"/>
      <c r="T2" s="183"/>
      <c r="U2" s="183"/>
      <c r="AO2" s="561"/>
      <c r="AS2" s="602"/>
      <c r="AW2" s="602"/>
      <c r="BA2" s="602"/>
      <c r="BE2" s="602"/>
      <c r="BH2" s="980" t="e">
        <f>#REF!</f>
        <v>#REF!</v>
      </c>
      <c r="BI2" s="602"/>
      <c r="BK2" s="980" t="e">
        <f>#REF!</f>
        <v>#REF!</v>
      </c>
      <c r="BL2" s="980" t="e">
        <f>#REF!</f>
        <v>#REF!</v>
      </c>
      <c r="BM2" s="602"/>
      <c r="BQ2" s="602"/>
      <c r="BU2" s="602"/>
      <c r="BY2" s="602"/>
      <c r="CC2" s="602"/>
      <c r="CG2" s="602"/>
    </row>
    <row r="3" spans="1:85" s="184" customFormat="1" ht="12.75" customHeight="1">
      <c r="B3" s="185" t="s">
        <v>696</v>
      </c>
      <c r="C3" s="186"/>
      <c r="D3" s="186"/>
      <c r="E3" s="186"/>
      <c r="F3" s="186"/>
      <c r="G3" s="186"/>
      <c r="H3" s="186"/>
      <c r="I3" s="186"/>
      <c r="J3" s="186"/>
      <c r="K3" s="186"/>
      <c r="L3" s="186"/>
      <c r="M3" s="186"/>
      <c r="N3" s="948"/>
      <c r="O3" s="979"/>
      <c r="P3" s="979"/>
      <c r="Q3" s="979"/>
      <c r="R3" s="186"/>
      <c r="S3" s="186"/>
      <c r="T3" s="186"/>
      <c r="U3" s="187"/>
      <c r="V3" s="188"/>
      <c r="W3" s="188"/>
      <c r="X3" s="188"/>
      <c r="Y3" s="188"/>
      <c r="Z3" s="188"/>
      <c r="AA3" s="188"/>
      <c r="AB3" s="188"/>
      <c r="AC3" s="188"/>
      <c r="AD3" s="188"/>
      <c r="AE3" s="188"/>
      <c r="AF3" s="188"/>
      <c r="AG3" s="188"/>
      <c r="AH3" s="188"/>
      <c r="AI3" s="188"/>
      <c r="AJ3" s="188"/>
      <c r="AK3" s="188"/>
      <c r="AL3" s="188"/>
      <c r="AM3" s="188"/>
      <c r="AN3" s="188"/>
      <c r="AO3" s="562">
        <v>2017</v>
      </c>
      <c r="AP3" s="188"/>
      <c r="AQ3" s="188"/>
      <c r="AR3" s="188"/>
      <c r="AS3" s="562">
        <f>AO3+1</f>
        <v>2018</v>
      </c>
      <c r="AT3" s="188"/>
      <c r="AU3" s="188"/>
      <c r="AV3" s="188"/>
      <c r="AW3" s="562">
        <f>AS3+1</f>
        <v>2019</v>
      </c>
      <c r="AX3" s="188"/>
      <c r="AY3" s="188"/>
      <c r="AZ3" s="188"/>
      <c r="BA3" s="562">
        <f>AW3+1</f>
        <v>2020</v>
      </c>
      <c r="BB3" s="188"/>
      <c r="BC3" s="188"/>
      <c r="BD3" s="188"/>
      <c r="BE3" s="562">
        <f>BA3+1</f>
        <v>2021</v>
      </c>
      <c r="BF3" s="188"/>
      <c r="BG3" s="188"/>
      <c r="BH3" s="188"/>
      <c r="BI3" s="562">
        <f>BE3+1</f>
        <v>2022</v>
      </c>
      <c r="BJ3" s="188"/>
      <c r="BK3" s="188"/>
      <c r="BL3" s="188"/>
      <c r="BM3" s="562">
        <f>BI3+1</f>
        <v>2023</v>
      </c>
      <c r="BN3" s="188"/>
      <c r="BO3" s="188"/>
      <c r="BP3" s="188"/>
      <c r="BQ3" s="562">
        <f>BM3+1</f>
        <v>2024</v>
      </c>
      <c r="BR3" s="188"/>
      <c r="BS3" s="188"/>
      <c r="BT3" s="188"/>
      <c r="BU3" s="562">
        <f>BQ3+1</f>
        <v>2025</v>
      </c>
      <c r="BV3" s="188"/>
      <c r="BW3" s="188"/>
      <c r="BX3" s="188"/>
      <c r="BY3" s="562">
        <f>BU3+1</f>
        <v>2026</v>
      </c>
      <c r="BZ3" s="188"/>
      <c r="CA3" s="188"/>
      <c r="CB3" s="188"/>
      <c r="CC3" s="562">
        <f>BY3+1</f>
        <v>2027</v>
      </c>
      <c r="CD3" s="188"/>
      <c r="CE3" s="188"/>
      <c r="CF3" s="188"/>
      <c r="CG3" s="562">
        <f>CC3+1</f>
        <v>2028</v>
      </c>
    </row>
    <row r="4" spans="1:85" s="189" customFormat="1" ht="12.75" customHeight="1">
      <c r="B4" s="190" t="s">
        <v>697</v>
      </c>
      <c r="C4" s="94"/>
      <c r="D4" s="191">
        <v>2013</v>
      </c>
      <c r="E4" s="191">
        <f>D4+1</f>
        <v>2014</v>
      </c>
      <c r="F4" s="191">
        <f>E4+1</f>
        <v>2015</v>
      </c>
      <c r="G4" s="191">
        <f>F4+1</f>
        <v>2016</v>
      </c>
      <c r="H4" s="191">
        <f>G4+1</f>
        <v>2017</v>
      </c>
      <c r="I4" s="191">
        <v>2018</v>
      </c>
      <c r="J4" s="191">
        <v>2019</v>
      </c>
      <c r="K4" s="191">
        <v>2020</v>
      </c>
      <c r="L4" s="191">
        <f t="shared" ref="L4:R4" si="0">K4+1</f>
        <v>2021</v>
      </c>
      <c r="M4" s="191">
        <f t="shared" si="0"/>
        <v>2022</v>
      </c>
      <c r="N4" s="191">
        <f t="shared" si="0"/>
        <v>2023</v>
      </c>
      <c r="O4" s="191">
        <f t="shared" si="0"/>
        <v>2024</v>
      </c>
      <c r="P4" s="191">
        <f t="shared" si="0"/>
        <v>2025</v>
      </c>
      <c r="Q4" s="191">
        <f t="shared" si="0"/>
        <v>2026</v>
      </c>
      <c r="R4" s="191">
        <f t="shared" si="0"/>
        <v>2027</v>
      </c>
      <c r="S4" s="191">
        <f t="shared" ref="R4:T5" si="1">R4+1</f>
        <v>2028</v>
      </c>
      <c r="T4" s="191">
        <f t="shared" si="1"/>
        <v>2029</v>
      </c>
      <c r="U4" s="187"/>
      <c r="V4" s="192">
        <v>2013</v>
      </c>
      <c r="W4" s="192">
        <v>2013</v>
      </c>
      <c r="X4" s="192">
        <v>2013</v>
      </c>
      <c r="Y4" s="192">
        <v>2013</v>
      </c>
      <c r="Z4" s="192">
        <f t="shared" ref="Z4:AW4" si="2">V4+1</f>
        <v>2014</v>
      </c>
      <c r="AA4" s="192">
        <f t="shared" si="2"/>
        <v>2014</v>
      </c>
      <c r="AB4" s="192">
        <f t="shared" si="2"/>
        <v>2014</v>
      </c>
      <c r="AC4" s="192">
        <f t="shared" si="2"/>
        <v>2014</v>
      </c>
      <c r="AD4" s="192">
        <f t="shared" si="2"/>
        <v>2015</v>
      </c>
      <c r="AE4" s="192">
        <f t="shared" si="2"/>
        <v>2015</v>
      </c>
      <c r="AF4" s="192">
        <f t="shared" si="2"/>
        <v>2015</v>
      </c>
      <c r="AG4" s="192">
        <f t="shared" si="2"/>
        <v>2015</v>
      </c>
      <c r="AH4" s="192">
        <f t="shared" si="2"/>
        <v>2016</v>
      </c>
      <c r="AI4" s="192">
        <f t="shared" si="2"/>
        <v>2016</v>
      </c>
      <c r="AJ4" s="192">
        <f t="shared" si="2"/>
        <v>2016</v>
      </c>
      <c r="AK4" s="192">
        <f t="shared" si="2"/>
        <v>2016</v>
      </c>
      <c r="AL4" s="192">
        <f>AH4+1</f>
        <v>2017</v>
      </c>
      <c r="AM4" s="192">
        <f>AI4+1</f>
        <v>2017</v>
      </c>
      <c r="AN4" s="192">
        <f>AJ4+1</f>
        <v>2017</v>
      </c>
      <c r="AO4" s="563">
        <f>AK4+1</f>
        <v>2017</v>
      </c>
      <c r="AP4" s="192">
        <f t="shared" si="2"/>
        <v>2018</v>
      </c>
      <c r="AQ4" s="192">
        <f t="shared" si="2"/>
        <v>2018</v>
      </c>
      <c r="AR4" s="192">
        <f t="shared" si="2"/>
        <v>2018</v>
      </c>
      <c r="AS4" s="563">
        <f t="shared" si="2"/>
        <v>2018</v>
      </c>
      <c r="AT4" s="192">
        <f t="shared" si="2"/>
        <v>2019</v>
      </c>
      <c r="AU4" s="192">
        <f t="shared" si="2"/>
        <v>2019</v>
      </c>
      <c r="AV4" s="192">
        <f t="shared" si="2"/>
        <v>2019</v>
      </c>
      <c r="AW4" s="563">
        <f t="shared" si="2"/>
        <v>2019</v>
      </c>
      <c r="AX4" s="192">
        <f>AT4+1</f>
        <v>2020</v>
      </c>
      <c r="AY4" s="192">
        <f>AU4+1</f>
        <v>2020</v>
      </c>
      <c r="AZ4" s="192">
        <f>AV4+1</f>
        <v>2020</v>
      </c>
      <c r="BA4" s="563">
        <f>AW4+1</f>
        <v>2020</v>
      </c>
      <c r="BB4" s="192">
        <f>AX4+1</f>
        <v>2021</v>
      </c>
      <c r="BC4" s="192">
        <f>AY4+1</f>
        <v>2021</v>
      </c>
      <c r="BD4" s="192">
        <f>AZ4+1</f>
        <v>2021</v>
      </c>
      <c r="BE4" s="563">
        <f>BA4+1</f>
        <v>2021</v>
      </c>
      <c r="BF4" s="192">
        <f>BB4+1</f>
        <v>2022</v>
      </c>
      <c r="BG4" s="192">
        <f>BC4+1</f>
        <v>2022</v>
      </c>
      <c r="BH4" s="192">
        <f>BD4+1</f>
        <v>2022</v>
      </c>
      <c r="BI4" s="563">
        <f>BE4+1</f>
        <v>2022</v>
      </c>
      <c r="BJ4" s="192">
        <f>BF4+1</f>
        <v>2023</v>
      </c>
      <c r="BK4" s="192">
        <f>BG4+1</f>
        <v>2023</v>
      </c>
      <c r="BL4" s="192">
        <f>BH4+1</f>
        <v>2023</v>
      </c>
      <c r="BM4" s="563">
        <f>BI4+1</f>
        <v>2023</v>
      </c>
      <c r="BN4" s="192">
        <f>BJ4+1</f>
        <v>2024</v>
      </c>
      <c r="BO4" s="192">
        <f>BK4+1</f>
        <v>2024</v>
      </c>
      <c r="BP4" s="192">
        <f>BL4+1</f>
        <v>2024</v>
      </c>
      <c r="BQ4" s="563">
        <f>BM4+1</f>
        <v>2024</v>
      </c>
      <c r="BR4" s="192">
        <f>BN4+1</f>
        <v>2025</v>
      </c>
      <c r="BS4" s="192">
        <f>BO4+1</f>
        <v>2025</v>
      </c>
      <c r="BT4" s="192">
        <f>BP4+1</f>
        <v>2025</v>
      </c>
      <c r="BU4" s="563">
        <f>BQ4+1</f>
        <v>2025</v>
      </c>
      <c r="BV4" s="192">
        <f>BR4+1</f>
        <v>2026</v>
      </c>
      <c r="BW4" s="192">
        <f>BS4+1</f>
        <v>2026</v>
      </c>
      <c r="BX4" s="192">
        <f>BT4+1</f>
        <v>2026</v>
      </c>
      <c r="BY4" s="563">
        <f>BU4+1</f>
        <v>2026</v>
      </c>
      <c r="BZ4" s="192">
        <f>BV4+1</f>
        <v>2027</v>
      </c>
      <c r="CA4" s="192">
        <f>BW4+1</f>
        <v>2027</v>
      </c>
      <c r="CB4" s="192">
        <f>BX4+1</f>
        <v>2027</v>
      </c>
      <c r="CC4" s="563">
        <f>BY4+1</f>
        <v>2027</v>
      </c>
      <c r="CD4" s="192">
        <f>BZ4+1</f>
        <v>2028</v>
      </c>
      <c r="CE4" s="192">
        <f>CA4+1</f>
        <v>2028</v>
      </c>
      <c r="CF4" s="192">
        <f>CB4+1</f>
        <v>2028</v>
      </c>
      <c r="CG4" s="563">
        <f>CC4+1</f>
        <v>2028</v>
      </c>
    </row>
    <row r="5" spans="1:85" s="163" customFormat="1" ht="12.75" customHeight="1">
      <c r="A5" s="96"/>
      <c r="B5" s="96"/>
      <c r="C5" s="95">
        <v>2012</v>
      </c>
      <c r="D5" s="95">
        <v>2013</v>
      </c>
      <c r="E5" s="95">
        <f t="shared" ref="E5:K5" si="3">D5+1</f>
        <v>2014</v>
      </c>
      <c r="F5" s="95">
        <f t="shared" si="3"/>
        <v>2015</v>
      </c>
      <c r="G5" s="95">
        <f t="shared" si="3"/>
        <v>2016</v>
      </c>
      <c r="H5" s="95">
        <f t="shared" si="3"/>
        <v>2017</v>
      </c>
      <c r="I5" s="95">
        <f t="shared" si="3"/>
        <v>2018</v>
      </c>
      <c r="J5" s="95">
        <f t="shared" si="3"/>
        <v>2019</v>
      </c>
      <c r="K5" s="95">
        <f t="shared" si="3"/>
        <v>2020</v>
      </c>
      <c r="L5" s="95">
        <f t="shared" ref="L5:Q5" si="4">K5+1</f>
        <v>2021</v>
      </c>
      <c r="M5" s="95">
        <f t="shared" si="4"/>
        <v>2022</v>
      </c>
      <c r="N5" s="95">
        <f t="shared" si="4"/>
        <v>2023</v>
      </c>
      <c r="O5" s="95">
        <f t="shared" si="4"/>
        <v>2024</v>
      </c>
      <c r="P5" s="95">
        <f t="shared" si="4"/>
        <v>2025</v>
      </c>
      <c r="Q5" s="97">
        <f t="shared" si="4"/>
        <v>2026</v>
      </c>
      <c r="R5" s="97">
        <f t="shared" si="1"/>
        <v>2027</v>
      </c>
      <c r="S5" s="97">
        <f t="shared" si="1"/>
        <v>2028</v>
      </c>
      <c r="T5" s="97">
        <f t="shared" si="1"/>
        <v>2029</v>
      </c>
      <c r="U5" s="187"/>
      <c r="V5" s="95" t="s">
        <v>259</v>
      </c>
      <c r="W5" s="95" t="s">
        <v>260</v>
      </c>
      <c r="X5" s="95" t="s">
        <v>261</v>
      </c>
      <c r="Y5" s="95" t="s">
        <v>262</v>
      </c>
      <c r="Z5" s="95" t="s">
        <v>263</v>
      </c>
      <c r="AA5" s="95" t="s">
        <v>264</v>
      </c>
      <c r="AB5" s="95" t="s">
        <v>265</v>
      </c>
      <c r="AC5" s="95" t="s">
        <v>266</v>
      </c>
      <c r="AD5" s="95" t="s">
        <v>267</v>
      </c>
      <c r="AE5" s="95" t="s">
        <v>268</v>
      </c>
      <c r="AF5" s="95" t="s">
        <v>269</v>
      </c>
      <c r="AG5" s="95" t="s">
        <v>270</v>
      </c>
      <c r="AH5" s="95" t="s">
        <v>271</v>
      </c>
      <c r="AI5" s="95" t="s">
        <v>272</v>
      </c>
      <c r="AJ5" s="95" t="s">
        <v>273</v>
      </c>
      <c r="AK5" s="95" t="s">
        <v>274</v>
      </c>
      <c r="AL5" s="95" t="s">
        <v>275</v>
      </c>
      <c r="AM5" s="95" t="s">
        <v>276</v>
      </c>
      <c r="AN5" s="95" t="s">
        <v>277</v>
      </c>
      <c r="AO5" s="564" t="s">
        <v>278</v>
      </c>
      <c r="AP5" s="95" t="s">
        <v>279</v>
      </c>
      <c r="AQ5" s="95" t="s">
        <v>280</v>
      </c>
      <c r="AR5" s="95" t="s">
        <v>281</v>
      </c>
      <c r="AS5" s="564" t="s">
        <v>282</v>
      </c>
      <c r="AT5" s="95" t="s">
        <v>283</v>
      </c>
      <c r="AU5" s="95" t="s">
        <v>284</v>
      </c>
      <c r="AV5" s="95" t="s">
        <v>285</v>
      </c>
      <c r="AW5" s="95" t="s">
        <v>286</v>
      </c>
      <c r="AX5" s="95" t="s">
        <v>417</v>
      </c>
      <c r="AY5" s="95" t="s">
        <v>418</v>
      </c>
      <c r="AZ5" s="95" t="s">
        <v>419</v>
      </c>
      <c r="BA5" s="95" t="s">
        <v>420</v>
      </c>
      <c r="BB5" s="95" t="s">
        <v>421</v>
      </c>
      <c r="BC5" s="95" t="s">
        <v>422</v>
      </c>
      <c r="BD5" s="95" t="s">
        <v>423</v>
      </c>
      <c r="BE5" s="95" t="s">
        <v>424</v>
      </c>
      <c r="BF5" s="95" t="s">
        <v>946</v>
      </c>
      <c r="BG5" s="95" t="s">
        <v>947</v>
      </c>
      <c r="BH5" s="95" t="s">
        <v>948</v>
      </c>
      <c r="BI5" s="564" t="s">
        <v>949</v>
      </c>
      <c r="BJ5" s="95" t="s">
        <v>1065</v>
      </c>
      <c r="BK5" s="95" t="s">
        <v>1066</v>
      </c>
      <c r="BL5" s="95" t="s">
        <v>1067</v>
      </c>
      <c r="BM5" s="95" t="s">
        <v>1064</v>
      </c>
      <c r="BN5" s="95" t="s">
        <v>1069</v>
      </c>
      <c r="BO5" s="95" t="s">
        <v>1070</v>
      </c>
      <c r="BP5" s="95" t="s">
        <v>1071</v>
      </c>
      <c r="BQ5" s="95" t="s">
        <v>1072</v>
      </c>
      <c r="BR5" s="95" t="s">
        <v>1073</v>
      </c>
      <c r="BS5" s="95" t="s">
        <v>1074</v>
      </c>
      <c r="BT5" s="95" t="s">
        <v>1075</v>
      </c>
      <c r="BU5" s="95" t="s">
        <v>1076</v>
      </c>
      <c r="BV5" s="95" t="s">
        <v>1077</v>
      </c>
      <c r="BW5" s="98" t="s">
        <v>1078</v>
      </c>
      <c r="BX5" s="98" t="s">
        <v>1079</v>
      </c>
      <c r="BY5" s="610" t="s">
        <v>1080</v>
      </c>
      <c r="BZ5" s="98" t="s">
        <v>1081</v>
      </c>
      <c r="CA5" s="98" t="s">
        <v>1082</v>
      </c>
      <c r="CB5" s="98" t="s">
        <v>1083</v>
      </c>
      <c r="CC5" s="610" t="s">
        <v>1084</v>
      </c>
      <c r="CD5" s="98" t="s">
        <v>1085</v>
      </c>
      <c r="CE5" s="98" t="s">
        <v>1086</v>
      </c>
      <c r="CF5" s="98" t="s">
        <v>1087</v>
      </c>
      <c r="CG5" s="610" t="s">
        <v>1088</v>
      </c>
    </row>
    <row r="6" spans="1:85" s="7" customFormat="1" ht="12.75" customHeight="1">
      <c r="A6" s="59"/>
      <c r="B6" s="164"/>
      <c r="C6" s="60"/>
      <c r="D6" s="165" t="s">
        <v>698</v>
      </c>
      <c r="E6" s="60"/>
      <c r="F6" s="60"/>
      <c r="G6" s="60"/>
      <c r="H6" s="60"/>
      <c r="I6" s="67"/>
      <c r="J6" s="72"/>
      <c r="K6" s="72"/>
      <c r="L6" s="60"/>
      <c r="M6" s="60"/>
      <c r="N6" s="60"/>
      <c r="O6" s="60"/>
      <c r="P6" s="60"/>
      <c r="Q6" s="60"/>
      <c r="R6" s="60"/>
      <c r="S6" s="60"/>
      <c r="T6" s="60"/>
      <c r="U6" s="187"/>
      <c r="V6" s="165" t="s">
        <v>698</v>
      </c>
      <c r="W6" s="164"/>
      <c r="X6" s="164"/>
      <c r="Y6" s="164"/>
      <c r="Z6" s="164"/>
      <c r="AA6" s="164"/>
      <c r="AB6" s="164"/>
      <c r="AC6" s="164"/>
      <c r="AD6" s="164"/>
      <c r="AE6" s="164"/>
      <c r="AF6" s="164"/>
      <c r="AG6" s="164"/>
      <c r="AH6" s="164"/>
      <c r="AI6" s="164"/>
      <c r="AJ6" s="164"/>
      <c r="AK6" s="164"/>
      <c r="AL6" s="164"/>
      <c r="AM6" s="164"/>
      <c r="AN6" s="164"/>
      <c r="AO6" s="565"/>
      <c r="AP6" s="164"/>
      <c r="AQ6" s="164"/>
      <c r="AR6" s="164"/>
      <c r="AS6" s="565"/>
      <c r="AT6" s="164"/>
      <c r="AU6" s="164"/>
      <c r="AV6" s="164"/>
      <c r="AW6" s="565"/>
      <c r="AX6" s="164"/>
      <c r="AY6" s="164"/>
      <c r="AZ6" s="164"/>
      <c r="BA6" s="565"/>
      <c r="BB6" s="565"/>
      <c r="BC6" s="164"/>
      <c r="BD6" s="164"/>
      <c r="BE6" s="565"/>
      <c r="BF6" s="565"/>
      <c r="BG6" s="565"/>
      <c r="BH6" s="565"/>
      <c r="BI6" s="565"/>
      <c r="BJ6" s="164"/>
      <c r="BK6" s="164"/>
      <c r="BL6" s="164"/>
      <c r="BM6" s="565"/>
      <c r="BN6" s="164"/>
      <c r="BO6" s="1078">
        <f>SUM(BN26:BO26)/SUM(BN9:BO9)</f>
        <v>-0.11372215765125762</v>
      </c>
      <c r="BP6" s="1079">
        <f>SUM(BN52:BP52)</f>
        <v>385.161</v>
      </c>
      <c r="BQ6" s="565"/>
      <c r="BR6" s="164"/>
      <c r="BS6" s="1078">
        <f>SUM(BR26:BS26)/SUM(BR9:BS9)</f>
        <v>-0.11117354503219849</v>
      </c>
      <c r="BT6" s="1078">
        <f>SUM(BR52:BT52)</f>
        <v>512.28</v>
      </c>
      <c r="BU6" s="601">
        <f>BT6/BP6-1</f>
        <v>0.33004120354864575</v>
      </c>
      <c r="BV6" s="164"/>
      <c r="BW6" s="164"/>
      <c r="BX6" s="164"/>
      <c r="BY6" s="565"/>
      <c r="BZ6" s="164"/>
      <c r="CA6" s="164"/>
      <c r="CB6" s="164"/>
      <c r="CC6" s="565"/>
      <c r="CD6" s="164"/>
      <c r="CE6" s="164"/>
      <c r="CF6" s="164"/>
      <c r="CG6" s="565"/>
    </row>
    <row r="7" spans="1:85" s="7" customFormat="1" ht="12.75" customHeight="1">
      <c r="A7" s="16"/>
      <c r="B7" s="134" t="s">
        <v>168</v>
      </c>
      <c r="C7" s="135">
        <f t="shared" ref="C7:L7" si="5">C5</f>
        <v>2012</v>
      </c>
      <c r="D7" s="135">
        <f t="shared" si="5"/>
        <v>2013</v>
      </c>
      <c r="E7" s="135">
        <f t="shared" si="5"/>
        <v>2014</v>
      </c>
      <c r="F7" s="135">
        <f t="shared" si="5"/>
        <v>2015</v>
      </c>
      <c r="G7" s="135">
        <f t="shared" si="5"/>
        <v>2016</v>
      </c>
      <c r="H7" s="135">
        <f t="shared" si="5"/>
        <v>2017</v>
      </c>
      <c r="I7" s="135">
        <f t="shared" si="5"/>
        <v>2018</v>
      </c>
      <c r="J7" s="135">
        <f t="shared" si="5"/>
        <v>2019</v>
      </c>
      <c r="K7" s="135">
        <f t="shared" si="5"/>
        <v>2020</v>
      </c>
      <c r="L7" s="135">
        <f t="shared" si="5"/>
        <v>2021</v>
      </c>
      <c r="M7" s="135">
        <f t="shared" ref="M7:T7" si="6">M5</f>
        <v>2022</v>
      </c>
      <c r="N7" s="135">
        <f t="shared" si="6"/>
        <v>2023</v>
      </c>
      <c r="O7" s="135">
        <f t="shared" si="6"/>
        <v>2024</v>
      </c>
      <c r="P7" s="135">
        <f t="shared" si="6"/>
        <v>2025</v>
      </c>
      <c r="Q7" s="136">
        <f t="shared" si="6"/>
        <v>2026</v>
      </c>
      <c r="R7" s="136">
        <f t="shared" si="6"/>
        <v>2027</v>
      </c>
      <c r="S7" s="136">
        <f t="shared" si="6"/>
        <v>2028</v>
      </c>
      <c r="T7" s="136">
        <f t="shared" si="6"/>
        <v>2029</v>
      </c>
      <c r="U7" s="187"/>
      <c r="V7" s="137" t="str">
        <f t="shared" ref="V7:BE7" si="7">V5</f>
        <v>1Q13</v>
      </c>
      <c r="W7" s="137" t="str">
        <f t="shared" si="7"/>
        <v>2Q13</v>
      </c>
      <c r="X7" s="137" t="str">
        <f t="shared" si="7"/>
        <v>3Q13</v>
      </c>
      <c r="Y7" s="137" t="str">
        <f t="shared" si="7"/>
        <v>4Q13</v>
      </c>
      <c r="Z7" s="137" t="str">
        <f t="shared" si="7"/>
        <v>1Q14</v>
      </c>
      <c r="AA7" s="137" t="str">
        <f t="shared" si="7"/>
        <v>2Q14</v>
      </c>
      <c r="AB7" s="137" t="str">
        <f t="shared" si="7"/>
        <v>3Q14</v>
      </c>
      <c r="AC7" s="137" t="str">
        <f t="shared" si="7"/>
        <v>4Q14</v>
      </c>
      <c r="AD7" s="137" t="str">
        <f t="shared" si="7"/>
        <v>1Q15</v>
      </c>
      <c r="AE7" s="137" t="str">
        <f t="shared" si="7"/>
        <v>2Q15</v>
      </c>
      <c r="AF7" s="137" t="str">
        <f t="shared" si="7"/>
        <v>3Q15</v>
      </c>
      <c r="AG7" s="137" t="str">
        <f t="shared" si="7"/>
        <v>4Q15</v>
      </c>
      <c r="AH7" s="137" t="str">
        <f t="shared" si="7"/>
        <v>1Q16</v>
      </c>
      <c r="AI7" s="137" t="str">
        <f t="shared" si="7"/>
        <v>2Q16</v>
      </c>
      <c r="AJ7" s="137" t="str">
        <f t="shared" si="7"/>
        <v>3Q16</v>
      </c>
      <c r="AK7" s="137" t="str">
        <f t="shared" si="7"/>
        <v>4Q16</v>
      </c>
      <c r="AL7" s="137" t="str">
        <f t="shared" si="7"/>
        <v>1Q17</v>
      </c>
      <c r="AM7" s="137" t="str">
        <f t="shared" si="7"/>
        <v>2Q17</v>
      </c>
      <c r="AN7" s="137" t="str">
        <f t="shared" si="7"/>
        <v>3Q17</v>
      </c>
      <c r="AO7" s="566" t="str">
        <f t="shared" si="7"/>
        <v>4Q17</v>
      </c>
      <c r="AP7" s="137" t="str">
        <f t="shared" si="7"/>
        <v>1Q18</v>
      </c>
      <c r="AQ7" s="137" t="str">
        <f t="shared" si="7"/>
        <v>2Q18</v>
      </c>
      <c r="AR7" s="137" t="str">
        <f t="shared" si="7"/>
        <v>3Q18</v>
      </c>
      <c r="AS7" s="566" t="str">
        <f t="shared" si="7"/>
        <v>4Q18</v>
      </c>
      <c r="AT7" s="137" t="str">
        <f t="shared" si="7"/>
        <v>1Q19</v>
      </c>
      <c r="AU7" s="137" t="str">
        <f t="shared" si="7"/>
        <v>2Q19</v>
      </c>
      <c r="AV7" s="137" t="str">
        <f t="shared" si="7"/>
        <v>3Q19</v>
      </c>
      <c r="AW7" s="137" t="str">
        <f t="shared" si="7"/>
        <v>4Q19</v>
      </c>
      <c r="AX7" s="137" t="str">
        <f t="shared" si="7"/>
        <v>1Q20</v>
      </c>
      <c r="AY7" s="137" t="str">
        <f t="shared" si="7"/>
        <v>2Q20</v>
      </c>
      <c r="AZ7" s="137" t="str">
        <f t="shared" si="7"/>
        <v>3Q20</v>
      </c>
      <c r="BA7" s="137" t="str">
        <f t="shared" si="7"/>
        <v>4Q20</v>
      </c>
      <c r="BB7" s="137" t="str">
        <f t="shared" si="7"/>
        <v>1Q21</v>
      </c>
      <c r="BC7" s="137" t="str">
        <f t="shared" si="7"/>
        <v>2Q21</v>
      </c>
      <c r="BD7" s="137" t="str">
        <f t="shared" si="7"/>
        <v>3Q21</v>
      </c>
      <c r="BE7" s="137" t="str">
        <f t="shared" si="7"/>
        <v>4Q21</v>
      </c>
      <c r="BF7" s="137" t="str">
        <f t="shared" ref="BF7:BK7" si="8">BF5</f>
        <v>1Q22</v>
      </c>
      <c r="BG7" s="137" t="str">
        <f t="shared" si="8"/>
        <v>2Q22</v>
      </c>
      <c r="BH7" s="137" t="str">
        <f t="shared" si="8"/>
        <v>3Q22</v>
      </c>
      <c r="BI7" s="566" t="str">
        <f t="shared" si="8"/>
        <v>4Q22</v>
      </c>
      <c r="BJ7" s="137" t="str">
        <f t="shared" si="8"/>
        <v>1Q23</v>
      </c>
      <c r="BK7" s="137" t="str">
        <f t="shared" si="8"/>
        <v>2Q23</v>
      </c>
      <c r="BL7" s="137" t="str">
        <f t="shared" ref="BL7:BQ7" si="9">BL5</f>
        <v>3Q23</v>
      </c>
      <c r="BM7" s="137" t="str">
        <f t="shared" si="9"/>
        <v>4Q23</v>
      </c>
      <c r="BN7" s="137" t="str">
        <f t="shared" si="9"/>
        <v>1Q24</v>
      </c>
      <c r="BO7" s="137" t="str">
        <f t="shared" si="9"/>
        <v>2Q24</v>
      </c>
      <c r="BP7" s="137" t="str">
        <f t="shared" si="9"/>
        <v>3Q24</v>
      </c>
      <c r="BQ7" s="137" t="str">
        <f t="shared" si="9"/>
        <v>4Q24</v>
      </c>
      <c r="BR7" s="137" t="str">
        <f>BR5</f>
        <v>1Q25</v>
      </c>
      <c r="BS7" s="137" t="str">
        <f t="shared" ref="BS7:CG7" si="10">BS5</f>
        <v>2Q25</v>
      </c>
      <c r="BT7" s="137" t="str">
        <f t="shared" si="10"/>
        <v>3Q25</v>
      </c>
      <c r="BU7" s="137" t="str">
        <f t="shared" si="10"/>
        <v>4Q25</v>
      </c>
      <c r="BV7" s="137" t="str">
        <f t="shared" si="10"/>
        <v>1Q26</v>
      </c>
      <c r="BW7" s="138" t="str">
        <f t="shared" si="10"/>
        <v>2Q26</v>
      </c>
      <c r="BX7" s="138" t="str">
        <f t="shared" si="10"/>
        <v>3Q26</v>
      </c>
      <c r="BY7" s="604" t="str">
        <f t="shared" si="10"/>
        <v>4Q26</v>
      </c>
      <c r="BZ7" s="138" t="str">
        <f t="shared" si="10"/>
        <v>1Q27</v>
      </c>
      <c r="CA7" s="138" t="str">
        <f t="shared" si="10"/>
        <v>2Q27</v>
      </c>
      <c r="CB7" s="138" t="str">
        <f t="shared" si="10"/>
        <v>3Q27</v>
      </c>
      <c r="CC7" s="604" t="str">
        <f t="shared" si="10"/>
        <v>4Q27</v>
      </c>
      <c r="CD7" s="138" t="str">
        <f t="shared" si="10"/>
        <v>1Q28</v>
      </c>
      <c r="CE7" s="138" t="str">
        <f t="shared" si="10"/>
        <v>2Q28</v>
      </c>
      <c r="CF7" s="138" t="str">
        <f t="shared" si="10"/>
        <v>3Q28</v>
      </c>
      <c r="CG7" s="604" t="str">
        <f t="shared" si="10"/>
        <v>4Q28</v>
      </c>
    </row>
    <row r="8" spans="1:85" ht="12.75" customHeight="1">
      <c r="A8" s="16"/>
      <c r="B8" s="14"/>
      <c r="C8" s="37"/>
      <c r="D8" s="37"/>
      <c r="E8" s="40"/>
      <c r="F8" s="40"/>
      <c r="G8" s="40"/>
      <c r="H8" s="40"/>
      <c r="I8" s="68"/>
      <c r="J8" s="68"/>
      <c r="K8" s="480"/>
      <c r="L8" s="37"/>
      <c r="M8" s="37"/>
      <c r="N8" s="37"/>
      <c r="O8" s="37"/>
      <c r="P8" s="37"/>
      <c r="Q8" s="37"/>
      <c r="R8" s="37"/>
      <c r="S8" s="37"/>
      <c r="T8" s="37"/>
      <c r="U8" s="187"/>
      <c r="V8" s="166"/>
      <c r="Z8" s="166"/>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F8" s="167"/>
      <c r="BR8" s="167"/>
      <c r="BS8" s="167"/>
      <c r="BT8" s="167"/>
      <c r="BU8" s="567"/>
      <c r="BV8" s="167">
        <v>0.23</v>
      </c>
      <c r="BW8" s="167">
        <v>0.25</v>
      </c>
      <c r="BX8" s="167">
        <v>0.26</v>
      </c>
      <c r="BY8" s="567">
        <f>1-SUM(BV8:BX8)</f>
        <v>0.26</v>
      </c>
      <c r="BZ8" s="167">
        <v>0.23</v>
      </c>
      <c r="CA8" s="167">
        <v>0.25</v>
      </c>
      <c r="CB8" s="167">
        <v>0.26</v>
      </c>
      <c r="CC8" s="567">
        <f>1-SUM(BZ8:CB8)</f>
        <v>0.26</v>
      </c>
      <c r="CD8" s="167">
        <v>0.23</v>
      </c>
      <c r="CE8" s="167">
        <v>0.25</v>
      </c>
      <c r="CF8" s="167">
        <v>0.26</v>
      </c>
      <c r="CG8" s="567">
        <f>1-SUM(CD8:CF8)</f>
        <v>0.26</v>
      </c>
    </row>
    <row r="9" spans="1:85" ht="12.75" customHeight="1">
      <c r="A9" s="28"/>
      <c r="B9" s="20" t="s">
        <v>68</v>
      </c>
      <c r="C9" s="43"/>
      <c r="D9" s="43">
        <f ca="1">+'Raw Data'!U10</f>
        <v>2068.9639999999999</v>
      </c>
      <c r="E9" s="43">
        <f ca="1">+'Raw Data'!V10</f>
        <v>1969.9659999999999</v>
      </c>
      <c r="F9" s="43">
        <f ca="1">+'Raw Data'!W10</f>
        <v>2236.415</v>
      </c>
      <c r="G9" s="43">
        <f ca="1">+'Raw Data'!X10</f>
        <v>2914.18</v>
      </c>
      <c r="H9" s="43">
        <f ca="1">+'Raw Data'!Y10</f>
        <v>3101.1750000000002</v>
      </c>
      <c r="I9" s="43">
        <f ca="1">+'Raw Data'!Z10</f>
        <v>3359.9839999999999</v>
      </c>
      <c r="J9" s="20">
        <f>SUMIF($AL$4:$VI$4,J$4,$AL9:$VI9)</f>
        <v>3115.672</v>
      </c>
      <c r="K9" s="20">
        <f>SUMIF($AL$4:$VI$4,K$4,$AL9:$VI9)</f>
        <v>3906.9750000000004</v>
      </c>
      <c r="L9" s="20">
        <f>SUMIF($AL$4:$VI$4,L$4,$AL9:$VI9)</f>
        <v>5443.1120000000001</v>
      </c>
      <c r="M9" s="20">
        <f>SUMIF($AL$4:$VI$4,M$4,$AL9:$VI9)</f>
        <v>7273.2839999999997</v>
      </c>
      <c r="N9" s="20">
        <f>SUMIF($AL$4:$VI$4,N$4,$AL9:$VI9)</f>
        <v>6321.56</v>
      </c>
      <c r="O9" s="20">
        <f>SUMIF($AL$4:$VI$4,O$4,$AL9:$VI9)</f>
        <v>8029.9210000000003</v>
      </c>
      <c r="P9" s="20">
        <f>SUMIF($AL$4:$VI$4,P$4,$AL9:$VI9)</f>
        <v>9326.7989999999991</v>
      </c>
      <c r="Q9" s="20">
        <f>SUMIF($AL$4:$VI$4,Q$4,$AL9:$VI9)</f>
        <v>11578.49117131698</v>
      </c>
      <c r="R9" s="20">
        <f>SUMIF($AL$4:$VI$4,R$4,$AL9:$VI9)</f>
        <v>13869.187434829972</v>
      </c>
      <c r="S9" s="20">
        <f>SUMIF($AL$4:$VI$4,S$4,$AL9:$VI9)</f>
        <v>16753.01980557973</v>
      </c>
      <c r="T9" s="519">
        <f>'10y capex'!N4</f>
        <v>19966.587880026273</v>
      </c>
      <c r="U9" s="187"/>
      <c r="V9" s="20">
        <f>+'Raw Data'!DW10</f>
        <v>501.60899999999998</v>
      </c>
      <c r="W9" s="20">
        <f>+'Raw Data'!DX10</f>
        <v>541.30200000000002</v>
      </c>
      <c r="X9" s="20">
        <f>+'Raw Data'!DY10</f>
        <v>534.25599999999997</v>
      </c>
      <c r="Y9" s="20">
        <f>+'Raw Data'!DZ10</f>
        <v>491.79700000000003</v>
      </c>
      <c r="Z9" s="20">
        <f>+'Raw Data'!EA10</f>
        <v>451.08300000000003</v>
      </c>
      <c r="AA9" s="20">
        <f>+'Raw Data'!EB10</f>
        <v>511.34399999999999</v>
      </c>
      <c r="AB9" s="20">
        <f>+'Raw Data'!EC10</f>
        <v>521.64599999999996</v>
      </c>
      <c r="AC9" s="20">
        <f>+'Raw Data'!ED10</f>
        <v>485.89299999999997</v>
      </c>
      <c r="AD9" s="20">
        <f>+'Raw Data'!EE10</f>
        <v>509.798</v>
      </c>
      <c r="AE9" s="20">
        <f>+'Raw Data'!EF10</f>
        <v>546.61500000000001</v>
      </c>
      <c r="AF9" s="20">
        <f>+'Raw Data'!EG10</f>
        <v>569.85400000000004</v>
      </c>
      <c r="AG9" s="20">
        <f>+'Raw Data'!EH10</f>
        <v>610.14800000000002</v>
      </c>
      <c r="AH9" s="20">
        <f>+'Raw Data'!EI10</f>
        <v>634.31200000000001</v>
      </c>
      <c r="AI9" s="20">
        <f>+'Raw Data'!EJ10</f>
        <v>690.221</v>
      </c>
      <c r="AJ9" s="20">
        <f>+'Raw Data'!EK10</f>
        <v>774.84500000000003</v>
      </c>
      <c r="AK9" s="20">
        <f>+'Raw Data'!EL10</f>
        <v>814.80200000000002</v>
      </c>
      <c r="AL9" s="20">
        <f>+'Raw Data'!EM10</f>
        <v>793.08500000000004</v>
      </c>
      <c r="AM9" s="20">
        <f>+'Raw Data'!EN10</f>
        <v>751.19299999999998</v>
      </c>
      <c r="AN9" s="20">
        <f>+'Raw Data'!EO10</f>
        <v>769.72299999999996</v>
      </c>
      <c r="AO9" s="571">
        <f>+'Raw Data'!EP10</f>
        <v>787.17399999999998</v>
      </c>
      <c r="AP9" s="20">
        <f>+'Raw Data'!EQ10</f>
        <v>831.04399999999998</v>
      </c>
      <c r="AQ9" s="20">
        <f>+'Raw Data'!ER10</f>
        <v>890.71299999999997</v>
      </c>
      <c r="AR9" s="20">
        <f>+'Raw Data'!ES10</f>
        <v>850.66200000000003</v>
      </c>
      <c r="AS9" s="571">
        <f>+'Raw Data'!ET10</f>
        <v>787.56500000000005</v>
      </c>
      <c r="AT9" s="20">
        <v>668.899</v>
      </c>
      <c r="AU9" s="20">
        <v>790.88199999999995</v>
      </c>
      <c r="AV9" s="20">
        <v>816.452</v>
      </c>
      <c r="AW9" s="571">
        <v>839.43899999999996</v>
      </c>
      <c r="AX9" s="20">
        <v>904.91200000000003</v>
      </c>
      <c r="AY9" s="20">
        <v>938.46299999999997</v>
      </c>
      <c r="AZ9" s="20">
        <v>1082.5050000000001</v>
      </c>
      <c r="BA9" s="571">
        <v>981.09500000000003</v>
      </c>
      <c r="BB9" s="20">
        <v>1103.6489999999999</v>
      </c>
      <c r="BC9" s="20">
        <v>1344.1020000000001</v>
      </c>
      <c r="BD9" s="20">
        <v>1415.3019999999999</v>
      </c>
      <c r="BE9" s="20">
        <v>1580.059</v>
      </c>
      <c r="BF9" s="20">
        <v>1841.894</v>
      </c>
      <c r="BG9" s="20">
        <v>1903.164</v>
      </c>
      <c r="BH9" s="20">
        <v>1906.9559999999999</v>
      </c>
      <c r="BI9" s="571">
        <v>1621.27</v>
      </c>
      <c r="BJ9" s="20">
        <v>1462.288</v>
      </c>
      <c r="BK9" s="20">
        <v>1560.396</v>
      </c>
      <c r="BL9" s="101">
        <v>1620.577</v>
      </c>
      <c r="BM9" s="988">
        <v>1678.299</v>
      </c>
      <c r="BN9" s="101">
        <v>1750.1759999999999</v>
      </c>
      <c r="BO9" s="101">
        <v>1901.2760000000001</v>
      </c>
      <c r="BP9" s="101">
        <v>2171.1880000000001</v>
      </c>
      <c r="BQ9" s="988">
        <v>2207.2809999999999</v>
      </c>
      <c r="BR9" s="101">
        <v>2247.201</v>
      </c>
      <c r="BS9" s="101">
        <v>2209.0659999999998</v>
      </c>
      <c r="BT9" s="101">
        <v>2381.8220000000001</v>
      </c>
      <c r="BU9" s="988">
        <v>2488.71</v>
      </c>
      <c r="BV9" s="101">
        <v>2505.4870000000001</v>
      </c>
      <c r="BW9" s="148">
        <f>Assumption!AM11</f>
        <v>2887.2050879611729</v>
      </c>
      <c r="BX9" s="148">
        <f>Assumption!AN11</f>
        <v>3021.9870519517535</v>
      </c>
      <c r="BY9" s="590">
        <f>Assumption!AO11</f>
        <v>3163.8120314040534</v>
      </c>
      <c r="BZ9" s="148">
        <f>Assumption!AP11</f>
        <v>3101.824867573876</v>
      </c>
      <c r="CA9" s="148">
        <f>Assumption!AQ11</f>
        <v>3268.9928378160462</v>
      </c>
      <c r="CB9" s="148">
        <f>Assumption!AR11</f>
        <v>3666.854572642741</v>
      </c>
      <c r="CC9" s="590">
        <f>Assumption!AS11</f>
        <v>3831.5151567973089</v>
      </c>
      <c r="CD9" s="148">
        <f>Assumption!AT11</f>
        <v>3855.2964985499748</v>
      </c>
      <c r="CE9" s="148">
        <f>Assumption!AU11</f>
        <v>3994.1525777295101</v>
      </c>
      <c r="CF9" s="148">
        <f>Assumption!AV11</f>
        <v>4331.6275740935225</v>
      </c>
      <c r="CG9" s="590">
        <f>Assumption!AW11</f>
        <v>4571.9431552067208</v>
      </c>
    </row>
    <row r="10" spans="1:85" s="168" customFormat="1" ht="12.75" customHeight="1">
      <c r="A10" s="18"/>
      <c r="B10" s="15" t="s">
        <v>852</v>
      </c>
      <c r="C10" s="61"/>
      <c r="D10" s="61" t="str">
        <f t="shared" ref="D10:T10" ca="1" si="11">IF(ISERROR(D9/C9-1)," ",(D9/C9-1))</f>
        <v xml:space="preserve"> </v>
      </c>
      <c r="E10" s="61">
        <f t="shared" ca="1" si="11"/>
        <v>-4.7849068422650243E-2</v>
      </c>
      <c r="F10" s="61">
        <f t="shared" ca="1" si="11"/>
        <v>0.1352556338535793</v>
      </c>
      <c r="G10" s="61">
        <f t="shared" ca="1" si="11"/>
        <v>0.30305868991220319</v>
      </c>
      <c r="H10" s="61">
        <f t="shared" ca="1" si="11"/>
        <v>6.4167278616969581E-2</v>
      </c>
      <c r="I10" s="61">
        <f t="shared" ca="1" si="11"/>
        <v>8.3455142002627936E-2</v>
      </c>
      <c r="J10" s="61">
        <f t="shared" ca="1" si="11"/>
        <v>-7.2712251010719098E-2</v>
      </c>
      <c r="K10" s="61">
        <f t="shared" si="11"/>
        <v>0.25397506541125003</v>
      </c>
      <c r="L10" s="61">
        <f t="shared" si="11"/>
        <v>0.39317809814498417</v>
      </c>
      <c r="M10" s="61">
        <f t="shared" si="11"/>
        <v>0.33623632951150006</v>
      </c>
      <c r="N10" s="61">
        <f t="shared" si="11"/>
        <v>-0.13085203327685258</v>
      </c>
      <c r="O10" s="61">
        <f t="shared" ref="O10" si="12">IF(ISERROR(O9/N9-1)," ",(O9/N9-1))</f>
        <v>0.27024357911654717</v>
      </c>
      <c r="P10" s="61">
        <f t="shared" ref="P10" si="13">IF(ISERROR(P9/O9-1)," ",(P9/O9-1))</f>
        <v>0.16150569849939989</v>
      </c>
      <c r="Q10" s="61">
        <f t="shared" ref="Q10" si="14">IF(ISERROR(Q9/P9-1)," ",(Q9/P9-1))</f>
        <v>0.24142175373533648</v>
      </c>
      <c r="R10" s="61">
        <f t="shared" ref="R10" si="15">IF(ISERROR(R9/Q9-1)," ",(R9/Q9-1))</f>
        <v>0.19784065381400118</v>
      </c>
      <c r="S10" s="61">
        <f t="shared" ref="S10" si="16">IF(ISERROR(S9/R9-1)," ",(S9/R9-1))</f>
        <v>0.2079308816252301</v>
      </c>
      <c r="T10" s="61">
        <f t="shared" si="11"/>
        <v>0.19182022774044816</v>
      </c>
      <c r="U10" s="187"/>
      <c r="V10" s="61" t="str">
        <f>IF(ISERROR(V9/#REF!-1),"",V9/#REF!-1)</f>
        <v/>
      </c>
      <c r="W10" s="61">
        <f t="shared" ref="W10:BB10" si="17">W9/V9-1</f>
        <v>7.9131355298649009E-2</v>
      </c>
      <c r="X10" s="61">
        <f t="shared" si="17"/>
        <v>-1.3016763285559674E-2</v>
      </c>
      <c r="Y10" s="61">
        <f t="shared" si="17"/>
        <v>-7.9473136473900086E-2</v>
      </c>
      <c r="Z10" s="61">
        <f t="shared" si="17"/>
        <v>-8.2786190237028712E-2</v>
      </c>
      <c r="AA10" s="61">
        <f t="shared" si="17"/>
        <v>0.13359182234755007</v>
      </c>
      <c r="AB10" s="61">
        <f t="shared" si="17"/>
        <v>2.0146906974561007E-2</v>
      </c>
      <c r="AC10" s="61">
        <f t="shared" si="17"/>
        <v>-6.8538817512259209E-2</v>
      </c>
      <c r="AD10" s="61">
        <f t="shared" si="17"/>
        <v>4.9198074473186582E-2</v>
      </c>
      <c r="AE10" s="61">
        <f t="shared" si="17"/>
        <v>7.2218800387604531E-2</v>
      </c>
      <c r="AF10" s="61">
        <f t="shared" si="17"/>
        <v>4.2514383981412829E-2</v>
      </c>
      <c r="AG10" s="61">
        <f t="shared" si="17"/>
        <v>7.070933958522696E-2</v>
      </c>
      <c r="AH10" s="61">
        <f t="shared" si="17"/>
        <v>3.9603506034601388E-2</v>
      </c>
      <c r="AI10" s="61">
        <f t="shared" si="17"/>
        <v>8.8141167122803843E-2</v>
      </c>
      <c r="AJ10" s="61">
        <f t="shared" si="17"/>
        <v>0.12260420937641725</v>
      </c>
      <c r="AK10" s="61">
        <f t="shared" si="17"/>
        <v>5.1567732901419028E-2</v>
      </c>
      <c r="AL10" s="61">
        <f>AL9/AK9-1</f>
        <v>-2.6653100998770274E-2</v>
      </c>
      <c r="AM10" s="61">
        <f t="shared" si="17"/>
        <v>-5.2821576501888234E-2</v>
      </c>
      <c r="AN10" s="61">
        <f t="shared" si="17"/>
        <v>2.4667429009588737E-2</v>
      </c>
      <c r="AO10" s="569">
        <f t="shared" si="17"/>
        <v>2.2671792320094308E-2</v>
      </c>
      <c r="AP10" s="61">
        <f t="shared" si="17"/>
        <v>5.5731007375751762E-2</v>
      </c>
      <c r="AQ10" s="61">
        <f t="shared" si="17"/>
        <v>7.1800049094873364E-2</v>
      </c>
      <c r="AR10" s="61">
        <f t="shared" si="17"/>
        <v>-4.4965100992126472E-2</v>
      </c>
      <c r="AS10" s="569">
        <f t="shared" si="17"/>
        <v>-7.4173996252330565E-2</v>
      </c>
      <c r="AT10" s="61">
        <f t="shared" si="17"/>
        <v>-0.15067454749766696</v>
      </c>
      <c r="AU10" s="61">
        <f t="shared" si="17"/>
        <v>0.18236385463276217</v>
      </c>
      <c r="AV10" s="61">
        <f t="shared" si="17"/>
        <v>3.2330992486869103E-2</v>
      </c>
      <c r="AW10" s="569">
        <f t="shared" si="17"/>
        <v>2.8154747615291464E-2</v>
      </c>
      <c r="AX10" s="61">
        <f t="shared" si="17"/>
        <v>7.7996137896857443E-2</v>
      </c>
      <c r="AY10" s="61">
        <f t="shared" si="17"/>
        <v>3.7076533408773482E-2</v>
      </c>
      <c r="AZ10" s="61">
        <f t="shared" si="17"/>
        <v>0.15348713801183433</v>
      </c>
      <c r="BA10" s="569">
        <f t="shared" si="17"/>
        <v>-9.3680860596486948E-2</v>
      </c>
      <c r="BB10" s="61">
        <f t="shared" si="17"/>
        <v>0.12491552805793504</v>
      </c>
      <c r="BC10" s="61">
        <f t="shared" ref="BC10:CG10" si="18">BC9/BB9-1</f>
        <v>0.21787089917174773</v>
      </c>
      <c r="BD10" s="61">
        <f t="shared" si="18"/>
        <v>5.2972170266839758E-2</v>
      </c>
      <c r="BE10" s="569">
        <f t="shared" si="18"/>
        <v>0.11641119704487113</v>
      </c>
      <c r="BF10" s="61">
        <f t="shared" si="18"/>
        <v>0.16571216644441766</v>
      </c>
      <c r="BG10" s="61">
        <f t="shared" si="18"/>
        <v>3.3264672125540296E-2</v>
      </c>
      <c r="BH10" s="61">
        <f t="shared" si="18"/>
        <v>1.9924714843282398E-3</v>
      </c>
      <c r="BI10" s="569">
        <f t="shared" si="18"/>
        <v>-0.14981258088807503</v>
      </c>
      <c r="BJ10" s="61">
        <f t="shared" si="18"/>
        <v>-9.8060162711948062E-2</v>
      </c>
      <c r="BK10" s="61">
        <f t="shared" si="18"/>
        <v>6.7092118652413157E-2</v>
      </c>
      <c r="BL10" s="61">
        <f t="shared" si="18"/>
        <v>3.8567773821517104E-2</v>
      </c>
      <c r="BM10" s="573">
        <f t="shared" si="18"/>
        <v>3.5618177969945153E-2</v>
      </c>
      <c r="BN10" s="61">
        <f t="shared" si="18"/>
        <v>4.2827291203772377E-2</v>
      </c>
      <c r="BO10" s="61">
        <f t="shared" si="18"/>
        <v>8.6334174391604179E-2</v>
      </c>
      <c r="BP10" s="61">
        <f t="shared" si="18"/>
        <v>0.14196360759826554</v>
      </c>
      <c r="BQ10" s="569">
        <f t="shared" si="18"/>
        <v>1.6623618037682419E-2</v>
      </c>
      <c r="BR10" s="61">
        <f t="shared" si="18"/>
        <v>1.808559943206145E-2</v>
      </c>
      <c r="BS10" s="61">
        <f t="shared" si="18"/>
        <v>-1.696999956835199E-2</v>
      </c>
      <c r="BT10" s="61">
        <f t="shared" si="18"/>
        <v>7.8203186323994034E-2</v>
      </c>
      <c r="BU10" s="569">
        <f t="shared" si="18"/>
        <v>4.4876569281835366E-2</v>
      </c>
      <c r="BV10" s="61">
        <f t="shared" si="18"/>
        <v>6.7412434554448009E-3</v>
      </c>
      <c r="BW10" s="61">
        <f t="shared" si="18"/>
        <v>0.15235285114677222</v>
      </c>
      <c r="BX10" s="61">
        <f t="shared" si="18"/>
        <v>4.6682504319690787E-2</v>
      </c>
      <c r="BY10" s="569">
        <f t="shared" si="18"/>
        <v>4.693103478411742E-2</v>
      </c>
      <c r="BZ10" s="61">
        <f t="shared" si="18"/>
        <v>-1.9592555820286295E-2</v>
      </c>
      <c r="CA10" s="61">
        <f t="shared" si="18"/>
        <v>5.38934264115698E-2</v>
      </c>
      <c r="CB10" s="61">
        <f t="shared" si="18"/>
        <v>0.12170774136430929</v>
      </c>
      <c r="CC10" s="569">
        <f t="shared" si="18"/>
        <v>4.4905130785128256E-2</v>
      </c>
      <c r="CD10" s="61">
        <f t="shared" si="18"/>
        <v>6.2067721983238844E-3</v>
      </c>
      <c r="CE10" s="61">
        <f t="shared" si="18"/>
        <v>3.6016965032847903E-2</v>
      </c>
      <c r="CF10" s="61">
        <f t="shared" si="18"/>
        <v>8.4492264578398091E-2</v>
      </c>
      <c r="CG10" s="569">
        <f t="shared" si="18"/>
        <v>5.5479280478883064E-2</v>
      </c>
    </row>
    <row r="11" spans="1:85" ht="12.75" customHeight="1">
      <c r="A11" s="17"/>
      <c r="B11" s="5"/>
      <c r="C11" s="62"/>
      <c r="D11" s="62"/>
      <c r="E11" s="62"/>
      <c r="F11" s="62"/>
      <c r="G11" s="62"/>
      <c r="H11" s="62"/>
      <c r="I11" s="62"/>
      <c r="J11" s="779"/>
      <c r="K11" s="62"/>
      <c r="L11" s="62"/>
      <c r="M11" s="62"/>
      <c r="N11" s="62"/>
      <c r="O11" s="62"/>
      <c r="P11" s="62"/>
      <c r="Q11" s="62"/>
      <c r="R11" s="62"/>
      <c r="S11" s="62"/>
      <c r="T11" s="62"/>
      <c r="U11" s="187"/>
      <c r="V11" s="841"/>
      <c r="W11" s="841"/>
      <c r="X11" s="841"/>
      <c r="Y11" s="841"/>
      <c r="Z11" s="841"/>
      <c r="AA11" s="841"/>
      <c r="AB11" s="841"/>
      <c r="AC11" s="841"/>
      <c r="AD11" s="841"/>
      <c r="AE11" s="841"/>
      <c r="AF11" s="841"/>
      <c r="AG11" s="841"/>
      <c r="AH11" s="841"/>
      <c r="AI11" s="841"/>
      <c r="AJ11" s="841"/>
      <c r="AK11" s="841"/>
      <c r="AL11" s="567">
        <f>AL9/AK9-1</f>
        <v>-2.6653100998770274E-2</v>
      </c>
      <c r="AM11" s="841"/>
      <c r="AN11" s="841"/>
      <c r="AO11" s="842"/>
      <c r="AP11" s="567">
        <f>AP9/AO9-1</f>
        <v>5.5731007375751762E-2</v>
      </c>
      <c r="AQ11" s="841"/>
      <c r="AR11" s="841"/>
      <c r="AS11" s="567">
        <f>AS9/AR9-1</f>
        <v>-7.4173996252330565E-2</v>
      </c>
      <c r="AT11" s="567">
        <f>AT9/AS9-1</f>
        <v>-0.15067454749766696</v>
      </c>
      <c r="AW11" s="567">
        <f>AW9/AV9-1</f>
        <v>2.8154747615291464E-2</v>
      </c>
      <c r="AX11" s="567">
        <f>AX9/AW9-1</f>
        <v>7.7996137896857443E-2</v>
      </c>
      <c r="BA11" s="567">
        <f>BA9/AZ9-1</f>
        <v>-9.3680860596486948E-2</v>
      </c>
      <c r="BB11" s="567">
        <f>BB9/BA9-1</f>
        <v>0.12491552805793504</v>
      </c>
      <c r="BE11" s="567">
        <f>BE9/BD9-1</f>
        <v>0.11641119704487113</v>
      </c>
      <c r="BF11" s="567">
        <f>BF9/BE9-1</f>
        <v>0.16571216644441766</v>
      </c>
      <c r="BI11" s="567">
        <f>BI9/BH9-1</f>
        <v>-0.14981258088807503</v>
      </c>
      <c r="BJ11" s="567">
        <f>BJ9/BI9-1</f>
        <v>-9.8060162711948062E-2</v>
      </c>
    </row>
    <row r="12" spans="1:85" ht="12.75" customHeight="1">
      <c r="A12" s="28"/>
      <c r="B12" s="23" t="s">
        <v>149</v>
      </c>
      <c r="C12" s="44"/>
      <c r="D12" s="44">
        <f ca="1">+'Raw Data'!U15</f>
        <v>-1630.528</v>
      </c>
      <c r="E12" s="44">
        <f ca="1">+'Raw Data'!V15</f>
        <v>-1486.5140000000001</v>
      </c>
      <c r="F12" s="44">
        <f ca="1">+'Raw Data'!W15</f>
        <v>-1553.7949999999998</v>
      </c>
      <c r="G12" s="44">
        <f ca="1">+'Raw Data'!X15</f>
        <v>-2064.4989999999998</v>
      </c>
      <c r="H12" s="44">
        <f ca="1">+'Raw Data'!Y15</f>
        <v>-2360.431</v>
      </c>
      <c r="I12" s="44">
        <f ca="1">+'Raw Data'!Z15</f>
        <v>-2613.3070000000002</v>
      </c>
      <c r="J12" s="21">
        <f>SUMIF($AL$4:$VI$4,J$4,$AL12:$VI12)</f>
        <v>-2473.2129999999997</v>
      </c>
      <c r="K12" s="21">
        <f>SUMIF($AL$4:$VI$4,K$4,$AL12:$VI12)</f>
        <v>-2986.0620000000004</v>
      </c>
      <c r="L12" s="21">
        <f>SUMIF($AL$4:$VI$4,L$4,$AL12:$VI12)</f>
        <v>-3767.3419999999996</v>
      </c>
      <c r="M12" s="21">
        <f>SUMIF($AL$4:$VI$4,M$4,$AL12:$VI12)</f>
        <v>-4511.6359999999995</v>
      </c>
      <c r="N12" s="21">
        <f>SUMIF($AL$4:$VI$4,N$4,$AL12:$VI12)</f>
        <v>-5103.8159999999998</v>
      </c>
      <c r="O12" s="21">
        <f>SUMIF($AL$4:$VI$4,O$4,$AL12:$VI12)</f>
        <v>-6581.9529999999995</v>
      </c>
      <c r="P12" s="21">
        <f>SUMIF($AL$4:$VI$4,P$4,$AL12:$VI12)</f>
        <v>-7370.2000000000007</v>
      </c>
      <c r="Q12" s="21">
        <f>SUMIF($AL$4:$VI$4,Q$4,$AL12:$VI12)</f>
        <v>-9021.0822532631046</v>
      </c>
      <c r="R12" s="21">
        <f>SUMIF($AL$4:$VI$4,R$4,$AL12:$VI12)</f>
        <v>-10488.392698314585</v>
      </c>
      <c r="S12" s="21">
        <f>SUMIF($AL$4:$VI$4,S$4,$AL12:$VI12)</f>
        <v>-12303.608280510494</v>
      </c>
      <c r="T12" s="510">
        <f>-'10y capex'!N100</f>
        <v>-14184.496650686286</v>
      </c>
      <c r="U12" s="187"/>
      <c r="V12" s="21">
        <f>+'Raw Data'!DW15</f>
        <v>-399.471</v>
      </c>
      <c r="W12" s="21">
        <f>+'Raw Data'!DX15</f>
        <v>-409.92500000000001</v>
      </c>
      <c r="X12" s="21">
        <f>+'Raw Data'!DY15</f>
        <v>-422.274</v>
      </c>
      <c r="Y12" s="21">
        <f>+'Raw Data'!DZ15</f>
        <v>-398.858</v>
      </c>
      <c r="Z12" s="21">
        <f>+'Raw Data'!EA15</f>
        <v>-354.96499999999997</v>
      </c>
      <c r="AA12" s="21">
        <f>+'Raw Data'!EB15</f>
        <v>-368.291</v>
      </c>
      <c r="AB12" s="21">
        <f>+'Raw Data'!EC15</f>
        <v>-386.70400000000001</v>
      </c>
      <c r="AC12" s="21">
        <f>+'Raw Data'!ED15</f>
        <v>-376.55399999999997</v>
      </c>
      <c r="AD12" s="21">
        <f>+'Raw Data'!EE15</f>
        <v>-359.87099999999998</v>
      </c>
      <c r="AE12" s="21">
        <f>+'Raw Data'!EF15</f>
        <v>-370.21</v>
      </c>
      <c r="AF12" s="21">
        <f>+'Raw Data'!EG15</f>
        <v>-387.50299999999999</v>
      </c>
      <c r="AG12" s="21">
        <f>+'Raw Data'!EH15</f>
        <v>-436.21100000000001</v>
      </c>
      <c r="AH12" s="21">
        <f>+'Raw Data'!EI15</f>
        <v>-480.56</v>
      </c>
      <c r="AI12" s="21">
        <f>+'Raw Data'!EJ15</f>
        <v>-472.40699999999998</v>
      </c>
      <c r="AJ12" s="21">
        <f>+'Raw Data'!EK15</f>
        <v>-542.74199999999996</v>
      </c>
      <c r="AK12" s="21">
        <f>+'Raw Data'!EL15</f>
        <v>-568.79</v>
      </c>
      <c r="AL12" s="21">
        <f>+'Raw Data'!EM15</f>
        <v>-572.26599999999996</v>
      </c>
      <c r="AM12" s="21">
        <f>+'Raw Data'!EN15</f>
        <v>-557.06100000000004</v>
      </c>
      <c r="AN12" s="21">
        <f>+'Raw Data'!EO15</f>
        <v>-592.42600000000004</v>
      </c>
      <c r="AO12" s="575">
        <f>+'Raw Data'!EP15</f>
        <v>-638.678</v>
      </c>
      <c r="AP12" s="21">
        <f>+'Raw Data'!EQ15</f>
        <v>-610.86800000000005</v>
      </c>
      <c r="AQ12" s="21">
        <f>+'Raw Data'!ER15</f>
        <v>-672.88</v>
      </c>
      <c r="AR12" s="21">
        <f>+'Raw Data'!ES15</f>
        <v>-676.11900000000003</v>
      </c>
      <c r="AS12" s="575">
        <f>+'Raw Data'!ET15</f>
        <v>-653.44000000000005</v>
      </c>
      <c r="AT12" s="21">
        <v>-546.82899999999995</v>
      </c>
      <c r="AU12" s="21">
        <v>-639.72400000000005</v>
      </c>
      <c r="AV12" s="21">
        <v>-646.63699999999994</v>
      </c>
      <c r="AW12" s="575">
        <v>-640.02300000000002</v>
      </c>
      <c r="AX12" s="21">
        <v>-671.327</v>
      </c>
      <c r="AY12" s="21">
        <v>-689.87400000000002</v>
      </c>
      <c r="AZ12" s="21">
        <v>-820.52800000000002</v>
      </c>
      <c r="BA12" s="575">
        <v>-804.33299999999997</v>
      </c>
      <c r="BB12" s="21">
        <v>-853.53499999999997</v>
      </c>
      <c r="BC12" s="21">
        <v>-939.09</v>
      </c>
      <c r="BD12" s="21">
        <v>-947.44100000000003</v>
      </c>
      <c r="BE12" s="575">
        <v>-1027.2760000000001</v>
      </c>
      <c r="BF12" s="21">
        <v>-1091.6389999999999</v>
      </c>
      <c r="BG12" s="21">
        <v>-1152.6759999999999</v>
      </c>
      <c r="BH12" s="21">
        <v>-1164.74</v>
      </c>
      <c r="BI12" s="575">
        <v>-1102.5809999999999</v>
      </c>
      <c r="BJ12" s="21">
        <v>-1157.6189999999999</v>
      </c>
      <c r="BK12" s="21">
        <v>-1243.896</v>
      </c>
      <c r="BL12" s="102">
        <v>-1298.9570000000001</v>
      </c>
      <c r="BM12" s="598">
        <v>-1403.3440000000001</v>
      </c>
      <c r="BN12" s="102">
        <v>-1510.472</v>
      </c>
      <c r="BO12" s="102">
        <v>-1636.183</v>
      </c>
      <c r="BP12" s="102">
        <v>-1727.028</v>
      </c>
      <c r="BQ12" s="598">
        <v>-1708.27</v>
      </c>
      <c r="BR12" s="102">
        <v>-1741.3330000000001</v>
      </c>
      <c r="BS12" s="102">
        <v>-1759.2670000000001</v>
      </c>
      <c r="BT12" s="102">
        <v>-1859.011</v>
      </c>
      <c r="BU12" s="598">
        <v>-2010.5889999999999</v>
      </c>
      <c r="BV12" s="102">
        <v>-2001.884</v>
      </c>
      <c r="BW12" s="21">
        <f t="shared" ref="BW12:CG12" si="19">BW16-BW9</f>
        <v>-2280.318680989677</v>
      </c>
      <c r="BX12" s="21">
        <f t="shared" si="19"/>
        <v>-2352.5313605355732</v>
      </c>
      <c r="BY12" s="575">
        <f t="shared" si="19"/>
        <v>-2386.3482117378549</v>
      </c>
      <c r="BZ12" s="21">
        <f t="shared" si="19"/>
        <v>-2381.6563418383494</v>
      </c>
      <c r="CA12" s="21">
        <f t="shared" si="19"/>
        <v>-2523.2885134176377</v>
      </c>
      <c r="CB12" s="21">
        <f t="shared" si="19"/>
        <v>-2728.6560128310011</v>
      </c>
      <c r="CC12" s="575">
        <f t="shared" si="19"/>
        <v>-2854.7918302275971</v>
      </c>
      <c r="CD12" s="21">
        <f t="shared" si="19"/>
        <v>-2892.1019741055147</v>
      </c>
      <c r="CE12" s="21">
        <f t="shared" si="19"/>
        <v>-2978.0461972336866</v>
      </c>
      <c r="CF12" s="21">
        <f t="shared" si="19"/>
        <v>-3149.0299900754721</v>
      </c>
      <c r="CG12" s="575">
        <f t="shared" si="19"/>
        <v>-3284.4301190958213</v>
      </c>
    </row>
    <row r="13" spans="1:85" ht="12.75" customHeight="1">
      <c r="A13" s="28"/>
      <c r="B13" s="24" t="s">
        <v>136</v>
      </c>
      <c r="C13" s="44"/>
      <c r="D13" s="44">
        <f>+'Raw Data'!U16</f>
        <v>0</v>
      </c>
      <c r="E13" s="44">
        <f>+'Raw Data'!V16</f>
        <v>0</v>
      </c>
      <c r="F13" s="44">
        <f>+'Raw Data'!W16</f>
        <v>0</v>
      </c>
      <c r="G13" s="44">
        <f>+'Raw Data'!X16</f>
        <v>0</v>
      </c>
      <c r="H13" s="44">
        <f>+'Raw Data'!Y16</f>
        <v>0</v>
      </c>
      <c r="I13" s="44">
        <f>+'Raw Data'!Z16</f>
        <v>0</v>
      </c>
      <c r="J13" s="21">
        <f>SUMIF($AL$4:$VI$4,J$4,$AL13:$VI13)</f>
        <v>0</v>
      </c>
      <c r="K13" s="21">
        <f>SUMIF($AL$4:$VI$4,K$4,$AL13:$VI13)</f>
        <v>0</v>
      </c>
      <c r="L13" s="21">
        <f>SUMIF($AL$4:$VI$4,L$4,$AL13:$VI13)</f>
        <v>0</v>
      </c>
      <c r="M13" s="21">
        <f>SUMIF($AL$4:$VI$4,M$4,$AL13:$VI13)</f>
        <v>0</v>
      </c>
      <c r="N13" s="21">
        <f>SUMIF($AL$4:$VI$4,N$4,$AL13:$VI13)</f>
        <v>0</v>
      </c>
      <c r="O13" s="21">
        <f>SUMIF($AL$4:$VI$4,O$4,$AL13:$VI13)</f>
        <v>0</v>
      </c>
      <c r="P13" s="21">
        <f>SUMIF($AL$4:$VI$4,P$4,$AL13:$VI13)</f>
        <v>0</v>
      </c>
      <c r="Q13" s="21">
        <f>SUMIF($AL$4:$VI$4,Q$4,$AL13:$VI13)</f>
        <v>0</v>
      </c>
      <c r="R13" s="21">
        <f>SUMIF($AL$4:$VI$4,R$4,$AL13:$VI13)</f>
        <v>0</v>
      </c>
      <c r="S13" s="21">
        <f>SUMIF($AL$4:$VI$4,S$4,$AL13:$VI13)</f>
        <v>0</v>
      </c>
      <c r="T13" s="21">
        <f>SUMIF($AL$4:$VI$4,T$4,$AL13:$VI13)</f>
        <v>0</v>
      </c>
      <c r="U13" s="187"/>
      <c r="V13" s="21">
        <f>+'Raw Data'!DW16</f>
        <v>0</v>
      </c>
      <c r="W13" s="21">
        <f>+'Raw Data'!DX16</f>
        <v>0</v>
      </c>
      <c r="X13" s="21">
        <f>+'Raw Data'!DY16</f>
        <v>0</v>
      </c>
      <c r="Y13" s="21">
        <f>+'Raw Data'!DZ16</f>
        <v>0</v>
      </c>
      <c r="Z13" s="21">
        <f>+'Raw Data'!EA16</f>
        <v>0</v>
      </c>
      <c r="AA13" s="21">
        <f>+'Raw Data'!EB16</f>
        <v>0</v>
      </c>
      <c r="AB13" s="21">
        <f>+'Raw Data'!EC16</f>
        <v>0</v>
      </c>
      <c r="AC13" s="21">
        <f>+'Raw Data'!ED16</f>
        <v>0</v>
      </c>
      <c r="AD13" s="21">
        <f>+'Raw Data'!EE16</f>
        <v>0</v>
      </c>
      <c r="AE13" s="21">
        <f>+'Raw Data'!EF16</f>
        <v>0</v>
      </c>
      <c r="AF13" s="21">
        <f>+'Raw Data'!EG16</f>
        <v>0</v>
      </c>
      <c r="AG13" s="21">
        <f>+'Raw Data'!EH16</f>
        <v>0</v>
      </c>
      <c r="AH13" s="21">
        <f>+'Raw Data'!EI16</f>
        <v>0</v>
      </c>
      <c r="AI13" s="21">
        <f>+'Raw Data'!EJ16</f>
        <v>0</v>
      </c>
      <c r="AJ13" s="21">
        <f>+'Raw Data'!EK16</f>
        <v>0</v>
      </c>
      <c r="AK13" s="21">
        <f>+'Raw Data'!EL16</f>
        <v>0</v>
      </c>
      <c r="AL13" s="21">
        <f>+'Raw Data'!EM16</f>
        <v>0</v>
      </c>
      <c r="AM13" s="21">
        <f>+'Raw Data'!EN16</f>
        <v>0</v>
      </c>
      <c r="AN13" s="21">
        <f>+'Raw Data'!EO16</f>
        <v>0</v>
      </c>
      <c r="AO13" s="575">
        <f>+'Raw Data'!EP16</f>
        <v>0</v>
      </c>
      <c r="AP13" s="21">
        <f>+'Raw Data'!EQ16</f>
        <v>0</v>
      </c>
      <c r="AQ13" s="21">
        <f>+'Raw Data'!ER16</f>
        <v>0</v>
      </c>
      <c r="AR13" s="21">
        <f>+'Raw Data'!ES16</f>
        <v>0</v>
      </c>
      <c r="AS13" s="575">
        <f>+'Raw Data'!ET16</f>
        <v>0</v>
      </c>
      <c r="AT13" s="21"/>
      <c r="AU13" s="21"/>
      <c r="AV13" s="21"/>
      <c r="AW13" s="575"/>
      <c r="AX13" s="21"/>
      <c r="AY13" s="21"/>
      <c r="AZ13" s="21"/>
      <c r="BA13" s="575"/>
      <c r="BB13" s="44"/>
      <c r="BC13" s="44"/>
      <c r="BD13" s="44"/>
      <c r="BE13" s="570"/>
      <c r="BF13" s="44"/>
      <c r="BG13" s="44"/>
      <c r="BH13" s="44"/>
      <c r="BI13" s="570"/>
      <c r="BJ13" s="44"/>
      <c r="BK13" s="44"/>
      <c r="BL13" s="44"/>
      <c r="BM13" s="570"/>
      <c r="BN13" s="44"/>
      <c r="BO13" s="44"/>
      <c r="BP13" s="44"/>
      <c r="BQ13" s="570"/>
      <c r="BR13" s="44"/>
      <c r="BS13" s="44"/>
      <c r="BT13" s="44"/>
      <c r="BU13" s="570"/>
      <c r="BV13" s="44"/>
      <c r="BW13" s="44"/>
      <c r="BX13" s="44"/>
      <c r="BY13" s="570"/>
      <c r="BZ13" s="44"/>
      <c r="CA13" s="44"/>
      <c r="CB13" s="44"/>
      <c r="CC13" s="570"/>
      <c r="CD13" s="44"/>
      <c r="CE13" s="44"/>
      <c r="CF13" s="44"/>
      <c r="CG13" s="570"/>
    </row>
    <row r="14" spans="1:85" ht="12.75" customHeight="1">
      <c r="A14" s="28"/>
      <c r="B14" s="20" t="s">
        <v>142</v>
      </c>
      <c r="C14" s="20"/>
      <c r="D14" s="20">
        <f t="shared" ref="D14:T14" ca="1" si="20">D12+D13</f>
        <v>-1630.528</v>
      </c>
      <c r="E14" s="20">
        <f t="shared" ca="1" si="20"/>
        <v>-1486.5140000000001</v>
      </c>
      <c r="F14" s="20">
        <f t="shared" ca="1" si="20"/>
        <v>-1553.7949999999998</v>
      </c>
      <c r="G14" s="20">
        <f t="shared" ca="1" si="20"/>
        <v>-2064.4989999999998</v>
      </c>
      <c r="H14" s="20">
        <f t="shared" ca="1" si="20"/>
        <v>-2360.431</v>
      </c>
      <c r="I14" s="20">
        <f t="shared" ca="1" si="20"/>
        <v>-2613.3070000000002</v>
      </c>
      <c r="J14" s="20">
        <f t="shared" si="20"/>
        <v>-2473.2129999999997</v>
      </c>
      <c r="K14" s="20">
        <f t="shared" si="20"/>
        <v>-2986.0620000000004</v>
      </c>
      <c r="L14" s="20">
        <f t="shared" si="20"/>
        <v>-3767.3419999999996</v>
      </c>
      <c r="M14" s="20">
        <f t="shared" si="20"/>
        <v>-4511.6359999999995</v>
      </c>
      <c r="N14" s="20">
        <f t="shared" si="20"/>
        <v>-5103.8159999999998</v>
      </c>
      <c r="O14" s="20">
        <f t="shared" si="20"/>
        <v>-6581.9529999999995</v>
      </c>
      <c r="P14" s="20">
        <f>P12+P13</f>
        <v>-7370.2000000000007</v>
      </c>
      <c r="Q14" s="20">
        <f t="shared" ref="Q14:S14" si="21">Q12+Q13</f>
        <v>-9021.0822532631046</v>
      </c>
      <c r="R14" s="20">
        <f t="shared" si="21"/>
        <v>-10488.392698314585</v>
      </c>
      <c r="S14" s="20">
        <f t="shared" si="21"/>
        <v>-12303.608280510494</v>
      </c>
      <c r="T14" s="20">
        <f t="shared" si="20"/>
        <v>-14184.496650686286</v>
      </c>
      <c r="U14" s="187"/>
      <c r="V14" s="20">
        <f t="shared" ref="V14:AR14" si="22">V12+V13</f>
        <v>-399.471</v>
      </c>
      <c r="W14" s="20">
        <f t="shared" si="22"/>
        <v>-409.92500000000001</v>
      </c>
      <c r="X14" s="20">
        <f t="shared" si="22"/>
        <v>-422.274</v>
      </c>
      <c r="Y14" s="20">
        <f t="shared" si="22"/>
        <v>-398.858</v>
      </c>
      <c r="Z14" s="20">
        <f t="shared" si="22"/>
        <v>-354.96499999999997</v>
      </c>
      <c r="AA14" s="20">
        <f t="shared" si="22"/>
        <v>-368.291</v>
      </c>
      <c r="AB14" s="20">
        <f t="shared" si="22"/>
        <v>-386.70400000000001</v>
      </c>
      <c r="AC14" s="20">
        <f t="shared" si="22"/>
        <v>-376.55399999999997</v>
      </c>
      <c r="AD14" s="20">
        <f t="shared" si="22"/>
        <v>-359.87099999999998</v>
      </c>
      <c r="AE14" s="20">
        <f t="shared" si="22"/>
        <v>-370.21</v>
      </c>
      <c r="AF14" s="20">
        <f t="shared" si="22"/>
        <v>-387.50299999999999</v>
      </c>
      <c r="AG14" s="20">
        <f t="shared" si="22"/>
        <v>-436.21100000000001</v>
      </c>
      <c r="AH14" s="20">
        <f t="shared" si="22"/>
        <v>-480.56</v>
      </c>
      <c r="AI14" s="20">
        <f t="shared" si="22"/>
        <v>-472.40699999999998</v>
      </c>
      <c r="AJ14" s="20">
        <f t="shared" si="22"/>
        <v>-542.74199999999996</v>
      </c>
      <c r="AK14" s="20">
        <f t="shared" si="22"/>
        <v>-568.79</v>
      </c>
      <c r="AL14" s="20">
        <f t="shared" si="22"/>
        <v>-572.26599999999996</v>
      </c>
      <c r="AM14" s="20">
        <f t="shared" si="22"/>
        <v>-557.06100000000004</v>
      </c>
      <c r="AN14" s="20">
        <f t="shared" si="22"/>
        <v>-592.42600000000004</v>
      </c>
      <c r="AO14" s="571">
        <f t="shared" si="22"/>
        <v>-638.678</v>
      </c>
      <c r="AP14" s="20">
        <f t="shared" si="22"/>
        <v>-610.86800000000005</v>
      </c>
      <c r="AQ14" s="20">
        <f t="shared" si="22"/>
        <v>-672.88</v>
      </c>
      <c r="AR14" s="20">
        <f t="shared" si="22"/>
        <v>-676.11900000000003</v>
      </c>
      <c r="AS14" s="571">
        <f>AS12+AS13</f>
        <v>-653.44000000000005</v>
      </c>
      <c r="AT14" s="27">
        <f>AT12+AT13</f>
        <v>-546.82899999999995</v>
      </c>
      <c r="AU14" s="27">
        <f>AU12+AU13</f>
        <v>-639.72400000000005</v>
      </c>
      <c r="AV14" s="27">
        <f>AV12+AV13</f>
        <v>-646.63699999999994</v>
      </c>
      <c r="AW14" s="611">
        <f>AW12+AW13</f>
        <v>-640.02300000000002</v>
      </c>
      <c r="AX14" s="27">
        <f t="shared" ref="AX14:BE14" si="23">AX12+AX13</f>
        <v>-671.327</v>
      </c>
      <c r="AY14" s="27">
        <f t="shared" si="23"/>
        <v>-689.87400000000002</v>
      </c>
      <c r="AZ14" s="27">
        <f t="shared" si="23"/>
        <v>-820.52800000000002</v>
      </c>
      <c r="BA14" s="611">
        <f t="shared" si="23"/>
        <v>-804.33299999999997</v>
      </c>
      <c r="BB14" s="27">
        <f t="shared" si="23"/>
        <v>-853.53499999999997</v>
      </c>
      <c r="BC14" s="27">
        <f>BC12+BC13</f>
        <v>-939.09</v>
      </c>
      <c r="BD14" s="27">
        <f t="shared" si="23"/>
        <v>-947.44100000000003</v>
      </c>
      <c r="BE14" s="611">
        <f t="shared" si="23"/>
        <v>-1027.2760000000001</v>
      </c>
      <c r="BF14" s="27">
        <f t="shared" ref="BF14:CG14" si="24">BF12+BF13</f>
        <v>-1091.6389999999999</v>
      </c>
      <c r="BG14" s="27">
        <f t="shared" si="24"/>
        <v>-1152.6759999999999</v>
      </c>
      <c r="BH14" s="27">
        <f t="shared" si="24"/>
        <v>-1164.74</v>
      </c>
      <c r="BI14" s="611">
        <f t="shared" si="24"/>
        <v>-1102.5809999999999</v>
      </c>
      <c r="BJ14" s="27">
        <f>BJ12+BJ13</f>
        <v>-1157.6189999999999</v>
      </c>
      <c r="BK14" s="27">
        <f>BK12+BK13</f>
        <v>-1243.896</v>
      </c>
      <c r="BL14" s="27">
        <f t="shared" si="24"/>
        <v>-1298.9570000000001</v>
      </c>
      <c r="BM14" s="611">
        <f t="shared" si="24"/>
        <v>-1403.3440000000001</v>
      </c>
      <c r="BN14" s="27">
        <f t="shared" si="24"/>
        <v>-1510.472</v>
      </c>
      <c r="BO14" s="27">
        <f t="shared" si="24"/>
        <v>-1636.183</v>
      </c>
      <c r="BP14" s="27">
        <f t="shared" si="24"/>
        <v>-1727.028</v>
      </c>
      <c r="BQ14" s="611">
        <f t="shared" si="24"/>
        <v>-1708.27</v>
      </c>
      <c r="BR14" s="27">
        <f t="shared" si="24"/>
        <v>-1741.3330000000001</v>
      </c>
      <c r="BS14" s="27">
        <f t="shared" si="24"/>
        <v>-1759.2670000000001</v>
      </c>
      <c r="BT14" s="27">
        <f t="shared" si="24"/>
        <v>-1859.011</v>
      </c>
      <c r="BU14" s="611">
        <f t="shared" si="24"/>
        <v>-2010.5889999999999</v>
      </c>
      <c r="BV14" s="27">
        <f t="shared" si="24"/>
        <v>-2001.884</v>
      </c>
      <c r="BW14" s="27">
        <f t="shared" si="24"/>
        <v>-2280.318680989677</v>
      </c>
      <c r="BX14" s="27">
        <f t="shared" si="24"/>
        <v>-2352.5313605355732</v>
      </c>
      <c r="BY14" s="611">
        <f t="shared" si="24"/>
        <v>-2386.3482117378549</v>
      </c>
      <c r="BZ14" s="27">
        <f t="shared" si="24"/>
        <v>-2381.6563418383494</v>
      </c>
      <c r="CA14" s="27">
        <f t="shared" si="24"/>
        <v>-2523.2885134176377</v>
      </c>
      <c r="CB14" s="27">
        <f t="shared" si="24"/>
        <v>-2728.6560128310011</v>
      </c>
      <c r="CC14" s="611">
        <f t="shared" si="24"/>
        <v>-2854.7918302275971</v>
      </c>
      <c r="CD14" s="27">
        <f t="shared" si="24"/>
        <v>-2892.1019741055147</v>
      </c>
      <c r="CE14" s="27">
        <f t="shared" si="24"/>
        <v>-2978.0461972336866</v>
      </c>
      <c r="CF14" s="27">
        <f t="shared" si="24"/>
        <v>-3149.0299900754721</v>
      </c>
      <c r="CG14" s="611">
        <f t="shared" si="24"/>
        <v>-3284.4301190958213</v>
      </c>
    </row>
    <row r="15" spans="1:85" ht="12.75" customHeight="1">
      <c r="A15" s="28"/>
      <c r="B15" s="26"/>
      <c r="C15" s="21"/>
      <c r="D15" s="21"/>
      <c r="E15" s="21"/>
      <c r="F15" s="21"/>
      <c r="G15" s="21"/>
      <c r="H15" s="21"/>
      <c r="I15" s="21"/>
      <c r="J15" s="21"/>
      <c r="K15" s="21"/>
      <c r="L15" s="21"/>
      <c r="M15" s="21"/>
      <c r="N15" s="21"/>
      <c r="O15" s="21"/>
      <c r="P15" s="21"/>
      <c r="Q15" s="21"/>
      <c r="R15" s="21"/>
      <c r="S15" s="21"/>
      <c r="T15" s="21"/>
      <c r="U15" s="187"/>
      <c r="V15" s="21"/>
      <c r="W15" s="21"/>
      <c r="X15" s="21"/>
      <c r="Y15" s="21"/>
      <c r="Z15" s="21"/>
      <c r="AA15" s="21"/>
      <c r="AB15" s="21"/>
      <c r="AC15" s="21"/>
      <c r="AD15" s="21"/>
      <c r="AE15" s="21"/>
      <c r="AF15" s="21"/>
      <c r="AG15" s="21"/>
      <c r="AH15" s="21"/>
      <c r="AI15" s="21"/>
      <c r="AJ15" s="21"/>
      <c r="AK15" s="21"/>
      <c r="AL15" s="21"/>
      <c r="AM15" s="21"/>
      <c r="AN15" s="21"/>
      <c r="AO15" s="575"/>
      <c r="AP15" s="21"/>
      <c r="AQ15" s="21"/>
      <c r="AR15" s="91"/>
      <c r="AS15" s="719"/>
      <c r="AT15" s="91"/>
      <c r="AU15" s="91"/>
      <c r="AV15" s="91"/>
      <c r="AW15" s="719"/>
      <c r="AX15" s="91"/>
      <c r="AY15" s="91"/>
      <c r="AZ15" s="91"/>
      <c r="BA15" s="719"/>
      <c r="BB15" s="93"/>
      <c r="BC15" s="93"/>
      <c r="BD15" s="93"/>
      <c r="BE15" s="603"/>
      <c r="BF15" s="93"/>
      <c r="BG15" s="93"/>
      <c r="BH15" s="93"/>
      <c r="BI15" s="603"/>
      <c r="BJ15" s="93"/>
      <c r="BK15" s="93"/>
      <c r="BL15" s="93"/>
      <c r="BM15" s="603"/>
      <c r="BN15" s="93"/>
      <c r="BO15" s="93"/>
      <c r="BP15" s="93"/>
      <c r="BQ15" s="603"/>
      <c r="BR15" s="93"/>
      <c r="BS15" s="93"/>
      <c r="BT15" s="93"/>
      <c r="BU15" s="603"/>
      <c r="BV15" s="93"/>
      <c r="BW15" s="93"/>
      <c r="BX15" s="93"/>
      <c r="BY15" s="603"/>
      <c r="BZ15" s="93"/>
      <c r="CA15" s="93"/>
      <c r="CB15" s="93"/>
      <c r="CC15" s="603"/>
      <c r="CD15" s="93"/>
      <c r="CE15" s="93"/>
      <c r="CF15" s="93"/>
      <c r="CG15" s="603"/>
    </row>
    <row r="16" spans="1:85" ht="12.75" customHeight="1">
      <c r="A16" s="28"/>
      <c r="B16" s="25" t="s">
        <v>69</v>
      </c>
      <c r="C16" s="25"/>
      <c r="D16" s="25">
        <f t="shared" ref="D16:T16" ca="1" si="25">D9+D14</f>
        <v>438.43599999999992</v>
      </c>
      <c r="E16" s="25">
        <f t="shared" ca="1" si="25"/>
        <v>483.45199999999977</v>
      </c>
      <c r="F16" s="25">
        <f t="shared" ca="1" si="25"/>
        <v>682.62000000000012</v>
      </c>
      <c r="G16" s="25">
        <f t="shared" ca="1" si="25"/>
        <v>849.68100000000004</v>
      </c>
      <c r="H16" s="25">
        <f t="shared" ca="1" si="25"/>
        <v>740.74400000000014</v>
      </c>
      <c r="I16" s="25">
        <f t="shared" ca="1" si="25"/>
        <v>746.67699999999968</v>
      </c>
      <c r="J16" s="25">
        <f t="shared" si="25"/>
        <v>642.45900000000029</v>
      </c>
      <c r="K16" s="25">
        <f t="shared" si="25"/>
        <v>920.91300000000001</v>
      </c>
      <c r="L16" s="25">
        <f t="shared" si="25"/>
        <v>1675.7700000000004</v>
      </c>
      <c r="M16" s="25">
        <f t="shared" si="25"/>
        <v>2761.6480000000001</v>
      </c>
      <c r="N16" s="25">
        <f t="shared" si="25"/>
        <v>1217.7440000000006</v>
      </c>
      <c r="O16" s="25">
        <f t="shared" ref="O16:P16" si="26">O9+O14</f>
        <v>1447.9680000000008</v>
      </c>
      <c r="P16" s="25">
        <f t="shared" si="26"/>
        <v>1956.5989999999983</v>
      </c>
      <c r="Q16" s="25">
        <f t="shared" ref="Q16:S16" si="27">Q9+Q14</f>
        <v>2557.4089180538758</v>
      </c>
      <c r="R16" s="25">
        <f t="shared" si="27"/>
        <v>3380.7947365153868</v>
      </c>
      <c r="S16" s="25">
        <f t="shared" si="27"/>
        <v>4449.4115250692357</v>
      </c>
      <c r="T16" s="25">
        <f t="shared" si="25"/>
        <v>5782.091229339987</v>
      </c>
      <c r="U16" s="187"/>
      <c r="V16" s="25">
        <f t="shared" ref="V16:AR16" si="28">V9+V14+V15</f>
        <v>102.13799999999998</v>
      </c>
      <c r="W16" s="25">
        <f t="shared" si="28"/>
        <v>131.37700000000001</v>
      </c>
      <c r="X16" s="25">
        <f t="shared" si="28"/>
        <v>111.98199999999997</v>
      </c>
      <c r="Y16" s="25">
        <f t="shared" si="28"/>
        <v>92.939000000000021</v>
      </c>
      <c r="Z16" s="25">
        <f t="shared" si="28"/>
        <v>96.118000000000052</v>
      </c>
      <c r="AA16" s="25">
        <f t="shared" si="28"/>
        <v>143.053</v>
      </c>
      <c r="AB16" s="25">
        <f t="shared" si="28"/>
        <v>134.94199999999995</v>
      </c>
      <c r="AC16" s="25">
        <f t="shared" si="28"/>
        <v>109.339</v>
      </c>
      <c r="AD16" s="25">
        <f t="shared" si="28"/>
        <v>149.92700000000002</v>
      </c>
      <c r="AE16" s="25">
        <f t="shared" si="28"/>
        <v>176.40500000000003</v>
      </c>
      <c r="AF16" s="25">
        <f t="shared" si="28"/>
        <v>182.35100000000006</v>
      </c>
      <c r="AG16" s="25">
        <f t="shared" si="28"/>
        <v>173.93700000000001</v>
      </c>
      <c r="AH16" s="25">
        <f t="shared" si="28"/>
        <v>153.75200000000001</v>
      </c>
      <c r="AI16" s="25">
        <f t="shared" si="28"/>
        <v>217.81400000000002</v>
      </c>
      <c r="AJ16" s="25">
        <f t="shared" si="28"/>
        <v>232.10300000000007</v>
      </c>
      <c r="AK16" s="25">
        <f t="shared" si="28"/>
        <v>246.01200000000006</v>
      </c>
      <c r="AL16" s="25">
        <f t="shared" si="28"/>
        <v>220.81900000000007</v>
      </c>
      <c r="AM16" s="25">
        <f t="shared" si="28"/>
        <v>194.13199999999995</v>
      </c>
      <c r="AN16" s="25">
        <f t="shared" si="28"/>
        <v>177.29699999999991</v>
      </c>
      <c r="AO16" s="572">
        <f t="shared" si="28"/>
        <v>148.49599999999998</v>
      </c>
      <c r="AP16" s="25">
        <f t="shared" si="28"/>
        <v>220.17599999999993</v>
      </c>
      <c r="AQ16" s="25">
        <f t="shared" si="28"/>
        <v>217.83299999999997</v>
      </c>
      <c r="AR16" s="25">
        <f t="shared" si="28"/>
        <v>174.54300000000001</v>
      </c>
      <c r="AS16" s="572">
        <f t="shared" ref="AS16:BC16" si="29">AS9+AS14</f>
        <v>134.125</v>
      </c>
      <c r="AT16" s="25">
        <f t="shared" si="29"/>
        <v>122.07000000000005</v>
      </c>
      <c r="AU16" s="25">
        <f t="shared" si="29"/>
        <v>151.1579999999999</v>
      </c>
      <c r="AV16" s="25">
        <f t="shared" si="29"/>
        <v>169.81500000000005</v>
      </c>
      <c r="AW16" s="25">
        <f t="shared" si="29"/>
        <v>199.41599999999994</v>
      </c>
      <c r="AX16" s="25">
        <f t="shared" si="29"/>
        <v>233.58500000000004</v>
      </c>
      <c r="AY16" s="25">
        <f t="shared" si="29"/>
        <v>248.58899999999994</v>
      </c>
      <c r="AZ16" s="25">
        <f t="shared" si="29"/>
        <v>261.97700000000009</v>
      </c>
      <c r="BA16" s="25">
        <f t="shared" si="29"/>
        <v>176.76200000000006</v>
      </c>
      <c r="BB16" s="25">
        <f t="shared" si="29"/>
        <v>250.11399999999992</v>
      </c>
      <c r="BC16" s="25">
        <f t="shared" si="29"/>
        <v>405.01200000000006</v>
      </c>
      <c r="BD16" s="25">
        <f t="shared" ref="BD16:BI16" si="30">BD9+BD14</f>
        <v>467.86099999999988</v>
      </c>
      <c r="BE16" s="25">
        <f t="shared" si="30"/>
        <v>552.7829999999999</v>
      </c>
      <c r="BF16" s="25">
        <f t="shared" si="30"/>
        <v>750.25500000000011</v>
      </c>
      <c r="BG16" s="25">
        <f t="shared" si="30"/>
        <v>750.48800000000006</v>
      </c>
      <c r="BH16" s="25">
        <f t="shared" si="30"/>
        <v>742.21599999999989</v>
      </c>
      <c r="BI16" s="572">
        <f t="shared" si="30"/>
        <v>518.68900000000008</v>
      </c>
      <c r="BJ16" s="946">
        <f t="shared" ref="BJ16:BV16" si="31">BJ9+BJ14</f>
        <v>304.6690000000001</v>
      </c>
      <c r="BK16" s="946">
        <f t="shared" si="31"/>
        <v>316.5</v>
      </c>
      <c r="BL16" s="946">
        <f t="shared" si="31"/>
        <v>321.61999999999989</v>
      </c>
      <c r="BM16" s="572">
        <f t="shared" si="31"/>
        <v>274.95499999999993</v>
      </c>
      <c r="BN16" s="946">
        <f t="shared" si="31"/>
        <v>239.70399999999995</v>
      </c>
      <c r="BO16" s="946">
        <f t="shared" si="31"/>
        <v>265.09300000000007</v>
      </c>
      <c r="BP16" s="946">
        <f t="shared" si="31"/>
        <v>444.16000000000008</v>
      </c>
      <c r="BQ16" s="572">
        <f t="shared" si="31"/>
        <v>499.01099999999997</v>
      </c>
      <c r="BR16" s="946">
        <f t="shared" si="31"/>
        <v>505.86799999999994</v>
      </c>
      <c r="BS16" s="1048">
        <f t="shared" si="31"/>
        <v>449.79899999999975</v>
      </c>
      <c r="BT16" s="1048">
        <f t="shared" si="31"/>
        <v>522.81100000000015</v>
      </c>
      <c r="BU16" s="1033">
        <f t="shared" si="31"/>
        <v>478.12100000000009</v>
      </c>
      <c r="BV16" s="946">
        <f t="shared" si="31"/>
        <v>503.60300000000007</v>
      </c>
      <c r="BW16" s="27">
        <f t="shared" ref="BW16:CG16" si="32">BW9*BW18</f>
        <v>606.88640697149594</v>
      </c>
      <c r="BX16" s="27">
        <f t="shared" si="32"/>
        <v>669.45569141618034</v>
      </c>
      <c r="BY16" s="611">
        <f t="shared" si="32"/>
        <v>777.46381966619856</v>
      </c>
      <c r="BZ16" s="27">
        <f t="shared" si="32"/>
        <v>720.1685257355266</v>
      </c>
      <c r="CA16" s="27">
        <f t="shared" si="32"/>
        <v>745.70432439840852</v>
      </c>
      <c r="CB16" s="27">
        <f t="shared" si="32"/>
        <v>938.19855981173976</v>
      </c>
      <c r="CC16" s="611">
        <f t="shared" si="32"/>
        <v>976.72332656971173</v>
      </c>
      <c r="CD16" s="27">
        <f t="shared" si="32"/>
        <v>963.19452444446006</v>
      </c>
      <c r="CE16" s="27">
        <f t="shared" si="32"/>
        <v>1016.1063804958236</v>
      </c>
      <c r="CF16" s="27">
        <f t="shared" si="32"/>
        <v>1182.5975840180504</v>
      </c>
      <c r="CG16" s="611">
        <f t="shared" si="32"/>
        <v>1287.5130361108995</v>
      </c>
    </row>
    <row r="17" spans="1:85" s="168" customFormat="1" ht="12.75" customHeight="1">
      <c r="A17" s="18"/>
      <c r="B17" s="15" t="s">
        <v>155</v>
      </c>
      <c r="C17" s="61"/>
      <c r="D17" s="61" t="str">
        <f t="shared" ref="D17:T17" ca="1" si="33">IF(ISERROR(D16/C16-1)," ",(D16/C16-1))</f>
        <v xml:space="preserve"> </v>
      </c>
      <c r="E17" s="61">
        <f t="shared" ca="1" si="33"/>
        <v>0.10267405048855438</v>
      </c>
      <c r="F17" s="61">
        <f t="shared" ca="1" si="33"/>
        <v>0.41197057825802852</v>
      </c>
      <c r="G17" s="61">
        <f t="shared" ca="1" si="33"/>
        <v>0.2447349916498196</v>
      </c>
      <c r="H17" s="61">
        <f t="shared" ca="1" si="33"/>
        <v>-0.12820929266395253</v>
      </c>
      <c r="I17" s="61">
        <f t="shared" ca="1" si="33"/>
        <v>8.009514758134495E-3</v>
      </c>
      <c r="J17" s="61">
        <f t="shared" ca="1" si="33"/>
        <v>-0.13957574694278707</v>
      </c>
      <c r="K17" s="61">
        <f t="shared" si="33"/>
        <v>0.43341909756108898</v>
      </c>
      <c r="L17" s="61">
        <f t="shared" si="33"/>
        <v>0.81968329255858086</v>
      </c>
      <c r="M17" s="61">
        <f t="shared" si="33"/>
        <v>0.6479874923169644</v>
      </c>
      <c r="N17" s="61">
        <f t="shared" si="33"/>
        <v>-0.5590516966680763</v>
      </c>
      <c r="O17" s="61">
        <f t="shared" ref="O17" si="34">IF(ISERROR(O16/N16-1)," ",(O16/N16-1))</f>
        <v>0.18905779868346717</v>
      </c>
      <c r="P17" s="61">
        <f t="shared" ref="P17" si="35">IF(ISERROR(P16/O16-1)," ",(P16/O16-1))</f>
        <v>0.35127226568542769</v>
      </c>
      <c r="Q17" s="61">
        <f t="shared" ref="Q17" si="36">IF(ISERROR(Q16/P16-1)," ",(Q16/P16-1))</f>
        <v>0.30706849898925537</v>
      </c>
      <c r="R17" s="61">
        <f t="shared" ref="R17" si="37">IF(ISERROR(R16/Q16-1)," ",(R16/Q16-1))</f>
        <v>0.32196095534385138</v>
      </c>
      <c r="S17" s="61">
        <f t="shared" ref="S17" si="38">IF(ISERROR(S16/R16-1)," ",(S16/R16-1))</f>
        <v>0.31608449250464732</v>
      </c>
      <c r="T17" s="61">
        <f t="shared" si="33"/>
        <v>0.29951819398184654</v>
      </c>
      <c r="U17" s="187"/>
      <c r="V17" s="61" t="str">
        <f>IF(ISERROR(V16/#REF!-1),"",V16/#REF!-1)</f>
        <v/>
      </c>
      <c r="W17" s="61" t="str">
        <f>IF(ISERROR(W16/#REF!-1),"",W16/#REF!-1)</f>
        <v/>
      </c>
      <c r="X17" s="61" t="str">
        <f>IF(ISERROR(X16/#REF!-1),"",X16/#REF!-1)</f>
        <v/>
      </c>
      <c r="Y17" s="61" t="str">
        <f>IF(ISERROR(Y16/#REF!-1),"",Y16/#REF!-1)</f>
        <v/>
      </c>
      <c r="Z17" s="61">
        <f t="shared" ref="Z17:AW17" si="39">IF(ISERROR(Z16/V16-1),"",Z16/V16-1)</f>
        <v>-5.8939865671933322E-2</v>
      </c>
      <c r="AA17" s="61">
        <f t="shared" si="39"/>
        <v>8.8874003821064473E-2</v>
      </c>
      <c r="AB17" s="61">
        <f t="shared" si="39"/>
        <v>0.20503295172438407</v>
      </c>
      <c r="AC17" s="61">
        <f t="shared" si="39"/>
        <v>0.17645982848965414</v>
      </c>
      <c r="AD17" s="61">
        <f t="shared" si="39"/>
        <v>0.55982230175409331</v>
      </c>
      <c r="AE17" s="61">
        <f t="shared" si="39"/>
        <v>0.23314435908369657</v>
      </c>
      <c r="AF17" s="61">
        <f t="shared" si="39"/>
        <v>0.35132871900520324</v>
      </c>
      <c r="AG17" s="61">
        <f t="shared" si="39"/>
        <v>0.59080474487602785</v>
      </c>
      <c r="AH17" s="61">
        <f t="shared" si="39"/>
        <v>2.5512416042474007E-2</v>
      </c>
      <c r="AI17" s="61">
        <f t="shared" si="39"/>
        <v>0.23473824438082813</v>
      </c>
      <c r="AJ17" s="61">
        <f t="shared" si="39"/>
        <v>0.27283645277514235</v>
      </c>
      <c r="AK17" s="61">
        <f t="shared" si="39"/>
        <v>0.41437416995808851</v>
      </c>
      <c r="AL17" s="61">
        <f t="shared" si="39"/>
        <v>0.4362024559030131</v>
      </c>
      <c r="AM17" s="61">
        <f t="shared" si="39"/>
        <v>-0.10872579356698864</v>
      </c>
      <c r="AN17" s="61">
        <f t="shared" si="39"/>
        <v>-0.23612792596390453</v>
      </c>
      <c r="AO17" s="569">
        <f t="shared" si="39"/>
        <v>-0.39638716810562113</v>
      </c>
      <c r="AP17" s="61">
        <f t="shared" si="39"/>
        <v>-2.9118871111640798E-3</v>
      </c>
      <c r="AQ17" s="61">
        <f t="shared" si="39"/>
        <v>0.122087033564791</v>
      </c>
      <c r="AR17" s="61">
        <f t="shared" si="39"/>
        <v>-1.5533257753937768E-2</v>
      </c>
      <c r="AS17" s="569">
        <f t="shared" si="39"/>
        <v>-9.6777017562762468E-2</v>
      </c>
      <c r="AT17" s="61">
        <f t="shared" si="39"/>
        <v>-0.44557989971658996</v>
      </c>
      <c r="AU17" s="61">
        <f t="shared" si="39"/>
        <v>-0.30608310035669561</v>
      </c>
      <c r="AV17" s="61">
        <f t="shared" si="39"/>
        <v>-2.7087880923325258E-2</v>
      </c>
      <c r="AW17" s="569">
        <f t="shared" si="39"/>
        <v>0.48679217148182619</v>
      </c>
      <c r="AX17" s="61">
        <f t="shared" ref="AX17:BE17" si="40">IF(ISERROR(AX16/AT16-1),"",AX16/AT16-1)</f>
        <v>0.91353321864503934</v>
      </c>
      <c r="AY17" s="61">
        <f t="shared" si="40"/>
        <v>0.64456396618108269</v>
      </c>
      <c r="AZ17" s="61">
        <f t="shared" si="40"/>
        <v>0.5427200188440362</v>
      </c>
      <c r="BA17" s="569">
        <f t="shared" si="40"/>
        <v>-0.11360171701367938</v>
      </c>
      <c r="BB17" s="61">
        <f t="shared" si="40"/>
        <v>7.0762249288267132E-2</v>
      </c>
      <c r="BC17" s="61">
        <f>IF(ISERROR(BC16/AY16-1),"",BC16/AY16-1)</f>
        <v>0.62924345003198101</v>
      </c>
      <c r="BD17" s="61">
        <f t="shared" si="40"/>
        <v>0.78588578386652164</v>
      </c>
      <c r="BE17" s="569">
        <f t="shared" si="40"/>
        <v>2.127272830133172</v>
      </c>
      <c r="BF17" s="61">
        <f t="shared" ref="BF17:CG17" si="41">IF(ISERROR(BF16/BB16-1),"",BF16/BB16-1)</f>
        <v>1.9996521586156728</v>
      </c>
      <c r="BG17" s="61">
        <f t="shared" si="41"/>
        <v>0.85300188636386065</v>
      </c>
      <c r="BH17" s="61">
        <f t="shared" si="41"/>
        <v>0.58640279912196158</v>
      </c>
      <c r="BI17" s="569">
        <f t="shared" si="41"/>
        <v>-6.1677005262462559E-2</v>
      </c>
      <c r="BJ17" s="61">
        <f t="shared" si="41"/>
        <v>-0.59391273633631225</v>
      </c>
      <c r="BK17" s="61">
        <f t="shared" si="41"/>
        <v>-0.57827440278858555</v>
      </c>
      <c r="BL17" s="61">
        <f t="shared" si="41"/>
        <v>-0.56667600806234319</v>
      </c>
      <c r="BM17" s="569">
        <f t="shared" si="41"/>
        <v>-0.46990393087187143</v>
      </c>
      <c r="BN17" s="61">
        <f t="shared" si="41"/>
        <v>-0.21323140851218902</v>
      </c>
      <c r="BO17" s="61">
        <f t="shared" si="41"/>
        <v>-0.16242338072669804</v>
      </c>
      <c r="BP17" s="61">
        <f t="shared" si="41"/>
        <v>0.38100864374106158</v>
      </c>
      <c r="BQ17" s="569">
        <f t="shared" si="41"/>
        <v>0.81488243530759608</v>
      </c>
      <c r="BR17" s="61">
        <f t="shared" si="41"/>
        <v>1.1103861429095887</v>
      </c>
      <c r="BS17" s="61">
        <f t="shared" si="41"/>
        <v>0.69675925052717202</v>
      </c>
      <c r="BT17" s="61">
        <f t="shared" si="41"/>
        <v>0.17707807997118175</v>
      </c>
      <c r="BU17" s="569">
        <f t="shared" si="41"/>
        <v>-4.1862804627553096E-2</v>
      </c>
      <c r="BV17" s="61">
        <f t="shared" si="41"/>
        <v>-4.4774526160972217E-3</v>
      </c>
      <c r="BW17" s="61">
        <f t="shared" si="41"/>
        <v>0.34923912007695934</v>
      </c>
      <c r="BX17" s="61">
        <f t="shared" si="41"/>
        <v>0.28049274291508808</v>
      </c>
      <c r="BY17" s="569">
        <f t="shared" si="41"/>
        <v>0.62608172338424462</v>
      </c>
      <c r="BZ17" s="61">
        <f t="shared" si="41"/>
        <v>0.43003223915569699</v>
      </c>
      <c r="CA17" s="61">
        <f t="shared" si="41"/>
        <v>0.22873789202108874</v>
      </c>
      <c r="CB17" s="61">
        <f t="shared" si="41"/>
        <v>0.40143488484959367</v>
      </c>
      <c r="CC17" s="569">
        <f t="shared" si="41"/>
        <v>0.25629425043735732</v>
      </c>
      <c r="CD17" s="61">
        <f t="shared" si="41"/>
        <v>0.33745712291539642</v>
      </c>
      <c r="CE17" s="61">
        <f t="shared" si="41"/>
        <v>0.36261296501875595</v>
      </c>
      <c r="CF17" s="61">
        <f t="shared" si="41"/>
        <v>0.26049818735103591</v>
      </c>
      <c r="CG17" s="569">
        <f t="shared" si="41"/>
        <v>0.31819625997127843</v>
      </c>
    </row>
    <row r="18" spans="1:85" s="168" customFormat="1" ht="12.75" customHeight="1">
      <c r="A18" s="18"/>
      <c r="B18" s="15" t="s">
        <v>226</v>
      </c>
      <c r="C18" s="63"/>
      <c r="D18" s="63">
        <f t="shared" ref="D18:T18" ca="1" si="42">D16/D$9</f>
        <v>0.21191088873465172</v>
      </c>
      <c r="E18" s="63">
        <f t="shared" ca="1" si="42"/>
        <v>0.24541134212468632</v>
      </c>
      <c r="F18" s="63">
        <f t="shared" ca="1" si="42"/>
        <v>0.30522957501179349</v>
      </c>
      <c r="G18" s="63">
        <f t="shared" ca="1" si="42"/>
        <v>0.29156778236073272</v>
      </c>
      <c r="H18" s="63">
        <f t="shared" ca="1" si="42"/>
        <v>0.2388591420993656</v>
      </c>
      <c r="I18" s="63">
        <f t="shared" ca="1" si="42"/>
        <v>0.22222635583978961</v>
      </c>
      <c r="J18" s="63">
        <f t="shared" si="42"/>
        <v>0.20620238587373776</v>
      </c>
      <c r="K18" s="63">
        <f t="shared" si="42"/>
        <v>0.23570998022766973</v>
      </c>
      <c r="L18" s="63">
        <f t="shared" si="42"/>
        <v>0.30786983622604136</v>
      </c>
      <c r="M18" s="63">
        <f t="shared" si="42"/>
        <v>0.37969753415376056</v>
      </c>
      <c r="N18" s="63">
        <f t="shared" si="42"/>
        <v>0.19263346389182426</v>
      </c>
      <c r="O18" s="63">
        <f t="shared" ref="O18:P18" si="43">O16/O$9</f>
        <v>0.18032157477016283</v>
      </c>
      <c r="P18" s="63">
        <f t="shared" si="43"/>
        <v>0.20978247735369857</v>
      </c>
      <c r="Q18" s="63">
        <f t="shared" ref="Q18:S18" si="44">Q16/Q$9</f>
        <v>0.22087583608382946</v>
      </c>
      <c r="R18" s="63">
        <f t="shared" si="44"/>
        <v>0.24376299998838638</v>
      </c>
      <c r="S18" s="63">
        <f t="shared" si="44"/>
        <v>0.26558862680907969</v>
      </c>
      <c r="T18" s="986">
        <f t="shared" si="42"/>
        <v>0.28958834950082513</v>
      </c>
      <c r="U18" s="187"/>
      <c r="V18" s="63">
        <f t="shared" ref="V18:AR18" si="45">V16/V$9</f>
        <v>0.20362074843154723</v>
      </c>
      <c r="W18" s="63">
        <f t="shared" si="45"/>
        <v>0.24270555069074196</v>
      </c>
      <c r="X18" s="63">
        <f t="shared" si="45"/>
        <v>0.20960363571022128</v>
      </c>
      <c r="Y18" s="63">
        <f t="shared" si="45"/>
        <v>0.18897837929064232</v>
      </c>
      <c r="Z18" s="63">
        <f t="shared" si="45"/>
        <v>0.21308273643653175</v>
      </c>
      <c r="AA18" s="63">
        <f t="shared" si="45"/>
        <v>0.2797588316280234</v>
      </c>
      <c r="AB18" s="63">
        <f t="shared" si="45"/>
        <v>0.25868500860736965</v>
      </c>
      <c r="AC18" s="63">
        <f t="shared" si="45"/>
        <v>0.22502690921663823</v>
      </c>
      <c r="AD18" s="63">
        <f t="shared" si="45"/>
        <v>0.29409099290307145</v>
      </c>
      <c r="AE18" s="63">
        <f t="shared" si="45"/>
        <v>0.32272257438965274</v>
      </c>
      <c r="AF18" s="63">
        <f t="shared" si="45"/>
        <v>0.31999599897517617</v>
      </c>
      <c r="AG18" s="63">
        <f t="shared" si="45"/>
        <v>0.28507345758733948</v>
      </c>
      <c r="AH18" s="63">
        <f t="shared" si="45"/>
        <v>0.24239175673800906</v>
      </c>
      <c r="AI18" s="63">
        <f t="shared" si="45"/>
        <v>0.31557138945352287</v>
      </c>
      <c r="AJ18" s="63">
        <f t="shared" si="45"/>
        <v>0.29954765146577711</v>
      </c>
      <c r="AK18" s="63">
        <f t="shared" si="45"/>
        <v>0.30192856669473078</v>
      </c>
      <c r="AL18" s="63">
        <f t="shared" si="45"/>
        <v>0.27843043305572551</v>
      </c>
      <c r="AM18" s="63">
        <f t="shared" si="45"/>
        <v>0.25843158815377665</v>
      </c>
      <c r="AN18" s="63">
        <f t="shared" si="45"/>
        <v>0.23033870626186292</v>
      </c>
      <c r="AO18" s="573">
        <f t="shared" si="45"/>
        <v>0.18864444201663164</v>
      </c>
      <c r="AP18" s="63">
        <f t="shared" si="45"/>
        <v>0.26493904053214984</v>
      </c>
      <c r="AQ18" s="63">
        <f t="shared" si="45"/>
        <v>0.24456025678304907</v>
      </c>
      <c r="AR18" s="63">
        <f t="shared" si="45"/>
        <v>0.20518490305197598</v>
      </c>
      <c r="AS18" s="573">
        <f t="shared" ref="AS18:BA18" si="46">AS16/AS$9</f>
        <v>0.17030340352859763</v>
      </c>
      <c r="AT18" s="63">
        <f t="shared" si="46"/>
        <v>0.18249391911185403</v>
      </c>
      <c r="AU18" s="63">
        <f t="shared" si="46"/>
        <v>0.19112585695464041</v>
      </c>
      <c r="AV18" s="63">
        <f t="shared" si="46"/>
        <v>0.20799140672078709</v>
      </c>
      <c r="AW18" s="63">
        <f t="shared" si="46"/>
        <v>0.2375586552447527</v>
      </c>
      <c r="AX18" s="63">
        <f t="shared" si="46"/>
        <v>0.25813007231642415</v>
      </c>
      <c r="AY18" s="63">
        <f t="shared" si="46"/>
        <v>0.26488950549995038</v>
      </c>
      <c r="AZ18" s="63">
        <f t="shared" si="46"/>
        <v>0.24200996762139673</v>
      </c>
      <c r="BA18" s="63">
        <f t="shared" si="46"/>
        <v>0.18016807750523656</v>
      </c>
      <c r="BB18" s="63">
        <f t="shared" ref="BB18:BG18" si="47">BB16/BB$9</f>
        <v>0.22662458807102615</v>
      </c>
      <c r="BC18" s="63">
        <f t="shared" si="47"/>
        <v>0.30132534584428861</v>
      </c>
      <c r="BD18" s="63">
        <f t="shared" si="47"/>
        <v>0.33057326280892696</v>
      </c>
      <c r="BE18" s="63">
        <f t="shared" si="47"/>
        <v>0.34984959422401307</v>
      </c>
      <c r="BF18" s="63">
        <f t="shared" si="47"/>
        <v>0.40732800041696215</v>
      </c>
      <c r="BG18" s="63">
        <f t="shared" si="47"/>
        <v>0.39433700931711618</v>
      </c>
      <c r="BH18" s="63">
        <f>BH16/BH$9</f>
        <v>0.38921506316873589</v>
      </c>
      <c r="BI18" s="573">
        <f>BI16/BI$9</f>
        <v>0.31992758763191825</v>
      </c>
      <c r="BJ18" s="63">
        <f t="shared" ref="BJ18:BV18" si="48">BJ16/BJ$9</f>
        <v>0.20835088573523142</v>
      </c>
      <c r="BK18" s="63">
        <f t="shared" si="48"/>
        <v>0.20283312697546008</v>
      </c>
      <c r="BL18" s="63">
        <f t="shared" si="48"/>
        <v>0.19846017807237787</v>
      </c>
      <c r="BM18" s="573">
        <f t="shared" si="48"/>
        <v>0.16382956791370307</v>
      </c>
      <c r="BN18" s="63">
        <f t="shared" si="48"/>
        <v>0.1369599400288885</v>
      </c>
      <c r="BO18" s="63">
        <f t="shared" si="48"/>
        <v>0.13942899400192296</v>
      </c>
      <c r="BP18" s="63">
        <f t="shared" si="48"/>
        <v>0.204570032627299</v>
      </c>
      <c r="BQ18" s="573">
        <f t="shared" si="48"/>
        <v>0.22607497640762547</v>
      </c>
      <c r="BR18" s="63">
        <f t="shared" si="48"/>
        <v>0.22511025938489701</v>
      </c>
      <c r="BS18" s="63">
        <f t="shared" si="48"/>
        <v>0.20361501195527873</v>
      </c>
      <c r="BT18" s="63">
        <f t="shared" si="48"/>
        <v>0.21950044965576779</v>
      </c>
      <c r="BU18" s="573">
        <f t="shared" si="48"/>
        <v>0.19211599583720082</v>
      </c>
      <c r="BV18" s="63">
        <f t="shared" si="48"/>
        <v>0.20100004510101233</v>
      </c>
      <c r="BW18" s="843">
        <f>Assumption!AM26</f>
        <v>0.21019857906943995</v>
      </c>
      <c r="BX18" s="843">
        <f>Assumption!AN26</f>
        <v>0.22152831230160688</v>
      </c>
      <c r="BY18" s="844">
        <f>Assumption!AO26</f>
        <v>0.2457364128933954</v>
      </c>
      <c r="BZ18" s="843">
        <f>Assumption!AP26</f>
        <v>0.2321757534618045</v>
      </c>
      <c r="CA18" s="843">
        <f>Assumption!AQ26</f>
        <v>0.22811439528775468</v>
      </c>
      <c r="CB18" s="843">
        <f>Assumption!AR26</f>
        <v>0.2558592224549473</v>
      </c>
      <c r="CC18" s="844">
        <f>Assumption!AS26</f>
        <v>0.25491829905382296</v>
      </c>
      <c r="CD18" s="843">
        <f>Assumption!AT26</f>
        <v>0.24983669214721346</v>
      </c>
      <c r="CE18" s="843">
        <f>Assumption!AU26</f>
        <v>0.25439848897145356</v>
      </c>
      <c r="CF18" s="843">
        <f>Assumption!AV26</f>
        <v>0.27301460335392108</v>
      </c>
      <c r="CG18" s="844">
        <f>Assumption!AW26</f>
        <v>0.28161177696284906</v>
      </c>
    </row>
    <row r="19" spans="1:85" ht="12.75" customHeight="1">
      <c r="A19" s="17"/>
      <c r="C19" s="64"/>
      <c r="D19" s="64"/>
      <c r="E19" s="64"/>
      <c r="F19" s="167"/>
      <c r="G19" s="167"/>
      <c r="H19" s="167"/>
      <c r="I19" s="167"/>
      <c r="J19" s="167"/>
      <c r="K19" s="167"/>
      <c r="L19" s="167"/>
      <c r="M19" s="167"/>
      <c r="N19" s="167"/>
      <c r="O19" s="167"/>
      <c r="P19" s="167"/>
      <c r="Q19" s="167"/>
      <c r="R19" s="167"/>
      <c r="S19" s="167"/>
      <c r="T19" s="64"/>
      <c r="U19" s="187"/>
      <c r="V19" s="64"/>
      <c r="W19" s="64"/>
      <c r="X19" s="64"/>
      <c r="Y19" s="64"/>
      <c r="Z19" s="64"/>
      <c r="AA19" s="64"/>
      <c r="AB19" s="64"/>
      <c r="AC19" s="64"/>
      <c r="AD19" s="64"/>
      <c r="AE19" s="64"/>
      <c r="AF19" s="64"/>
      <c r="AG19" s="64"/>
      <c r="AH19" s="64"/>
      <c r="AI19" s="64"/>
      <c r="AJ19" s="64"/>
      <c r="AK19" s="64"/>
      <c r="AL19" s="64"/>
      <c r="AM19" s="64"/>
      <c r="AN19" s="64"/>
      <c r="AO19" s="574"/>
      <c r="AP19" s="64"/>
      <c r="AQ19" s="64"/>
      <c r="AR19" s="64"/>
      <c r="AS19" s="574"/>
      <c r="AW19" s="612"/>
      <c r="AX19" s="153"/>
    </row>
    <row r="20" spans="1:85" ht="12.75" customHeight="1">
      <c r="A20" s="17"/>
      <c r="B20" s="7" t="s">
        <v>404</v>
      </c>
      <c r="C20" s="64"/>
      <c r="D20" s="64"/>
      <c r="E20" s="64"/>
      <c r="F20" s="64"/>
      <c r="G20" s="64"/>
      <c r="H20" s="64"/>
      <c r="I20" s="64"/>
      <c r="J20" s="776"/>
      <c r="K20" s="776"/>
      <c r="L20" s="776"/>
      <c r="M20" s="776"/>
      <c r="N20" s="776"/>
      <c r="O20" s="776"/>
      <c r="P20" s="776"/>
      <c r="Q20" s="776"/>
      <c r="R20" s="776"/>
      <c r="S20" s="776"/>
      <c r="T20" s="64"/>
      <c r="U20" s="187"/>
      <c r="V20" s="64"/>
      <c r="W20" s="64"/>
      <c r="X20" s="64"/>
      <c r="Y20" s="64"/>
      <c r="Z20" s="64"/>
      <c r="AA20" s="64"/>
      <c r="AB20" s="64"/>
      <c r="AC20" s="64"/>
      <c r="AD20" s="64"/>
      <c r="AE20" s="64"/>
      <c r="AF20" s="64"/>
      <c r="AG20" s="64"/>
      <c r="AH20" s="64"/>
      <c r="AI20" s="64"/>
      <c r="AJ20" s="64"/>
      <c r="AK20" s="64"/>
      <c r="AL20" s="64"/>
      <c r="AM20" s="64"/>
      <c r="AN20" s="64"/>
      <c r="AO20" s="574"/>
      <c r="AP20" s="64"/>
      <c r="AQ20" s="64"/>
      <c r="AR20" s="64"/>
      <c r="AS20" s="574"/>
    </row>
    <row r="21" spans="1:85" ht="12.75" customHeight="1">
      <c r="A21" s="28"/>
      <c r="B21" s="83" t="s">
        <v>171</v>
      </c>
      <c r="C21" s="21"/>
      <c r="D21" s="21">
        <f t="shared" ref="D21:I21" ca="1" si="49">SUM(D22:D24)</f>
        <v>-106.035</v>
      </c>
      <c r="E21" s="21">
        <f t="shared" ca="1" si="49"/>
        <v>-163.47399999999999</v>
      </c>
      <c r="F21" s="21">
        <f t="shared" ca="1" si="49"/>
        <v>-223.45900000000015</v>
      </c>
      <c r="G21" s="21">
        <f t="shared" ca="1" si="49"/>
        <v>-192.22800000000012</v>
      </c>
      <c r="H21" s="21">
        <f t="shared" ca="1" si="49"/>
        <v>-188.73799999999991</v>
      </c>
      <c r="I21" s="21">
        <f t="shared" si="49"/>
        <v>-154.64899999999994</v>
      </c>
      <c r="J21" s="21">
        <f>SUMIF($AL$4:$VI$4,J$4,$AL21:$VI21)</f>
        <v>20.722999999999985</v>
      </c>
      <c r="K21" s="21">
        <f>SUMIF($AL$4:$VI$4,K$4,$AL21:$VI21)</f>
        <v>68.446000000000012</v>
      </c>
      <c r="L21" s="21">
        <f>SUMIF($AL$4:$VI$4,L$4,$AL21:$VI21)</f>
        <v>355.63400000000001</v>
      </c>
      <c r="M21" s="21">
        <f>SUMIF($AL$4:$VI$4,M$4,$AL21:$VI21)</f>
        <v>-192.87299999999999</v>
      </c>
      <c r="N21" s="21">
        <f>SUMIF($AL$4:$VI$4,N$4,$AL21:$VI21)</f>
        <v>-152.72200000000001</v>
      </c>
      <c r="O21" s="21">
        <f>SUMIF($AL$4:$VI$4,O$4,$AL21:$VI21)</f>
        <v>-209.291</v>
      </c>
      <c r="P21" s="21">
        <f>SUMIF($AL$4:$VI$4,P$4,$AL21:$VI21)</f>
        <v>-72.28600000000003</v>
      </c>
      <c r="Q21" s="21">
        <f>SUMIF($AL$4:$VI$4,Q$4,$AL21:$VI21)</f>
        <v>-232.15064999999998</v>
      </c>
      <c r="R21" s="21">
        <f>SUMIF($AL$4:$VI$4,R$4,$AL21:$VI21)</f>
        <v>-272.24464350000005</v>
      </c>
      <c r="S21" s="21">
        <f>SUMIF($AL$4:$VI$4,S$4,$AL21:$VI21)</f>
        <v>-336.9781316000001</v>
      </c>
      <c r="T21" s="21">
        <f>SUMIF($AL$4:$VI$4,T$4,$AL21:$VI21)</f>
        <v>0</v>
      </c>
      <c r="U21" s="187"/>
      <c r="V21" s="21">
        <f>SUM(V22:V24)</f>
        <v>-35.681999999999981</v>
      </c>
      <c r="W21" s="21">
        <f t="shared" ref="W21:AS21" si="50">SUM(W22:W24)</f>
        <v>-5.8860000000000099</v>
      </c>
      <c r="X21" s="21">
        <f t="shared" si="50"/>
        <v>-25.882999999999981</v>
      </c>
      <c r="Y21" s="21">
        <f t="shared" si="50"/>
        <v>-38.58400000000001</v>
      </c>
      <c r="Z21" s="21">
        <f t="shared" si="50"/>
        <v>-29.880000000000045</v>
      </c>
      <c r="AA21" s="21">
        <f t="shared" si="50"/>
        <v>-39.780999999999985</v>
      </c>
      <c r="AB21" s="21">
        <f t="shared" si="50"/>
        <v>-39.234999999999957</v>
      </c>
      <c r="AC21" s="21">
        <f t="shared" si="50"/>
        <v>-54.57800000000001</v>
      </c>
      <c r="AD21" s="21">
        <f t="shared" si="50"/>
        <v>-50.97000000000002</v>
      </c>
      <c r="AE21" s="21">
        <f t="shared" si="50"/>
        <v>-60.526000000000032</v>
      </c>
      <c r="AF21" s="21">
        <f t="shared" si="50"/>
        <v>-45.744000000000057</v>
      </c>
      <c r="AG21" s="21">
        <f t="shared" si="50"/>
        <v>-66.219000000000008</v>
      </c>
      <c r="AH21" s="21">
        <f t="shared" si="50"/>
        <v>-34.118000000000023</v>
      </c>
      <c r="AI21" s="21">
        <f t="shared" si="50"/>
        <v>-37.868000000000023</v>
      </c>
      <c r="AJ21" s="21">
        <f t="shared" si="50"/>
        <v>-41.573000000000064</v>
      </c>
      <c r="AK21" s="21">
        <f t="shared" si="50"/>
        <v>-78.669000000000054</v>
      </c>
      <c r="AL21" s="21">
        <f t="shared" si="50"/>
        <v>-35.628000000000064</v>
      </c>
      <c r="AM21" s="21">
        <f t="shared" si="50"/>
        <v>-61.341999999999942</v>
      </c>
      <c r="AN21" s="21">
        <f t="shared" si="50"/>
        <v>-47.743999999999943</v>
      </c>
      <c r="AO21" s="575">
        <f t="shared" si="50"/>
        <v>-44.023999999999972</v>
      </c>
      <c r="AP21" s="21">
        <f t="shared" si="50"/>
        <v>-54.918999999999919</v>
      </c>
      <c r="AQ21" s="21">
        <f t="shared" si="50"/>
        <v>-51.519999999999982</v>
      </c>
      <c r="AR21" s="21">
        <f t="shared" si="50"/>
        <v>-8.1250000000000071</v>
      </c>
      <c r="AS21" s="575">
        <f t="shared" si="50"/>
        <v>-40.085000000000001</v>
      </c>
      <c r="AT21" s="21">
        <f t="shared" ref="AT21:BQ21" si="51">SUM(AT22:AT24)</f>
        <v>-20.450000000000003</v>
      </c>
      <c r="AU21" s="21">
        <f t="shared" si="51"/>
        <v>-11.781000000000006</v>
      </c>
      <c r="AV21" s="21">
        <f t="shared" si="51"/>
        <v>62.353999999999985</v>
      </c>
      <c r="AW21" s="575">
        <f t="shared" si="51"/>
        <v>-9.3999999999999915</v>
      </c>
      <c r="AX21" s="21">
        <f t="shared" si="51"/>
        <v>-19.757999999999988</v>
      </c>
      <c r="AY21" s="21">
        <f t="shared" si="51"/>
        <v>-25.923999999999999</v>
      </c>
      <c r="AZ21" s="21">
        <f t="shared" si="51"/>
        <v>79.233000000000004</v>
      </c>
      <c r="BA21" s="575">
        <f t="shared" si="51"/>
        <v>34.894999999999996</v>
      </c>
      <c r="BB21" s="21">
        <f t="shared" si="51"/>
        <v>30.800000000000004</v>
      </c>
      <c r="BC21" s="21">
        <f t="shared" si="51"/>
        <v>275.80300000000005</v>
      </c>
      <c r="BD21" s="21">
        <f t="shared" si="51"/>
        <v>9.5949999999999847</v>
      </c>
      <c r="BE21" s="575">
        <f t="shared" si="51"/>
        <v>39.436000000000007</v>
      </c>
      <c r="BF21" s="21">
        <f t="shared" si="51"/>
        <v>-49.014999999999993</v>
      </c>
      <c r="BG21" s="21">
        <f t="shared" si="51"/>
        <v>-23.561000000000007</v>
      </c>
      <c r="BH21" s="21">
        <f t="shared" si="51"/>
        <v>-81.408999999999992</v>
      </c>
      <c r="BI21" s="575">
        <f t="shared" si="51"/>
        <v>-38.887999999999991</v>
      </c>
      <c r="BJ21" s="21">
        <f>SUM(BJ22:BJ24)</f>
        <v>-53.717999999999989</v>
      </c>
      <c r="BK21" s="21">
        <f>SUM(BK22:BK24)</f>
        <v>-59.06900000000001</v>
      </c>
      <c r="BL21" s="21">
        <f>SUM(BL22:BL24)</f>
        <v>-61.395999999999987</v>
      </c>
      <c r="BM21" s="575">
        <f t="shared" si="51"/>
        <v>21.460999999999984</v>
      </c>
      <c r="BN21" s="21">
        <f t="shared" si="51"/>
        <v>-49.187999999999988</v>
      </c>
      <c r="BO21" s="21">
        <f t="shared" si="51"/>
        <v>2.7950000000000159</v>
      </c>
      <c r="BP21" s="21">
        <f t="shared" si="51"/>
        <v>-94.886999999999986</v>
      </c>
      <c r="BQ21" s="575">
        <f t="shared" si="51"/>
        <v>-68.01100000000001</v>
      </c>
      <c r="BR21" s="21">
        <f t="shared" ref="BR21:CG21" si="52">SUM(BR22:BR24)</f>
        <v>-47.153000000000006</v>
      </c>
      <c r="BS21" s="21">
        <f t="shared" si="52"/>
        <v>-116.71299999999999</v>
      </c>
      <c r="BT21" s="21">
        <f t="shared" si="52"/>
        <v>31.404999999999987</v>
      </c>
      <c r="BU21" s="575">
        <f t="shared" si="52"/>
        <v>60.174999999999983</v>
      </c>
      <c r="BV21" s="21">
        <f t="shared" si="52"/>
        <v>-68.713999999999999</v>
      </c>
      <c r="BW21" s="21">
        <f t="shared" si="52"/>
        <v>-53.511069999999989</v>
      </c>
      <c r="BX21" s="21">
        <f t="shared" si="52"/>
        <v>-39.423069999999996</v>
      </c>
      <c r="BY21" s="575">
        <f t="shared" si="52"/>
        <v>-70.502510000000001</v>
      </c>
      <c r="BZ21" s="21">
        <f t="shared" si="52"/>
        <v>-63.123550000000023</v>
      </c>
      <c r="CA21" s="21">
        <f t="shared" si="52"/>
        <v>-69.071788499999997</v>
      </c>
      <c r="CB21" s="21">
        <f t="shared" si="52"/>
        <v>-53.149087500000007</v>
      </c>
      <c r="CC21" s="575">
        <f t="shared" si="52"/>
        <v>-86.900217500000025</v>
      </c>
      <c r="CD21" s="21">
        <f t="shared" si="52"/>
        <v>-78.544280000000015</v>
      </c>
      <c r="CE21" s="21">
        <f t="shared" si="52"/>
        <v>-85.803643600000015</v>
      </c>
      <c r="CF21" s="21">
        <f t="shared" si="52"/>
        <v>-67.933755000000019</v>
      </c>
      <c r="CG21" s="575">
        <f t="shared" si="52"/>
        <v>-104.69645300000002</v>
      </c>
    </row>
    <row r="22" spans="1:85" ht="12.75" customHeight="1">
      <c r="A22" s="28"/>
      <c r="B22" s="84" t="s">
        <v>382</v>
      </c>
      <c r="C22" s="44"/>
      <c r="D22" s="44">
        <f ca="1">'Raw Data'!U22</f>
        <v>-35.357999999999997</v>
      </c>
      <c r="E22" s="44">
        <f ca="1">'Raw Data'!V22</f>
        <v>-38.251999999999995</v>
      </c>
      <c r="F22" s="44">
        <f ca="1">'Raw Data'!W22</f>
        <v>-41.876000000000005</v>
      </c>
      <c r="G22" s="44">
        <f ca="1">'Raw Data'!X22</f>
        <v>-35.034000000000006</v>
      </c>
      <c r="H22" s="44">
        <f ca="1">'Raw Data'!Y22</f>
        <v>-35.795999999999999</v>
      </c>
      <c r="I22" s="21">
        <f>SUMIF($AL$4:$VI$4,I$4,$AL22:$VI22)</f>
        <v>-30.455000000000002</v>
      </c>
      <c r="J22" s="21">
        <f>SUMIF($AL$4:$VI$4,J$4,$AL22:$VI22)</f>
        <v>-26.836000000000002</v>
      </c>
      <c r="K22" s="21">
        <f>SUMIF($AL$4:$VI$4,K$4,$AL22:$VI22)</f>
        <v>-29.466000000000001</v>
      </c>
      <c r="L22" s="21">
        <f>SUMIF($AL$4:$VI$4,L$4,$AL22:$VI22)</f>
        <v>-27.642000000000003</v>
      </c>
      <c r="M22" s="21">
        <f>SUMIF($AL$4:$VI$4,M$4,$AL22:$VI22)</f>
        <v>-33.834000000000003</v>
      </c>
      <c r="N22" s="21">
        <f>SUMIF($AL$4:$VI$4,N$4,$AL22:$VI22)</f>
        <v>-36.161999999999999</v>
      </c>
      <c r="O22" s="21">
        <f>SUMIF($AL$4:$VI$4,O$4,$AL22:$VI22)</f>
        <v>-39.847000000000001</v>
      </c>
      <c r="P22" s="21">
        <f>SUMIF($AL$4:$VI$4,P$4,$AL22:$VI22)</f>
        <v>-42.963000000000001</v>
      </c>
      <c r="Q22" s="21">
        <f>SUMIF($AL$4:$VI$4,Q$4,$AL22:$VI22)</f>
        <v>-47.272189999999995</v>
      </c>
      <c r="R22" s="21">
        <f>SUMIF($AL$4:$VI$4,R$4,$AL22:$VI22)</f>
        <v>-59.090237499999994</v>
      </c>
      <c r="S22" s="21">
        <f>SUMIF($AL$4:$VI$4,S$4,$AL22:$VI22)</f>
        <v>-70.908285000000006</v>
      </c>
      <c r="T22" s="21">
        <f>SUMIF($AL$4:$VI$4,T$4,$AL22:$VI22)</f>
        <v>0</v>
      </c>
      <c r="U22" s="187"/>
      <c r="V22" s="21">
        <f>'Raw Data'!DW22</f>
        <v>-7.8739999999999997</v>
      </c>
      <c r="W22" s="21">
        <f>'Raw Data'!DX22</f>
        <v>-9.7750000000000004</v>
      </c>
      <c r="X22" s="21">
        <f>'Raw Data'!DY22</f>
        <v>-9.3239999999999998</v>
      </c>
      <c r="Y22" s="21">
        <f>'Raw Data'!DZ22</f>
        <v>-8.3849999999999998</v>
      </c>
      <c r="Z22" s="21">
        <f>'Raw Data'!EA22</f>
        <v>-9.7080000000000002</v>
      </c>
      <c r="AA22" s="21">
        <f>'Raw Data'!EB22</f>
        <v>-9.0180000000000007</v>
      </c>
      <c r="AB22" s="21">
        <f>'Raw Data'!EC22</f>
        <v>-10.09</v>
      </c>
      <c r="AC22" s="21">
        <f>'Raw Data'!ED22</f>
        <v>-9.4359999999999999</v>
      </c>
      <c r="AD22" s="21">
        <f>'Raw Data'!EE22</f>
        <v>-9.2050000000000001</v>
      </c>
      <c r="AE22" s="21">
        <f>'Raw Data'!EF22</f>
        <v>-9.1590000000000007</v>
      </c>
      <c r="AF22" s="21">
        <f>'Raw Data'!EG22</f>
        <v>-11.154</v>
      </c>
      <c r="AG22" s="21">
        <f>'Raw Data'!EH22</f>
        <v>-12.358000000000001</v>
      </c>
      <c r="AH22" s="21">
        <f>'Raw Data'!EI22</f>
        <v>-9.7100000000000009</v>
      </c>
      <c r="AI22" s="21">
        <f>'Raw Data'!EJ22</f>
        <v>-8.2279999999999998</v>
      </c>
      <c r="AJ22" s="21">
        <f>'Raw Data'!EK22</f>
        <v>-8.0090000000000003</v>
      </c>
      <c r="AK22" s="21">
        <f>'Raw Data'!EL22</f>
        <v>-9.0869999999999997</v>
      </c>
      <c r="AL22" s="21">
        <f>'Raw Data'!EM22</f>
        <v>-10.375</v>
      </c>
      <c r="AM22" s="21">
        <f>'Raw Data'!EN22</f>
        <v>-9.4410000000000007</v>
      </c>
      <c r="AN22" s="21">
        <f>'Raw Data'!EO22</f>
        <v>-9.5869999999999997</v>
      </c>
      <c r="AO22" s="575">
        <f>'Raw Data'!EP22</f>
        <v>-6.3929999999999998</v>
      </c>
      <c r="AP22" s="21">
        <f>'Raw Data'!EQ22</f>
        <v>-8.5129999999999999</v>
      </c>
      <c r="AQ22" s="21">
        <f>'Raw Data'!ER22</f>
        <v>-8.1389999999999993</v>
      </c>
      <c r="AR22" s="21">
        <f>'Raw Data'!ES22</f>
        <v>-6.1020000000000003</v>
      </c>
      <c r="AS22" s="575">
        <f>'Raw Data'!ET22</f>
        <v>-7.7009999999999996</v>
      </c>
      <c r="AT22" s="21">
        <v>-6.8109999999999999</v>
      </c>
      <c r="AU22" s="21">
        <v>-8.8520000000000003</v>
      </c>
      <c r="AV22" s="21">
        <v>-5.9</v>
      </c>
      <c r="AW22" s="575">
        <v>-5.2729999999999997</v>
      </c>
      <c r="AX22" s="21">
        <v>-5.8410000000000002</v>
      </c>
      <c r="AY22" s="21">
        <v>-5.0720000000000001</v>
      </c>
      <c r="AZ22" s="21">
        <v>-6.4720000000000004</v>
      </c>
      <c r="BA22" s="575">
        <v>-12.081</v>
      </c>
      <c r="BB22" s="21">
        <v>-5.4950000000000001</v>
      </c>
      <c r="BC22" s="21">
        <v>-6.5369999999999999</v>
      </c>
      <c r="BD22" s="21">
        <v>-7.4459999999999997</v>
      </c>
      <c r="BE22" s="575">
        <v>-8.1639999999999997</v>
      </c>
      <c r="BF22" s="21">
        <v>-9.1300000000000008</v>
      </c>
      <c r="BG22" s="21">
        <v>-9.4969999999999999</v>
      </c>
      <c r="BH22" s="21">
        <v>-7.3570000000000002</v>
      </c>
      <c r="BI22" s="575">
        <v>-7.85</v>
      </c>
      <c r="BJ22" s="21">
        <v>-8.0530000000000008</v>
      </c>
      <c r="BK22" s="21">
        <v>-9.3070000000000004</v>
      </c>
      <c r="BL22" s="102">
        <v>-9.4540000000000006</v>
      </c>
      <c r="BM22" s="598">
        <v>-9.3480000000000008</v>
      </c>
      <c r="BN22" s="102">
        <v>-9.0429999999999993</v>
      </c>
      <c r="BO22" s="102">
        <v>-9.7370000000000001</v>
      </c>
      <c r="BP22" s="102">
        <v>-9.6010000000000009</v>
      </c>
      <c r="BQ22" s="598">
        <v>-11.465999999999999</v>
      </c>
      <c r="BR22" s="102">
        <v>-11.362</v>
      </c>
      <c r="BS22" s="102">
        <v>-12.939</v>
      </c>
      <c r="BT22" s="102">
        <v>-10.553000000000001</v>
      </c>
      <c r="BU22" s="598">
        <v>-8.109</v>
      </c>
      <c r="BV22" s="102">
        <f>-9.667</f>
        <v>-9.6669999999999998</v>
      </c>
      <c r="BW22" s="21">
        <f>-Assumption!AM278</f>
        <v>-15.397409999999999</v>
      </c>
      <c r="BX22" s="21">
        <f>-Assumption!AN278</f>
        <v>-12.558070000000001</v>
      </c>
      <c r="BY22" s="575">
        <f>-Assumption!AO278</f>
        <v>-9.6497099999999989</v>
      </c>
      <c r="BZ22" s="21">
        <f>-Assumption!AP278</f>
        <v>-12.08375</v>
      </c>
      <c r="CA22" s="21">
        <f>-Assumption!AQ278</f>
        <v>-19.246762499999999</v>
      </c>
      <c r="CB22" s="21">
        <f>-Assumption!AR278</f>
        <v>-15.697587500000001</v>
      </c>
      <c r="CC22" s="575">
        <f>-Assumption!AS278</f>
        <v>-12.062137499999999</v>
      </c>
      <c r="CD22" s="21">
        <f>-Assumption!AT278</f>
        <v>-14.500499999999999</v>
      </c>
      <c r="CE22" s="21">
        <f>-Assumption!AU278</f>
        <v>-23.096114999999998</v>
      </c>
      <c r="CF22" s="21">
        <f>-Assumption!AV278</f>
        <v>-18.837105000000001</v>
      </c>
      <c r="CG22" s="575">
        <f>-Assumption!AW278</f>
        <v>-14.474564999999998</v>
      </c>
    </row>
    <row r="23" spans="1:85" s="169" customFormat="1" ht="12.75" customHeight="1">
      <c r="A23" s="130"/>
      <c r="B23" s="84" t="s">
        <v>405</v>
      </c>
      <c r="C23" s="100"/>
      <c r="D23" s="100">
        <f ca="1">'Raw Data'!U23</f>
        <v>-143.74700000000001</v>
      </c>
      <c r="E23" s="100">
        <f ca="1">'Raw Data'!V23</f>
        <v>-139.428</v>
      </c>
      <c r="F23" s="100">
        <f ca="1">'Raw Data'!W23</f>
        <v>-213.17700000000002</v>
      </c>
      <c r="G23" s="100">
        <f ca="1">'Raw Data'!X23</f>
        <v>-157.37099999999998</v>
      </c>
      <c r="H23" s="100">
        <f ca="1">'Raw Data'!Y23</f>
        <v>-197.898</v>
      </c>
      <c r="I23" s="21">
        <f>SUMIF($AL$4:$VI$4,I$4,$AL23:$VI23)</f>
        <v>-200.55700000000002</v>
      </c>
      <c r="J23" s="131">
        <f>SUMIF($AL$4:$VI$4,J$4,$AL23:$VI23)</f>
        <v>-254.92399999999998</v>
      </c>
      <c r="K23" s="131">
        <f>SUMIF($AL$4:$VI$4,K$4,$AL23:$VI23)</f>
        <v>-266.37599999999998</v>
      </c>
      <c r="L23" s="131">
        <f>SUMIF($AL$4:$VI$4,L$4,$AL23:$VI23)</f>
        <v>-275.70299999999997</v>
      </c>
      <c r="M23" s="131">
        <f>SUMIF($AL$4:$VI$4,M$4,$AL23:$VI23)</f>
        <v>-493.73</v>
      </c>
      <c r="N23" s="131">
        <f>SUMIF($AL$4:$VI$4,N$4,$AL23:$VI23)</f>
        <v>-482.26199999999994</v>
      </c>
      <c r="O23" s="131">
        <f>SUMIF($AL$4:$VI$4,O$4,$AL23:$VI23)</f>
        <v>-580.04099999999994</v>
      </c>
      <c r="P23" s="131">
        <f>SUMIF($AL$4:$VI$4,P$4,$AL23:$VI23)</f>
        <v>-526.23700000000008</v>
      </c>
      <c r="Q23" s="131">
        <f>SUMIF($AL$4:$VI$4,Q$4,$AL23:$VI23)</f>
        <v>-481.04946000000001</v>
      </c>
      <c r="R23" s="131">
        <f>SUMIF($AL$4:$VI$4,R$4,$AL23:$VI23)</f>
        <v>-529.15440599999999</v>
      </c>
      <c r="S23" s="131">
        <f>SUMIF($AL$4:$VI$4,S$4,$AL23:$VI23)</f>
        <v>-582.06984660000012</v>
      </c>
      <c r="T23" s="131">
        <f>SUMIF($AL$4:$VI$4,T$4,$AL23:$VI23)</f>
        <v>0</v>
      </c>
      <c r="U23" s="187"/>
      <c r="V23" s="131">
        <f>'Raw Data'!DW23</f>
        <v>-39.783000000000001</v>
      </c>
      <c r="W23" s="131">
        <f>'Raw Data'!DX23</f>
        <v>-42.636000000000003</v>
      </c>
      <c r="X23" s="131">
        <f>'Raw Data'!DY23</f>
        <v>-24.718</v>
      </c>
      <c r="Y23" s="131">
        <f>'Raw Data'!DZ23</f>
        <v>-36.61</v>
      </c>
      <c r="Z23" s="131">
        <f>'Raw Data'!EA23</f>
        <v>-23.193000000000001</v>
      </c>
      <c r="AA23" s="131">
        <f>'Raw Data'!EB23</f>
        <v>-35.527999999999999</v>
      </c>
      <c r="AB23" s="131">
        <f>'Raw Data'!EC23</f>
        <v>-34.667999999999999</v>
      </c>
      <c r="AC23" s="131">
        <f>'Raw Data'!ED23</f>
        <v>-46.039000000000001</v>
      </c>
      <c r="AD23" s="131">
        <f>'Raw Data'!EE23</f>
        <v>-42.485999999999997</v>
      </c>
      <c r="AE23" s="131">
        <f>'Raw Data'!EF23</f>
        <v>-52.051000000000002</v>
      </c>
      <c r="AF23" s="131">
        <f>'Raw Data'!EG23</f>
        <v>-51.387</v>
      </c>
      <c r="AG23" s="131">
        <f>'Raw Data'!EH23</f>
        <v>-67.253</v>
      </c>
      <c r="AH23" s="131">
        <f>'Raw Data'!EI23</f>
        <v>-27.492000000000001</v>
      </c>
      <c r="AI23" s="131">
        <f>'Raw Data'!EJ23</f>
        <v>-33.496000000000002</v>
      </c>
      <c r="AJ23" s="131">
        <f>'Raw Data'!EK23</f>
        <v>-35.448999999999998</v>
      </c>
      <c r="AK23" s="131">
        <f>'Raw Data'!EL23</f>
        <v>-60.933999999999997</v>
      </c>
      <c r="AL23" s="131">
        <f>'Raw Data'!EM23</f>
        <v>-39.393999999999998</v>
      </c>
      <c r="AM23" s="131">
        <f>'Raw Data'!EN23</f>
        <v>-54.198999999999998</v>
      </c>
      <c r="AN23" s="131">
        <f>'Raw Data'!EO23</f>
        <v>-46.103999999999999</v>
      </c>
      <c r="AO23" s="649">
        <f>'Raw Data'!EP23</f>
        <v>-58.201000000000001</v>
      </c>
      <c r="AP23" s="131">
        <f>'Raw Data'!EQ23</f>
        <v>-51.506</v>
      </c>
      <c r="AQ23" s="131">
        <f>'Raw Data'!ER23</f>
        <v>-48.801000000000002</v>
      </c>
      <c r="AR23" s="131">
        <v>-50.337000000000003</v>
      </c>
      <c r="AS23" s="649">
        <f>'Raw Data'!ET23</f>
        <v>-49.912999999999997</v>
      </c>
      <c r="AT23" s="131">
        <v>-43.148000000000003</v>
      </c>
      <c r="AU23" s="131">
        <v>-64.578000000000003</v>
      </c>
      <c r="AV23" s="131">
        <v>-70.040999999999997</v>
      </c>
      <c r="AW23" s="575">
        <v>-77.156999999999996</v>
      </c>
      <c r="AX23" s="21">
        <v>-74.230999999999995</v>
      </c>
      <c r="AY23" s="21">
        <v>-59.381</v>
      </c>
      <c r="AZ23" s="21">
        <v>-56.97</v>
      </c>
      <c r="BA23" s="575">
        <v>-75.793999999999997</v>
      </c>
      <c r="BB23" s="21">
        <v>-48.802999999999997</v>
      </c>
      <c r="BC23" s="21">
        <v>-51.131999999999998</v>
      </c>
      <c r="BD23" s="21">
        <v>-71.671000000000006</v>
      </c>
      <c r="BE23" s="575">
        <v>-104.09699999999999</v>
      </c>
      <c r="BF23" s="21">
        <v>-94.590999999999994</v>
      </c>
      <c r="BG23" s="21">
        <v>-119.13</v>
      </c>
      <c r="BH23" s="21">
        <v>-152.67099999999999</v>
      </c>
      <c r="BI23" s="575">
        <v>-127.33799999999999</v>
      </c>
      <c r="BJ23" s="21">
        <v>-99.876999999999995</v>
      </c>
      <c r="BK23" s="21">
        <v>-106.43600000000001</v>
      </c>
      <c r="BL23" s="102">
        <v>-128.12799999999999</v>
      </c>
      <c r="BM23" s="598">
        <v>-147.821</v>
      </c>
      <c r="BN23" s="102">
        <v>-116.378</v>
      </c>
      <c r="BO23" s="102">
        <v>-160.63</v>
      </c>
      <c r="BP23" s="102">
        <v>-136.18199999999999</v>
      </c>
      <c r="BQ23" s="598">
        <v>-166.851</v>
      </c>
      <c r="BR23" s="102">
        <v>-149.31800000000001</v>
      </c>
      <c r="BS23" s="102">
        <v>-188.893</v>
      </c>
      <c r="BT23" s="102">
        <v>-42.345999999999997</v>
      </c>
      <c r="BU23" s="598">
        <v>-145.68</v>
      </c>
      <c r="BV23" s="102">
        <f>-118.218</f>
        <v>-118.218</v>
      </c>
      <c r="BW23" s="21">
        <f>-Assumption!AM279</f>
        <v>-117.11366</v>
      </c>
      <c r="BX23" s="21">
        <f>-Assumption!AN279</f>
        <v>-105.86499999999999</v>
      </c>
      <c r="BY23" s="575">
        <f>-Assumption!AO279</f>
        <v>-139.8528</v>
      </c>
      <c r="BZ23" s="21">
        <f>-Assumption!AP279</f>
        <v>-130.03980000000001</v>
      </c>
      <c r="CA23" s="21">
        <f>-Assumption!AQ279</f>
        <v>-128.82502600000001</v>
      </c>
      <c r="CB23" s="21">
        <f>-Assumption!AR279</f>
        <v>-116.45150000000001</v>
      </c>
      <c r="CC23" s="575">
        <f>-Assumption!AS279</f>
        <v>-153.83808000000002</v>
      </c>
      <c r="CD23" s="21">
        <f>-Assumption!AT279</f>
        <v>-143.04378000000003</v>
      </c>
      <c r="CE23" s="21">
        <f>-Assumption!AU279</f>
        <v>-141.70752860000002</v>
      </c>
      <c r="CF23" s="21">
        <f>-Assumption!AV279</f>
        <v>-128.09665000000001</v>
      </c>
      <c r="CG23" s="575">
        <f>-Assumption!AW279</f>
        <v>-169.22188800000004</v>
      </c>
    </row>
    <row r="24" spans="1:85" s="169" customFormat="1" ht="12.75" customHeight="1">
      <c r="A24" s="130"/>
      <c r="B24" s="84" t="s">
        <v>406</v>
      </c>
      <c r="C24" s="100"/>
      <c r="D24" s="100">
        <f ca="1">'Raw Data'!U25</f>
        <v>73.070000000000022</v>
      </c>
      <c r="E24" s="100">
        <f ca="1">'Raw Data'!V25</f>
        <v>14.206000000000003</v>
      </c>
      <c r="F24" s="100">
        <f ca="1">'Raw Data'!W25</f>
        <v>31.59399999999988</v>
      </c>
      <c r="G24" s="100">
        <f ca="1">'Raw Data'!X25</f>
        <v>0.17699999999983618</v>
      </c>
      <c r="H24" s="100">
        <f ca="1">'Raw Data'!Y25</f>
        <v>44.956000000000074</v>
      </c>
      <c r="I24" s="21">
        <f>SUMIF($AL$4:$VI$4,I$4,$AL24:$VI24)</f>
        <v>76.363000000000085</v>
      </c>
      <c r="J24" s="131">
        <f>SUMIF($AL$4:$VI$4,J$4,$AL24:$VI24)</f>
        <v>302.48299999999995</v>
      </c>
      <c r="K24" s="131">
        <f>SUMIF($AL$4:$VI$4,K$4,$AL24:$VI24)</f>
        <v>364.28800000000001</v>
      </c>
      <c r="L24" s="131">
        <f>SUMIF($AL$4:$VI$4,L$4,$AL24:$VI24)</f>
        <v>658.97900000000004</v>
      </c>
      <c r="M24" s="131">
        <f>SUMIF($AL$4:$VI$4,M$4,$AL24:$VI24)</f>
        <v>334.69099999999997</v>
      </c>
      <c r="N24" s="131">
        <f>SUMIF($AL$4:$VI$4,N$4,$AL24:$VI24)</f>
        <v>365.702</v>
      </c>
      <c r="O24" s="131">
        <f>SUMIF($AL$4:$VI$4,O$4,$AL24:$VI24)</f>
        <v>410.59699999999998</v>
      </c>
      <c r="P24" s="131">
        <f>SUMIF($AL$4:$VI$4,P$4,$AL24:$VI24)</f>
        <v>496.91399999999999</v>
      </c>
      <c r="Q24" s="131">
        <f>SUMIF($AL$4:$VI$4,Q$4,$AL24:$VI24)</f>
        <v>296.17099999999999</v>
      </c>
      <c r="R24" s="131">
        <f>SUMIF($AL$4:$VI$4,R$4,$AL24:$VI24)</f>
        <v>316</v>
      </c>
      <c r="S24" s="131">
        <f>SUMIF($AL$4:$VI$4,S$4,$AL24:$VI24)</f>
        <v>316</v>
      </c>
      <c r="T24" s="131">
        <f>SUMIF($AL$4:$VI$4,T$4,$AL24:$VI24)</f>
        <v>0</v>
      </c>
      <c r="U24" s="187"/>
      <c r="V24" s="131">
        <f>'Raw Data'!DW25</f>
        <v>11.975000000000023</v>
      </c>
      <c r="W24" s="131">
        <f>'Raw Data'!DX25</f>
        <v>46.524999999999991</v>
      </c>
      <c r="X24" s="131">
        <f>'Raw Data'!DY25</f>
        <v>8.1590000000000202</v>
      </c>
      <c r="Y24" s="131">
        <f>'Raw Data'!DZ25</f>
        <v>6.4109999999999872</v>
      </c>
      <c r="Z24" s="131">
        <f>'Raw Data'!EA25</f>
        <v>3.0209999999999582</v>
      </c>
      <c r="AA24" s="131">
        <f>'Raw Data'!EB25</f>
        <v>4.7650000000000148</v>
      </c>
      <c r="AB24" s="131">
        <f>'Raw Data'!EC25</f>
        <v>5.5230000000000388</v>
      </c>
      <c r="AC24" s="131">
        <f>'Raw Data'!ED25</f>
        <v>0.89699999999999136</v>
      </c>
      <c r="AD24" s="131">
        <f>'Raw Data'!EE25</f>
        <v>0.72099999999997522</v>
      </c>
      <c r="AE24" s="131">
        <f>'Raw Data'!EF25</f>
        <v>0.68399999999996908</v>
      </c>
      <c r="AF24" s="131">
        <f>'Raw Data'!EG25</f>
        <v>16.79699999999994</v>
      </c>
      <c r="AG24" s="131">
        <f>'Raw Data'!EH25</f>
        <v>13.391999999999996</v>
      </c>
      <c r="AH24" s="131">
        <f>'Raw Data'!EI25</f>
        <v>3.0839999999999748</v>
      </c>
      <c r="AI24" s="131">
        <f>'Raw Data'!EJ25</f>
        <v>3.8559999999999803</v>
      </c>
      <c r="AJ24" s="131">
        <f>'Raw Data'!EK25</f>
        <v>1.8849999999999341</v>
      </c>
      <c r="AK24" s="131">
        <f>'Raw Data'!EL25</f>
        <v>-8.648000000000053</v>
      </c>
      <c r="AL24" s="131">
        <f>'Raw Data'!EM25</f>
        <v>14.140999999999934</v>
      </c>
      <c r="AM24" s="131">
        <f>'Raw Data'!EN25</f>
        <v>2.2980000000000587</v>
      </c>
      <c r="AN24" s="131">
        <f>'Raw Data'!EO25</f>
        <v>7.9470000000000596</v>
      </c>
      <c r="AO24" s="649">
        <f>'Raw Data'!EP25</f>
        <v>20.570000000000022</v>
      </c>
      <c r="AP24" s="131">
        <f>'Raw Data'!EQ25</f>
        <v>5.1000000000000796</v>
      </c>
      <c r="AQ24" s="131">
        <f>'Raw Data'!ER25</f>
        <v>5.4200000000000159</v>
      </c>
      <c r="AR24" s="131">
        <f>-0.198+48.512</f>
        <v>48.314</v>
      </c>
      <c r="AS24" s="649">
        <f>'Raw Data'!ET25</f>
        <v>17.528999999999996</v>
      </c>
      <c r="AT24" s="131">
        <f>-1.078+30.587</f>
        <v>29.509</v>
      </c>
      <c r="AU24" s="131">
        <f>-0.627+62.276</f>
        <v>61.649000000000001</v>
      </c>
      <c r="AV24" s="131">
        <f>-1.752+140.047</f>
        <v>138.29499999999999</v>
      </c>
      <c r="AW24" s="649">
        <f>2.381+70.649</f>
        <v>73.03</v>
      </c>
      <c r="AX24" s="131">
        <f>59.212+1.102</f>
        <v>60.314</v>
      </c>
      <c r="AY24" s="131">
        <f>40.453-1.924</f>
        <v>38.529000000000003</v>
      </c>
      <c r="AZ24" s="131">
        <f>140.84+1.835</f>
        <v>142.67500000000001</v>
      </c>
      <c r="BA24" s="649">
        <f>123.982-1.212</f>
        <v>122.77</v>
      </c>
      <c r="BB24" s="131">
        <f>85.301-0.203</f>
        <v>85.097999999999999</v>
      </c>
      <c r="BC24" s="131">
        <f>333.475-0.003</f>
        <v>333.47200000000004</v>
      </c>
      <c r="BD24" s="131">
        <f>87.624+1.088</f>
        <v>88.711999999999989</v>
      </c>
      <c r="BE24" s="649">
        <f>151.582+0.115</f>
        <v>151.697</v>
      </c>
      <c r="BF24" s="131">
        <f>54.294+0.412</f>
        <v>54.705999999999996</v>
      </c>
      <c r="BG24" s="131">
        <f>105.379-0.313</f>
        <v>105.066</v>
      </c>
      <c r="BH24" s="131">
        <f>78.706-0.087</f>
        <v>78.619</v>
      </c>
      <c r="BI24" s="649">
        <f>96.917-0.617</f>
        <v>96.3</v>
      </c>
      <c r="BJ24" s="131">
        <f>54.856-0.644</f>
        <v>54.212000000000003</v>
      </c>
      <c r="BK24" s="131">
        <f>56.26+0.414</f>
        <v>56.673999999999999</v>
      </c>
      <c r="BL24" s="103">
        <f>75.691+0.495</f>
        <v>76.186000000000007</v>
      </c>
      <c r="BM24" s="989">
        <f>177.64+0.99</f>
        <v>178.63</v>
      </c>
      <c r="BN24" s="102">
        <f>77.247-1.014</f>
        <v>76.233000000000004</v>
      </c>
      <c r="BO24" s="103">
        <f>172.137+1.025</f>
        <v>173.16200000000001</v>
      </c>
      <c r="BP24" s="103">
        <f>51.516-0.62</f>
        <v>50.896000000000001</v>
      </c>
      <c r="BQ24" s="989">
        <v>110.306</v>
      </c>
      <c r="BR24" s="103">
        <f>113.527</f>
        <v>113.527</v>
      </c>
      <c r="BS24" s="103">
        <v>85.119</v>
      </c>
      <c r="BT24" s="103">
        <f>88.073-3.769</f>
        <v>84.303999999999988</v>
      </c>
      <c r="BU24" s="989">
        <f>213.768+0.196</f>
        <v>213.964</v>
      </c>
      <c r="BV24" s="103">
        <f>58.8+0.371</f>
        <v>59.170999999999999</v>
      </c>
      <c r="BW24" s="131">
        <f>-Assumption!AM280</f>
        <v>79</v>
      </c>
      <c r="BX24" s="131">
        <f>-Assumption!AN280</f>
        <v>79</v>
      </c>
      <c r="BY24" s="649">
        <f>-Assumption!AO280</f>
        <v>79</v>
      </c>
      <c r="BZ24" s="131">
        <f>-Assumption!AP280</f>
        <v>79</v>
      </c>
      <c r="CA24" s="131">
        <f>-Assumption!AQ280</f>
        <v>79</v>
      </c>
      <c r="CB24" s="131">
        <f>-Assumption!AR280</f>
        <v>79</v>
      </c>
      <c r="CC24" s="649">
        <f>-Assumption!AS280</f>
        <v>79</v>
      </c>
      <c r="CD24" s="131">
        <f>-Assumption!AT280</f>
        <v>79</v>
      </c>
      <c r="CE24" s="131">
        <f>-Assumption!AU280</f>
        <v>79</v>
      </c>
      <c r="CF24" s="131">
        <f>-Assumption!AV280</f>
        <v>79</v>
      </c>
      <c r="CG24" s="649">
        <f>-Assumption!AW280</f>
        <v>79</v>
      </c>
    </row>
    <row r="25" spans="1:85" ht="12.75" customHeight="1">
      <c r="A25" s="28"/>
      <c r="B25" s="83" t="s">
        <v>293</v>
      </c>
      <c r="C25" s="44"/>
      <c r="D25" s="44">
        <f ca="1">'Raw Data'!U24</f>
        <v>-145.31399999999999</v>
      </c>
      <c r="E25" s="44">
        <f ca="1">'Raw Data'!V24</f>
        <v>-189.733</v>
      </c>
      <c r="F25" s="44">
        <f ca="1">'Raw Data'!W24</f>
        <v>-237.15699999999998</v>
      </c>
      <c r="G25" s="44">
        <f ca="1">'Raw Data'!X24</f>
        <v>-318.24700000000001</v>
      </c>
      <c r="H25" s="44">
        <f ca="1">'Raw Data'!Y24</f>
        <v>-427.11100000000005</v>
      </c>
      <c r="I25" s="21">
        <f>SUMIF($AL$4:$VI$4,I$4,$AL25:$VI25)</f>
        <v>-577.38800000000003</v>
      </c>
      <c r="J25" s="21">
        <f>SUMIF($AL$4:$VI$4,J$4,$AL25:$VI25)</f>
        <v>-614.27200000000005</v>
      </c>
      <c r="K25" s="21">
        <f>SUMIF($AL$4:$VI$4,K$4,$AL25:$VI25)</f>
        <v>-677.41300000000001</v>
      </c>
      <c r="L25" s="21">
        <f>SUMIF($AL$4:$VI$4,L$4,$AL25:$VI25)</f>
        <v>-638.84199999999998</v>
      </c>
      <c r="M25" s="21">
        <f>SUMIF($AL$4:$VI$4,M$4,$AL25:$VI25)</f>
        <v>-733.09600000000012</v>
      </c>
      <c r="N25" s="21">
        <f>SUMIF($AL$4:$VI$4,N$4,$AL25:$VI25)</f>
        <v>-707.27500000000009</v>
      </c>
      <c r="O25" s="21">
        <f>SUMIF($AL$4:$VI$4,O$4,$AL25:$VI25)</f>
        <v>-765.279</v>
      </c>
      <c r="P25" s="21">
        <f>SUMIF($AL$4:$VI$4,P$4,$AL25:$VI25)</f>
        <v>-774.37599999999998</v>
      </c>
      <c r="Q25" s="21">
        <f>SUMIF($AL$4:$VI$4,Q$4,$AL25:$VI25)</f>
        <v>-874.85220000000004</v>
      </c>
      <c r="R25" s="21">
        <f>SUMIF($AL$4:$VI$4,R$4,$AL25:$VI25)</f>
        <v>-1119.8108160000002</v>
      </c>
      <c r="S25" s="21">
        <f>SUMIF($AL$4:$VI$4,S$4,$AL25:$VI25)</f>
        <v>-1321.3767628800001</v>
      </c>
      <c r="T25" s="21">
        <f>SUMIF($AL$4:$VI$4,T$4,$AL25:$VI25)</f>
        <v>0</v>
      </c>
      <c r="U25" s="187"/>
      <c r="V25" s="21">
        <f>'Raw Data'!DW24</f>
        <v>-23.408000000000001</v>
      </c>
      <c r="W25" s="21">
        <f>'Raw Data'!DX24</f>
        <v>-38.085999999999999</v>
      </c>
      <c r="X25" s="21">
        <f>'Raw Data'!DY24</f>
        <v>-37.564</v>
      </c>
      <c r="Y25" s="21">
        <f>'Raw Data'!DZ24</f>
        <v>-46.256</v>
      </c>
      <c r="Z25" s="21">
        <f>'Raw Data'!EA24</f>
        <v>-36.652999999999999</v>
      </c>
      <c r="AA25" s="21">
        <f>'Raw Data'!EB24</f>
        <v>-45.08</v>
      </c>
      <c r="AB25" s="21">
        <f>'Raw Data'!EC24</f>
        <v>-54.887</v>
      </c>
      <c r="AC25" s="21">
        <f>'Raw Data'!ED24</f>
        <v>-53.113</v>
      </c>
      <c r="AD25" s="21">
        <f>'Raw Data'!EE24</f>
        <v>-53.453000000000003</v>
      </c>
      <c r="AE25" s="21">
        <f>'Raw Data'!EF24</f>
        <v>-55.201999999999998</v>
      </c>
      <c r="AF25" s="21">
        <f>'Raw Data'!EG24</f>
        <v>-62.381</v>
      </c>
      <c r="AG25" s="21">
        <f>'Raw Data'!EH24</f>
        <v>-66.120999999999995</v>
      </c>
      <c r="AH25" s="21">
        <f>'Raw Data'!EI24</f>
        <v>-53.497999999999998</v>
      </c>
      <c r="AI25" s="21">
        <f>'Raw Data'!EJ24</f>
        <v>-64.525999999999996</v>
      </c>
      <c r="AJ25" s="21">
        <f>'Raw Data'!EK24</f>
        <v>-81.897999999999996</v>
      </c>
      <c r="AK25" s="21">
        <f>'Raw Data'!EL24</f>
        <v>-118.325</v>
      </c>
      <c r="AL25" s="21">
        <f>'Raw Data'!EM24</f>
        <v>-107.80500000000001</v>
      </c>
      <c r="AM25" s="21">
        <f>'Raw Data'!EN24</f>
        <v>-111.158</v>
      </c>
      <c r="AN25" s="21">
        <f>'Raw Data'!EO24</f>
        <v>-106.848</v>
      </c>
      <c r="AO25" s="575">
        <f>'Raw Data'!EP24</f>
        <v>-101.3</v>
      </c>
      <c r="AP25" s="21">
        <f>'Raw Data'!EQ24</f>
        <v>-122.995</v>
      </c>
      <c r="AQ25" s="21">
        <f>'Raw Data'!ER24</f>
        <v>-147.17699999999999</v>
      </c>
      <c r="AR25" s="21">
        <v>-172.24600000000001</v>
      </c>
      <c r="AS25" s="575">
        <f>'Raw Data'!ET24</f>
        <v>-134.97</v>
      </c>
      <c r="AT25" s="21">
        <v>-77.174999999999997</v>
      </c>
      <c r="AU25" s="21">
        <v>-182.20699999999999</v>
      </c>
      <c r="AV25" s="21">
        <v>-185.01900000000001</v>
      </c>
      <c r="AW25" s="575">
        <v>-169.87100000000001</v>
      </c>
      <c r="AX25" s="21">
        <v>-166.48599999999999</v>
      </c>
      <c r="AY25" s="21">
        <v>-157.999</v>
      </c>
      <c r="AZ25" s="21">
        <f>-158.52</f>
        <v>-158.52000000000001</v>
      </c>
      <c r="BA25" s="575">
        <v>-194.40799999999999</v>
      </c>
      <c r="BB25" s="21">
        <v>-156.273</v>
      </c>
      <c r="BC25" s="21">
        <v>-143.05199999999999</v>
      </c>
      <c r="BD25" s="21">
        <v>-167.41200000000001</v>
      </c>
      <c r="BE25" s="575">
        <v>-172.10499999999999</v>
      </c>
      <c r="BF25" s="21">
        <v>-165.26900000000001</v>
      </c>
      <c r="BG25" s="21">
        <f>-187.484</f>
        <v>-187.48400000000001</v>
      </c>
      <c r="BH25" s="21">
        <v>-182.88800000000001</v>
      </c>
      <c r="BI25" s="575">
        <v>-197.45500000000001</v>
      </c>
      <c r="BJ25" s="21">
        <v>-167.66800000000001</v>
      </c>
      <c r="BK25" s="21">
        <v>-177.63300000000001</v>
      </c>
      <c r="BL25" s="102">
        <v>-172.83600000000001</v>
      </c>
      <c r="BM25" s="598">
        <v>-189.13800000000001</v>
      </c>
      <c r="BN25" s="102">
        <v>-188.11</v>
      </c>
      <c r="BO25" s="102">
        <v>-180.74799999999999</v>
      </c>
      <c r="BP25" s="102">
        <v>-179.386</v>
      </c>
      <c r="BQ25" s="598">
        <v>-217.035</v>
      </c>
      <c r="BR25" s="102">
        <f>-148.899-0.245</f>
        <v>-149.14400000000001</v>
      </c>
      <c r="BS25" s="102">
        <f>-181.912-0.497</f>
        <v>-182.40900000000002</v>
      </c>
      <c r="BT25" s="102">
        <v>-203.14699999999999</v>
      </c>
      <c r="BU25" s="598">
        <v>-239.67599999999999</v>
      </c>
      <c r="BV25" s="102">
        <v>-187.09700000000001</v>
      </c>
      <c r="BW25" s="21">
        <f>-Assumption!AM277</f>
        <v>-200.64990000000003</v>
      </c>
      <c r="BX25" s="21">
        <f>-Assumption!AN277</f>
        <v>-223.46170000000001</v>
      </c>
      <c r="BY25" s="575">
        <f>-Assumption!AO277</f>
        <v>-263.64359999999999</v>
      </c>
      <c r="BZ25" s="21">
        <f>-Assumption!AP277</f>
        <v>-239.48416</v>
      </c>
      <c r="CA25" s="21">
        <f>-Assumption!AQ277</f>
        <v>-256.83187200000003</v>
      </c>
      <c r="CB25" s="21">
        <f>-Assumption!AR277</f>
        <v>-286.03097600000001</v>
      </c>
      <c r="CC25" s="575">
        <f>-Assumption!AS277</f>
        <v>-337.46380799999997</v>
      </c>
      <c r="CD25" s="21">
        <f>-Assumption!AT277</f>
        <v>-282.59130879999998</v>
      </c>
      <c r="CE25" s="21">
        <f>-Assumption!AU277</f>
        <v>-303.06160896</v>
      </c>
      <c r="CF25" s="21">
        <f>-Assumption!AV277</f>
        <v>-337.51655168000002</v>
      </c>
      <c r="CG25" s="575">
        <f>-Assumption!AW277</f>
        <v>-398.20729343999994</v>
      </c>
    </row>
    <row r="26" spans="1:85" ht="12.75" customHeight="1">
      <c r="A26" s="28"/>
      <c r="B26" s="20" t="s">
        <v>70</v>
      </c>
      <c r="C26" s="20"/>
      <c r="D26" s="20">
        <f t="shared" ref="D26:M26" ca="1" si="53">D21+D25</f>
        <v>-251.34899999999999</v>
      </c>
      <c r="E26" s="20">
        <f t="shared" ca="1" si="53"/>
        <v>-353.20699999999999</v>
      </c>
      <c r="F26" s="20">
        <f t="shared" ca="1" si="53"/>
        <v>-460.6160000000001</v>
      </c>
      <c r="G26" s="20">
        <f t="shared" ca="1" si="53"/>
        <v>-510.47500000000014</v>
      </c>
      <c r="H26" s="20">
        <f t="shared" ca="1" si="53"/>
        <v>-615.84899999999993</v>
      </c>
      <c r="I26" s="20">
        <f t="shared" si="53"/>
        <v>-732.03700000000003</v>
      </c>
      <c r="J26" s="20">
        <f t="shared" si="53"/>
        <v>-593.54900000000009</v>
      </c>
      <c r="K26" s="20">
        <f t="shared" si="53"/>
        <v>-608.96699999999998</v>
      </c>
      <c r="L26" s="20">
        <f t="shared" si="53"/>
        <v>-283.20799999999997</v>
      </c>
      <c r="M26" s="20">
        <f t="shared" si="53"/>
        <v>-925.96900000000005</v>
      </c>
      <c r="N26" s="20">
        <f>N21+N25</f>
        <v>-859.99700000000007</v>
      </c>
      <c r="O26" s="20">
        <f>O21+O25</f>
        <v>-974.56999999999994</v>
      </c>
      <c r="P26" s="20">
        <f>P21+P25</f>
        <v>-846.66200000000003</v>
      </c>
      <c r="Q26" s="20">
        <f t="shared" ref="Q26:S26" si="54">Q21+Q25</f>
        <v>-1107.0028500000001</v>
      </c>
      <c r="R26" s="20">
        <f t="shared" si="54"/>
        <v>-1392.0554595000003</v>
      </c>
      <c r="S26" s="20">
        <f t="shared" si="54"/>
        <v>-1658.3548944800002</v>
      </c>
      <c r="T26" s="519">
        <f>-TP!N9</f>
        <v>-2031.4847457380004</v>
      </c>
      <c r="U26" s="187"/>
      <c r="V26" s="20">
        <f t="shared" ref="V26:BE26" si="55">V21+V25</f>
        <v>-59.089999999999982</v>
      </c>
      <c r="W26" s="20">
        <f t="shared" si="55"/>
        <v>-43.972000000000008</v>
      </c>
      <c r="X26" s="20">
        <f t="shared" si="55"/>
        <v>-63.446999999999981</v>
      </c>
      <c r="Y26" s="20">
        <f t="shared" si="55"/>
        <v>-84.84</v>
      </c>
      <c r="Z26" s="20">
        <f t="shared" si="55"/>
        <v>-66.533000000000044</v>
      </c>
      <c r="AA26" s="20">
        <f t="shared" si="55"/>
        <v>-84.86099999999999</v>
      </c>
      <c r="AB26" s="20">
        <f t="shared" si="55"/>
        <v>-94.121999999999957</v>
      </c>
      <c r="AC26" s="20">
        <f t="shared" si="55"/>
        <v>-107.691</v>
      </c>
      <c r="AD26" s="20">
        <f t="shared" si="55"/>
        <v>-104.42300000000003</v>
      </c>
      <c r="AE26" s="20">
        <f t="shared" si="55"/>
        <v>-115.72800000000004</v>
      </c>
      <c r="AF26" s="20">
        <f t="shared" si="55"/>
        <v>-108.12500000000006</v>
      </c>
      <c r="AG26" s="20">
        <f t="shared" si="55"/>
        <v>-132.34</v>
      </c>
      <c r="AH26" s="20">
        <f t="shared" si="55"/>
        <v>-87.616000000000014</v>
      </c>
      <c r="AI26" s="20">
        <f t="shared" si="55"/>
        <v>-102.39400000000002</v>
      </c>
      <c r="AJ26" s="20">
        <f t="shared" si="55"/>
        <v>-123.47100000000006</v>
      </c>
      <c r="AK26" s="20">
        <f t="shared" si="55"/>
        <v>-196.99400000000006</v>
      </c>
      <c r="AL26" s="20">
        <f t="shared" si="55"/>
        <v>-143.43300000000008</v>
      </c>
      <c r="AM26" s="20">
        <f t="shared" si="55"/>
        <v>-172.49999999999994</v>
      </c>
      <c r="AN26" s="20">
        <f t="shared" si="55"/>
        <v>-154.59199999999993</v>
      </c>
      <c r="AO26" s="571">
        <f t="shared" si="55"/>
        <v>-145.32399999999996</v>
      </c>
      <c r="AP26" s="20">
        <f t="shared" si="55"/>
        <v>-177.91399999999993</v>
      </c>
      <c r="AQ26" s="20">
        <f t="shared" si="55"/>
        <v>-198.69699999999997</v>
      </c>
      <c r="AR26" s="20">
        <f t="shared" si="55"/>
        <v>-180.37100000000001</v>
      </c>
      <c r="AS26" s="571">
        <f t="shared" si="55"/>
        <v>-175.05500000000001</v>
      </c>
      <c r="AT26" s="170">
        <f t="shared" si="55"/>
        <v>-97.625</v>
      </c>
      <c r="AU26" s="170">
        <f t="shared" si="55"/>
        <v>-193.988</v>
      </c>
      <c r="AV26" s="170">
        <f t="shared" si="55"/>
        <v>-122.66500000000002</v>
      </c>
      <c r="AW26" s="613">
        <f t="shared" si="55"/>
        <v>-179.27100000000002</v>
      </c>
      <c r="AX26" s="170">
        <f t="shared" si="55"/>
        <v>-186.24399999999997</v>
      </c>
      <c r="AY26" s="170">
        <f t="shared" si="55"/>
        <v>-183.923</v>
      </c>
      <c r="AZ26" s="170">
        <f t="shared" si="55"/>
        <v>-79.287000000000006</v>
      </c>
      <c r="BA26" s="613">
        <f t="shared" si="55"/>
        <v>-159.51299999999998</v>
      </c>
      <c r="BB26" s="170">
        <f>BB21+BB25</f>
        <v>-125.47299999999998</v>
      </c>
      <c r="BC26" s="170">
        <f>BC21+BC25</f>
        <v>132.75100000000006</v>
      </c>
      <c r="BD26" s="170">
        <f>BD21+BD25</f>
        <v>-157.81700000000001</v>
      </c>
      <c r="BE26" s="613">
        <f t="shared" si="55"/>
        <v>-132.66899999999998</v>
      </c>
      <c r="BF26" s="170">
        <f t="shared" ref="BF26:BQ26" si="56">BF21+BF25</f>
        <v>-214.28399999999999</v>
      </c>
      <c r="BG26" s="170">
        <f t="shared" si="56"/>
        <v>-211.04500000000002</v>
      </c>
      <c r="BH26" s="170">
        <f t="shared" si="56"/>
        <v>-264.29700000000003</v>
      </c>
      <c r="BI26" s="613">
        <f t="shared" si="56"/>
        <v>-236.34300000000002</v>
      </c>
      <c r="BJ26" s="947">
        <f>BJ21+BJ25</f>
        <v>-221.386</v>
      </c>
      <c r="BK26" s="947">
        <f>BK21+BK25</f>
        <v>-236.70200000000003</v>
      </c>
      <c r="BL26" s="170">
        <f t="shared" si="56"/>
        <v>-234.232</v>
      </c>
      <c r="BM26" s="613">
        <f t="shared" si="56"/>
        <v>-167.67700000000002</v>
      </c>
      <c r="BN26" s="170">
        <f t="shared" si="56"/>
        <v>-237.298</v>
      </c>
      <c r="BO26" s="170">
        <f t="shared" si="56"/>
        <v>-177.95299999999997</v>
      </c>
      <c r="BP26" s="170">
        <f t="shared" si="56"/>
        <v>-274.27299999999997</v>
      </c>
      <c r="BQ26" s="613">
        <f t="shared" si="56"/>
        <v>-285.04599999999999</v>
      </c>
      <c r="BR26" s="1049">
        <f t="shared" ref="BR26:BY26" si="57">BR21+BR25</f>
        <v>-196.29700000000003</v>
      </c>
      <c r="BS26" s="1084">
        <f t="shared" si="57"/>
        <v>-299.12200000000001</v>
      </c>
      <c r="BT26" s="1084">
        <f t="shared" si="57"/>
        <v>-171.74200000000002</v>
      </c>
      <c r="BU26" s="613">
        <f t="shared" si="57"/>
        <v>-179.501</v>
      </c>
      <c r="BV26" s="1049">
        <f t="shared" si="57"/>
        <v>-255.81100000000001</v>
      </c>
      <c r="BW26" s="947">
        <f t="shared" si="57"/>
        <v>-254.16097000000002</v>
      </c>
      <c r="BX26" s="947">
        <f t="shared" si="57"/>
        <v>-262.88477</v>
      </c>
      <c r="BY26" s="613">
        <f t="shared" si="57"/>
        <v>-334.14611000000002</v>
      </c>
      <c r="BZ26" s="947">
        <f t="shared" ref="BZ26:CG26" si="58">BZ21+BZ25</f>
        <v>-302.60771</v>
      </c>
      <c r="CA26" s="947">
        <f t="shared" si="58"/>
        <v>-325.9036605</v>
      </c>
      <c r="CB26" s="947">
        <f t="shared" si="58"/>
        <v>-339.18006350000002</v>
      </c>
      <c r="CC26" s="613">
        <f t="shared" si="58"/>
        <v>-424.36402550000003</v>
      </c>
      <c r="CD26" s="947">
        <f t="shared" si="58"/>
        <v>-361.13558879999999</v>
      </c>
      <c r="CE26" s="947">
        <f t="shared" si="58"/>
        <v>-388.86525256000004</v>
      </c>
      <c r="CF26" s="947">
        <f t="shared" si="58"/>
        <v>-405.45030668000004</v>
      </c>
      <c r="CG26" s="613">
        <f t="shared" si="58"/>
        <v>-502.90374643999996</v>
      </c>
    </row>
    <row r="27" spans="1:85" ht="12.75" customHeight="1">
      <c r="A27" s="171"/>
      <c r="B27" s="34" t="s">
        <v>143</v>
      </c>
      <c r="C27" s="25"/>
      <c r="D27" s="25">
        <f t="shared" ref="D27:M27" ca="1" si="59">D16+D26-(D31+D32)</f>
        <v>733.99699999999984</v>
      </c>
      <c r="E27" s="25">
        <f t="shared" ca="1" si="59"/>
        <v>679.71299999999985</v>
      </c>
      <c r="F27" s="25">
        <f t="shared" ca="1" si="59"/>
        <v>745.553</v>
      </c>
      <c r="G27" s="25">
        <f t="shared" ca="1" si="59"/>
        <v>1069.0719999999999</v>
      </c>
      <c r="H27" s="25">
        <f t="shared" ca="1" si="59"/>
        <v>1096.277</v>
      </c>
      <c r="I27" s="25">
        <f t="shared" ca="1" si="59"/>
        <v>1063.0499999999997</v>
      </c>
      <c r="J27" s="25">
        <f t="shared" si="59"/>
        <v>1176.6660000000006</v>
      </c>
      <c r="K27" s="25">
        <f t="shared" si="59"/>
        <v>1624.6370000000002</v>
      </c>
      <c r="L27" s="25">
        <f t="shared" si="59"/>
        <v>3261.8640000000005</v>
      </c>
      <c r="M27" s="25">
        <f t="shared" si="59"/>
        <v>4107.04</v>
      </c>
      <c r="N27" s="25">
        <f t="shared" ref="N27:T27" si="60">N16+N26-(N31+N32)</f>
        <v>3025.0380000000005</v>
      </c>
      <c r="O27" s="25">
        <f t="shared" si="60"/>
        <v>3696.4610000000011</v>
      </c>
      <c r="P27" s="25">
        <f t="shared" si="60"/>
        <v>4919.9469999999983</v>
      </c>
      <c r="Q27" s="25">
        <f t="shared" ref="Q27:S27" si="61">Q16+Q26-(Q31+Q32)</f>
        <v>6418.6613987253049</v>
      </c>
      <c r="R27" s="25">
        <f t="shared" si="61"/>
        <v>7673.0961337446579</v>
      </c>
      <c r="S27" s="25">
        <f t="shared" si="61"/>
        <v>9044.6137557963939</v>
      </c>
      <c r="T27" s="25">
        <f t="shared" si="60"/>
        <v>11677.993694483335</v>
      </c>
      <c r="U27" s="187"/>
      <c r="V27" s="25">
        <f t="shared" ref="V27:BE27" si="62">V16+V26-(V31+V32)</f>
        <v>178.8</v>
      </c>
      <c r="W27" s="25">
        <f t="shared" si="62"/>
        <v>223.11699999999999</v>
      </c>
      <c r="X27" s="25">
        <f t="shared" si="62"/>
        <v>185.26</v>
      </c>
      <c r="Y27" s="25">
        <f t="shared" si="62"/>
        <v>146.82000000000002</v>
      </c>
      <c r="Z27" s="25">
        <f t="shared" si="62"/>
        <v>166.45600000000002</v>
      </c>
      <c r="AA27" s="25">
        <f t="shared" si="62"/>
        <v>196.655</v>
      </c>
      <c r="AB27" s="25">
        <f t="shared" si="62"/>
        <v>179.709</v>
      </c>
      <c r="AC27" s="25">
        <f t="shared" si="62"/>
        <v>136.893</v>
      </c>
      <c r="AD27" s="25">
        <f t="shared" si="62"/>
        <v>170.96499999999997</v>
      </c>
      <c r="AE27" s="25">
        <f t="shared" si="62"/>
        <v>185.58799999999999</v>
      </c>
      <c r="AF27" s="25">
        <f t="shared" si="62"/>
        <v>204.68600000000001</v>
      </c>
      <c r="AG27" s="25">
        <f t="shared" si="62"/>
        <v>184.31399999999999</v>
      </c>
      <c r="AH27" s="25">
        <f t="shared" si="62"/>
        <v>225.82</v>
      </c>
      <c r="AI27" s="25">
        <f t="shared" si="62"/>
        <v>284.32799999999997</v>
      </c>
      <c r="AJ27" s="25">
        <f t="shared" si="62"/>
        <v>294.32</v>
      </c>
      <c r="AK27" s="25">
        <f t="shared" si="62"/>
        <v>264.60400000000004</v>
      </c>
      <c r="AL27" s="25">
        <f t="shared" si="62"/>
        <v>312.786</v>
      </c>
      <c r="AM27" s="25">
        <f t="shared" si="62"/>
        <v>262.67700000000002</v>
      </c>
      <c r="AN27" s="25">
        <f t="shared" si="62"/>
        <v>265.90099999999995</v>
      </c>
      <c r="AO27" s="572">
        <f t="shared" si="62"/>
        <v>254.91300000000004</v>
      </c>
      <c r="AP27" s="25">
        <f t="shared" si="62"/>
        <v>310.77800000000002</v>
      </c>
      <c r="AQ27" s="25">
        <f t="shared" si="62"/>
        <v>286.66399999999999</v>
      </c>
      <c r="AR27" s="25">
        <f t="shared" si="62"/>
        <v>253.24800000000002</v>
      </c>
      <c r="AS27" s="572">
        <f t="shared" si="62"/>
        <v>212.35999999999999</v>
      </c>
      <c r="AT27" s="25">
        <f t="shared" si="62"/>
        <v>302.21800000000007</v>
      </c>
      <c r="AU27" s="25">
        <f t="shared" si="62"/>
        <v>241.53399999999993</v>
      </c>
      <c r="AV27" s="25">
        <f t="shared" si="62"/>
        <v>326.77200000000011</v>
      </c>
      <c r="AW27" s="572">
        <f t="shared" si="62"/>
        <v>306.142</v>
      </c>
      <c r="AX27" s="25">
        <f t="shared" si="62"/>
        <v>337.17900000000009</v>
      </c>
      <c r="AY27" s="25">
        <f t="shared" si="62"/>
        <v>370.39999999999992</v>
      </c>
      <c r="AZ27" s="25">
        <f t="shared" si="62"/>
        <v>533.76700000000005</v>
      </c>
      <c r="BA27" s="572">
        <f t="shared" si="62"/>
        <v>383.29100000000005</v>
      </c>
      <c r="BB27" s="25">
        <f>BB16+BB26-(BB31+BB32)</f>
        <v>544.30999999999995</v>
      </c>
      <c r="BC27" s="25">
        <f>BC16+BC26-(BC31+BC32)</f>
        <v>999.38000000000011</v>
      </c>
      <c r="BD27" s="25">
        <f>BD16+BD26-(BD31+BD32)</f>
        <v>789.79399999999987</v>
      </c>
      <c r="BE27" s="572">
        <f t="shared" si="62"/>
        <v>928.37999999999988</v>
      </c>
      <c r="BF27" s="25">
        <f t="shared" ref="BF27:BU27" si="63">BF16+BF26-(BF31+BF32)</f>
        <v>1069.799</v>
      </c>
      <c r="BG27" s="25">
        <f t="shared" si="63"/>
        <v>1096.7820000000002</v>
      </c>
      <c r="BH27" s="25">
        <f t="shared" si="63"/>
        <v>1053.7889999999998</v>
      </c>
      <c r="BI27" s="572">
        <f t="shared" si="63"/>
        <v>886.67000000000007</v>
      </c>
      <c r="BJ27" s="946">
        <f>BJ16+BJ26-(BJ31+BJ32)</f>
        <v>714.78000000000009</v>
      </c>
      <c r="BK27" s="946">
        <f>BK16+BK26-(BK31+BK32)</f>
        <v>736.25</v>
      </c>
      <c r="BL27" s="946">
        <f>BL16+BL26-(BL31+BL32)</f>
        <v>766.69599999999991</v>
      </c>
      <c r="BM27" s="572">
        <f>BM16+BM26-(BM31+BM32)</f>
        <v>807.3119999999999</v>
      </c>
      <c r="BN27" s="25">
        <f t="shared" si="63"/>
        <v>747.94299999999998</v>
      </c>
      <c r="BO27" s="25">
        <f t="shared" si="63"/>
        <v>884.30600000000015</v>
      </c>
      <c r="BP27" s="25">
        <f t="shared" si="63"/>
        <v>1000.9840000000002</v>
      </c>
      <c r="BQ27" s="572">
        <f t="shared" si="63"/>
        <v>1063.2280000000001</v>
      </c>
      <c r="BR27" s="25">
        <f>BR16+BR26-(BR31+BR32)</f>
        <v>1175.1349999999998</v>
      </c>
      <c r="BS27" s="946">
        <f>BS16+BS26-(BS31+BS32)</f>
        <v>1029.4929999999997</v>
      </c>
      <c r="BT27" s="946">
        <f t="shared" si="63"/>
        <v>1346.9260000000002</v>
      </c>
      <c r="BU27" s="572">
        <f t="shared" si="63"/>
        <v>1368.393</v>
      </c>
      <c r="BV27" s="946">
        <f t="shared" ref="BV27:CG27" si="64">BV16+BV26-(BV31+BV32)</f>
        <v>1335.931</v>
      </c>
      <c r="BW27" s="946">
        <f t="shared" si="64"/>
        <v>1581.1118156714961</v>
      </c>
      <c r="BX27" s="946">
        <f t="shared" si="64"/>
        <v>1702.2190986876089</v>
      </c>
      <c r="BY27" s="572">
        <f t="shared" si="64"/>
        <v>1799.3994843661985</v>
      </c>
      <c r="BZ27" s="946">
        <f t="shared" si="64"/>
        <v>1798.6009997498124</v>
      </c>
      <c r="CA27" s="946">
        <f t="shared" si="64"/>
        <v>1827.1383384601654</v>
      </c>
      <c r="CB27" s="946">
        <f t="shared" si="64"/>
        <v>2025.0137717169252</v>
      </c>
      <c r="CC27" s="572">
        <f t="shared" si="64"/>
        <v>2022.3430238177548</v>
      </c>
      <c r="CD27" s="946">
        <f t="shared" si="64"/>
        <v>2103.7372805639316</v>
      </c>
      <c r="CE27" s="946">
        <f t="shared" si="64"/>
        <v>2170.1015625456234</v>
      </c>
      <c r="CF27" s="946">
        <f t="shared" si="64"/>
        <v>2369.9183745055652</v>
      </c>
      <c r="CG27" s="572">
        <f t="shared" si="64"/>
        <v>2400.8565381812714</v>
      </c>
    </row>
    <row r="28" spans="1:85" s="168" customFormat="1" ht="12.75" customHeight="1">
      <c r="A28" s="18"/>
      <c r="B28" s="15" t="s">
        <v>155</v>
      </c>
      <c r="C28" s="61"/>
      <c r="D28" s="61" t="str">
        <f t="shared" ref="D28:T28" ca="1" si="65">IF(ISERROR(D27/C27-1)," ",(D27/C27-1))</f>
        <v xml:space="preserve"> </v>
      </c>
      <c r="E28" s="61">
        <f t="shared" ca="1" si="65"/>
        <v>-7.3956705545118018E-2</v>
      </c>
      <c r="F28" s="61">
        <f t="shared" ca="1" si="65"/>
        <v>9.6864411891489643E-2</v>
      </c>
      <c r="G28" s="61">
        <f t="shared" ca="1" si="65"/>
        <v>0.43393159171782547</v>
      </c>
      <c r="H28" s="61">
        <f t="shared" ca="1" si="65"/>
        <v>2.544730382986371E-2</v>
      </c>
      <c r="I28" s="61">
        <f t="shared" ca="1" si="65"/>
        <v>-3.0308945640563745E-2</v>
      </c>
      <c r="J28" s="61">
        <f t="shared" ca="1" si="65"/>
        <v>0.10687738112036205</v>
      </c>
      <c r="K28" s="61">
        <f t="shared" si="65"/>
        <v>0.38071211371791081</v>
      </c>
      <c r="L28" s="61">
        <f t="shared" si="65"/>
        <v>1.0077494234096602</v>
      </c>
      <c r="M28" s="61">
        <f t="shared" si="65"/>
        <v>0.25910828900285221</v>
      </c>
      <c r="N28" s="61">
        <f t="shared" si="65"/>
        <v>-0.26345056293583691</v>
      </c>
      <c r="O28" s="61">
        <f t="shared" si="65"/>
        <v>0.22195522833101622</v>
      </c>
      <c r="P28" s="61">
        <f t="shared" si="65"/>
        <v>0.33098847789818331</v>
      </c>
      <c r="Q28" s="61">
        <f t="shared" ref="Q28" si="66">IF(ISERROR(Q27/P27-1)," ",(Q27/P27-1))</f>
        <v>0.30462002918431996</v>
      </c>
      <c r="R28" s="61">
        <f t="shared" ref="R28" si="67">IF(ISERROR(R27/Q27-1)," ",(R27/Q27-1))</f>
        <v>0.19543556780678184</v>
      </c>
      <c r="S28" s="61">
        <f t="shared" ref="S28" si="68">IF(ISERROR(S27/R27-1)," ",(S27/R27-1))</f>
        <v>0.17874370373389303</v>
      </c>
      <c r="T28" s="61">
        <f t="shared" si="65"/>
        <v>0.29115449368960555</v>
      </c>
      <c r="U28" s="187"/>
      <c r="V28" s="61" t="str">
        <f>IF(ISERROR(V27/#REF!-1),"",V27/#REF!-1)</f>
        <v/>
      </c>
      <c r="W28" s="61" t="str">
        <f>IF(ISERROR(W27/#REF!-1),"",W27/#REF!-1)</f>
        <v/>
      </c>
      <c r="X28" s="61" t="str">
        <f>IF(ISERROR(X27/#REF!-1),"",X27/#REF!-1)</f>
        <v/>
      </c>
      <c r="Y28" s="61" t="str">
        <f>IF(ISERROR(Y27/#REF!-1),"",Y27/#REF!-1)</f>
        <v/>
      </c>
      <c r="Z28" s="61">
        <f t="shared" ref="Z28:AW28" si="69">IF(ISERROR(Z27/V27-1),"",Z27/V27-1)</f>
        <v>-6.9038031319910487E-2</v>
      </c>
      <c r="AA28" s="61">
        <f t="shared" si="69"/>
        <v>-0.11860145125651556</v>
      </c>
      <c r="AB28" s="61">
        <f t="shared" si="69"/>
        <v>-2.9963294828889042E-2</v>
      </c>
      <c r="AC28" s="61">
        <f t="shared" si="69"/>
        <v>-6.7613404168369584E-2</v>
      </c>
      <c r="AD28" s="61">
        <f t="shared" si="69"/>
        <v>2.7088239534771796E-2</v>
      </c>
      <c r="AE28" s="61">
        <f t="shared" si="69"/>
        <v>-5.6276219775749481E-2</v>
      </c>
      <c r="AF28" s="61">
        <f t="shared" si="69"/>
        <v>0.13898580482891787</v>
      </c>
      <c r="AG28" s="61">
        <f t="shared" si="69"/>
        <v>0.34640923933290968</v>
      </c>
      <c r="AH28" s="61">
        <f t="shared" si="69"/>
        <v>0.32085514579007413</v>
      </c>
      <c r="AI28" s="61">
        <f t="shared" si="69"/>
        <v>0.53203870939931441</v>
      </c>
      <c r="AJ28" s="61">
        <f t="shared" si="69"/>
        <v>0.43790977399529019</v>
      </c>
      <c r="AK28" s="61">
        <f t="shared" si="69"/>
        <v>0.4356153086580512</v>
      </c>
      <c r="AL28" s="61">
        <f t="shared" si="69"/>
        <v>0.38511203613497491</v>
      </c>
      <c r="AM28" s="61">
        <f t="shared" si="69"/>
        <v>-7.6147969950198235E-2</v>
      </c>
      <c r="AN28" s="61">
        <f t="shared" si="69"/>
        <v>-9.6558167980429599E-2</v>
      </c>
      <c r="AO28" s="569">
        <f t="shared" si="69"/>
        <v>-3.6624540823267937E-2</v>
      </c>
      <c r="AP28" s="61">
        <f t="shared" si="69"/>
        <v>-6.4197246679837949E-3</v>
      </c>
      <c r="AQ28" s="61">
        <f t="shared" si="69"/>
        <v>9.1317473551167261E-2</v>
      </c>
      <c r="AR28" s="61">
        <f t="shared" si="69"/>
        <v>-4.7585379520949322E-2</v>
      </c>
      <c r="AS28" s="569">
        <f t="shared" si="69"/>
        <v>-0.16693146289126115</v>
      </c>
      <c r="AT28" s="61">
        <f t="shared" si="69"/>
        <v>-2.7543777230048305E-2</v>
      </c>
      <c r="AU28" s="61">
        <f t="shared" si="69"/>
        <v>-0.15743169703904236</v>
      </c>
      <c r="AV28" s="61">
        <f t="shared" si="69"/>
        <v>0.29032410917361662</v>
      </c>
      <c r="AW28" s="569">
        <f t="shared" si="69"/>
        <v>0.44161800715765698</v>
      </c>
      <c r="AX28" s="61">
        <f t="shared" ref="AX28:BE28" si="70">IF(ISERROR(AX27/AT27-1),"",AX27/AT27-1)</f>
        <v>0.11568139554890844</v>
      </c>
      <c r="AY28" s="61">
        <f t="shared" si="70"/>
        <v>0.53353151109160613</v>
      </c>
      <c r="AZ28" s="61">
        <f t="shared" si="70"/>
        <v>0.63345390669947199</v>
      </c>
      <c r="BA28" s="569">
        <f t="shared" si="70"/>
        <v>0.25200397201298763</v>
      </c>
      <c r="BB28" s="61">
        <f t="shared" si="70"/>
        <v>0.61430575451021507</v>
      </c>
      <c r="BC28" s="61">
        <f>IF(ISERROR(BC27/AY27-1),"",BC27/AY27-1)</f>
        <v>1.698110151187906</v>
      </c>
      <c r="BD28" s="61">
        <f t="shared" si="70"/>
        <v>0.47966060097383267</v>
      </c>
      <c r="BE28" s="569">
        <f t="shared" si="70"/>
        <v>1.4221283567837486</v>
      </c>
      <c r="BF28" s="61">
        <f t="shared" ref="BF28:BU28" si="71">IF(ISERROR(BF27/BB27-1),"",BF27/BB27-1)</f>
        <v>0.96542227774613742</v>
      </c>
      <c r="BG28" s="61">
        <f t="shared" si="71"/>
        <v>9.7462426704556959E-2</v>
      </c>
      <c r="BH28" s="61">
        <f t="shared" si="71"/>
        <v>0.33425804703504958</v>
      </c>
      <c r="BI28" s="569">
        <f t="shared" si="71"/>
        <v>-4.4927723561472455E-2</v>
      </c>
      <c r="BJ28" s="61">
        <f t="shared" si="71"/>
        <v>-0.33185579721050396</v>
      </c>
      <c r="BK28" s="61">
        <f t="shared" si="71"/>
        <v>-0.32871801324237637</v>
      </c>
      <c r="BL28" s="61">
        <f t="shared" si="71"/>
        <v>-0.27243878992853399</v>
      </c>
      <c r="BM28" s="569">
        <f t="shared" si="71"/>
        <v>-8.9501167288844941E-2</v>
      </c>
      <c r="BN28" s="61">
        <f t="shared" si="71"/>
        <v>4.639609390301902E-2</v>
      </c>
      <c r="BO28" s="61">
        <f t="shared" si="71"/>
        <v>0.20109473684210544</v>
      </c>
      <c r="BP28" s="61">
        <f t="shared" si="71"/>
        <v>0.30558135167002343</v>
      </c>
      <c r="BQ28" s="569">
        <f t="shared" si="71"/>
        <v>0.31699764155617682</v>
      </c>
      <c r="BR28" s="61">
        <f t="shared" si="71"/>
        <v>0.57115582337156678</v>
      </c>
      <c r="BS28" s="61">
        <f t="shared" si="71"/>
        <v>0.16418185560201959</v>
      </c>
      <c r="BT28" s="61">
        <f t="shared" si="71"/>
        <v>0.34560192770314013</v>
      </c>
      <c r="BU28" s="569">
        <f t="shared" si="71"/>
        <v>0.28701746003679363</v>
      </c>
      <c r="BV28" s="61">
        <f t="shared" ref="BV28:CG28" si="72">IF(ISERROR(BV27/BR27-1),"",BV27/BR27-1)</f>
        <v>0.13683193845813491</v>
      </c>
      <c r="BW28" s="61">
        <f t="shared" si="72"/>
        <v>0.53581599454439854</v>
      </c>
      <c r="BX28" s="61">
        <f t="shared" si="72"/>
        <v>0.26378071155179184</v>
      </c>
      <c r="BY28" s="569">
        <f t="shared" si="72"/>
        <v>0.31497273397788383</v>
      </c>
      <c r="BZ28" s="61">
        <f t="shared" si="72"/>
        <v>0.34632776674080645</v>
      </c>
      <c r="CA28" s="61">
        <f t="shared" si="72"/>
        <v>0.15560349391493355</v>
      </c>
      <c r="CB28" s="61">
        <f t="shared" si="72"/>
        <v>0.18963168329986857</v>
      </c>
      <c r="CC28" s="569">
        <f t="shared" si="72"/>
        <v>0.12389885702900694</v>
      </c>
      <c r="CD28" s="61">
        <f t="shared" si="72"/>
        <v>0.1696520133462418</v>
      </c>
      <c r="CE28" s="61">
        <f t="shared" si="72"/>
        <v>0.18770512164639541</v>
      </c>
      <c r="CF28" s="61">
        <f t="shared" si="72"/>
        <v>0.17032210230165967</v>
      </c>
      <c r="CG28" s="569">
        <f t="shared" si="72"/>
        <v>0.18716583186217517</v>
      </c>
    </row>
    <row r="29" spans="1:85" s="168" customFormat="1" ht="12.75" customHeight="1">
      <c r="A29" s="18"/>
      <c r="B29" s="15" t="s">
        <v>227</v>
      </c>
      <c r="C29" s="63"/>
      <c r="D29" s="63">
        <f t="shared" ref="D29:P29" ca="1" si="73">D27/D$9</f>
        <v>0.35476547682801629</v>
      </c>
      <c r="E29" s="63">
        <f t="shared" ca="1" si="73"/>
        <v>0.34503793466486216</v>
      </c>
      <c r="F29" s="63">
        <f t="shared" ca="1" si="73"/>
        <v>0.33336970106174391</v>
      </c>
      <c r="G29" s="63">
        <f t="shared" ca="1" si="73"/>
        <v>0.36685173873954252</v>
      </c>
      <c r="H29" s="63">
        <f t="shared" ca="1" si="73"/>
        <v>0.35350375260989786</v>
      </c>
      <c r="I29" s="63">
        <f t="shared" ca="1" si="73"/>
        <v>0.31638543516873885</v>
      </c>
      <c r="J29" s="63">
        <f t="shared" si="73"/>
        <v>0.37766042125101762</v>
      </c>
      <c r="K29" s="63">
        <f t="shared" si="73"/>
        <v>0.41582989397167885</v>
      </c>
      <c r="L29" s="63">
        <f t="shared" si="73"/>
        <v>0.59926453837437121</v>
      </c>
      <c r="M29" s="63">
        <f t="shared" si="73"/>
        <v>0.56467477414603917</v>
      </c>
      <c r="N29" s="63">
        <f>N27/N$9</f>
        <v>0.47852713570700905</v>
      </c>
      <c r="O29" s="63">
        <f t="shared" si="73"/>
        <v>0.46033591115030909</v>
      </c>
      <c r="P29" s="63">
        <f t="shared" si="73"/>
        <v>0.52750648963272384</v>
      </c>
      <c r="Q29" s="63">
        <f t="shared" ref="Q29:S29" si="74">Q27/Q$9</f>
        <v>0.55436078015294821</v>
      </c>
      <c r="R29" s="63">
        <f t="shared" si="74"/>
        <v>0.55324770609668561</v>
      </c>
      <c r="S29" s="63">
        <f t="shared" si="74"/>
        <v>0.53987960742361274</v>
      </c>
      <c r="T29" s="63">
        <f>T27/T$9</f>
        <v>0.58487678338698545</v>
      </c>
      <c r="U29" s="187"/>
      <c r="V29" s="63">
        <f t="shared" ref="V29:AR29" si="75">V27/V$9</f>
        <v>0.35645293445691767</v>
      </c>
      <c r="W29" s="63">
        <f t="shared" si="75"/>
        <v>0.41218580385810505</v>
      </c>
      <c r="X29" s="63">
        <f t="shared" si="75"/>
        <v>0.34676260070078763</v>
      </c>
      <c r="Y29" s="63">
        <f t="shared" si="75"/>
        <v>0.29853781133272472</v>
      </c>
      <c r="Z29" s="63">
        <f t="shared" si="75"/>
        <v>0.36901412822030538</v>
      </c>
      <c r="AA29" s="63">
        <f t="shared" si="75"/>
        <v>0.38458454582433743</v>
      </c>
      <c r="AB29" s="63">
        <f t="shared" si="75"/>
        <v>0.34450374391828947</v>
      </c>
      <c r="AC29" s="63">
        <f t="shared" si="75"/>
        <v>0.28173486755314442</v>
      </c>
      <c r="AD29" s="63">
        <f t="shared" si="75"/>
        <v>0.33535831839277513</v>
      </c>
      <c r="AE29" s="63">
        <f t="shared" si="75"/>
        <v>0.33952233290341466</v>
      </c>
      <c r="AF29" s="63">
        <f t="shared" si="75"/>
        <v>0.35919024873037653</v>
      </c>
      <c r="AG29" s="63">
        <f t="shared" si="75"/>
        <v>0.30208080662396664</v>
      </c>
      <c r="AH29" s="63">
        <f t="shared" si="75"/>
        <v>0.35600776904740883</v>
      </c>
      <c r="AI29" s="63">
        <f t="shared" si="75"/>
        <v>0.41193762577493293</v>
      </c>
      <c r="AJ29" s="63">
        <f t="shared" si="75"/>
        <v>0.37984371067761935</v>
      </c>
      <c r="AK29" s="63">
        <f t="shared" si="75"/>
        <v>0.32474638010215984</v>
      </c>
      <c r="AL29" s="63">
        <f t="shared" si="75"/>
        <v>0.39439152171583119</v>
      </c>
      <c r="AM29" s="63">
        <f t="shared" si="75"/>
        <v>0.34967977603625172</v>
      </c>
      <c r="AN29" s="63">
        <f t="shared" si="75"/>
        <v>0.34545024638733668</v>
      </c>
      <c r="AO29" s="573">
        <f t="shared" si="75"/>
        <v>0.32383310424378858</v>
      </c>
      <c r="AP29" s="63">
        <f t="shared" si="75"/>
        <v>0.37396094550950376</v>
      </c>
      <c r="AQ29" s="63">
        <f t="shared" si="75"/>
        <v>0.32183655116743554</v>
      </c>
      <c r="AR29" s="63">
        <f t="shared" si="75"/>
        <v>0.2977069623422699</v>
      </c>
      <c r="AS29" s="573">
        <f>AS27/AS$9</f>
        <v>0.26964123596147616</v>
      </c>
      <c r="AT29" s="63">
        <f>AT27/AT$9</f>
        <v>0.45181410048452769</v>
      </c>
      <c r="AU29" s="63">
        <f>AU27/AU$9</f>
        <v>0.30539827686051768</v>
      </c>
      <c r="AV29" s="63">
        <f>AV27/AV$9</f>
        <v>0.40023418400591843</v>
      </c>
      <c r="AW29" s="573">
        <f>AW27/AW$9</f>
        <v>0.36469832828829729</v>
      </c>
      <c r="AX29" s="63">
        <f t="shared" ref="AX29:BE29" si="76">AX27/AX$9</f>
        <v>0.37260971232561846</v>
      </c>
      <c r="AY29" s="63">
        <f t="shared" si="76"/>
        <v>0.39468790991227137</v>
      </c>
      <c r="AZ29" s="63">
        <f t="shared" si="76"/>
        <v>0.49308502039251551</v>
      </c>
      <c r="BA29" s="573">
        <f t="shared" si="76"/>
        <v>0.39067674384233947</v>
      </c>
      <c r="BB29" s="63">
        <f t="shared" si="76"/>
        <v>0.49319122293410317</v>
      </c>
      <c r="BC29" s="63">
        <f>BC27/BC$9</f>
        <v>0.74352988091677574</v>
      </c>
      <c r="BD29" s="63">
        <f t="shared" si="76"/>
        <v>0.55803920294043241</v>
      </c>
      <c r="BE29" s="573">
        <f t="shared" si="76"/>
        <v>0.58756033793674789</v>
      </c>
      <c r="BF29" s="63">
        <f t="shared" ref="BF29:BU29" si="77">BF27/BF$9</f>
        <v>0.58081463971325165</v>
      </c>
      <c r="BG29" s="63">
        <f t="shared" si="77"/>
        <v>0.57629400303914957</v>
      </c>
      <c r="BH29" s="63">
        <f>BH27/BH$9</f>
        <v>0.55260268197063789</v>
      </c>
      <c r="BI29" s="573">
        <f t="shared" si="77"/>
        <v>0.54689841914055037</v>
      </c>
      <c r="BJ29" s="63">
        <f>BJ27/BJ$9</f>
        <v>0.48880931800028454</v>
      </c>
      <c r="BK29" s="63">
        <f>BK27/BK$9</f>
        <v>0.47183535461511056</v>
      </c>
      <c r="BL29" s="63">
        <f>BL27/BL$9</f>
        <v>0.47310063020763587</v>
      </c>
      <c r="BM29" s="573">
        <f>BM27/BM$9</f>
        <v>0.48102989991652256</v>
      </c>
      <c r="BN29" s="63">
        <f t="shared" si="77"/>
        <v>0.42735302049622437</v>
      </c>
      <c r="BO29" s="63">
        <f t="shared" si="77"/>
        <v>0.46511185119887916</v>
      </c>
      <c r="BP29" s="63">
        <f t="shared" si="77"/>
        <v>0.46103055101631002</v>
      </c>
      <c r="BQ29" s="573">
        <f t="shared" si="77"/>
        <v>0.48169127537454454</v>
      </c>
      <c r="BR29" s="63">
        <f t="shared" si="77"/>
        <v>0.52293275056392363</v>
      </c>
      <c r="BS29" s="63">
        <f t="shared" si="77"/>
        <v>0.46603089269401632</v>
      </c>
      <c r="BT29" s="63">
        <f t="shared" si="77"/>
        <v>0.56550237591222186</v>
      </c>
      <c r="BU29" s="573">
        <f t="shared" si="77"/>
        <v>0.54984027869860286</v>
      </c>
      <c r="BV29" s="63">
        <f t="shared" ref="BV29:CG29" si="78">BV27/BV$9</f>
        <v>0.53320212796953248</v>
      </c>
      <c r="BW29" s="63">
        <f t="shared" si="78"/>
        <v>0.54762712294470672</v>
      </c>
      <c r="BX29" s="63">
        <f t="shared" si="78"/>
        <v>0.56327809134331963</v>
      </c>
      <c r="BY29" s="573">
        <f t="shared" si="78"/>
        <v>0.56874411833109173</v>
      </c>
      <c r="BZ29" s="63">
        <f t="shared" si="78"/>
        <v>0.57985253086084343</v>
      </c>
      <c r="CA29" s="63">
        <f t="shared" si="78"/>
        <v>0.55893005249924099</v>
      </c>
      <c r="CB29" s="63">
        <f t="shared" si="78"/>
        <v>0.55224818208633686</v>
      </c>
      <c r="CC29" s="573">
        <f t="shared" si="78"/>
        <v>0.5278180931191182</v>
      </c>
      <c r="CD29" s="63">
        <f t="shared" si="78"/>
        <v>0.54567457557549037</v>
      </c>
      <c r="CE29" s="63">
        <f t="shared" si="78"/>
        <v>0.54331964548515699</v>
      </c>
      <c r="CF29" s="63">
        <f t="shared" si="78"/>
        <v>0.54711960665305281</v>
      </c>
      <c r="CG29" s="573">
        <f t="shared" si="78"/>
        <v>0.52512825655915585</v>
      </c>
    </row>
    <row r="30" spans="1:85" ht="12.75" customHeight="1">
      <c r="A30" s="17"/>
      <c r="B30" s="6"/>
      <c r="C30" s="65"/>
      <c r="D30" s="65"/>
      <c r="E30" s="65"/>
      <c r="F30" s="65"/>
      <c r="G30" s="153"/>
      <c r="H30" s="153"/>
      <c r="I30" s="153"/>
      <c r="J30" s="153"/>
      <c r="K30" s="153"/>
      <c r="L30" s="153"/>
      <c r="M30" s="153"/>
      <c r="N30" s="153"/>
      <c r="O30" s="153"/>
      <c r="P30" s="65"/>
      <c r="Q30" s="167"/>
      <c r="R30" s="65"/>
      <c r="S30" s="65"/>
      <c r="T30" s="65"/>
      <c r="U30" s="187"/>
      <c r="V30" s="65"/>
      <c r="W30" s="65"/>
      <c r="X30" s="65"/>
      <c r="Y30" s="65"/>
      <c r="Z30" s="65"/>
      <c r="AA30" s="65"/>
      <c r="AB30" s="65"/>
      <c r="AC30" s="65"/>
      <c r="AD30" s="65"/>
      <c r="AE30" s="65"/>
      <c r="AF30" s="65"/>
      <c r="AG30" s="65"/>
      <c r="AH30" s="65"/>
      <c r="AI30" s="65"/>
      <c r="AJ30" s="65"/>
      <c r="AK30" s="65"/>
      <c r="AL30" s="65"/>
      <c r="AM30" s="65"/>
      <c r="AN30" s="65"/>
      <c r="AO30" s="576"/>
      <c r="AP30" s="65"/>
      <c r="AQ30" s="65"/>
      <c r="AR30" s="65"/>
      <c r="AS30" s="576"/>
      <c r="AT30" s="65"/>
      <c r="AU30" s="65"/>
      <c r="AV30" s="65"/>
      <c r="AW30" s="576"/>
      <c r="AX30" s="65"/>
      <c r="AY30" s="65"/>
      <c r="AZ30" s="65"/>
      <c r="BA30" s="576"/>
      <c r="BB30" s="65"/>
      <c r="BC30" s="65"/>
      <c r="BD30" s="65"/>
      <c r="BE30" s="576"/>
      <c r="BF30" s="65"/>
      <c r="BG30" s="65"/>
      <c r="BH30" s="65"/>
      <c r="BI30" s="576"/>
      <c r="BJ30" s="65"/>
      <c r="BK30" s="65"/>
      <c r="BL30" s="65"/>
      <c r="BM30" s="576"/>
      <c r="BN30" s="65"/>
      <c r="BO30" s="167"/>
      <c r="BP30" s="65"/>
      <c r="BQ30" s="576"/>
      <c r="BR30" s="65"/>
      <c r="BS30" s="65"/>
      <c r="BT30" s="65"/>
      <c r="BU30" s="576"/>
      <c r="BV30" s="65"/>
      <c r="BW30" s="65"/>
      <c r="BX30" s="65"/>
      <c r="BY30" s="576"/>
      <c r="BZ30" s="65"/>
      <c r="CA30" s="65"/>
      <c r="CB30" s="65"/>
      <c r="CC30" s="576"/>
      <c r="CD30" s="65"/>
      <c r="CE30" s="65"/>
      <c r="CF30" s="65"/>
      <c r="CG30" s="576"/>
    </row>
    <row r="31" spans="1:85" ht="12.75" customHeight="1">
      <c r="A31" s="28"/>
      <c r="B31" s="23" t="s">
        <v>138</v>
      </c>
      <c r="C31" s="44"/>
      <c r="D31" s="150">
        <f>-Depreciation!CF96-D32</f>
        <v>-501.92299999999994</v>
      </c>
      <c r="E31" s="150">
        <f>-Depreciation!CG96-E32</f>
        <v>-506.3660000000001</v>
      </c>
      <c r="F31" s="41">
        <f>-Depreciation!CH96-F32</f>
        <v>-473.00799999999998</v>
      </c>
      <c r="G31" s="41">
        <f>-Depreciation!CI96-G32</f>
        <v>-673.16099999999994</v>
      </c>
      <c r="H31" s="41">
        <f>-Depreciation!CJ95-H32</f>
        <v>-906.03399999999999</v>
      </c>
      <c r="I31" s="41">
        <f>-Depreciation!CK95-I32</f>
        <v>-994.64200000000005</v>
      </c>
      <c r="J31" s="41">
        <f>-Depreciation!CL95-J32</f>
        <v>-1095.5300000000002</v>
      </c>
      <c r="K31" s="41">
        <f>-Depreciation!CM95-K32</f>
        <v>-1283.3340000000001</v>
      </c>
      <c r="L31" s="41">
        <f>-Depreciation!CN95-L32</f>
        <v>-1839.9450000000002</v>
      </c>
      <c r="M31" s="41">
        <f>-Depreciation!CO95-M32</f>
        <v>-2242.0039999999999</v>
      </c>
      <c r="N31" s="41">
        <f>-Depreciation!CP95-N32</f>
        <v>-2637.9340000000002</v>
      </c>
      <c r="O31" s="41">
        <f>-Depreciation!CQ95-O32</f>
        <v>-3193.7060000000001</v>
      </c>
      <c r="P31" s="41">
        <f>-Depreciation!CR95-P32</f>
        <v>-3780.6530000000002</v>
      </c>
      <c r="Q31" s="1139">
        <f>-Depreciation!CS95-Q32</f>
        <v>-4938.898330671429</v>
      </c>
      <c r="R31" s="41">
        <f>-Depreciation!CT95-R32</f>
        <v>-5654.9998567292714</v>
      </c>
      <c r="S31" s="41">
        <f>-Depreciation!CU95-S32</f>
        <v>-6224.2001252071586</v>
      </c>
      <c r="T31" s="520">
        <f>-'10y capex'!N113-T32</f>
        <v>-7898.0302108813476</v>
      </c>
      <c r="U31" s="187"/>
      <c r="V31" s="21">
        <f>-Depreciation!N95-V32</f>
        <v>-124.50525</v>
      </c>
      <c r="W31" s="21">
        <f>-Depreciation!O95-W32</f>
        <v>-124.46524999999998</v>
      </c>
      <c r="X31" s="21">
        <f>-Depreciation!P95-X32</f>
        <v>-125.47824999999999</v>
      </c>
      <c r="Y31" s="21">
        <f>-Depreciation!Q95-Y32</f>
        <v>-127.47425</v>
      </c>
      <c r="Z31" s="21">
        <f>-Depreciation!R95-Z32</f>
        <v>-126.09550000000002</v>
      </c>
      <c r="AA31" s="21">
        <f>-Depreciation!S95-AA32</f>
        <v>-127.6875</v>
      </c>
      <c r="AB31" s="21">
        <f>-Depreciation!T95-AB32</f>
        <v>-128.11350000000002</v>
      </c>
      <c r="AC31" s="21">
        <f>-Depreciation!U95-AC32</f>
        <v>-124.46950000000001</v>
      </c>
      <c r="AD31" s="21">
        <f>-Depreciation!V95-AD32</f>
        <v>-112.82575</v>
      </c>
      <c r="AE31" s="21">
        <f>-Depreciation!W95-AE32</f>
        <v>-112.27575</v>
      </c>
      <c r="AF31" s="21">
        <f>-Depreciation!X95-AF32</f>
        <v>-117.82475000000001</v>
      </c>
      <c r="AG31" s="21">
        <f>-Depreciation!Y95-AG32</f>
        <v>-130.08175</v>
      </c>
      <c r="AH31" s="21">
        <f>-Depreciation!Z95-AH32</f>
        <v>-145.50774999999999</v>
      </c>
      <c r="AI31" s="21">
        <f>-Depreciation!AA95-AI32</f>
        <v>-154.73174999999998</v>
      </c>
      <c r="AJ31" s="21">
        <f>-Depreciation!AB95-AJ32</f>
        <v>-171.51174999999998</v>
      </c>
      <c r="AK31" s="21">
        <f>-Depreciation!AC95-AK32</f>
        <v>-201.40975</v>
      </c>
      <c r="AL31" s="21">
        <f>-Depreciation!AD95-AL32</f>
        <v>-219.06300000000002</v>
      </c>
      <c r="AM31" s="21">
        <f>-Depreciation!AE95-AM32</f>
        <v>-224.708</v>
      </c>
      <c r="AN31" s="21">
        <f>-Depreciation!AF95-AN32</f>
        <v>-226.85900000000001</v>
      </c>
      <c r="AO31" s="575">
        <f>-Depreciation!AG95-AO32</f>
        <v>-235.40400000000002</v>
      </c>
      <c r="AP31" s="21">
        <f>-Depreciation!AH95-AP32</f>
        <v>-255.07400000000001</v>
      </c>
      <c r="AQ31" s="21">
        <f>-Depreciation!AI95-AQ32</f>
        <v>-254.08600000000001</v>
      </c>
      <c r="AR31" s="21">
        <f>-Depreciation!AJ95-AR32</f>
        <v>-245.63400000000001</v>
      </c>
      <c r="AS31" s="575">
        <f>-Depreciation!AK95-AS32</f>
        <v>-239.84799999999998</v>
      </c>
      <c r="AT31" s="21">
        <f>-Depreciation!AL95-AT32</f>
        <v>-269.7165</v>
      </c>
      <c r="AU31" s="21">
        <f>-Depreciation!AM95-AU32</f>
        <v>-276.3075</v>
      </c>
      <c r="AV31" s="21">
        <f>-Depreciation!AN95-AV32</f>
        <v>-271.56550000000004</v>
      </c>
      <c r="AW31" s="575">
        <f>-Depreciation!AO95-AW32</f>
        <v>-277.94050000000004</v>
      </c>
      <c r="AX31" s="21">
        <f>-Depreciation!AP95-AX32</f>
        <v>-282.49875000000003</v>
      </c>
      <c r="AY31" s="21">
        <f>-Depreciation!AQ95-AY32</f>
        <v>-298.39474999999999</v>
      </c>
      <c r="AZ31" s="21">
        <f>-Depreciation!AR95-AZ32</f>
        <v>-343.73775000000001</v>
      </c>
      <c r="BA31" s="575">
        <f>-Depreciation!AS95-BA32</f>
        <v>-358.70274999999998</v>
      </c>
      <c r="BB31" s="21">
        <f>-Depreciation!AT95-BB32</f>
        <v>-412.32974999999999</v>
      </c>
      <c r="BC31" s="21">
        <f>-Depreciation!AU95-BC32</f>
        <v>-454.27775000000003</v>
      </c>
      <c r="BD31" s="21">
        <f>-Depreciation!AV95-BD32</f>
        <v>-472.41075000000001</v>
      </c>
      <c r="BE31" s="575">
        <f>-Depreciation!AW95-BE32</f>
        <v>-500.92675000000003</v>
      </c>
      <c r="BF31" s="575">
        <f>-Depreciation!AX95-BF32</f>
        <v>-526.48874999999998</v>
      </c>
      <c r="BG31" s="575">
        <f>-Depreciation!AY95-BG32</f>
        <v>-549.99975000000006</v>
      </c>
      <c r="BH31" s="575">
        <f>-Depreciation!AZ95-BH32</f>
        <v>-568.53075000000001</v>
      </c>
      <c r="BI31" s="575">
        <f>-Depreciation!BA95-BI32</f>
        <v>-596.98474999999996</v>
      </c>
      <c r="BJ31" s="21">
        <f>-Depreciation!BB95-BJ32</f>
        <v>-624.15774999999996</v>
      </c>
      <c r="BK31" s="21">
        <f>-Depreciation!BC95-BK32</f>
        <v>-649.11275000000001</v>
      </c>
      <c r="BL31" s="21">
        <f>-Depreciation!BD95-BL32</f>
        <v>-671.96875</v>
      </c>
      <c r="BM31" s="575">
        <f>-Depreciation!BE95-BM32</f>
        <v>-692.69475</v>
      </c>
      <c r="BN31" s="21">
        <f>-Depreciation!BF95-BN32</f>
        <v>-738.19775000000004</v>
      </c>
      <c r="BO31" s="21">
        <f>-Depreciation!BG95-BO32</f>
        <v>-789.82675000000006</v>
      </c>
      <c r="BP31" s="21">
        <f>-Depreciation!BH95-BP32</f>
        <v>-823.75774999999999</v>
      </c>
      <c r="BQ31" s="575">
        <f>-Depreciation!BI95-BQ32</f>
        <v>-841.92375000000004</v>
      </c>
      <c r="BR31" s="21">
        <f>-Depreciation!BJ95-BR32</f>
        <v>-858.22474999999997</v>
      </c>
      <c r="BS31" s="21">
        <f>-Depreciation!BK95-BS32</f>
        <v>-871.47675000000004</v>
      </c>
      <c r="BT31" s="21">
        <f>-Depreciation!BL95-BT32</f>
        <v>-988.51774999999998</v>
      </c>
      <c r="BU31" s="575">
        <f>-Depreciation!BM95-BU32</f>
        <v>-1062.4337499999999</v>
      </c>
      <c r="BV31" s="21">
        <f>-Depreciation!BN95-BV32</f>
        <v>-1080.7997499999999</v>
      </c>
      <c r="BW31" s="44">
        <f>-Depreciation!BO95-BW32</f>
        <v>-1221.0471287</v>
      </c>
      <c r="BX31" s="44">
        <f>-Depreciation!BP95-BX32</f>
        <v>-1288.3089272714287</v>
      </c>
      <c r="BY31" s="570">
        <f>-Depreciation!BQ95-BY32</f>
        <v>-1348.7425247000001</v>
      </c>
      <c r="BZ31" s="44">
        <f>-Depreciation!BR95-BZ32</f>
        <v>-1373.7009340142858</v>
      </c>
      <c r="CA31" s="44">
        <f>-Depreciation!BS95-CA32</f>
        <v>-1399.998424561757</v>
      </c>
      <c r="CB31" s="44">
        <f>-Depreciation!BT95-CB32</f>
        <v>-1418.6560254051856</v>
      </c>
      <c r="CC31" s="570">
        <f>-Depreciation!BU95-CC32</f>
        <v>-1462.6444727480432</v>
      </c>
      <c r="CD31" s="44">
        <f>-Depreciation!BV95-CD32</f>
        <v>-1494.3390949194718</v>
      </c>
      <c r="CE31" s="44">
        <f>-Depreciation!BW95-CE32</f>
        <v>-1535.5211846098</v>
      </c>
      <c r="CF31" s="44">
        <f>-Depreciation!BX95-CF32</f>
        <v>-1585.4318471675147</v>
      </c>
      <c r="CG31" s="570">
        <f>-Depreciation!BY95-CG32</f>
        <v>-1608.9079985103717</v>
      </c>
    </row>
    <row r="32" spans="1:85" ht="12.75" customHeight="1">
      <c r="A32" s="28"/>
      <c r="B32" s="23" t="s">
        <v>139</v>
      </c>
      <c r="C32" s="44"/>
      <c r="D32" s="128">
        <f>-'Basic Data TR'!E217</f>
        <v>-44.987000000000002</v>
      </c>
      <c r="E32" s="128">
        <f>-'Basic Data TR'!F217</f>
        <v>-43.101999999999997</v>
      </c>
      <c r="F32" s="44">
        <f>-'Basic Data TR'!G217</f>
        <v>-50.540999999999997</v>
      </c>
      <c r="G32" s="44">
        <f>-'Basic Data TR'!H217</f>
        <v>-56.704999999999998</v>
      </c>
      <c r="H32" s="44">
        <f>-'Basic Data TR'!I217</f>
        <v>-65.347999999999999</v>
      </c>
      <c r="I32" s="44">
        <f>-51.595-2.173</f>
        <v>-53.768000000000001</v>
      </c>
      <c r="J32" s="21">
        <v>-32.225999999999999</v>
      </c>
      <c r="K32" s="21">
        <f>SUMIF($AL$4:$VI$4,K$4,$AL32:$VI32)</f>
        <v>-29.356999999999999</v>
      </c>
      <c r="L32" s="21">
        <f>SUMIF($AL$4:$VI$4,L$4,$AL32:$VI32)</f>
        <v>-29.356999999999999</v>
      </c>
      <c r="M32" s="21">
        <f>SUMIF($AL$4:$VI$4,M$4,$AL32:$VI32)</f>
        <v>-29.356999999999999</v>
      </c>
      <c r="N32" s="21">
        <f>SUMIF($AL$4:$VI$4,N$4,$AL32:$VI32)</f>
        <v>-29.356999999999999</v>
      </c>
      <c r="O32" s="21">
        <f>SUMIF($AL$4:$VI$4,O$4,$AL32:$VI32)</f>
        <v>-29.356999999999999</v>
      </c>
      <c r="P32" s="21">
        <f>SUMIF($AL$4:$VI$4,P$4,$AL32:$VI32)</f>
        <v>-29.356999999999999</v>
      </c>
      <c r="Q32" s="21">
        <f>SUMIF($AL$4:$VI$4,Q$4,$AL32:$VI32)</f>
        <v>-29.356999999999999</v>
      </c>
      <c r="R32" s="21">
        <f>SUMIF($AL$4:$VI$4,R$4,$AL32:$VI32)</f>
        <v>-29.356999999999999</v>
      </c>
      <c r="S32" s="21">
        <f>SUMIF($AL$4:$VI$4,S$4,$AL32:$VI32)</f>
        <v>-29.356999999999999</v>
      </c>
      <c r="T32" s="510">
        <f>S32</f>
        <v>-29.356999999999999</v>
      </c>
      <c r="U32" s="187"/>
      <c r="V32" s="41">
        <f>$D$32/4</f>
        <v>-11.24675</v>
      </c>
      <c r="W32" s="41">
        <f>$D$32/4</f>
        <v>-11.24675</v>
      </c>
      <c r="X32" s="41">
        <f>$D$32/4</f>
        <v>-11.24675</v>
      </c>
      <c r="Y32" s="41">
        <f>$D$32/4</f>
        <v>-11.24675</v>
      </c>
      <c r="Z32" s="41">
        <f>$E$32/4</f>
        <v>-10.775499999999999</v>
      </c>
      <c r="AA32" s="41">
        <f>$E$32/4</f>
        <v>-10.775499999999999</v>
      </c>
      <c r="AB32" s="41">
        <f>$E$32/4</f>
        <v>-10.775499999999999</v>
      </c>
      <c r="AC32" s="41">
        <f>$E$32/4</f>
        <v>-10.775499999999999</v>
      </c>
      <c r="AD32" s="41">
        <f>$F$32/4</f>
        <v>-12.635249999999999</v>
      </c>
      <c r="AE32" s="41">
        <f>$F$32/4</f>
        <v>-12.635249999999999</v>
      </c>
      <c r="AF32" s="41">
        <f>$F$32/4</f>
        <v>-12.635249999999999</v>
      </c>
      <c r="AG32" s="41">
        <f>$F$32/4</f>
        <v>-12.635249999999999</v>
      </c>
      <c r="AH32" s="41">
        <f>$G$32/4</f>
        <v>-14.17625</v>
      </c>
      <c r="AI32" s="41">
        <f>$G$32/4</f>
        <v>-14.17625</v>
      </c>
      <c r="AJ32" s="41">
        <f>$G$32/4</f>
        <v>-14.17625</v>
      </c>
      <c r="AK32" s="41">
        <f>$G$32/4</f>
        <v>-14.17625</v>
      </c>
      <c r="AL32" s="41">
        <f>$H$32/4</f>
        <v>-16.337</v>
      </c>
      <c r="AM32" s="41">
        <f>$H$32/4</f>
        <v>-16.337</v>
      </c>
      <c r="AN32" s="41">
        <f>$H$32/4</f>
        <v>-16.337</v>
      </c>
      <c r="AO32" s="607">
        <f>$H$32/4</f>
        <v>-16.337</v>
      </c>
      <c r="AP32" s="41">
        <f>$I$32/4</f>
        <v>-13.442</v>
      </c>
      <c r="AQ32" s="41">
        <f>$I$32/4</f>
        <v>-13.442</v>
      </c>
      <c r="AR32" s="41">
        <f>$I$32/4</f>
        <v>-13.442</v>
      </c>
      <c r="AS32" s="607">
        <f>$I$32/4</f>
        <v>-13.442</v>
      </c>
      <c r="AT32" s="41">
        <f>J32/4</f>
        <v>-8.0564999999999998</v>
      </c>
      <c r="AU32" s="41">
        <f>AT32</f>
        <v>-8.0564999999999998</v>
      </c>
      <c r="AV32" s="41">
        <f>AU32</f>
        <v>-8.0564999999999998</v>
      </c>
      <c r="AW32" s="41">
        <f>AV32</f>
        <v>-8.0564999999999998</v>
      </c>
      <c r="AX32" s="21">
        <f>-29.357/4</f>
        <v>-7.3392499999999998</v>
      </c>
      <c r="AY32" s="21">
        <f>AX32</f>
        <v>-7.3392499999999998</v>
      </c>
      <c r="AZ32" s="21">
        <f>AY32</f>
        <v>-7.3392499999999998</v>
      </c>
      <c r="BA32" s="575">
        <f>AZ32</f>
        <v>-7.3392499999999998</v>
      </c>
      <c r="BB32" s="21">
        <f t="shared" ref="BB32:BV32" si="79">AX32</f>
        <v>-7.3392499999999998</v>
      </c>
      <c r="BC32" s="21">
        <f t="shared" si="79"/>
        <v>-7.3392499999999998</v>
      </c>
      <c r="BD32" s="21">
        <f t="shared" si="79"/>
        <v>-7.3392499999999998</v>
      </c>
      <c r="BE32" s="21">
        <f t="shared" si="79"/>
        <v>-7.3392499999999998</v>
      </c>
      <c r="BF32" s="21">
        <f t="shared" si="79"/>
        <v>-7.3392499999999998</v>
      </c>
      <c r="BG32" s="21">
        <f t="shared" si="79"/>
        <v>-7.3392499999999998</v>
      </c>
      <c r="BH32" s="21">
        <f t="shared" si="79"/>
        <v>-7.3392499999999998</v>
      </c>
      <c r="BI32" s="575">
        <f t="shared" si="79"/>
        <v>-7.3392499999999998</v>
      </c>
      <c r="BJ32" s="21">
        <f t="shared" si="79"/>
        <v>-7.3392499999999998</v>
      </c>
      <c r="BK32" s="21">
        <f t="shared" si="79"/>
        <v>-7.3392499999999998</v>
      </c>
      <c r="BL32" s="21">
        <f t="shared" si="79"/>
        <v>-7.3392499999999998</v>
      </c>
      <c r="BM32" s="575">
        <f t="shared" si="79"/>
        <v>-7.3392499999999998</v>
      </c>
      <c r="BN32" s="21">
        <f t="shared" si="79"/>
        <v>-7.3392499999999998</v>
      </c>
      <c r="BO32" s="21">
        <f t="shared" si="79"/>
        <v>-7.3392499999999998</v>
      </c>
      <c r="BP32" s="21">
        <f t="shared" si="79"/>
        <v>-7.3392499999999998</v>
      </c>
      <c r="BQ32" s="575">
        <f t="shared" si="79"/>
        <v>-7.3392499999999998</v>
      </c>
      <c r="BR32" s="21">
        <f t="shared" si="79"/>
        <v>-7.3392499999999998</v>
      </c>
      <c r="BS32" s="21">
        <f t="shared" si="79"/>
        <v>-7.3392499999999998</v>
      </c>
      <c r="BT32" s="21">
        <f t="shared" si="79"/>
        <v>-7.3392499999999998</v>
      </c>
      <c r="BU32" s="575">
        <f t="shared" si="79"/>
        <v>-7.3392499999999998</v>
      </c>
      <c r="BV32" s="21">
        <f t="shared" si="79"/>
        <v>-7.3392499999999998</v>
      </c>
      <c r="BW32" s="151">
        <f t="shared" ref="BW32:BY32" si="80">BS32</f>
        <v>-7.3392499999999998</v>
      </c>
      <c r="BX32" s="151">
        <f t="shared" si="80"/>
        <v>-7.3392499999999998</v>
      </c>
      <c r="BY32" s="614">
        <f t="shared" si="80"/>
        <v>-7.3392499999999998</v>
      </c>
      <c r="BZ32" s="151">
        <f t="shared" ref="BZ32" si="81">BV32</f>
        <v>-7.3392499999999998</v>
      </c>
      <c r="CA32" s="151">
        <f t="shared" ref="CA32" si="82">BW32</f>
        <v>-7.3392499999999998</v>
      </c>
      <c r="CB32" s="151">
        <f t="shared" ref="CB32" si="83">BX32</f>
        <v>-7.3392499999999998</v>
      </c>
      <c r="CC32" s="614">
        <f t="shared" ref="CC32" si="84">BY32</f>
        <v>-7.3392499999999998</v>
      </c>
      <c r="CD32" s="151">
        <f t="shared" ref="CD32" si="85">BZ32</f>
        <v>-7.3392499999999998</v>
      </c>
      <c r="CE32" s="151">
        <f t="shared" ref="CE32" si="86">CA32</f>
        <v>-7.3392499999999998</v>
      </c>
      <c r="CF32" s="151">
        <f t="shared" ref="CF32" si="87">CB32</f>
        <v>-7.3392499999999998</v>
      </c>
      <c r="CG32" s="614">
        <f t="shared" ref="CG32" si="88">CC32</f>
        <v>-7.3392499999999998</v>
      </c>
    </row>
    <row r="33" spans="1:85" ht="12.75" customHeight="1">
      <c r="A33" s="28"/>
      <c r="B33" s="34" t="s">
        <v>75</v>
      </c>
      <c r="C33" s="25"/>
      <c r="D33" s="25">
        <f t="shared" ref="D33:S33" ca="1" si="89">D27+D31+D32</f>
        <v>187.0869999999999</v>
      </c>
      <c r="E33" s="25">
        <f t="shared" ca="1" si="89"/>
        <v>130.24499999999975</v>
      </c>
      <c r="F33" s="25">
        <f t="shared" ca="1" si="89"/>
        <v>222.00400000000002</v>
      </c>
      <c r="G33" s="25">
        <f t="shared" ca="1" si="89"/>
        <v>339.20599999999996</v>
      </c>
      <c r="H33" s="25">
        <f t="shared" ca="1" si="89"/>
        <v>124.89500000000005</v>
      </c>
      <c r="I33" s="25">
        <f t="shared" ca="1" si="89"/>
        <v>14.639999999999674</v>
      </c>
      <c r="J33" s="25">
        <f t="shared" si="89"/>
        <v>48.910000000000423</v>
      </c>
      <c r="K33" s="25">
        <f t="shared" si="89"/>
        <v>311.94600000000014</v>
      </c>
      <c r="L33" s="25">
        <f t="shared" si="89"/>
        <v>1392.5620000000004</v>
      </c>
      <c r="M33" s="25">
        <f t="shared" si="89"/>
        <v>1835.6790000000001</v>
      </c>
      <c r="N33" s="25">
        <f t="shared" si="89"/>
        <v>357.7470000000003</v>
      </c>
      <c r="O33" s="25">
        <f t="shared" si="89"/>
        <v>473.39800000000105</v>
      </c>
      <c r="P33" s="25">
        <f t="shared" si="89"/>
        <v>1109.9369999999981</v>
      </c>
      <c r="Q33" s="25">
        <f t="shared" si="89"/>
        <v>1450.406068053876</v>
      </c>
      <c r="R33" s="25">
        <f t="shared" si="89"/>
        <v>1988.7392770153865</v>
      </c>
      <c r="S33" s="25">
        <f t="shared" si="89"/>
        <v>2791.0566305892353</v>
      </c>
      <c r="T33" s="25">
        <f>T27+T31+T32</f>
        <v>3750.6064836019877</v>
      </c>
      <c r="U33" s="187"/>
      <c r="V33" s="25">
        <f t="shared" ref="V33:AR33" si="90">V27+V31+V32</f>
        <v>43.048000000000009</v>
      </c>
      <c r="W33" s="25">
        <f t="shared" si="90"/>
        <v>87.405000000000001</v>
      </c>
      <c r="X33" s="25">
        <f t="shared" si="90"/>
        <v>48.535000000000004</v>
      </c>
      <c r="Y33" s="25">
        <f t="shared" si="90"/>
        <v>8.0990000000000233</v>
      </c>
      <c r="Z33" s="25">
        <f t="shared" si="90"/>
        <v>29.585000000000001</v>
      </c>
      <c r="AA33" s="25">
        <f t="shared" si="90"/>
        <v>58.192</v>
      </c>
      <c r="AB33" s="25">
        <f t="shared" si="90"/>
        <v>40.819999999999986</v>
      </c>
      <c r="AC33" s="25">
        <f t="shared" si="90"/>
        <v>1.6479999999999908</v>
      </c>
      <c r="AD33" s="25">
        <f t="shared" si="90"/>
        <v>45.503999999999976</v>
      </c>
      <c r="AE33" s="25">
        <f t="shared" si="90"/>
        <v>60.676999999999992</v>
      </c>
      <c r="AF33" s="25">
        <f t="shared" si="90"/>
        <v>74.225999999999999</v>
      </c>
      <c r="AG33" s="25">
        <f t="shared" si="90"/>
        <v>41.596999999999994</v>
      </c>
      <c r="AH33" s="25">
        <f t="shared" si="90"/>
        <v>66.13600000000001</v>
      </c>
      <c r="AI33" s="25">
        <f t="shared" si="90"/>
        <v>115.42</v>
      </c>
      <c r="AJ33" s="25">
        <f t="shared" si="90"/>
        <v>108.63200000000002</v>
      </c>
      <c r="AK33" s="25">
        <f t="shared" si="90"/>
        <v>49.018000000000043</v>
      </c>
      <c r="AL33" s="25">
        <f t="shared" si="90"/>
        <v>77.385999999999981</v>
      </c>
      <c r="AM33" s="25">
        <f t="shared" si="90"/>
        <v>21.632000000000023</v>
      </c>
      <c r="AN33" s="25">
        <f t="shared" si="90"/>
        <v>22.704999999999945</v>
      </c>
      <c r="AO33" s="572">
        <f t="shared" si="90"/>
        <v>3.1720000000000148</v>
      </c>
      <c r="AP33" s="25">
        <f t="shared" si="90"/>
        <v>42.262000000000008</v>
      </c>
      <c r="AQ33" s="25">
        <f t="shared" si="90"/>
        <v>19.135999999999974</v>
      </c>
      <c r="AR33" s="25">
        <f t="shared" si="90"/>
        <v>-5.8279999999999959</v>
      </c>
      <c r="AS33" s="572">
        <f t="shared" ref="AS33:BA33" si="91">AS27+AS31+AS32</f>
        <v>-40.93</v>
      </c>
      <c r="AT33" s="25">
        <f t="shared" si="91"/>
        <v>24.445000000000078</v>
      </c>
      <c r="AU33" s="25">
        <f t="shared" si="91"/>
        <v>-42.830000000000069</v>
      </c>
      <c r="AV33" s="25">
        <f t="shared" si="91"/>
        <v>47.150000000000063</v>
      </c>
      <c r="AW33" s="572">
        <f t="shared" si="91"/>
        <v>20.144999999999953</v>
      </c>
      <c r="AX33" s="25">
        <f t="shared" si="91"/>
        <v>47.341000000000058</v>
      </c>
      <c r="AY33" s="25">
        <f t="shared" si="91"/>
        <v>64.66599999999994</v>
      </c>
      <c r="AZ33" s="25">
        <f t="shared" si="91"/>
        <v>182.69000000000005</v>
      </c>
      <c r="BA33" s="572">
        <f t="shared" si="91"/>
        <v>17.249000000000073</v>
      </c>
      <c r="BB33" s="25">
        <v>124.64100000000001</v>
      </c>
      <c r="BC33" s="25">
        <f t="shared" ref="BC33:BV33" si="92">BC27+BC31+BC32</f>
        <v>537.76300000000015</v>
      </c>
      <c r="BD33" s="25">
        <f t="shared" si="92"/>
        <v>310.04399999999987</v>
      </c>
      <c r="BE33" s="25">
        <f t="shared" si="92"/>
        <v>420.11399999999986</v>
      </c>
      <c r="BF33" s="25">
        <f t="shared" si="92"/>
        <v>535.971</v>
      </c>
      <c r="BG33" s="25">
        <f t="shared" si="92"/>
        <v>539.4430000000001</v>
      </c>
      <c r="BH33" s="25">
        <f>BH27+BH31+BH32</f>
        <v>477.91899999999976</v>
      </c>
      <c r="BI33" s="572">
        <f t="shared" si="92"/>
        <v>282.34600000000012</v>
      </c>
      <c r="BJ33" s="946">
        <f t="shared" si="92"/>
        <v>83.283000000000129</v>
      </c>
      <c r="BK33" s="946">
        <f>BK27+BK31+BK32</f>
        <v>79.798000000000002</v>
      </c>
      <c r="BL33" s="946">
        <f>BL27+BL31+BL32</f>
        <v>87.38799999999992</v>
      </c>
      <c r="BM33" s="572">
        <f t="shared" si="92"/>
        <v>107.27799999999991</v>
      </c>
      <c r="BN33" s="25">
        <f t="shared" si="92"/>
        <v>2.405999999999942</v>
      </c>
      <c r="BO33" s="25">
        <f t="shared" si="92"/>
        <v>87.1400000000001</v>
      </c>
      <c r="BP33" s="946">
        <f t="shared" si="92"/>
        <v>169.88700000000017</v>
      </c>
      <c r="BQ33" s="1033">
        <f t="shared" si="92"/>
        <v>213.96500000000003</v>
      </c>
      <c r="BR33" s="946">
        <f t="shared" si="92"/>
        <v>309.5709999999998</v>
      </c>
      <c r="BS33" s="1048">
        <f t="shared" si="92"/>
        <v>150.67699999999968</v>
      </c>
      <c r="BT33" s="946">
        <f t="shared" si="92"/>
        <v>351.06900000000019</v>
      </c>
      <c r="BU33" s="1033">
        <f t="shared" si="92"/>
        <v>298.62000000000012</v>
      </c>
      <c r="BV33" s="1048">
        <f t="shared" si="92"/>
        <v>247.79200000000014</v>
      </c>
      <c r="BW33" s="946">
        <f t="shared" ref="BW33:CG33" si="93">BW27+BW31+BW32</f>
        <v>352.72543697149604</v>
      </c>
      <c r="BX33" s="946">
        <f t="shared" si="93"/>
        <v>406.57092141618023</v>
      </c>
      <c r="BY33" s="572">
        <f t="shared" si="93"/>
        <v>443.31770966619843</v>
      </c>
      <c r="BZ33" s="946">
        <f t="shared" si="93"/>
        <v>417.5608157355266</v>
      </c>
      <c r="CA33" s="946">
        <f t="shared" si="93"/>
        <v>419.8006638984084</v>
      </c>
      <c r="CB33" s="946">
        <f t="shared" si="93"/>
        <v>599.01849631173968</v>
      </c>
      <c r="CC33" s="572">
        <f t="shared" si="93"/>
        <v>552.35930106971159</v>
      </c>
      <c r="CD33" s="946">
        <f t="shared" si="93"/>
        <v>602.05893564445978</v>
      </c>
      <c r="CE33" s="946">
        <f t="shared" si="93"/>
        <v>627.24112793582344</v>
      </c>
      <c r="CF33" s="946">
        <f t="shared" si="93"/>
        <v>777.14727733805057</v>
      </c>
      <c r="CG33" s="572">
        <f t="shared" si="93"/>
        <v>784.60928967089967</v>
      </c>
    </row>
    <row r="34" spans="1:85" s="168" customFormat="1" ht="12.75" customHeight="1">
      <c r="A34" s="18"/>
      <c r="B34" s="15" t="s">
        <v>155</v>
      </c>
      <c r="C34" s="61"/>
      <c r="D34" s="61" t="str">
        <f t="shared" ref="D34:T34" ca="1" si="94">IF(ISERROR(D33/C33-1)," ",(D33/C33-1))</f>
        <v xml:space="preserve"> </v>
      </c>
      <c r="E34" s="61">
        <f t="shared" ca="1" si="94"/>
        <v>-0.30382656197384206</v>
      </c>
      <c r="F34" s="61">
        <f t="shared" ca="1" si="94"/>
        <v>0.70451072977849782</v>
      </c>
      <c r="G34" s="61">
        <f t="shared" ca="1" si="94"/>
        <v>0.52792742473108567</v>
      </c>
      <c r="H34" s="61">
        <f t="shared" ca="1" si="94"/>
        <v>-0.63180191388124007</v>
      </c>
      <c r="I34" s="61">
        <f t="shared" ca="1" si="94"/>
        <v>-0.88278153649065483</v>
      </c>
      <c r="J34" s="61">
        <f t="shared" ca="1" si="94"/>
        <v>2.3408469945356223</v>
      </c>
      <c r="K34" s="61">
        <f t="shared" si="94"/>
        <v>5.3779595174810355</v>
      </c>
      <c r="L34" s="61">
        <f t="shared" si="94"/>
        <v>3.4641123784244696</v>
      </c>
      <c r="M34" s="61">
        <f t="shared" si="94"/>
        <v>0.3182027083892851</v>
      </c>
      <c r="N34" s="61">
        <f t="shared" si="94"/>
        <v>-0.80511461971292353</v>
      </c>
      <c r="O34" s="61">
        <f t="shared" si="94"/>
        <v>0.32327594640905621</v>
      </c>
      <c r="P34" s="61">
        <f t="shared" si="94"/>
        <v>1.3446170030291542</v>
      </c>
      <c r="Q34" s="61">
        <f t="shared" si="94"/>
        <v>0.30674630006376802</v>
      </c>
      <c r="R34" s="61">
        <f t="shared" si="94"/>
        <v>0.37116033972736662</v>
      </c>
      <c r="S34" s="61">
        <f t="shared" si="94"/>
        <v>0.40343013427980967</v>
      </c>
      <c r="T34" s="61">
        <f t="shared" si="94"/>
        <v>0.34379447643460259</v>
      </c>
      <c r="U34" s="187"/>
      <c r="V34" s="61" t="str">
        <f>IF(ISERROR(V33/#REF!-1),"",V33/#REF!-1)</f>
        <v/>
      </c>
      <c r="W34" s="61" t="str">
        <f>IF(ISERROR(W33/#REF!-1),"",W33/#REF!-1)</f>
        <v/>
      </c>
      <c r="X34" s="61" t="str">
        <f>IF(ISERROR(X33/#REF!-1),"",X33/#REF!-1)</f>
        <v/>
      </c>
      <c r="Y34" s="61" t="str">
        <f>IF(ISERROR(Y33/#REF!-1),"",Y33/#REF!-1)</f>
        <v/>
      </c>
      <c r="Z34" s="61">
        <f t="shared" ref="Z34:AW34" si="95">IF(ISERROR(Z33/V33-1),"",Z33/V33-1)</f>
        <v>-0.31274391377067468</v>
      </c>
      <c r="AA34" s="61">
        <f t="shared" si="95"/>
        <v>-0.33422573079343287</v>
      </c>
      <c r="AB34" s="61">
        <f t="shared" si="95"/>
        <v>-0.15895745338415612</v>
      </c>
      <c r="AC34" s="61">
        <f t="shared" si="95"/>
        <v>-0.79651808865292184</v>
      </c>
      <c r="AD34" s="61">
        <f t="shared" si="95"/>
        <v>0.53807672807165718</v>
      </c>
      <c r="AE34" s="61">
        <f t="shared" si="95"/>
        <v>4.2703464393730961E-2</v>
      </c>
      <c r="AF34" s="61">
        <f t="shared" si="95"/>
        <v>0.81837334639882475</v>
      </c>
      <c r="AG34" s="61">
        <f t="shared" si="95"/>
        <v>24.240898058252565</v>
      </c>
      <c r="AH34" s="61">
        <f t="shared" si="95"/>
        <v>0.4534106891701839</v>
      </c>
      <c r="AI34" s="61">
        <f t="shared" si="95"/>
        <v>0.90220347083738517</v>
      </c>
      <c r="AJ34" s="61">
        <f t="shared" si="95"/>
        <v>0.46353029935602108</v>
      </c>
      <c r="AK34" s="61">
        <f t="shared" si="95"/>
        <v>0.1784022886265848</v>
      </c>
      <c r="AL34" s="61">
        <f t="shared" si="95"/>
        <v>0.17010402806338409</v>
      </c>
      <c r="AM34" s="61">
        <f t="shared" si="95"/>
        <v>-0.81258014208975893</v>
      </c>
      <c r="AN34" s="61">
        <f t="shared" si="95"/>
        <v>-0.79099160468370333</v>
      </c>
      <c r="AO34" s="569">
        <f t="shared" si="95"/>
        <v>-0.93528907748174117</v>
      </c>
      <c r="AP34" s="61">
        <f t="shared" si="95"/>
        <v>-0.45388054686894252</v>
      </c>
      <c r="AQ34" s="61">
        <f t="shared" si="95"/>
        <v>-0.11538461538461753</v>
      </c>
      <c r="AR34" s="61">
        <f t="shared" si="95"/>
        <v>-1.2566835498788818</v>
      </c>
      <c r="AS34" s="569">
        <f t="shared" si="95"/>
        <v>-13.903530895334114</v>
      </c>
      <c r="AT34" s="61">
        <f t="shared" si="95"/>
        <v>-0.42158440206331749</v>
      </c>
      <c r="AU34" s="61">
        <f t="shared" si="95"/>
        <v>-3.2381897993311104</v>
      </c>
      <c r="AV34" s="61">
        <f t="shared" si="95"/>
        <v>-9.0902539464653564</v>
      </c>
      <c r="AW34" s="569">
        <f t="shared" si="95"/>
        <v>-1.4921817737600771</v>
      </c>
      <c r="AX34" s="61">
        <f t="shared" ref="AX34:BE34" si="96">IF(ISERROR(AX33/AT33-1),"",AX33/AT33-1)</f>
        <v>0.93663325833503408</v>
      </c>
      <c r="AY34" s="61">
        <f t="shared" si="96"/>
        <v>-2.509829558720519</v>
      </c>
      <c r="AZ34" s="61">
        <f t="shared" si="96"/>
        <v>2.8746553552492009</v>
      </c>
      <c r="BA34" s="569">
        <f t="shared" si="96"/>
        <v>-0.14375775626705811</v>
      </c>
      <c r="BB34" s="61">
        <f t="shared" si="96"/>
        <v>1.6328341184174362</v>
      </c>
      <c r="BC34" s="61">
        <f t="shared" si="96"/>
        <v>7.3160084124578706</v>
      </c>
      <c r="BD34" s="61">
        <f t="shared" si="96"/>
        <v>0.69710438447643419</v>
      </c>
      <c r="BE34" s="569">
        <f t="shared" si="96"/>
        <v>23.355846715751525</v>
      </c>
      <c r="BF34" s="61">
        <f t="shared" ref="BF34:BU34" si="97">IF(ISERROR(BF33/BB33-1),"",BF33/BB33-1)</f>
        <v>3.3001179387200033</v>
      </c>
      <c r="BG34" s="61">
        <f t="shared" si="97"/>
        <v>3.1240527890539216E-3</v>
      </c>
      <c r="BH34" s="61">
        <f t="shared" si="97"/>
        <v>0.54145540632942413</v>
      </c>
      <c r="BI34" s="569">
        <f t="shared" si="97"/>
        <v>-0.32793003803729415</v>
      </c>
      <c r="BJ34" s="61">
        <f t="shared" si="97"/>
        <v>-0.84461286151676096</v>
      </c>
      <c r="BK34" s="61">
        <f t="shared" si="97"/>
        <v>-0.85207334231790943</v>
      </c>
      <c r="BL34" s="61">
        <f t="shared" si="97"/>
        <v>-0.81714893109501829</v>
      </c>
      <c r="BM34" s="569">
        <f t="shared" si="97"/>
        <v>-0.62004774284034525</v>
      </c>
      <c r="BN34" s="61">
        <f t="shared" si="97"/>
        <v>-0.97111055077266739</v>
      </c>
      <c r="BO34" s="61">
        <f t="shared" si="97"/>
        <v>9.2007318479161215E-2</v>
      </c>
      <c r="BP34" s="61">
        <f t="shared" si="97"/>
        <v>0.94405410353824704</v>
      </c>
      <c r="BQ34" s="569">
        <f t="shared" si="97"/>
        <v>0.99449094874997868</v>
      </c>
      <c r="BR34" s="61">
        <f t="shared" si="97"/>
        <v>127.66625103907202</v>
      </c>
      <c r="BS34" s="61">
        <f t="shared" si="97"/>
        <v>0.72913702088592514</v>
      </c>
      <c r="BT34" s="61">
        <f t="shared" si="97"/>
        <v>1.0664853696869088</v>
      </c>
      <c r="BU34" s="569">
        <f t="shared" si="97"/>
        <v>0.39564882106886667</v>
      </c>
      <c r="BV34" s="61">
        <f t="shared" ref="BV34:CG34" si="98">IF(ISERROR(BV33/BR33-1),"",BV33/BR33-1)</f>
        <v>-0.19956326658504731</v>
      </c>
      <c r="BW34" s="61">
        <f t="shared" si="98"/>
        <v>1.3409374819746662</v>
      </c>
      <c r="BX34" s="61">
        <f t="shared" si="98"/>
        <v>0.15809405392153675</v>
      </c>
      <c r="BY34" s="569">
        <f t="shared" si="98"/>
        <v>0.48455465027860911</v>
      </c>
      <c r="BZ34" s="61">
        <f t="shared" si="98"/>
        <v>0.68512629840965955</v>
      </c>
      <c r="CA34" s="61">
        <f t="shared" si="98"/>
        <v>0.19016271551839559</v>
      </c>
      <c r="CB34" s="61">
        <f t="shared" si="98"/>
        <v>0.47334318505912876</v>
      </c>
      <c r="CC34" s="569">
        <f t="shared" si="98"/>
        <v>0.24596714506536954</v>
      </c>
      <c r="CD34" s="61">
        <f t="shared" si="98"/>
        <v>0.44184730213236789</v>
      </c>
      <c r="CE34" s="61">
        <f t="shared" si="98"/>
        <v>0.49414039061075798</v>
      </c>
      <c r="CF34" s="61">
        <f t="shared" si="98"/>
        <v>0.29736774761227003</v>
      </c>
      <c r="CG34" s="569">
        <f t="shared" si="98"/>
        <v>0.42046904641853122</v>
      </c>
    </row>
    <row r="35" spans="1:85" s="168" customFormat="1" ht="12.75" customHeight="1">
      <c r="A35" s="18"/>
      <c r="B35" s="15" t="s">
        <v>228</v>
      </c>
      <c r="C35" s="63"/>
      <c r="D35" s="63">
        <f t="shared" ref="D35:S35" ca="1" si="99">D33/D$9</f>
        <v>9.0425449645329697E-2</v>
      </c>
      <c r="E35" s="63">
        <f t="shared" ca="1" si="99"/>
        <v>6.6115354275149807E-2</v>
      </c>
      <c r="F35" s="63">
        <f t="shared" ca="1" si="99"/>
        <v>9.9267801369602698E-2</v>
      </c>
      <c r="G35" s="63">
        <f t="shared" ca="1" si="99"/>
        <v>0.11639843798255427</v>
      </c>
      <c r="H35" s="63">
        <f t="shared" ca="1" si="99"/>
        <v>4.0273444742718503E-2</v>
      </c>
      <c r="I35" s="63">
        <f t="shared" ca="1" si="99"/>
        <v>4.357163605540882E-3</v>
      </c>
      <c r="J35" s="63">
        <f t="shared" si="99"/>
        <v>1.569805807543298E-2</v>
      </c>
      <c r="K35" s="63">
        <f t="shared" si="99"/>
        <v>7.9843357072927293E-2</v>
      </c>
      <c r="L35" s="63">
        <f t="shared" si="99"/>
        <v>0.25583930663194149</v>
      </c>
      <c r="M35" s="63">
        <f t="shared" si="99"/>
        <v>0.2523865423101862</v>
      </c>
      <c r="N35" s="63">
        <f t="shared" si="99"/>
        <v>5.6591569169635383E-2</v>
      </c>
      <c r="O35" s="63">
        <f t="shared" si="99"/>
        <v>5.8954253721798883E-2</v>
      </c>
      <c r="P35" s="63">
        <f t="shared" si="99"/>
        <v>0.11900513777556461</v>
      </c>
      <c r="Q35" s="63">
        <f t="shared" si="99"/>
        <v>0.12526727762654599</v>
      </c>
      <c r="R35" s="63">
        <f t="shared" si="99"/>
        <v>0.14339263106510661</v>
      </c>
      <c r="S35" s="63">
        <f t="shared" si="99"/>
        <v>0.16660021076675688</v>
      </c>
      <c r="T35" s="63">
        <f>T33/T$9</f>
        <v>0.18784413772339817</v>
      </c>
      <c r="U35" s="187"/>
      <c r="V35" s="63">
        <f t="shared" ref="V35:AR35" si="100">V33/V$9</f>
        <v>8.581983178132771E-2</v>
      </c>
      <c r="W35" s="63">
        <f t="shared" si="100"/>
        <v>0.16147178469689746</v>
      </c>
      <c r="X35" s="63">
        <f t="shared" si="100"/>
        <v>9.0845961486628143E-2</v>
      </c>
      <c r="Y35" s="63">
        <f t="shared" si="100"/>
        <v>1.6468176910391936E-2</v>
      </c>
      <c r="Z35" s="63">
        <f t="shared" si="100"/>
        <v>6.5586599361979941E-2</v>
      </c>
      <c r="AA35" s="63">
        <f t="shared" si="100"/>
        <v>0.11380205888795018</v>
      </c>
      <c r="AB35" s="63">
        <f t="shared" si="100"/>
        <v>7.8252301369127697E-2</v>
      </c>
      <c r="AC35" s="63">
        <f t="shared" si="100"/>
        <v>3.3916932328722392E-3</v>
      </c>
      <c r="AD35" s="63">
        <f t="shared" si="100"/>
        <v>8.9258882930101674E-2</v>
      </c>
      <c r="AE35" s="63">
        <f t="shared" si="100"/>
        <v>0.11100500352167429</v>
      </c>
      <c r="AF35" s="63">
        <f t="shared" si="100"/>
        <v>0.13025441604340759</v>
      </c>
      <c r="AG35" s="63">
        <f t="shared" si="100"/>
        <v>6.817526239535325E-2</v>
      </c>
      <c r="AH35" s="63">
        <f t="shared" si="100"/>
        <v>0.10426414761190078</v>
      </c>
      <c r="AI35" s="63">
        <f t="shared" si="100"/>
        <v>0.1672218028718338</v>
      </c>
      <c r="AJ35" s="63">
        <f t="shared" si="100"/>
        <v>0.14019836225309579</v>
      </c>
      <c r="AK35" s="63">
        <f t="shared" si="100"/>
        <v>6.0159400688756338E-2</v>
      </c>
      <c r="AL35" s="63">
        <f t="shared" si="100"/>
        <v>9.7575921874704444E-2</v>
      </c>
      <c r="AM35" s="63">
        <f t="shared" si="100"/>
        <v>2.8796860460627325E-2</v>
      </c>
      <c r="AN35" s="63">
        <f t="shared" si="100"/>
        <v>2.9497624470101513E-2</v>
      </c>
      <c r="AO35" s="573">
        <f t="shared" si="100"/>
        <v>4.0296046363320114E-3</v>
      </c>
      <c r="AP35" s="63">
        <f t="shared" si="100"/>
        <v>5.0854106401105124E-2</v>
      </c>
      <c r="AQ35" s="63">
        <f t="shared" si="100"/>
        <v>2.1483912326417123E-2</v>
      </c>
      <c r="AR35" s="63">
        <f t="shared" si="100"/>
        <v>-6.8511347632784769E-3</v>
      </c>
      <c r="AS35" s="573">
        <f>AS33/AS$9</f>
        <v>-5.1970313561420324E-2</v>
      </c>
      <c r="AT35" s="63">
        <f>AT33/AT$9</f>
        <v>3.6545128636759926E-2</v>
      </c>
      <c r="AU35" s="63">
        <f>AU33/AU$9</f>
        <v>-5.4154728518287266E-2</v>
      </c>
      <c r="AV35" s="63">
        <f>AV33/AV$9</f>
        <v>5.7749873844390197E-2</v>
      </c>
      <c r="AW35" s="573">
        <f>AW33/AW$9</f>
        <v>2.3998170206530736E-2</v>
      </c>
      <c r="AX35" s="63">
        <f t="shared" ref="AX35:BE35" si="101">AX33/AX$9</f>
        <v>5.2315584277808289E-2</v>
      </c>
      <c r="AY35" s="63">
        <f t="shared" si="101"/>
        <v>6.8906286129554323E-2</v>
      </c>
      <c r="AZ35" s="63">
        <f t="shared" si="101"/>
        <v>0.16876596412949596</v>
      </c>
      <c r="BA35" s="573">
        <f t="shared" si="101"/>
        <v>1.7581375911609042E-2</v>
      </c>
      <c r="BB35" s="63">
        <f t="shared" si="101"/>
        <v>0.11293536260169675</v>
      </c>
      <c r="BC35" s="63">
        <f t="shared" si="101"/>
        <v>0.40009091571919403</v>
      </c>
      <c r="BD35" s="63">
        <f>BD33/BD$9</f>
        <v>0.21906561285153267</v>
      </c>
      <c r="BE35" s="573">
        <f t="shared" si="101"/>
        <v>0.26588500809146992</v>
      </c>
      <c r="BF35" s="63">
        <f t="shared" ref="BF35:BU35" si="102">BF33/BF$9</f>
        <v>0.29098905800225205</v>
      </c>
      <c r="BG35" s="63">
        <f t="shared" si="102"/>
        <v>0.28344535731024761</v>
      </c>
      <c r="BH35" s="63">
        <f>BH33/BH$9</f>
        <v>0.25061878721900233</v>
      </c>
      <c r="BI35" s="573">
        <f t="shared" si="102"/>
        <v>0.17415112843634936</v>
      </c>
      <c r="BJ35" s="63">
        <f t="shared" si="102"/>
        <v>5.6953896906765375E-2</v>
      </c>
      <c r="BK35" s="63">
        <f>BK33/BK$9</f>
        <v>5.1139582516233059E-2</v>
      </c>
      <c r="BL35" s="63">
        <f>BL33/BL$9</f>
        <v>5.3924003611059465E-2</v>
      </c>
      <c r="BM35" s="573">
        <f t="shared" si="102"/>
        <v>6.392067206141451E-2</v>
      </c>
      <c r="BN35" s="63">
        <f t="shared" si="102"/>
        <v>1.3747188854149194E-3</v>
      </c>
      <c r="BO35" s="63">
        <f t="shared" si="102"/>
        <v>4.5832377834675288E-2</v>
      </c>
      <c r="BP35" s="63">
        <f t="shared" si="102"/>
        <v>7.8246103055101712E-2</v>
      </c>
      <c r="BQ35" s="573">
        <f t="shared" si="102"/>
        <v>9.6936004070165976E-2</v>
      </c>
      <c r="BR35" s="63">
        <f t="shared" si="102"/>
        <v>0.13775848266354446</v>
      </c>
      <c r="BS35" s="63">
        <f t="shared" si="102"/>
        <v>6.8208464572810268E-2</v>
      </c>
      <c r="BT35" s="63">
        <f t="shared" si="102"/>
        <v>0.14739514539709522</v>
      </c>
      <c r="BU35" s="573">
        <f t="shared" si="102"/>
        <v>0.11998987427221336</v>
      </c>
      <c r="BV35" s="63">
        <f t="shared" ref="BV35:CG35" si="103">BV33/BV$9</f>
        <v>9.8899734861925104E-2</v>
      </c>
      <c r="BW35" s="63">
        <f t="shared" si="103"/>
        <v>0.1221684730476062</v>
      </c>
      <c r="BX35" s="63">
        <f t="shared" si="103"/>
        <v>0.13453761198400765</v>
      </c>
      <c r="BY35" s="573">
        <f t="shared" si="103"/>
        <v>0.14012138055795323</v>
      </c>
      <c r="BZ35" s="63">
        <f t="shared" si="103"/>
        <v>0.13461779228758522</v>
      </c>
      <c r="CA35" s="63">
        <f t="shared" si="103"/>
        <v>0.12841896104577258</v>
      </c>
      <c r="CB35" s="63">
        <f t="shared" si="103"/>
        <v>0.16336030907274859</v>
      </c>
      <c r="CC35" s="573">
        <f t="shared" si="103"/>
        <v>0.14416210779952082</v>
      </c>
      <c r="CD35" s="63">
        <f t="shared" si="103"/>
        <v>0.15616410718887683</v>
      </c>
      <c r="CE35" s="63">
        <f t="shared" si="103"/>
        <v>0.1570398515653052</v>
      </c>
      <c r="CF35" s="63">
        <f t="shared" si="103"/>
        <v>0.1794123026610116</v>
      </c>
      <c r="CG35" s="573">
        <f t="shared" si="103"/>
        <v>0.17161396435503659</v>
      </c>
    </row>
    <row r="36" spans="1:85" ht="12.75" customHeight="1">
      <c r="A36" s="17"/>
      <c r="B36" s="5"/>
      <c r="C36" s="20"/>
      <c r="D36" s="20"/>
      <c r="E36" s="20"/>
      <c r="F36" s="20"/>
      <c r="G36" s="20"/>
      <c r="H36" s="20"/>
      <c r="I36" s="20"/>
      <c r="J36" s="20"/>
      <c r="K36" s="20"/>
      <c r="L36" s="20"/>
      <c r="M36" s="20"/>
      <c r="N36" s="20"/>
      <c r="O36" s="20"/>
      <c r="P36" s="20"/>
      <c r="Q36" s="20"/>
      <c r="R36" s="20"/>
      <c r="S36" s="20"/>
      <c r="T36" s="20"/>
      <c r="U36" s="187"/>
      <c r="V36" s="20"/>
      <c r="W36" s="20"/>
      <c r="X36" s="20"/>
      <c r="Y36" s="20"/>
      <c r="Z36" s="20"/>
      <c r="AA36" s="20"/>
      <c r="AB36" s="20"/>
      <c r="AC36" s="20"/>
      <c r="AD36" s="20"/>
      <c r="AE36" s="20"/>
      <c r="AF36" s="20"/>
      <c r="AG36" s="20"/>
      <c r="AH36" s="20"/>
      <c r="AI36" s="20"/>
      <c r="AJ36" s="20"/>
      <c r="AK36" s="20"/>
      <c r="AL36" s="20"/>
      <c r="AM36" s="20"/>
      <c r="AN36" s="20"/>
      <c r="AO36" s="571"/>
      <c r="AP36" s="20"/>
      <c r="AQ36" s="20"/>
      <c r="AR36" s="20"/>
      <c r="AS36" s="571"/>
      <c r="AT36" s="20"/>
      <c r="AU36" s="20"/>
      <c r="AV36" s="20"/>
      <c r="AW36" s="571"/>
      <c r="AX36" s="20"/>
      <c r="AY36" s="20"/>
      <c r="AZ36" s="20"/>
      <c r="BA36" s="571"/>
      <c r="BB36" s="20"/>
      <c r="BC36" s="20"/>
      <c r="BD36" s="20"/>
      <c r="BE36" s="571"/>
      <c r="BF36" s="20"/>
      <c r="BG36" s="20"/>
      <c r="BH36" s="20"/>
      <c r="BI36" s="571"/>
      <c r="BJ36" s="20"/>
      <c r="BK36" s="20"/>
      <c r="BL36" s="20"/>
      <c r="BM36" s="571"/>
      <c r="BN36" s="20"/>
      <c r="BO36" s="20"/>
      <c r="BP36" s="20"/>
      <c r="BQ36" s="571"/>
      <c r="BR36" s="20"/>
      <c r="BS36" s="20"/>
      <c r="BT36" s="20"/>
      <c r="BU36" s="571"/>
      <c r="BV36" s="20"/>
      <c r="BW36" s="20"/>
      <c r="BX36" s="20"/>
      <c r="BY36" s="571"/>
      <c r="BZ36" s="20"/>
      <c r="CA36" s="20"/>
      <c r="CB36" s="20"/>
      <c r="CC36" s="571"/>
      <c r="CD36" s="20"/>
      <c r="CE36" s="20"/>
      <c r="CF36" s="20"/>
      <c r="CG36" s="571"/>
    </row>
    <row r="37" spans="1:85" ht="12.75" customHeight="1">
      <c r="A37" s="28"/>
      <c r="B37" s="24" t="s">
        <v>140</v>
      </c>
      <c r="C37" s="44"/>
      <c r="D37" s="44">
        <f ca="1">'Raw Data'!U36</f>
        <v>5.8879999999999999</v>
      </c>
      <c r="E37" s="44">
        <f ca="1">'Raw Data'!V36</f>
        <v>14.23</v>
      </c>
      <c r="F37" s="44">
        <f ca="1">'Raw Data'!W36</f>
        <v>5.1989999999999998</v>
      </c>
      <c r="G37" s="44">
        <f ca="1">'Raw Data'!X36</f>
        <v>11.243</v>
      </c>
      <c r="H37" s="44">
        <f ca="1">'Raw Data'!Y36</f>
        <v>27.09</v>
      </c>
      <c r="I37" s="44">
        <f ca="1">'Raw Data'!Z36</f>
        <v>64.338999999999999</v>
      </c>
      <c r="J37" s="41">
        <f>SUMIF($AL$4:$VI$4,J$4,$AL37:$VI37)</f>
        <v>138.988</v>
      </c>
      <c r="K37" s="41">
        <f>SUMIF($AL$4:$VI$4,K$4,$AL37:$VI37)</f>
        <v>170.79400000000001</v>
      </c>
      <c r="L37" s="41">
        <f>SUMIF($AL$4:$VI$4,L$4,$AL37:$VI37)</f>
        <v>223.03499999999997</v>
      </c>
      <c r="M37" s="41">
        <f>SUMIF($AL$4:$VI$4,M$4,$AL37:$VI37)</f>
        <v>349.13499999999999</v>
      </c>
      <c r="N37" s="41">
        <f>SUMIF($AL$4:$VI$4,N$4,$AL37:$VI37)</f>
        <v>736.59100000000001</v>
      </c>
      <c r="O37" s="41">
        <f>SUMIF($AL$4:$VI$4,O$4,$AL37:$VI37)</f>
        <v>546.06100000000004</v>
      </c>
      <c r="P37" s="41">
        <f>SUMIF($AL$4:$VI$4,P$4,$AL37:$VI37)</f>
        <v>398.08</v>
      </c>
      <c r="Q37" s="21">
        <f>Q95*Q96</f>
        <v>281.88</v>
      </c>
      <c r="R37" s="21">
        <f t="shared" ref="R37:S37" si="104">R95*R96</f>
        <v>313.18884328432534</v>
      </c>
      <c r="S37" s="21">
        <f t="shared" si="104"/>
        <v>263.26128092758631</v>
      </c>
      <c r="T37" s="21">
        <f>T95*T96</f>
        <v>262.64628042252349</v>
      </c>
      <c r="U37" s="187"/>
      <c r="V37" s="44">
        <f>'Raw Data'!DW36</f>
        <v>1.3520000000000001</v>
      </c>
      <c r="W37" s="44">
        <f>'Raw Data'!DX36</f>
        <v>0.93600000000000005</v>
      </c>
      <c r="X37" s="44">
        <f>'Raw Data'!DY36</f>
        <v>1.3939999999999999</v>
      </c>
      <c r="Y37" s="44">
        <f>'Raw Data'!DZ36</f>
        <v>2.206</v>
      </c>
      <c r="Z37" s="44">
        <f>'Raw Data'!EA36</f>
        <v>1.8380000000000001</v>
      </c>
      <c r="AA37" s="44">
        <f>'Raw Data'!EB36</f>
        <v>3.0209999999999999</v>
      </c>
      <c r="AB37" s="44">
        <f>'Raw Data'!EC36</f>
        <v>2.968</v>
      </c>
      <c r="AC37" s="44">
        <f>'Raw Data'!ED36</f>
        <v>6.4029999999999996</v>
      </c>
      <c r="AD37" s="44">
        <f>'Raw Data'!EE36</f>
        <v>1.369</v>
      </c>
      <c r="AE37" s="44">
        <f>'Raw Data'!EF36</f>
        <v>0.95599999999999996</v>
      </c>
      <c r="AF37" s="44">
        <f>'Raw Data'!EG36</f>
        <v>1.3779999999999999</v>
      </c>
      <c r="AG37" s="44">
        <f>'Raw Data'!EH36</f>
        <v>1.496</v>
      </c>
      <c r="AH37" s="44">
        <f>'Raw Data'!EI36</f>
        <v>1.736</v>
      </c>
      <c r="AI37" s="44">
        <f>'Raw Data'!EJ36</f>
        <v>1.788</v>
      </c>
      <c r="AJ37" s="44">
        <f>'Raw Data'!EK36</f>
        <v>3.0449999999999999</v>
      </c>
      <c r="AK37" s="44">
        <f>'Raw Data'!EL36</f>
        <v>4.6740000000000004</v>
      </c>
      <c r="AL37" s="44">
        <f>'Raw Data'!EM36</f>
        <v>5.593</v>
      </c>
      <c r="AM37" s="44">
        <f>'Raw Data'!EN36</f>
        <v>6.6550000000000002</v>
      </c>
      <c r="AN37" s="44">
        <f>'Raw Data'!EO36</f>
        <v>6.5449999999999999</v>
      </c>
      <c r="AO37" s="570">
        <f>'Raw Data'!EP36</f>
        <v>8.2970000000000006</v>
      </c>
      <c r="AP37" s="44">
        <f>'Raw Data'!EQ36</f>
        <v>12.855</v>
      </c>
      <c r="AQ37" s="44">
        <f>'Raw Data'!ER36</f>
        <v>12.64</v>
      </c>
      <c r="AR37" s="44">
        <f>'Raw Data'!ES36</f>
        <v>18.689</v>
      </c>
      <c r="AS37" s="570">
        <f>'Raw Data'!ET36</f>
        <v>20.155000000000001</v>
      </c>
      <c r="AT37" s="44">
        <v>29.699000000000002</v>
      </c>
      <c r="AU37" s="44">
        <v>36.612000000000002</v>
      </c>
      <c r="AV37" s="44">
        <v>36.81</v>
      </c>
      <c r="AW37" s="575">
        <v>35.866999999999997</v>
      </c>
      <c r="AX37" s="21">
        <v>33.923000000000002</v>
      </c>
      <c r="AY37" s="21">
        <v>36.069000000000003</v>
      </c>
      <c r="AZ37" s="21">
        <v>48.841999999999999</v>
      </c>
      <c r="BA37" s="575">
        <v>51.96</v>
      </c>
      <c r="BB37" s="21">
        <v>53.509</v>
      </c>
      <c r="BC37" s="21">
        <v>53.704999999999998</v>
      </c>
      <c r="BD37" s="21">
        <v>56.616</v>
      </c>
      <c r="BE37" s="575">
        <v>59.204999999999998</v>
      </c>
      <c r="BF37" s="21">
        <v>51.933</v>
      </c>
      <c r="BG37" s="21">
        <v>74.688000000000002</v>
      </c>
      <c r="BH37" s="21">
        <v>101.899</v>
      </c>
      <c r="BI37" s="575">
        <v>120.61499999999999</v>
      </c>
      <c r="BJ37" s="21">
        <v>179.34700000000001</v>
      </c>
      <c r="BK37" s="21">
        <v>192.61199999999999</v>
      </c>
      <c r="BL37" s="102">
        <v>187.71299999999999</v>
      </c>
      <c r="BM37" s="598">
        <v>176.91900000000001</v>
      </c>
      <c r="BN37" s="102">
        <v>164.11</v>
      </c>
      <c r="BO37" s="102">
        <v>142.233</v>
      </c>
      <c r="BP37" s="102">
        <v>131.86799999999999</v>
      </c>
      <c r="BQ37" s="598">
        <v>107.85</v>
      </c>
      <c r="BR37" s="102">
        <v>122.437</v>
      </c>
      <c r="BS37" s="102">
        <v>100.35</v>
      </c>
      <c r="BT37" s="102">
        <v>99.385000000000005</v>
      </c>
      <c r="BU37" s="598">
        <v>75.908000000000001</v>
      </c>
      <c r="BV37" s="102">
        <v>67.704999999999998</v>
      </c>
      <c r="BW37" s="21">
        <f>BV37</f>
        <v>67.704999999999998</v>
      </c>
      <c r="BX37" s="21">
        <f>BW37</f>
        <v>67.704999999999998</v>
      </c>
      <c r="BY37" s="575">
        <f>Q37-SUM(BV37:BX37)</f>
        <v>78.764999999999986</v>
      </c>
      <c r="BZ37" s="21">
        <f>R37/4</f>
        <v>78.297210821081336</v>
      </c>
      <c r="CA37" s="21">
        <f>BZ37</f>
        <v>78.297210821081336</v>
      </c>
      <c r="CB37" s="21">
        <f>CA37</f>
        <v>78.297210821081336</v>
      </c>
      <c r="CC37" s="575">
        <f>R37-SUM(BZ37:CB37)</f>
        <v>78.297210821081336</v>
      </c>
      <c r="CD37" s="21">
        <f>S37/4</f>
        <v>65.815320231896578</v>
      </c>
      <c r="CE37" s="21">
        <f>CD37</f>
        <v>65.815320231896578</v>
      </c>
      <c r="CF37" s="21">
        <f>CE37</f>
        <v>65.815320231896578</v>
      </c>
      <c r="CG37" s="575">
        <f>S37-SUM(CD37:CF37)</f>
        <v>65.815320231896578</v>
      </c>
    </row>
    <row r="38" spans="1:85" ht="12.75" customHeight="1">
      <c r="A38" s="28"/>
      <c r="B38" s="24" t="s">
        <v>124</v>
      </c>
      <c r="C38" s="44"/>
      <c r="D38" s="44">
        <f ca="1">'Raw Data'!U37</f>
        <v>-34.392000000000003</v>
      </c>
      <c r="E38" s="44">
        <f ca="1">'Raw Data'!V37</f>
        <v>-20.715</v>
      </c>
      <c r="F38" s="44">
        <f ca="1">'Raw Data'!W37</f>
        <v>-12.218</v>
      </c>
      <c r="G38" s="44">
        <f ca="1">'Raw Data'!X37</f>
        <v>-23.036999999999999</v>
      </c>
      <c r="H38" s="44">
        <f ca="1">'Raw Data'!Y37</f>
        <v>-43.832999999999998</v>
      </c>
      <c r="I38" s="44">
        <f ca="1">'Raw Data'!Z37</f>
        <v>-32.49</v>
      </c>
      <c r="J38" s="41">
        <f>SUMIF($AL$4:$VI$4,J$4,$AL38:$VI38)</f>
        <v>-63.46</v>
      </c>
      <c r="K38" s="41">
        <f>SUMIF($AL$4:$VI$4,K$4,$AL38:$VI38)</f>
        <v>-73.234000000000009</v>
      </c>
      <c r="L38" s="41">
        <f>SUMIF($AL$4:$VI$4,L$4,$AL38:$VI38)</f>
        <v>-110.143</v>
      </c>
      <c r="M38" s="41">
        <f>SUMIF($AL$4:$VI$4,M$4,$AL38:$VI38)</f>
        <v>-125.58200000000001</v>
      </c>
      <c r="N38" s="41">
        <f>SUMIF($AL$4:$VI$4,N$4,$AL38:$VI38)</f>
        <v>-209.42400000000001</v>
      </c>
      <c r="O38" s="41">
        <f>SUMIF($AL$4:$VI$4,O$4,$AL38:$VI38)</f>
        <v>-297.11099999999999</v>
      </c>
      <c r="P38" s="41">
        <f>SUMIF($AL$4:$VI$4,P$4,$AL38:$VI38)</f>
        <v>-373.11099999999999</v>
      </c>
      <c r="Q38" s="21">
        <f>Q103</f>
        <v>-366.45979999999997</v>
      </c>
      <c r="R38" s="21">
        <f t="shared" ref="R38:S38" si="105">R103</f>
        <v>-380.45979999999997</v>
      </c>
      <c r="S38" s="21">
        <f t="shared" si="105"/>
        <v>-339.69624999999996</v>
      </c>
      <c r="T38" s="21">
        <f>T103</f>
        <v>-339.69624999999996</v>
      </c>
      <c r="U38" s="187"/>
      <c r="V38" s="44">
        <f>'Raw Data'!DW37</f>
        <v>-10.85</v>
      </c>
      <c r="W38" s="44">
        <f>'Raw Data'!DX37</f>
        <v>-9.08</v>
      </c>
      <c r="X38" s="44">
        <f>'Raw Data'!DY37</f>
        <v>-8.673</v>
      </c>
      <c r="Y38" s="44">
        <f>'Raw Data'!DZ37</f>
        <v>-5.7889999999999997</v>
      </c>
      <c r="Z38" s="44">
        <f>'Raw Data'!EA37</f>
        <v>-4.63</v>
      </c>
      <c r="AA38" s="44">
        <f>'Raw Data'!EB37</f>
        <v>-8.2309999999999999</v>
      </c>
      <c r="AB38" s="44">
        <f>'Raw Data'!EC37</f>
        <v>-2.5390000000000001</v>
      </c>
      <c r="AC38" s="44">
        <f>'Raw Data'!ED37</f>
        <v>-5.3150000000000004</v>
      </c>
      <c r="AD38" s="44">
        <f>'Raw Data'!EE37</f>
        <v>-5.01</v>
      </c>
      <c r="AE38" s="44">
        <f>'Raw Data'!EF37</f>
        <v>-2.4159999999999999</v>
      </c>
      <c r="AF38" s="44">
        <f>'Raw Data'!EG37</f>
        <v>-2.0089999999999999</v>
      </c>
      <c r="AG38" s="44">
        <f>'Raw Data'!EH37</f>
        <v>-2.7829999999999999</v>
      </c>
      <c r="AH38" s="44">
        <f>'Raw Data'!EI37</f>
        <v>-6.5570000000000004</v>
      </c>
      <c r="AI38" s="44">
        <f>'Raw Data'!EJ37</f>
        <v>-5.9909999999999997</v>
      </c>
      <c r="AJ38" s="44">
        <f>'Raw Data'!EK37</f>
        <v>-1.236</v>
      </c>
      <c r="AK38" s="44">
        <f>'Raw Data'!EL37</f>
        <v>-9.2530000000000001</v>
      </c>
      <c r="AL38" s="44">
        <f>'Raw Data'!EM37</f>
        <v>-11.958</v>
      </c>
      <c r="AM38" s="44">
        <f>'Raw Data'!EN37</f>
        <v>-9.5489999999999995</v>
      </c>
      <c r="AN38" s="44">
        <f>'Raw Data'!EO37</f>
        <v>-12.906000000000001</v>
      </c>
      <c r="AO38" s="570">
        <f>'Raw Data'!EP37</f>
        <v>-9.42</v>
      </c>
      <c r="AP38" s="44">
        <f>'Raw Data'!EQ37</f>
        <v>-13.525</v>
      </c>
      <c r="AQ38" s="44">
        <f>'Raw Data'!ER37</f>
        <v>-10.645</v>
      </c>
      <c r="AR38" s="44">
        <f>'Raw Data'!ES37</f>
        <v>0</v>
      </c>
      <c r="AS38" s="570">
        <f>'Raw Data'!ET37</f>
        <v>-8.32</v>
      </c>
      <c r="AT38" s="44">
        <v>-14.819000000000001</v>
      </c>
      <c r="AU38" s="44">
        <v>-16.646000000000001</v>
      </c>
      <c r="AV38" s="44">
        <v>-15.186999999999999</v>
      </c>
      <c r="AW38" s="575">
        <v>-16.808</v>
      </c>
      <c r="AX38" s="21">
        <v>-18.158000000000001</v>
      </c>
      <c r="AY38" s="21">
        <v>-18.22</v>
      </c>
      <c r="AZ38" s="21">
        <v>-17.59</v>
      </c>
      <c r="BA38" s="575">
        <v>-19.265999999999998</v>
      </c>
      <c r="BB38" s="21">
        <v>-21.731000000000002</v>
      </c>
      <c r="BC38" s="21">
        <v>-34.110999999999997</v>
      </c>
      <c r="BD38" s="21">
        <v>-27.097000000000001</v>
      </c>
      <c r="BE38" s="575">
        <v>-27.204000000000001</v>
      </c>
      <c r="BF38" s="21">
        <v>-28.445</v>
      </c>
      <c r="BG38" s="21">
        <v>-26.407</v>
      </c>
      <c r="BH38" s="21">
        <v>-31.393999999999998</v>
      </c>
      <c r="BI38" s="575">
        <v>-39.335999999999999</v>
      </c>
      <c r="BJ38" s="21">
        <v>-44.003</v>
      </c>
      <c r="BK38" s="21">
        <v>-48.384</v>
      </c>
      <c r="BL38" s="102">
        <v>-54.131999999999998</v>
      </c>
      <c r="BM38" s="598">
        <v>-62.905000000000001</v>
      </c>
      <c r="BN38" s="102">
        <v>-66.724999999999994</v>
      </c>
      <c r="BO38" s="102">
        <v>-71.742000000000004</v>
      </c>
      <c r="BP38" s="102">
        <v>-83.302000000000007</v>
      </c>
      <c r="BQ38" s="598">
        <v>-75.341999999999999</v>
      </c>
      <c r="BR38" s="102">
        <v>-76.989000000000004</v>
      </c>
      <c r="BS38" s="102">
        <v>-90.165999999999997</v>
      </c>
      <c r="BT38" s="102">
        <v>-97.322999999999993</v>
      </c>
      <c r="BU38" s="598">
        <v>-108.633</v>
      </c>
      <c r="BV38" s="102">
        <v>-91.688000000000002</v>
      </c>
      <c r="BW38" s="21">
        <f>BV38</f>
        <v>-91.688000000000002</v>
      </c>
      <c r="BX38" s="21">
        <f>BW38</f>
        <v>-91.688000000000002</v>
      </c>
      <c r="BY38" s="575">
        <f>Q38-SUM(BV38:BX38)</f>
        <v>-91.395799999999952</v>
      </c>
      <c r="BZ38" s="21">
        <f>R38/4</f>
        <v>-95.114949999999993</v>
      </c>
      <c r="CA38" s="21">
        <f>BZ38</f>
        <v>-95.114949999999993</v>
      </c>
      <c r="CB38" s="21">
        <f>CA38</f>
        <v>-95.114949999999993</v>
      </c>
      <c r="CC38" s="575">
        <f>R38-SUM(BZ38:CB38)</f>
        <v>-95.114950000000022</v>
      </c>
      <c r="CD38" s="21">
        <f>S38/4</f>
        <v>-84.924062499999991</v>
      </c>
      <c r="CE38" s="21">
        <f>CD38</f>
        <v>-84.924062499999991</v>
      </c>
      <c r="CF38" s="21">
        <f>CE38</f>
        <v>-84.924062499999991</v>
      </c>
      <c r="CG38" s="575">
        <f>S38-SUM(CD38:CF38)</f>
        <v>-84.924062499999991</v>
      </c>
    </row>
    <row r="39" spans="1:85" ht="12.75" customHeight="1">
      <c r="A39" s="28"/>
      <c r="B39" s="21" t="s">
        <v>407</v>
      </c>
      <c r="C39" s="21"/>
      <c r="D39" s="21">
        <f t="shared" ref="D39:T39" ca="1" si="106">D38+D37</f>
        <v>-28.504000000000005</v>
      </c>
      <c r="E39" s="21">
        <f t="shared" ca="1" si="106"/>
        <v>-6.4849999999999994</v>
      </c>
      <c r="F39" s="21">
        <f t="shared" ca="1" si="106"/>
        <v>-7.0190000000000001</v>
      </c>
      <c r="G39" s="21">
        <f t="shared" ca="1" si="106"/>
        <v>-11.793999999999999</v>
      </c>
      <c r="H39" s="21">
        <f t="shared" ca="1" si="106"/>
        <v>-16.742999999999999</v>
      </c>
      <c r="I39" s="21">
        <f t="shared" ca="1" si="106"/>
        <v>31.848999999999997</v>
      </c>
      <c r="J39" s="21">
        <f t="shared" si="106"/>
        <v>75.527999999999992</v>
      </c>
      <c r="K39" s="21">
        <f t="shared" si="106"/>
        <v>97.56</v>
      </c>
      <c r="L39" s="21">
        <f t="shared" si="106"/>
        <v>112.89199999999997</v>
      </c>
      <c r="M39" s="21">
        <f>M38+M37</f>
        <v>223.553</v>
      </c>
      <c r="N39" s="21">
        <f>N38+N37</f>
        <v>527.16700000000003</v>
      </c>
      <c r="O39" s="21">
        <f>O38+O37</f>
        <v>248.95000000000005</v>
      </c>
      <c r="P39" s="21">
        <f t="shared" si="106"/>
        <v>24.968999999999994</v>
      </c>
      <c r="Q39" s="21">
        <f t="shared" si="106"/>
        <v>-84.579799999999977</v>
      </c>
      <c r="R39" s="21">
        <f t="shared" ref="R39:S39" si="107">R38+R37</f>
        <v>-67.270956715674629</v>
      </c>
      <c r="S39" s="21">
        <f t="shared" si="107"/>
        <v>-76.434969072413651</v>
      </c>
      <c r="T39" s="21">
        <f t="shared" si="106"/>
        <v>-77.049969577476475</v>
      </c>
      <c r="U39" s="187"/>
      <c r="V39" s="21">
        <f t="shared" ref="V39:AR39" si="108">V38+V37</f>
        <v>-9.4979999999999993</v>
      </c>
      <c r="W39" s="21">
        <f t="shared" si="108"/>
        <v>-8.1440000000000001</v>
      </c>
      <c r="X39" s="21">
        <f t="shared" si="108"/>
        <v>-7.2789999999999999</v>
      </c>
      <c r="Y39" s="21">
        <f t="shared" si="108"/>
        <v>-3.5829999999999997</v>
      </c>
      <c r="Z39" s="21">
        <f t="shared" si="108"/>
        <v>-2.7919999999999998</v>
      </c>
      <c r="AA39" s="21">
        <f t="shared" si="108"/>
        <v>-5.21</v>
      </c>
      <c r="AB39" s="21">
        <f t="shared" si="108"/>
        <v>0.42899999999999983</v>
      </c>
      <c r="AC39" s="21">
        <f t="shared" si="108"/>
        <v>1.0879999999999992</v>
      </c>
      <c r="AD39" s="21">
        <f t="shared" si="108"/>
        <v>-3.641</v>
      </c>
      <c r="AE39" s="21">
        <f t="shared" si="108"/>
        <v>-1.46</v>
      </c>
      <c r="AF39" s="21">
        <f t="shared" si="108"/>
        <v>-0.63100000000000001</v>
      </c>
      <c r="AG39" s="21">
        <f t="shared" si="108"/>
        <v>-1.2869999999999999</v>
      </c>
      <c r="AH39" s="21">
        <f t="shared" si="108"/>
        <v>-4.8210000000000006</v>
      </c>
      <c r="AI39" s="21">
        <f t="shared" si="108"/>
        <v>-4.2029999999999994</v>
      </c>
      <c r="AJ39" s="21">
        <f t="shared" si="108"/>
        <v>1.8089999999999999</v>
      </c>
      <c r="AK39" s="21">
        <f t="shared" si="108"/>
        <v>-4.5789999999999997</v>
      </c>
      <c r="AL39" s="21">
        <f t="shared" si="108"/>
        <v>-6.3650000000000002</v>
      </c>
      <c r="AM39" s="21">
        <f t="shared" si="108"/>
        <v>-2.8939999999999992</v>
      </c>
      <c r="AN39" s="21">
        <f t="shared" si="108"/>
        <v>-6.3610000000000007</v>
      </c>
      <c r="AO39" s="575">
        <f t="shared" si="108"/>
        <v>-1.1229999999999993</v>
      </c>
      <c r="AP39" s="21">
        <f t="shared" si="108"/>
        <v>-0.66999999999999993</v>
      </c>
      <c r="AQ39" s="21">
        <f t="shared" si="108"/>
        <v>1.995000000000001</v>
      </c>
      <c r="AR39" s="21">
        <f t="shared" si="108"/>
        <v>18.689</v>
      </c>
      <c r="AS39" s="575">
        <f>AS38+AS37</f>
        <v>11.835000000000001</v>
      </c>
      <c r="AT39" s="21">
        <f t="shared" ref="AT39:BE39" si="109">AT38+AT37</f>
        <v>14.88</v>
      </c>
      <c r="AU39" s="21">
        <f t="shared" si="109"/>
        <v>19.966000000000001</v>
      </c>
      <c r="AV39" s="21">
        <f t="shared" si="109"/>
        <v>21.623000000000005</v>
      </c>
      <c r="AW39" s="575">
        <f t="shared" si="109"/>
        <v>19.058999999999997</v>
      </c>
      <c r="AX39" s="21">
        <f t="shared" si="109"/>
        <v>15.765000000000001</v>
      </c>
      <c r="AY39" s="21">
        <f t="shared" si="109"/>
        <v>17.849000000000004</v>
      </c>
      <c r="AZ39" s="21">
        <f>AZ38+AZ37</f>
        <v>31.251999999999999</v>
      </c>
      <c r="BA39" s="575">
        <f t="shared" si="109"/>
        <v>32.694000000000003</v>
      </c>
      <c r="BB39" s="21">
        <f t="shared" si="109"/>
        <v>31.777999999999999</v>
      </c>
      <c r="BC39" s="21">
        <f>BC38+BC37</f>
        <v>19.594000000000001</v>
      </c>
      <c r="BD39" s="21">
        <f>BD38+BD37</f>
        <v>29.518999999999998</v>
      </c>
      <c r="BE39" s="575">
        <f t="shared" si="109"/>
        <v>32.000999999999998</v>
      </c>
      <c r="BF39" s="21">
        <f t="shared" ref="BF39:BQ39" si="110">BF38+BF37</f>
        <v>23.488</v>
      </c>
      <c r="BG39" s="21">
        <f t="shared" si="110"/>
        <v>48.281000000000006</v>
      </c>
      <c r="BH39" s="21">
        <f t="shared" si="110"/>
        <v>70.504999999999995</v>
      </c>
      <c r="BI39" s="575">
        <f t="shared" si="110"/>
        <v>81.278999999999996</v>
      </c>
      <c r="BJ39" s="21">
        <f t="shared" si="110"/>
        <v>135.34399999999999</v>
      </c>
      <c r="BK39" s="21">
        <f t="shared" si="110"/>
        <v>144.22800000000001</v>
      </c>
      <c r="BL39" s="21">
        <f t="shared" si="110"/>
        <v>133.58099999999999</v>
      </c>
      <c r="BM39" s="575">
        <f t="shared" si="110"/>
        <v>114.01400000000001</v>
      </c>
      <c r="BN39" s="21">
        <f t="shared" si="110"/>
        <v>97.385000000000019</v>
      </c>
      <c r="BO39" s="21">
        <f t="shared" si="110"/>
        <v>70.491</v>
      </c>
      <c r="BP39" s="21">
        <f t="shared" si="110"/>
        <v>48.565999999999988</v>
      </c>
      <c r="BQ39" s="575">
        <f t="shared" si="110"/>
        <v>32.507999999999996</v>
      </c>
      <c r="BR39" s="21">
        <f t="shared" ref="BR39:BY39" si="111">BR38+BR37</f>
        <v>45.447999999999993</v>
      </c>
      <c r="BS39" s="21">
        <f t="shared" si="111"/>
        <v>10.183999999999997</v>
      </c>
      <c r="BT39" s="21">
        <f t="shared" si="111"/>
        <v>2.0620000000000118</v>
      </c>
      <c r="BU39" s="575">
        <f t="shared" si="111"/>
        <v>-32.724999999999994</v>
      </c>
      <c r="BV39" s="21">
        <f t="shared" si="111"/>
        <v>-23.983000000000004</v>
      </c>
      <c r="BW39" s="21">
        <f t="shared" si="111"/>
        <v>-23.983000000000004</v>
      </c>
      <c r="BX39" s="21">
        <f t="shared" si="111"/>
        <v>-23.983000000000004</v>
      </c>
      <c r="BY39" s="575">
        <f t="shared" si="111"/>
        <v>-12.630799999999965</v>
      </c>
      <c r="BZ39" s="21">
        <f t="shared" ref="BZ39:CG39" si="112">BZ38+BZ37</f>
        <v>-16.817739178918657</v>
      </c>
      <c r="CA39" s="21">
        <f t="shared" si="112"/>
        <v>-16.817739178918657</v>
      </c>
      <c r="CB39" s="21">
        <f t="shared" si="112"/>
        <v>-16.817739178918657</v>
      </c>
      <c r="CC39" s="575">
        <f t="shared" si="112"/>
        <v>-16.817739178918686</v>
      </c>
      <c r="CD39" s="21">
        <f t="shared" si="112"/>
        <v>-19.108742268103413</v>
      </c>
      <c r="CE39" s="21">
        <f t="shared" si="112"/>
        <v>-19.108742268103413</v>
      </c>
      <c r="CF39" s="21">
        <f t="shared" si="112"/>
        <v>-19.108742268103413</v>
      </c>
      <c r="CG39" s="575">
        <f t="shared" si="112"/>
        <v>-19.108742268103413</v>
      </c>
    </row>
    <row r="40" spans="1:85" ht="12.75" customHeight="1">
      <c r="A40" s="28"/>
      <c r="B40" s="21" t="s">
        <v>409</v>
      </c>
      <c r="C40" s="44"/>
      <c r="D40" s="44">
        <f ca="1">'Raw Data'!U47</f>
        <v>0</v>
      </c>
      <c r="E40" s="44">
        <f ca="1">'Raw Data'!V47</f>
        <v>0</v>
      </c>
      <c r="F40" s="44">
        <f ca="1">'Raw Data'!W47</f>
        <v>0</v>
      </c>
      <c r="G40" s="44">
        <f ca="1">'Raw Data'!X47</f>
        <v>0</v>
      </c>
      <c r="H40" s="44">
        <f ca="1">'Raw Data'!Y47</f>
        <v>0</v>
      </c>
      <c r="I40" s="44">
        <f ca="1">'Raw Data'!Z47</f>
        <v>0</v>
      </c>
      <c r="J40" s="21">
        <f>SUMIF($AL$4:$VI$4,J$4,$AL40:$VI40)</f>
        <v>0</v>
      </c>
      <c r="K40" s="21">
        <f>SUMIF($AL$4:$VI$4,K$4,$AL40:$VI40)</f>
        <v>0</v>
      </c>
      <c r="L40" s="21">
        <f>SUMIF($AL$4:$VI$4,L$4,$AL40:$VI40)</f>
        <v>0</v>
      </c>
      <c r="M40" s="21">
        <f>SUMIF($AL$4:$VI$4,M$4,$AL40:$VI40)</f>
        <v>0</v>
      </c>
      <c r="N40" s="21">
        <f>SUMIF($AL$4:$VI$4,N$4,$AL40:$VI40)</f>
        <v>0</v>
      </c>
      <c r="O40" s="21">
        <f>SUMIF($AL$4:$VI$4,O$4,$AL40:$VI40)</f>
        <v>0</v>
      </c>
      <c r="P40" s="21">
        <f>SUMIF($AL$4:$VI$4,P$4,$AL40:$VI40)</f>
        <v>0</v>
      </c>
      <c r="Q40" s="21">
        <f>SUMIF($AL$4:$VI$4,Q$4,$AL40:$VI40)</f>
        <v>0</v>
      </c>
      <c r="R40" s="21">
        <f>SUMIF($AL$4:$VI$4,R$4,$AL40:$VI40)</f>
        <v>0</v>
      </c>
      <c r="S40" s="21">
        <f>SUMIF($AL$4:$VI$4,S$4,$AL40:$VI40)</f>
        <v>0</v>
      </c>
      <c r="T40" s="21">
        <f>SUMIF($AL$4:$VI$4,T$4,$AL40:$VI40)</f>
        <v>0</v>
      </c>
      <c r="U40" s="187"/>
      <c r="V40" s="44">
        <f>'Raw Data'!DW47</f>
        <v>0</v>
      </c>
      <c r="W40" s="44">
        <f>'Raw Data'!DX47</f>
        <v>0</v>
      </c>
      <c r="X40" s="44">
        <f>'Raw Data'!DY47</f>
        <v>0</v>
      </c>
      <c r="Y40" s="44">
        <f>'Raw Data'!DZ47</f>
        <v>0</v>
      </c>
      <c r="Z40" s="44">
        <f>'Raw Data'!EA47</f>
        <v>0</v>
      </c>
      <c r="AA40" s="44">
        <f>'Raw Data'!EB47</f>
        <v>0</v>
      </c>
      <c r="AB40" s="44">
        <f>'Raw Data'!EC47</f>
        <v>0</v>
      </c>
      <c r="AC40" s="44">
        <f>'Raw Data'!ED47</f>
        <v>0</v>
      </c>
      <c r="AD40" s="44">
        <f>'Raw Data'!EE47</f>
        <v>0</v>
      </c>
      <c r="AE40" s="44">
        <f>'Raw Data'!EF47</f>
        <v>0</v>
      </c>
      <c r="AF40" s="44">
        <f>'Raw Data'!EG47</f>
        <v>0</v>
      </c>
      <c r="AG40" s="44">
        <f>'Raw Data'!EH47</f>
        <v>0</v>
      </c>
      <c r="AH40" s="44">
        <f>'Raw Data'!EI47</f>
        <v>0</v>
      </c>
      <c r="AI40" s="44">
        <f>'Raw Data'!EJ47</f>
        <v>0</v>
      </c>
      <c r="AJ40" s="44">
        <f>'Raw Data'!EK47</f>
        <v>0</v>
      </c>
      <c r="AK40" s="44">
        <f>'Raw Data'!EL47</f>
        <v>0</v>
      </c>
      <c r="AL40" s="44">
        <f>'Raw Data'!EM47</f>
        <v>0</v>
      </c>
      <c r="AM40" s="44">
        <f>'Raw Data'!EN47</f>
        <v>0</v>
      </c>
      <c r="AN40" s="44">
        <f>'Raw Data'!EO47</f>
        <v>0</v>
      </c>
      <c r="AO40" s="570">
        <f>'Raw Data'!EP47</f>
        <v>0</v>
      </c>
      <c r="AP40" s="44">
        <f>'Raw Data'!EQ47</f>
        <v>0</v>
      </c>
      <c r="AQ40" s="44">
        <f>'Raw Data'!ER47</f>
        <v>0</v>
      </c>
      <c r="AR40" s="44">
        <f>'Raw Data'!ES47</f>
        <v>0</v>
      </c>
      <c r="AS40" s="570">
        <f>'Raw Data'!ET47</f>
        <v>0</v>
      </c>
      <c r="AT40" s="44">
        <v>0</v>
      </c>
      <c r="AU40" s="44">
        <v>0</v>
      </c>
      <c r="AV40" s="44">
        <v>0</v>
      </c>
      <c r="AW40" s="575">
        <v>0</v>
      </c>
      <c r="AX40" s="21">
        <v>0</v>
      </c>
      <c r="AY40" s="21">
        <v>0</v>
      </c>
      <c r="AZ40" s="21">
        <v>0</v>
      </c>
      <c r="BA40" s="575">
        <v>0</v>
      </c>
      <c r="BB40" s="21">
        <v>0</v>
      </c>
      <c r="BC40" s="21">
        <v>0</v>
      </c>
      <c r="BD40" s="21">
        <v>0</v>
      </c>
      <c r="BE40" s="21">
        <v>0</v>
      </c>
      <c r="BF40" s="21">
        <v>0</v>
      </c>
      <c r="BG40" s="21">
        <v>0</v>
      </c>
      <c r="BH40" s="21">
        <v>0</v>
      </c>
      <c r="BI40" s="575">
        <v>0</v>
      </c>
      <c r="BJ40" s="21">
        <v>0</v>
      </c>
      <c r="BK40" s="21">
        <v>0</v>
      </c>
      <c r="BL40" s="21">
        <v>0</v>
      </c>
      <c r="BM40" s="575">
        <v>0</v>
      </c>
      <c r="BN40" s="21">
        <v>0</v>
      </c>
      <c r="BO40" s="21">
        <v>0</v>
      </c>
      <c r="BP40" s="21">
        <v>0</v>
      </c>
      <c r="BQ40" s="575">
        <v>0</v>
      </c>
      <c r="BR40" s="21">
        <v>0</v>
      </c>
      <c r="BS40" s="21">
        <v>0</v>
      </c>
      <c r="BT40" s="21">
        <v>0</v>
      </c>
      <c r="BU40" s="575">
        <v>0</v>
      </c>
      <c r="BV40" s="21">
        <v>0</v>
      </c>
      <c r="BW40" s="58">
        <v>0</v>
      </c>
      <c r="BX40" s="58">
        <v>0</v>
      </c>
      <c r="BY40" s="615">
        <v>0</v>
      </c>
      <c r="BZ40" s="58">
        <v>0</v>
      </c>
      <c r="CA40" s="58">
        <v>0</v>
      </c>
      <c r="CB40" s="58">
        <v>0</v>
      </c>
      <c r="CC40" s="615">
        <v>0</v>
      </c>
      <c r="CD40" s="58">
        <v>0</v>
      </c>
      <c r="CE40" s="58">
        <v>0</v>
      </c>
      <c r="CF40" s="58">
        <v>0</v>
      </c>
      <c r="CG40" s="615">
        <v>0</v>
      </c>
    </row>
    <row r="41" spans="1:85" ht="12.75" customHeight="1">
      <c r="A41" s="28"/>
      <c r="B41" s="30" t="s">
        <v>410</v>
      </c>
      <c r="C41" s="44"/>
      <c r="D41" s="21">
        <f>SUMIF($V$4:$VI$4,D$4,$V41:$VI41)</f>
        <v>13.725999999999999</v>
      </c>
      <c r="E41" s="21">
        <f>SUMIF($V$4:$VI$4,E$4,$V41:$VI41)</f>
        <v>-5.9929999999999986</v>
      </c>
      <c r="F41" s="21">
        <f>SUMIF($V$4:$VI$4,F$4,$V41:$VI41)</f>
        <v>-26.349000000000004</v>
      </c>
      <c r="G41" s="21">
        <f>SUMIF($V$4:$VI$4,G$4,$V41:$VI41)</f>
        <v>-1.6400000000000006</v>
      </c>
      <c r="H41" s="21">
        <f>SUMIF($V$4:$VI$4,H$4,$V41:$VI41)</f>
        <v>-12.694000000000003</v>
      </c>
      <c r="I41" s="21">
        <f>SUMIF($V$4:$VI$4,I$4,$V41:$VI41)</f>
        <v>-8.4990000000000006</v>
      </c>
      <c r="J41" s="21">
        <f>SUMIF($AL$4:$VI$4,J$4,$AL41:$VI41)</f>
        <v>9.495000000000001</v>
      </c>
      <c r="K41" s="21">
        <f>SUMIF($AL$4:$VI$4,K$4,$AL41:$VI41)</f>
        <v>89.817999999999998</v>
      </c>
      <c r="L41" s="21">
        <f>SUMIF($AL$4:$VI$4,L$4,$AL41:$VI41)</f>
        <v>1.407</v>
      </c>
      <c r="M41" s="21">
        <f>SUMIF($AL$4:$VI$4,M$4,$AL41:$VI41)</f>
        <v>6.5860000000000021</v>
      </c>
      <c r="N41" s="21">
        <f>SUMIF($AL$4:$VI$4,N$4,$AL41:$VI41)</f>
        <v>11.155000000000001</v>
      </c>
      <c r="O41" s="21">
        <f>SUMIF($AL$4:$VI$4,O$4,$AL41:$VI41)</f>
        <v>11.261000000000001</v>
      </c>
      <c r="P41" s="21">
        <f>SUMIF($AL$4:$VI$4,P$4,$AL41:$VI41)</f>
        <v>28.501000000000001</v>
      </c>
      <c r="Q41" s="21">
        <f>SUMIF($AL$4:$VI$4,Q$4,$AL41:$VI41)</f>
        <v>20.832999999999998</v>
      </c>
      <c r="R41" s="21">
        <f>SUMIF($AL$4:$VI$4,R$4,$AL41:$VI41)</f>
        <v>0</v>
      </c>
      <c r="S41" s="21">
        <f>SUMIF($AL$4:$VI$4,S$4,$AL41:$VI41)</f>
        <v>0</v>
      </c>
      <c r="T41" s="21">
        <f>SUMIF($AL$4:$VI$4,T$4,$AL41:$VI41)</f>
        <v>0</v>
      </c>
      <c r="U41" s="187"/>
      <c r="V41" s="526">
        <v>2.145</v>
      </c>
      <c r="W41" s="526">
        <v>2.9489999999999998</v>
      </c>
      <c r="X41" s="526">
        <v>2.4039999999999999</v>
      </c>
      <c r="Y41" s="526">
        <v>6.2279999999999998</v>
      </c>
      <c r="Z41" s="526">
        <v>-12.593999999999999</v>
      </c>
      <c r="AA41" s="526">
        <v>-1.8599999999999999</v>
      </c>
      <c r="AB41" s="526">
        <v>6.8380000000000001</v>
      </c>
      <c r="AC41" s="526">
        <v>1.623</v>
      </c>
      <c r="AD41" s="526">
        <v>0.12</v>
      </c>
      <c r="AE41" s="526">
        <v>4.96</v>
      </c>
      <c r="AF41" s="526">
        <v>-25.963000000000001</v>
      </c>
      <c r="AG41" s="526">
        <v>-5.4660000000000002</v>
      </c>
      <c r="AH41" s="526">
        <v>-5.1820000000000004</v>
      </c>
      <c r="AI41" s="526">
        <v>5.335</v>
      </c>
      <c r="AJ41" s="526">
        <v>-2.274</v>
      </c>
      <c r="AK41" s="526">
        <v>0.48099999999999998</v>
      </c>
      <c r="AL41" s="526">
        <v>-2.802</v>
      </c>
      <c r="AM41" s="526">
        <v>-7.399</v>
      </c>
      <c r="AN41" s="526">
        <v>-11.685</v>
      </c>
      <c r="AO41" s="578">
        <v>9.1920000000000002</v>
      </c>
      <c r="AP41" s="526">
        <v>-4.2210000000000001</v>
      </c>
      <c r="AQ41" s="526">
        <v>10.49</v>
      </c>
      <c r="AR41" s="526">
        <v>-9.2230000000000008</v>
      </c>
      <c r="AS41" s="578">
        <v>-5.5449999999999999</v>
      </c>
      <c r="AT41" s="102">
        <v>11.112</v>
      </c>
      <c r="AU41" s="44">
        <v>-5.4870000000000001</v>
      </c>
      <c r="AV41" s="44">
        <v>-0.248</v>
      </c>
      <c r="AW41" s="575">
        <v>4.1180000000000003</v>
      </c>
      <c r="AX41" s="21">
        <v>1.8660000000000001</v>
      </c>
      <c r="AY41" s="21">
        <v>1.89</v>
      </c>
      <c r="AZ41" s="21">
        <v>60.012</v>
      </c>
      <c r="BA41" s="575">
        <v>26.05</v>
      </c>
      <c r="BB41" s="21">
        <v>-2.15</v>
      </c>
      <c r="BC41" s="21">
        <v>3.5779999999999998</v>
      </c>
      <c r="BD41" s="21">
        <v>-0.93400000000000005</v>
      </c>
      <c r="BE41" s="21">
        <v>0.91300000000000003</v>
      </c>
      <c r="BF41" s="21">
        <v>6.26</v>
      </c>
      <c r="BG41" s="21">
        <v>7.0090000000000003</v>
      </c>
      <c r="BH41" s="21">
        <v>4.1100000000000003</v>
      </c>
      <c r="BI41" s="575">
        <v>-10.792999999999999</v>
      </c>
      <c r="BJ41" s="21">
        <v>2.1040000000000001</v>
      </c>
      <c r="BK41" s="21">
        <v>-4.7439999999999998</v>
      </c>
      <c r="BL41" s="102">
        <v>6.54</v>
      </c>
      <c r="BM41" s="598">
        <v>7.2549999999999999</v>
      </c>
      <c r="BN41" s="102">
        <v>4.1779999999999999</v>
      </c>
      <c r="BO41" s="102">
        <v>4.9329999999999998</v>
      </c>
      <c r="BP41" s="102">
        <v>-2.0649999999999999</v>
      </c>
      <c r="BQ41" s="598">
        <v>4.2149999999999999</v>
      </c>
      <c r="BR41" s="102">
        <v>4.8330000000000002</v>
      </c>
      <c r="BS41" s="102">
        <v>11.234</v>
      </c>
      <c r="BT41" s="102">
        <v>5.4779999999999998</v>
      </c>
      <c r="BU41" s="598">
        <v>6.9560000000000004</v>
      </c>
      <c r="BV41" s="102">
        <v>20.832999999999998</v>
      </c>
      <c r="BW41" s="58">
        <v>0</v>
      </c>
      <c r="BX41" s="58">
        <v>0</v>
      </c>
      <c r="BY41" s="615">
        <v>0</v>
      </c>
      <c r="BZ41" s="58">
        <v>0</v>
      </c>
      <c r="CA41" s="58">
        <v>0</v>
      </c>
      <c r="CB41" s="58">
        <v>0</v>
      </c>
      <c r="CC41" s="615">
        <v>0</v>
      </c>
      <c r="CD41" s="58">
        <v>0</v>
      </c>
      <c r="CE41" s="58">
        <v>0</v>
      </c>
      <c r="CF41" s="58">
        <v>0</v>
      </c>
      <c r="CG41" s="615">
        <v>0</v>
      </c>
    </row>
    <row r="42" spans="1:85" ht="12.75" customHeight="1">
      <c r="A42" s="28"/>
      <c r="B42" s="21" t="s">
        <v>408</v>
      </c>
      <c r="C42" s="44"/>
      <c r="D42" s="44">
        <f ca="1">'Raw Data'!U42</f>
        <v>0</v>
      </c>
      <c r="E42" s="44">
        <f ca="1">'Raw Data'!V42</f>
        <v>0</v>
      </c>
      <c r="F42" s="44">
        <f ca="1">'Raw Data'!W42</f>
        <v>0</v>
      </c>
      <c r="G42" s="44">
        <f ca="1">'Raw Data'!X42</f>
        <v>0</v>
      </c>
      <c r="H42" s="44">
        <f ca="1">'Raw Data'!Y42</f>
        <v>0</v>
      </c>
      <c r="I42" s="44">
        <f ca="1">'Raw Data'!Z42</f>
        <v>0</v>
      </c>
      <c r="J42" s="21">
        <f>SUMIF($AL$4:$VI$4,J$4,$AL42:$VI42)</f>
        <v>0</v>
      </c>
      <c r="K42" s="21">
        <f>SUMIF($AL$4:$VI$4,K$4,$AL42:$VI42)</f>
        <v>0</v>
      </c>
      <c r="L42" s="21">
        <f>SUMIF($AL$4:$VI$4,L$4,$AL42:$VI42)</f>
        <v>0</v>
      </c>
      <c r="M42" s="21">
        <f>SUMIF($AL$4:$VI$4,M$4,$AL42:$VI42)</f>
        <v>0</v>
      </c>
      <c r="N42" s="21">
        <f>SUMIF($AL$4:$VI$4,N$4,$AL42:$VI42)</f>
        <v>0</v>
      </c>
      <c r="O42" s="21">
        <f>SUMIF($AL$4:$VI$4,O$4,$AL42:$VI42)</f>
        <v>0</v>
      </c>
      <c r="P42" s="21">
        <f>SUMIF($AL$4:$VI$4,P$4,$AL42:$VI42)</f>
        <v>0</v>
      </c>
      <c r="Q42" s="21">
        <f>SUMIF($AL$4:$VI$4,Q$4,$AL42:$VI42)</f>
        <v>0</v>
      </c>
      <c r="R42" s="21">
        <f>SUMIF($AL$4:$VI$4,R$4,$AL42:$VI42)</f>
        <v>0</v>
      </c>
      <c r="S42" s="21">
        <f>SUMIF($AL$4:$VI$4,S$4,$AL42:$VI42)</f>
        <v>0</v>
      </c>
      <c r="T42" s="21">
        <f>SUMIF($AL$4:$VI$4,T$4,$AL42:$VI42)</f>
        <v>0</v>
      </c>
      <c r="U42" s="187"/>
      <c r="V42" s="44">
        <f>'Raw Data'!DW42</f>
        <v>0</v>
      </c>
      <c r="W42" s="44">
        <f>'Raw Data'!DX42</f>
        <v>0</v>
      </c>
      <c r="X42" s="44">
        <f>'Raw Data'!DY42</f>
        <v>0</v>
      </c>
      <c r="Y42" s="44">
        <f>'Raw Data'!DZ42</f>
        <v>0</v>
      </c>
      <c r="Z42" s="44">
        <f>'Raw Data'!EA42</f>
        <v>0</v>
      </c>
      <c r="AA42" s="44">
        <f>'Raw Data'!EB42</f>
        <v>0</v>
      </c>
      <c r="AB42" s="44">
        <f>'Raw Data'!EC42</f>
        <v>0</v>
      </c>
      <c r="AC42" s="44">
        <f>'Raw Data'!ED42</f>
        <v>0</v>
      </c>
      <c r="AD42" s="44">
        <f>'Raw Data'!EE42</f>
        <v>0</v>
      </c>
      <c r="AE42" s="44">
        <f>'Raw Data'!EF42</f>
        <v>0</v>
      </c>
      <c r="AF42" s="44">
        <f>'Raw Data'!EG42</f>
        <v>0</v>
      </c>
      <c r="AG42" s="44">
        <f>'Raw Data'!EH42</f>
        <v>0</v>
      </c>
      <c r="AH42" s="44">
        <f>'Raw Data'!EI42</f>
        <v>0</v>
      </c>
      <c r="AI42" s="44">
        <f>'Raw Data'!EJ42</f>
        <v>0</v>
      </c>
      <c r="AJ42" s="44">
        <f>'Raw Data'!EK42</f>
        <v>0</v>
      </c>
      <c r="AK42" s="44">
        <f>'Raw Data'!EL42</f>
        <v>0</v>
      </c>
      <c r="AL42" s="44">
        <f>'Raw Data'!EM42</f>
        <v>0</v>
      </c>
      <c r="AM42" s="44">
        <f>'Raw Data'!EN42</f>
        <v>0</v>
      </c>
      <c r="AN42" s="44">
        <f>'Raw Data'!EO42</f>
        <v>0</v>
      </c>
      <c r="AO42" s="570">
        <f>'Raw Data'!EP42</f>
        <v>0</v>
      </c>
      <c r="AP42" s="44">
        <f>'Raw Data'!EQ42</f>
        <v>0</v>
      </c>
      <c r="AQ42" s="44">
        <f>'Raw Data'!ER42</f>
        <v>0</v>
      </c>
      <c r="AR42" s="44">
        <f>'Raw Data'!ES42</f>
        <v>0</v>
      </c>
      <c r="AS42" s="570">
        <f>'Raw Data'!ET42</f>
        <v>0</v>
      </c>
      <c r="AT42" s="44"/>
      <c r="AU42" s="44"/>
      <c r="AV42" s="44"/>
      <c r="AW42" s="575"/>
      <c r="AX42" s="21"/>
      <c r="AY42" s="21"/>
      <c r="AZ42" s="21"/>
      <c r="BA42" s="575"/>
      <c r="BB42" s="21"/>
      <c r="BC42" s="21"/>
      <c r="BD42" s="21"/>
      <c r="BE42" s="21"/>
      <c r="BF42" s="21"/>
      <c r="BG42" s="21"/>
      <c r="BH42" s="21"/>
      <c r="BI42" s="575"/>
      <c r="BJ42" s="21"/>
      <c r="BK42" s="21"/>
      <c r="BL42" s="21"/>
      <c r="BM42" s="575"/>
      <c r="BN42" s="21"/>
      <c r="BO42" s="21"/>
      <c r="BP42" s="21"/>
      <c r="BQ42" s="575"/>
      <c r="BR42" s="21"/>
      <c r="BS42" s="21"/>
      <c r="BT42" s="21"/>
      <c r="BU42" s="575"/>
      <c r="BV42" s="21"/>
      <c r="BW42" s="58"/>
      <c r="BX42" s="58"/>
      <c r="BY42" s="615"/>
      <c r="BZ42" s="58"/>
      <c r="CA42" s="58"/>
      <c r="CB42" s="58"/>
      <c r="CC42" s="615"/>
      <c r="CD42" s="58"/>
      <c r="CE42" s="58"/>
      <c r="CF42" s="58"/>
      <c r="CG42" s="615"/>
    </row>
    <row r="43" spans="1:85" ht="12.75" customHeight="1">
      <c r="A43" s="28"/>
      <c r="B43" s="21" t="s">
        <v>411</v>
      </c>
      <c r="C43" s="44"/>
      <c r="D43" s="21">
        <f t="shared" ref="D43:I43" ca="1" si="113">D44-SUM(D39:D42)</f>
        <v>6.2880000000001104</v>
      </c>
      <c r="E43" s="21">
        <f t="shared" ca="1" si="113"/>
        <v>20.283000000000261</v>
      </c>
      <c r="F43" s="21">
        <f t="shared" ca="1" si="113"/>
        <v>42.227999999999987</v>
      </c>
      <c r="G43" s="21">
        <f t="shared" ca="1" si="113"/>
        <v>-15.889999999999956</v>
      </c>
      <c r="H43" s="21">
        <f t="shared" ca="1" si="113"/>
        <v>32.81099999999995</v>
      </c>
      <c r="I43" s="21">
        <f t="shared" ca="1" si="113"/>
        <v>53.696999999999974</v>
      </c>
      <c r="J43" s="21">
        <f>SUMIF($AL$4:$VI$4,J$4,$AL43:$VI43)</f>
        <v>48.343000000000004</v>
      </c>
      <c r="K43" s="21">
        <f>SUMIF($AL$4:$VI$4,K$4,$AL43:$VI43)</f>
        <v>238.084</v>
      </c>
      <c r="L43" s="21">
        <f>SUMIF($AL$4:$VI$4,L$4,$AL43:$VI43)</f>
        <v>333.46299999999997</v>
      </c>
      <c r="M43" s="21">
        <f>SUMIF($AL$4:$VI$4,M$4,$AL43:$VI43)</f>
        <v>148.28700000000001</v>
      </c>
      <c r="N43" s="21">
        <f>SUMIF($AL$4:$VI$4,N$4,$AL43:$VI43)</f>
        <v>291.38</v>
      </c>
      <c r="O43" s="21">
        <f>SUMIF($AL$4:$VI$4,O$4,$AL43:$VI43)</f>
        <v>125.447</v>
      </c>
      <c r="P43" s="21">
        <f>SUMIF($AL$4:$VI$4,P$4,$AL43:$VI43)</f>
        <v>-90.15</v>
      </c>
      <c r="Q43" s="21">
        <f>SUMIF($AL$4:$VI$4,Q$4,$AL43:$VI43)</f>
        <v>85.688999999999993</v>
      </c>
      <c r="R43" s="21">
        <f>SUMIF($AL$4:$VI$4,R$4,$AL43:$VI43)</f>
        <v>80</v>
      </c>
      <c r="S43" s="21">
        <f>SUMIF($AL$4:$VI$4,S$4,$AL43:$VI43)</f>
        <v>98</v>
      </c>
      <c r="T43" s="21">
        <f>T44-SUM(T39:T42)</f>
        <v>98.615000505062824</v>
      </c>
      <c r="U43" s="187"/>
      <c r="V43" s="21">
        <f>V44-SUM(V39:V42)</f>
        <v>7.3529999999999998</v>
      </c>
      <c r="W43" s="21">
        <f t="shared" ref="W43:AS43" si="114">W44-SUM(W39:W42)</f>
        <v>-6.3699999999999974</v>
      </c>
      <c r="X43" s="21">
        <f t="shared" si="114"/>
        <v>0.19399999999999551</v>
      </c>
      <c r="Y43" s="21">
        <f t="shared" si="114"/>
        <v>5.1109999999999776</v>
      </c>
      <c r="Z43" s="21">
        <f t="shared" si="114"/>
        <v>6.1969999999999992</v>
      </c>
      <c r="AA43" s="21">
        <f t="shared" si="114"/>
        <v>5.9650000000000034</v>
      </c>
      <c r="AB43" s="21">
        <f t="shared" si="114"/>
        <v>0.57300000000001106</v>
      </c>
      <c r="AC43" s="21">
        <f t="shared" si="114"/>
        <v>7.5480000000000098</v>
      </c>
      <c r="AD43" s="21">
        <f t="shared" si="114"/>
        <v>9.6460000000000221</v>
      </c>
      <c r="AE43" s="21">
        <f t="shared" si="114"/>
        <v>8.4430000000000121</v>
      </c>
      <c r="AF43" s="21">
        <f t="shared" si="114"/>
        <v>23.134999999999998</v>
      </c>
      <c r="AG43" s="21">
        <f t="shared" si="114"/>
        <v>1.0040000000000049</v>
      </c>
      <c r="AH43" s="21">
        <f t="shared" si="114"/>
        <v>-3.6330000000000098</v>
      </c>
      <c r="AI43" s="21">
        <f t="shared" si="114"/>
        <v>-21.764000000000006</v>
      </c>
      <c r="AJ43" s="21">
        <f t="shared" si="114"/>
        <v>4.9359999999999751</v>
      </c>
      <c r="AK43" s="21">
        <f t="shared" si="114"/>
        <v>4.5709999999999562</v>
      </c>
      <c r="AL43" s="21">
        <f t="shared" si="114"/>
        <v>-3.2039999999999811</v>
      </c>
      <c r="AM43" s="21">
        <f t="shared" si="114"/>
        <v>24.832999999999974</v>
      </c>
      <c r="AN43" s="21">
        <f t="shared" si="114"/>
        <v>25.336000000000055</v>
      </c>
      <c r="AO43" s="575">
        <f t="shared" si="114"/>
        <v>-14.154000000000016</v>
      </c>
      <c r="AP43" s="21">
        <f t="shared" si="114"/>
        <v>5.6669999999999892</v>
      </c>
      <c r="AQ43" s="21">
        <f t="shared" si="114"/>
        <v>2.4700000000000255</v>
      </c>
      <c r="AR43" s="21">
        <f t="shared" si="114"/>
        <v>8.3769999999999971</v>
      </c>
      <c r="AS43" s="575">
        <f t="shared" si="114"/>
        <v>37.183</v>
      </c>
      <c r="AT43" s="21">
        <f>6.222-26.159</f>
        <v>-19.936999999999998</v>
      </c>
      <c r="AU43" s="21">
        <f>18.379-SUM(AU39:AU42)</f>
        <v>3.9000000000000004</v>
      </c>
      <c r="AV43" s="21">
        <f>19.568+0.594</f>
        <v>20.162000000000003</v>
      </c>
      <c r="AW43" s="719">
        <f>32.075+12.143</f>
        <v>44.218000000000004</v>
      </c>
      <c r="AX43" s="21">
        <f>2.553-1.867</f>
        <v>0.68599999999999994</v>
      </c>
      <c r="AY43" s="21">
        <f>27.789+29.471</f>
        <v>57.260000000000005</v>
      </c>
      <c r="AZ43" s="21">
        <f>-17.099+27.628</f>
        <v>10.529</v>
      </c>
      <c r="BA43" s="575">
        <f>37.498+132.111</f>
        <v>169.60899999999998</v>
      </c>
      <c r="BB43" s="21">
        <f>2.643-15.412</f>
        <v>-12.769000000000002</v>
      </c>
      <c r="BC43" s="21">
        <f>18.764+100.73</f>
        <v>119.494</v>
      </c>
      <c r="BD43" s="21">
        <f>18.436+29.94</f>
        <v>48.376000000000005</v>
      </c>
      <c r="BE43" s="21">
        <f>41.577+136.785</f>
        <v>178.36199999999999</v>
      </c>
      <c r="BF43" s="21">
        <f>16.388-7.957</f>
        <v>8.4310000000000009</v>
      </c>
      <c r="BG43" s="21">
        <f>34.823+6.691</f>
        <v>41.514000000000003</v>
      </c>
      <c r="BH43" s="21">
        <f>36.275-4.224</f>
        <v>32.051000000000002</v>
      </c>
      <c r="BI43" s="575">
        <f>34.038+32.253</f>
        <v>66.290999999999997</v>
      </c>
      <c r="BJ43" s="21">
        <f>30.567+24.612</f>
        <v>55.179000000000002</v>
      </c>
      <c r="BK43" s="21">
        <f>33.865+242.597</f>
        <v>276.46199999999999</v>
      </c>
      <c r="BL43" s="102">
        <f>-47.874-11.821</f>
        <v>-59.695</v>
      </c>
      <c r="BM43" s="598">
        <f>12.231+7.203</f>
        <v>19.434000000000001</v>
      </c>
      <c r="BN43" s="102">
        <f>-24.67-4.886</f>
        <v>-29.556000000000001</v>
      </c>
      <c r="BO43" s="102">
        <f>17.164+7.287</f>
        <v>24.451000000000001</v>
      </c>
      <c r="BP43" s="102">
        <f>29.411-2.927</f>
        <v>26.484000000000002</v>
      </c>
      <c r="BQ43" s="598">
        <f>97.363+6.705</f>
        <v>104.068</v>
      </c>
      <c r="BR43" s="102">
        <f>-0.821-9.755</f>
        <v>-10.576000000000001</v>
      </c>
      <c r="BS43" s="102">
        <f>-0.365-11.328</f>
        <v>-11.693</v>
      </c>
      <c r="BT43" s="102">
        <f>-16.873-4.66</f>
        <v>-21.533000000000001</v>
      </c>
      <c r="BU43" s="598">
        <f>-61.896+15.548</f>
        <v>-46.347999999999999</v>
      </c>
      <c r="BV43" s="102">
        <f>4.531+6.158</f>
        <v>10.689</v>
      </c>
      <c r="BW43" s="834">
        <v>25</v>
      </c>
      <c r="BX43" s="834">
        <f>BW43</f>
        <v>25</v>
      </c>
      <c r="BY43" s="838">
        <f t="shared" ref="BY43" si="115">BX43</f>
        <v>25</v>
      </c>
      <c r="BZ43" s="834">
        <v>20</v>
      </c>
      <c r="CA43" s="834">
        <f>BZ43</f>
        <v>20</v>
      </c>
      <c r="CB43" s="834">
        <f t="shared" ref="CB43:CG43" si="116">CA43</f>
        <v>20</v>
      </c>
      <c r="CC43" s="838">
        <f t="shared" si="116"/>
        <v>20</v>
      </c>
      <c r="CD43" s="834">
        <v>24.5</v>
      </c>
      <c r="CE43" s="834">
        <f t="shared" si="116"/>
        <v>24.5</v>
      </c>
      <c r="CF43" s="834">
        <f t="shared" si="116"/>
        <v>24.5</v>
      </c>
      <c r="CG43" s="838">
        <f t="shared" si="116"/>
        <v>24.5</v>
      </c>
    </row>
    <row r="44" spans="1:85" ht="12.75" customHeight="1">
      <c r="A44" s="28"/>
      <c r="B44" s="34" t="s">
        <v>130</v>
      </c>
      <c r="C44" s="25"/>
      <c r="D44" s="25">
        <f t="shared" ref="D44:I44" ca="1" si="117">D45-D33</f>
        <v>-8.4899999999998954</v>
      </c>
      <c r="E44" s="25">
        <f t="shared" ca="1" si="117"/>
        <v>7.8050000000002626</v>
      </c>
      <c r="F44" s="25">
        <f t="shared" ca="1" si="117"/>
        <v>8.8599999999999852</v>
      </c>
      <c r="G44" s="25">
        <f t="shared" ca="1" si="117"/>
        <v>-29.323999999999955</v>
      </c>
      <c r="H44" s="25">
        <f t="shared" ca="1" si="117"/>
        <v>3.3739999999999526</v>
      </c>
      <c r="I44" s="25">
        <f t="shared" ca="1" si="117"/>
        <v>77.046999999999969</v>
      </c>
      <c r="J44" s="25">
        <f t="shared" ref="J44:O44" si="118">SUM(J39:J43)</f>
        <v>133.36599999999999</v>
      </c>
      <c r="K44" s="25">
        <f t="shared" si="118"/>
        <v>425.46199999999999</v>
      </c>
      <c r="L44" s="25">
        <f t="shared" si="118"/>
        <v>447.76199999999994</v>
      </c>
      <c r="M44" s="25">
        <f t="shared" si="118"/>
        <v>378.42600000000004</v>
      </c>
      <c r="N44" s="25">
        <f>SUM(N39:N43)</f>
        <v>829.702</v>
      </c>
      <c r="O44" s="981">
        <f t="shared" si="118"/>
        <v>385.65800000000007</v>
      </c>
      <c r="P44" s="981">
        <f>SUM(P39:P43)</f>
        <v>-36.680000000000007</v>
      </c>
      <c r="Q44" s="981">
        <f>SUM(Q39:Q43)</f>
        <v>21.942200000000014</v>
      </c>
      <c r="R44" s="981">
        <f t="shared" ref="R44:S44" si="119">SUM(R39:R43)</f>
        <v>12.729043284325371</v>
      </c>
      <c r="S44" s="981">
        <f t="shared" si="119"/>
        <v>21.565030927586349</v>
      </c>
      <c r="T44" s="981">
        <f>TP!N13</f>
        <v>21.565030927586349</v>
      </c>
      <c r="U44" s="187"/>
      <c r="V44" s="25">
        <f t="shared" ref="V44:AS44" si="120">V45-V33</f>
        <v>0</v>
      </c>
      <c r="W44" s="25">
        <f t="shared" si="120"/>
        <v>-11.564999999999998</v>
      </c>
      <c r="X44" s="25">
        <f t="shared" si="120"/>
        <v>-4.6810000000000045</v>
      </c>
      <c r="Y44" s="25">
        <f t="shared" si="120"/>
        <v>7.7559999999999771</v>
      </c>
      <c r="Z44" s="25">
        <f t="shared" si="120"/>
        <v>-9.1890000000000001</v>
      </c>
      <c r="AA44" s="25">
        <f t="shared" si="120"/>
        <v>-1.1049999999999969</v>
      </c>
      <c r="AB44" s="25">
        <f t="shared" si="120"/>
        <v>7.8400000000000105</v>
      </c>
      <c r="AC44" s="25">
        <f t="shared" si="120"/>
        <v>10.259000000000009</v>
      </c>
      <c r="AD44" s="25">
        <f t="shared" si="120"/>
        <v>6.1250000000000213</v>
      </c>
      <c r="AE44" s="25">
        <f t="shared" si="120"/>
        <v>11.943000000000012</v>
      </c>
      <c r="AF44" s="25">
        <f t="shared" si="120"/>
        <v>-3.4590000000000032</v>
      </c>
      <c r="AG44" s="25">
        <f t="shared" si="120"/>
        <v>-5.7489999999999952</v>
      </c>
      <c r="AH44" s="25">
        <f t="shared" si="120"/>
        <v>-13.63600000000001</v>
      </c>
      <c r="AI44" s="25">
        <f t="shared" si="120"/>
        <v>-20.632000000000005</v>
      </c>
      <c r="AJ44" s="25">
        <f t="shared" si="120"/>
        <v>4.4709999999999752</v>
      </c>
      <c r="AK44" s="25">
        <f t="shared" si="120"/>
        <v>0.47299999999995634</v>
      </c>
      <c r="AL44" s="25">
        <f t="shared" si="120"/>
        <v>-12.370999999999981</v>
      </c>
      <c r="AM44" s="25">
        <f t="shared" si="120"/>
        <v>14.539999999999974</v>
      </c>
      <c r="AN44" s="25">
        <f t="shared" si="120"/>
        <v>7.290000000000056</v>
      </c>
      <c r="AO44" s="572">
        <f t="shared" si="120"/>
        <v>-6.0850000000000151</v>
      </c>
      <c r="AP44" s="25">
        <f t="shared" si="120"/>
        <v>0.77599999999998914</v>
      </c>
      <c r="AQ44" s="25">
        <f t="shared" si="120"/>
        <v>14.955000000000027</v>
      </c>
      <c r="AR44" s="25">
        <f t="shared" si="120"/>
        <v>17.842999999999996</v>
      </c>
      <c r="AS44" s="572">
        <f t="shared" si="120"/>
        <v>43.472999999999999</v>
      </c>
      <c r="AT44" s="25">
        <f>SUM(AT39:AT43)</f>
        <v>6.0550000000000033</v>
      </c>
      <c r="AU44" s="25">
        <f>SUM(AU39:AU43)</f>
        <v>18.379000000000001</v>
      </c>
      <c r="AV44" s="25">
        <f>SUM(AV39:AV43)</f>
        <v>41.537000000000006</v>
      </c>
      <c r="AW44" s="572">
        <f>SUM(AW39:AW43)</f>
        <v>67.39500000000001</v>
      </c>
      <c r="AX44" s="25">
        <f t="shared" ref="AX44:BE44" si="121">SUM(AX39:AX43)</f>
        <v>18.317</v>
      </c>
      <c r="AY44" s="25">
        <f t="shared" si="121"/>
        <v>76.999000000000009</v>
      </c>
      <c r="AZ44" s="25">
        <f t="shared" si="121"/>
        <v>101.79299999999999</v>
      </c>
      <c r="BA44" s="572">
        <f t="shared" si="121"/>
        <v>228.35299999999998</v>
      </c>
      <c r="BB44" s="25">
        <f t="shared" si="121"/>
        <v>16.858999999999998</v>
      </c>
      <c r="BC44" s="25">
        <f>SUM(BC39:BC43)</f>
        <v>142.666</v>
      </c>
      <c r="BD44" s="25">
        <f>SUM(BD39:BD43)</f>
        <v>76.960999999999999</v>
      </c>
      <c r="BE44" s="572">
        <f t="shared" si="121"/>
        <v>211.27599999999998</v>
      </c>
      <c r="BF44" s="25">
        <f t="shared" ref="BF44:BV44" si="122">SUM(BF39:BF43)</f>
        <v>38.179000000000002</v>
      </c>
      <c r="BG44" s="25">
        <f t="shared" si="122"/>
        <v>96.804000000000002</v>
      </c>
      <c r="BH44" s="25">
        <f>SUM(BH39:BH43)</f>
        <v>106.666</v>
      </c>
      <c r="BI44" s="572">
        <f t="shared" si="122"/>
        <v>136.77699999999999</v>
      </c>
      <c r="BJ44" s="946">
        <f t="shared" si="122"/>
        <v>192.62700000000001</v>
      </c>
      <c r="BK44" s="946">
        <f>SUM(BK39:BK43)</f>
        <v>415.94600000000003</v>
      </c>
      <c r="BL44" s="946">
        <f>SUM(BL39:BL43)</f>
        <v>80.425999999999988</v>
      </c>
      <c r="BM44" s="572">
        <f>SUM(BM39:BM43)</f>
        <v>140.703</v>
      </c>
      <c r="BN44" s="946">
        <f>SUM(BN39:BN43)</f>
        <v>72.007000000000019</v>
      </c>
      <c r="BO44" s="946">
        <f>SUM(BO39:BO43)</f>
        <v>99.875</v>
      </c>
      <c r="BP44" s="946">
        <f t="shared" si="122"/>
        <v>72.984999999999985</v>
      </c>
      <c r="BQ44" s="572">
        <f t="shared" si="122"/>
        <v>140.791</v>
      </c>
      <c r="BR44" s="946">
        <f t="shared" si="122"/>
        <v>39.704999999999991</v>
      </c>
      <c r="BS44" s="946">
        <f t="shared" si="122"/>
        <v>9.7249999999999996</v>
      </c>
      <c r="BT44" s="946">
        <f t="shared" si="122"/>
        <v>-13.99299999999999</v>
      </c>
      <c r="BU44" s="572">
        <f t="shared" si="122"/>
        <v>-72.11699999999999</v>
      </c>
      <c r="BV44" s="1048">
        <f t="shared" si="122"/>
        <v>7.5389999999999944</v>
      </c>
      <c r="BW44" s="946">
        <f t="shared" ref="BW44:CG44" si="123">SUM(BW39:BW43)</f>
        <v>1.0169999999999959</v>
      </c>
      <c r="BX44" s="946">
        <f t="shared" si="123"/>
        <v>1.0169999999999959</v>
      </c>
      <c r="BY44" s="572">
        <f t="shared" si="123"/>
        <v>12.369200000000035</v>
      </c>
      <c r="BZ44" s="946">
        <f t="shared" si="123"/>
        <v>3.1822608210813428</v>
      </c>
      <c r="CA44" s="946">
        <f t="shared" si="123"/>
        <v>3.1822608210813428</v>
      </c>
      <c r="CB44" s="946">
        <f t="shared" si="123"/>
        <v>3.1822608210813428</v>
      </c>
      <c r="CC44" s="572">
        <f t="shared" si="123"/>
        <v>3.1822608210813144</v>
      </c>
      <c r="CD44" s="946">
        <f t="shared" si="123"/>
        <v>5.3912577318965873</v>
      </c>
      <c r="CE44" s="946">
        <f t="shared" si="123"/>
        <v>5.3912577318965873</v>
      </c>
      <c r="CF44" s="946">
        <f t="shared" si="123"/>
        <v>5.3912577318965873</v>
      </c>
      <c r="CG44" s="572">
        <f t="shared" si="123"/>
        <v>5.3912577318965873</v>
      </c>
    </row>
    <row r="45" spans="1:85" ht="12.75" customHeight="1">
      <c r="A45" s="28"/>
      <c r="B45" s="25" t="s">
        <v>8</v>
      </c>
      <c r="C45" s="25"/>
      <c r="D45" s="25">
        <f>'Basic Data TR'!E63</f>
        <v>178.59700000000001</v>
      </c>
      <c r="E45" s="25">
        <f>'Basic Data TR'!F63</f>
        <v>138.05000000000001</v>
      </c>
      <c r="F45" s="25">
        <f>'Basic Data TR'!G63</f>
        <v>230.864</v>
      </c>
      <c r="G45" s="25">
        <f>'Basic Data TR'!H63</f>
        <v>309.88200000000001</v>
      </c>
      <c r="H45" s="25">
        <f>'Basic Data TR'!I63</f>
        <v>128.26900000000001</v>
      </c>
      <c r="I45" s="25">
        <f ca="1">'Raw Data'!Z51</f>
        <v>91.686999999999642</v>
      </c>
      <c r="J45" s="25">
        <f t="shared" ref="J45:T45" si="124">J33+J44</f>
        <v>182.27600000000041</v>
      </c>
      <c r="K45" s="25">
        <f t="shared" si="124"/>
        <v>737.40800000000013</v>
      </c>
      <c r="L45" s="25">
        <f t="shared" si="124"/>
        <v>1840.3240000000003</v>
      </c>
      <c r="M45" s="25">
        <f t="shared" si="124"/>
        <v>2214.105</v>
      </c>
      <c r="N45" s="25">
        <f>N33+N44</f>
        <v>1187.4490000000003</v>
      </c>
      <c r="O45" s="25">
        <f t="shared" si="124"/>
        <v>859.05600000000118</v>
      </c>
      <c r="P45" s="25">
        <f t="shared" si="124"/>
        <v>1073.256999999998</v>
      </c>
      <c r="Q45" s="25">
        <f>Q33+Q44</f>
        <v>1472.3482680538759</v>
      </c>
      <c r="R45" s="25">
        <f t="shared" ref="R45:S45" si="125">R33+R44</f>
        <v>2001.4683202997119</v>
      </c>
      <c r="S45" s="25">
        <f t="shared" si="125"/>
        <v>2812.6216615168214</v>
      </c>
      <c r="T45" s="25">
        <f t="shared" si="124"/>
        <v>3772.1715145295739</v>
      </c>
      <c r="U45" s="187"/>
      <c r="V45" s="25">
        <f>'Basic Data TR'!Z63</f>
        <v>43.048000000000002</v>
      </c>
      <c r="W45" s="25">
        <f>'Basic Data TR'!AA63</f>
        <v>75.84</v>
      </c>
      <c r="X45" s="25">
        <f>'Basic Data TR'!AB63</f>
        <v>43.853999999999999</v>
      </c>
      <c r="Y45" s="25">
        <f>'Basic Data TR'!AC63</f>
        <v>15.855</v>
      </c>
      <c r="Z45" s="25">
        <f>'Basic Data TR'!AD63</f>
        <v>20.396000000000001</v>
      </c>
      <c r="AA45" s="25">
        <f>'Basic Data TR'!AE63</f>
        <v>57.087000000000003</v>
      </c>
      <c r="AB45" s="25">
        <f>'Basic Data TR'!AF63</f>
        <v>48.66</v>
      </c>
      <c r="AC45" s="25">
        <f>'Basic Data TR'!AG63</f>
        <v>11.907</v>
      </c>
      <c r="AD45" s="25">
        <f>'Basic Data TR'!AH63</f>
        <v>51.628999999999998</v>
      </c>
      <c r="AE45" s="25">
        <f>'Basic Data TR'!AI63</f>
        <v>72.62</v>
      </c>
      <c r="AF45" s="25">
        <f>'Basic Data TR'!AJ63</f>
        <v>70.766999999999996</v>
      </c>
      <c r="AG45" s="25">
        <f>'Basic Data TR'!AK63</f>
        <v>35.847999999999999</v>
      </c>
      <c r="AH45" s="25">
        <f>'Basic Data TR'!AL63</f>
        <v>52.5</v>
      </c>
      <c r="AI45" s="25">
        <f>'Basic Data TR'!AM63</f>
        <v>94.787999999999997</v>
      </c>
      <c r="AJ45" s="25">
        <f>'Basic Data TR'!AN63</f>
        <v>113.10299999999999</v>
      </c>
      <c r="AK45" s="25">
        <f>'Basic Data TR'!AO63</f>
        <v>49.491</v>
      </c>
      <c r="AL45" s="25">
        <f>'Basic Data TR'!AP63</f>
        <v>65.015000000000001</v>
      </c>
      <c r="AM45" s="25">
        <f>'Basic Data TR'!AQ63</f>
        <v>36.171999999999997</v>
      </c>
      <c r="AN45" s="25">
        <f>'Basic Data TR'!AR63</f>
        <v>29.995000000000001</v>
      </c>
      <c r="AO45" s="572">
        <f>'Basic Data TR'!AS63</f>
        <v>-2.9129999999999998</v>
      </c>
      <c r="AP45" s="25">
        <f>'Basic Data TR'!AT63</f>
        <v>43.037999999999997</v>
      </c>
      <c r="AQ45" s="25">
        <f>'Basic Data TR'!AU63</f>
        <v>34.091000000000001</v>
      </c>
      <c r="AR45" s="25">
        <f>'Basic Data TR'!AV63</f>
        <v>12.015000000000001</v>
      </c>
      <c r="AS45" s="572">
        <f>'Basic Data TR'!AW63</f>
        <v>2.5430000000000001</v>
      </c>
      <c r="AT45" s="25">
        <f t="shared" ref="AT45:BV45" si="126">AT33+AT44</f>
        <v>30.500000000000082</v>
      </c>
      <c r="AU45" s="25">
        <f t="shared" si="126"/>
        <v>-24.451000000000068</v>
      </c>
      <c r="AV45" s="25">
        <f t="shared" si="126"/>
        <v>88.687000000000069</v>
      </c>
      <c r="AW45" s="572">
        <f t="shared" si="126"/>
        <v>87.539999999999964</v>
      </c>
      <c r="AX45" s="25">
        <f t="shared" si="126"/>
        <v>65.658000000000058</v>
      </c>
      <c r="AY45" s="25">
        <f t="shared" si="126"/>
        <v>141.66499999999996</v>
      </c>
      <c r="AZ45" s="25">
        <f t="shared" si="126"/>
        <v>284.48300000000006</v>
      </c>
      <c r="BA45" s="572">
        <f t="shared" si="126"/>
        <v>245.60200000000006</v>
      </c>
      <c r="BB45" s="25">
        <f t="shared" si="126"/>
        <v>141.5</v>
      </c>
      <c r="BC45" s="25">
        <f t="shared" si="126"/>
        <v>680.42900000000009</v>
      </c>
      <c r="BD45" s="25">
        <f t="shared" si="126"/>
        <v>387.00499999999988</v>
      </c>
      <c r="BE45" s="25">
        <f t="shared" si="126"/>
        <v>631.38999999999987</v>
      </c>
      <c r="BF45" s="25">
        <f t="shared" si="126"/>
        <v>574.15</v>
      </c>
      <c r="BG45" s="25">
        <f t="shared" si="126"/>
        <v>636.24700000000007</v>
      </c>
      <c r="BH45" s="25">
        <f>BH33+BH44</f>
        <v>584.58499999999981</v>
      </c>
      <c r="BI45" s="572">
        <f t="shared" si="126"/>
        <v>419.1230000000001</v>
      </c>
      <c r="BJ45" s="946">
        <f>BJ33+BJ44</f>
        <v>275.91000000000014</v>
      </c>
      <c r="BK45" s="946">
        <f>BK33+BK44</f>
        <v>495.74400000000003</v>
      </c>
      <c r="BL45" s="946">
        <f>BL33+BL44</f>
        <v>167.81399999999991</v>
      </c>
      <c r="BM45" s="572">
        <f>BM33+BM44</f>
        <v>247.98099999999991</v>
      </c>
      <c r="BN45" s="946">
        <f>BN33+BN44</f>
        <v>74.412999999999954</v>
      </c>
      <c r="BO45" s="25">
        <f t="shared" si="126"/>
        <v>187.0150000000001</v>
      </c>
      <c r="BP45" s="946">
        <f t="shared" si="126"/>
        <v>242.87200000000016</v>
      </c>
      <c r="BQ45" s="572">
        <f t="shared" si="126"/>
        <v>354.75600000000003</v>
      </c>
      <c r="BR45" s="946">
        <f t="shared" si="126"/>
        <v>349.27599999999978</v>
      </c>
      <c r="BS45" s="946">
        <f t="shared" si="126"/>
        <v>160.40199999999967</v>
      </c>
      <c r="BT45" s="1048">
        <f t="shared" si="126"/>
        <v>337.07600000000019</v>
      </c>
      <c r="BU45" s="572">
        <f t="shared" si="126"/>
        <v>226.50300000000013</v>
      </c>
      <c r="BV45" s="1048">
        <f t="shared" si="126"/>
        <v>255.33100000000013</v>
      </c>
      <c r="BW45" s="946">
        <f t="shared" ref="BW45:CG45" si="127">BW33+BW44</f>
        <v>353.74243697149603</v>
      </c>
      <c r="BX45" s="946">
        <f t="shared" si="127"/>
        <v>407.58792141618022</v>
      </c>
      <c r="BY45" s="572">
        <f t="shared" si="127"/>
        <v>455.68690966619846</v>
      </c>
      <c r="BZ45" s="946">
        <f t="shared" si="127"/>
        <v>420.74307655660795</v>
      </c>
      <c r="CA45" s="946">
        <f t="shared" si="127"/>
        <v>422.98292471948974</v>
      </c>
      <c r="CB45" s="946">
        <f t="shared" si="127"/>
        <v>602.20075713282108</v>
      </c>
      <c r="CC45" s="572">
        <f t="shared" si="127"/>
        <v>555.54156189079288</v>
      </c>
      <c r="CD45" s="946">
        <f t="shared" si="127"/>
        <v>607.45019337635631</v>
      </c>
      <c r="CE45" s="946">
        <f t="shared" si="127"/>
        <v>632.63238566771997</v>
      </c>
      <c r="CF45" s="946">
        <f t="shared" si="127"/>
        <v>782.5385350699471</v>
      </c>
      <c r="CG45" s="572">
        <f t="shared" si="127"/>
        <v>790.0005474027962</v>
      </c>
    </row>
    <row r="46" spans="1:85" s="168" customFormat="1" ht="12.75" customHeight="1">
      <c r="A46" s="18"/>
      <c r="B46" s="15" t="s">
        <v>155</v>
      </c>
      <c r="C46" s="61"/>
      <c r="D46" s="61" t="str">
        <f t="shared" ref="D46:T46" si="128">IF(ISERROR(D45/C45-1)," ",(D45/C45-1))</f>
        <v xml:space="preserve"> </v>
      </c>
      <c r="E46" s="61">
        <f t="shared" si="128"/>
        <v>-0.22703068920530578</v>
      </c>
      <c r="F46" s="61">
        <f t="shared" si="128"/>
        <v>0.67232162260050687</v>
      </c>
      <c r="G46" s="61">
        <f t="shared" si="128"/>
        <v>0.34227077413542162</v>
      </c>
      <c r="H46" s="61">
        <f t="shared" si="128"/>
        <v>-0.58607147236690094</v>
      </c>
      <c r="I46" s="61">
        <f t="shared" ca="1" si="128"/>
        <v>-0.28519751459822995</v>
      </c>
      <c r="J46" s="61">
        <f t="shared" ca="1" si="128"/>
        <v>0.98802447457110731</v>
      </c>
      <c r="K46" s="61">
        <f t="shared" si="128"/>
        <v>3.0455572867519498</v>
      </c>
      <c r="L46" s="61">
        <f t="shared" si="128"/>
        <v>1.4956659000173582</v>
      </c>
      <c r="M46" s="61">
        <f t="shared" si="128"/>
        <v>0.20310608349399328</v>
      </c>
      <c r="N46" s="61">
        <f t="shared" si="128"/>
        <v>-0.46368893977476211</v>
      </c>
      <c r="O46" s="61">
        <f t="shared" si="128"/>
        <v>-0.27655335092285993</v>
      </c>
      <c r="P46" s="61">
        <f t="shared" si="128"/>
        <v>0.24934462945372182</v>
      </c>
      <c r="Q46" s="61">
        <f t="shared" si="128"/>
        <v>0.37185060805928005</v>
      </c>
      <c r="R46" s="61">
        <f t="shared" ref="R46" si="129">IF(ISERROR(R45/Q45-1)," ",(R45/Q45-1))</f>
        <v>0.35937153167247415</v>
      </c>
      <c r="S46" s="61">
        <f t="shared" ref="S46" si="130">IF(ISERROR(S45/R45-1)," ",(S45/R45-1))</f>
        <v>0.40527913082113765</v>
      </c>
      <c r="T46" s="61">
        <f t="shared" si="128"/>
        <v>0.34115852343086761</v>
      </c>
      <c r="U46" s="187"/>
      <c r="V46" s="61" t="str">
        <f>IF(ISERROR(V45/#REF!-1),"",V45/#REF!-1)</f>
        <v/>
      </c>
      <c r="W46" s="61" t="str">
        <f>IF(ISERROR(W45/#REF!-1),"",W45/#REF!-1)</f>
        <v/>
      </c>
      <c r="X46" s="61" t="str">
        <f>IF(ISERROR(X45/#REF!-1),"",X45/#REF!-1)</f>
        <v/>
      </c>
      <c r="Y46" s="61" t="str">
        <f>IF(ISERROR(Y45/#REF!-1),"",Y45/#REF!-1)</f>
        <v/>
      </c>
      <c r="Z46" s="61">
        <f t="shared" ref="Z46:AW46" si="131">IF(ISERROR(Z45/V45-1),"",Z45/V45-1)</f>
        <v>-0.52620330793532799</v>
      </c>
      <c r="AA46" s="61">
        <f t="shared" si="131"/>
        <v>-0.24727056962025318</v>
      </c>
      <c r="AB46" s="61">
        <f t="shared" si="131"/>
        <v>0.10959091530989196</v>
      </c>
      <c r="AC46" s="61">
        <f t="shared" si="131"/>
        <v>-0.24900662251655636</v>
      </c>
      <c r="AD46" s="61">
        <f t="shared" si="131"/>
        <v>1.5313296724848007</v>
      </c>
      <c r="AE46" s="61">
        <f t="shared" si="131"/>
        <v>0.27209347136826256</v>
      </c>
      <c r="AF46" s="61">
        <f t="shared" si="131"/>
        <v>0.45431565967940823</v>
      </c>
      <c r="AG46" s="61">
        <f t="shared" si="131"/>
        <v>2.010665994792979</v>
      </c>
      <c r="AH46" s="61">
        <f t="shared" si="131"/>
        <v>1.6870363555366197E-2</v>
      </c>
      <c r="AI46" s="61">
        <f t="shared" si="131"/>
        <v>0.30526025888185071</v>
      </c>
      <c r="AJ46" s="61">
        <f t="shared" si="131"/>
        <v>0.59824494467760392</v>
      </c>
      <c r="AK46" s="61">
        <f t="shared" si="131"/>
        <v>0.38057911180540072</v>
      </c>
      <c r="AL46" s="61">
        <f t="shared" si="131"/>
        <v>0.23838095238095236</v>
      </c>
      <c r="AM46" s="61">
        <f t="shared" si="131"/>
        <v>-0.61839051356711816</v>
      </c>
      <c r="AN46" s="61">
        <f t="shared" si="131"/>
        <v>-0.73479925377753019</v>
      </c>
      <c r="AO46" s="569">
        <f t="shared" si="131"/>
        <v>-1.0588591865187609</v>
      </c>
      <c r="AP46" s="61">
        <f t="shared" si="131"/>
        <v>-0.33802968545720224</v>
      </c>
      <c r="AQ46" s="61">
        <f t="shared" si="131"/>
        <v>-5.7530686719009072E-2</v>
      </c>
      <c r="AR46" s="61">
        <f t="shared" si="131"/>
        <v>-0.59943323887314559</v>
      </c>
      <c r="AS46" s="569">
        <f t="shared" si="131"/>
        <v>-1.8729831788534157</v>
      </c>
      <c r="AT46" s="61">
        <f t="shared" si="131"/>
        <v>-0.29132394628002967</v>
      </c>
      <c r="AU46" s="61">
        <f t="shared" si="131"/>
        <v>-1.7172274207268801</v>
      </c>
      <c r="AV46" s="61">
        <f t="shared" si="131"/>
        <v>6.3813566375364186</v>
      </c>
      <c r="AW46" s="569">
        <f t="shared" si="131"/>
        <v>33.423908769170254</v>
      </c>
      <c r="AX46" s="61">
        <f t="shared" ref="AX46:BE46" si="132">IF(ISERROR(AX45/AT45-1),"",AX45/AT45-1)</f>
        <v>1.152721311475406</v>
      </c>
      <c r="AY46" s="61">
        <f t="shared" si="132"/>
        <v>-6.7938325630853367</v>
      </c>
      <c r="AZ46" s="61">
        <f t="shared" si="132"/>
        <v>2.2077192824201952</v>
      </c>
      <c r="BA46" s="569">
        <f t="shared" si="132"/>
        <v>1.8055974411697528</v>
      </c>
      <c r="BB46" s="61">
        <f t="shared" si="132"/>
        <v>1.1551067653598932</v>
      </c>
      <c r="BC46" s="61">
        <f t="shared" si="132"/>
        <v>3.8030847421734393</v>
      </c>
      <c r="BD46" s="61">
        <f>IF(ISERROR(BD45/AZ45-1),"",BD45/AZ45-1)</f>
        <v>0.36038005785934413</v>
      </c>
      <c r="BE46" s="569">
        <f t="shared" si="132"/>
        <v>1.57078525419174</v>
      </c>
      <c r="BF46" s="61">
        <f t="shared" ref="BF46:BU46" si="133">IF(ISERROR(BF45/BB45-1),"",BF45/BB45-1)</f>
        <v>3.0575971731448766</v>
      </c>
      <c r="BG46" s="61">
        <f t="shared" si="133"/>
        <v>-6.4932564602625753E-2</v>
      </c>
      <c r="BH46" s="61">
        <f t="shared" si="133"/>
        <v>0.51053603958605187</v>
      </c>
      <c r="BI46" s="569">
        <f t="shared" si="133"/>
        <v>-0.33618999350639034</v>
      </c>
      <c r="BJ46" s="61">
        <f t="shared" si="133"/>
        <v>-0.51944613776887549</v>
      </c>
      <c r="BK46" s="61">
        <f t="shared" si="133"/>
        <v>-0.2208309037213535</v>
      </c>
      <c r="BL46" s="61">
        <f t="shared" si="133"/>
        <v>-0.71293481700693662</v>
      </c>
      <c r="BM46" s="569">
        <f t="shared" si="133"/>
        <v>-0.40833359180956463</v>
      </c>
      <c r="BN46" s="61">
        <f t="shared" si="133"/>
        <v>-0.73029973542097093</v>
      </c>
      <c r="BO46" s="61">
        <f t="shared" si="133"/>
        <v>-0.62275892396075383</v>
      </c>
      <c r="BP46" s="61">
        <f t="shared" si="133"/>
        <v>0.44726900020260696</v>
      </c>
      <c r="BQ46" s="569">
        <f t="shared" si="133"/>
        <v>0.43057734261899161</v>
      </c>
      <c r="BR46" s="61">
        <f t="shared" si="133"/>
        <v>3.6937497480278987</v>
      </c>
      <c r="BS46" s="61">
        <f t="shared" si="133"/>
        <v>-0.14230409325455395</v>
      </c>
      <c r="BT46" s="61">
        <f t="shared" si="133"/>
        <v>0.38787509470008885</v>
      </c>
      <c r="BU46" s="569">
        <f t="shared" si="133"/>
        <v>-0.36152454081114871</v>
      </c>
      <c r="BV46" s="61">
        <f t="shared" ref="BV46:CG46" si="134">IF(ISERROR(BV45/BR45-1),"",BV45/BR45-1)</f>
        <v>-0.26897067075894054</v>
      </c>
      <c r="BW46" s="61">
        <f t="shared" si="134"/>
        <v>1.2053492909782717</v>
      </c>
      <c r="BX46" s="61">
        <f t="shared" si="134"/>
        <v>0.20918701247249882</v>
      </c>
      <c r="BY46" s="569">
        <f t="shared" si="134"/>
        <v>1.0118360889974887</v>
      </c>
      <c r="BZ46" s="61">
        <f t="shared" si="134"/>
        <v>0.64783389622336385</v>
      </c>
      <c r="CA46" s="61">
        <f t="shared" si="134"/>
        <v>0.19573701233243046</v>
      </c>
      <c r="CB46" s="61">
        <f t="shared" si="134"/>
        <v>0.47747449198310621</v>
      </c>
      <c r="CC46" s="569">
        <f t="shared" si="134"/>
        <v>0.21912995547258607</v>
      </c>
      <c r="CD46" s="61">
        <f t="shared" si="134"/>
        <v>0.44375564857245675</v>
      </c>
      <c r="CE46" s="61">
        <f t="shared" si="134"/>
        <v>0.4956452109438314</v>
      </c>
      <c r="CF46" s="61">
        <f t="shared" si="134"/>
        <v>0.29946454865939476</v>
      </c>
      <c r="CG46" s="569">
        <f t="shared" si="134"/>
        <v>0.42203680443641178</v>
      </c>
    </row>
    <row r="47" spans="1:85" ht="12.75" customHeight="1">
      <c r="A47" s="17"/>
      <c r="B47" s="5"/>
      <c r="C47" s="20"/>
      <c r="D47" s="20"/>
      <c r="E47" s="20"/>
      <c r="F47" s="20"/>
      <c r="G47" s="20"/>
      <c r="H47" s="20"/>
      <c r="I47" s="20"/>
      <c r="J47" s="20"/>
      <c r="K47" s="20"/>
      <c r="L47" s="20"/>
      <c r="M47" s="20"/>
      <c r="N47" s="20"/>
      <c r="O47" s="20"/>
      <c r="P47" s="20"/>
      <c r="Q47" s="20"/>
      <c r="R47" s="20"/>
      <c r="S47" s="20"/>
      <c r="T47" s="20"/>
      <c r="U47" s="187"/>
      <c r="V47" s="20"/>
      <c r="W47" s="20"/>
      <c r="X47" s="20"/>
      <c r="Y47" s="20"/>
      <c r="Z47" s="20"/>
      <c r="AA47" s="20"/>
      <c r="AB47" s="20"/>
      <c r="AC47" s="20"/>
      <c r="AD47" s="20"/>
      <c r="AE47" s="20"/>
      <c r="AF47" s="20"/>
      <c r="AG47" s="20"/>
      <c r="AH47" s="20"/>
      <c r="AI47" s="20"/>
      <c r="AJ47" s="20"/>
      <c r="AK47" s="20"/>
      <c r="AL47" s="20"/>
      <c r="AM47" s="20"/>
      <c r="AN47" s="20"/>
      <c r="AO47" s="571"/>
      <c r="AP47" s="20"/>
      <c r="AQ47" s="20"/>
      <c r="AR47" s="20"/>
      <c r="AS47" s="571"/>
      <c r="AT47" s="20"/>
      <c r="AU47" s="20"/>
      <c r="AV47" s="20"/>
      <c r="AW47" s="571"/>
      <c r="AX47" s="20"/>
      <c r="AY47" s="20"/>
      <c r="AZ47" s="20"/>
      <c r="BA47" s="571"/>
      <c r="BB47" s="20"/>
      <c r="BC47" s="20"/>
      <c r="BD47" s="20"/>
      <c r="BE47" s="571"/>
      <c r="BF47" s="152"/>
      <c r="BG47" s="20"/>
      <c r="BH47" s="20"/>
      <c r="BI47" s="571"/>
      <c r="BJ47" s="20"/>
      <c r="BK47" s="20"/>
      <c r="BL47" s="20"/>
      <c r="BM47" s="571"/>
      <c r="BN47" s="20"/>
      <c r="BO47" s="20"/>
      <c r="BP47" s="20"/>
      <c r="BQ47" s="571"/>
      <c r="BR47" s="20"/>
      <c r="BS47" s="20"/>
      <c r="BT47" s="20"/>
      <c r="BU47" s="571"/>
      <c r="BV47" s="20"/>
      <c r="BW47" s="20"/>
      <c r="BX47" s="20"/>
      <c r="BY47" s="571"/>
      <c r="BZ47" s="20"/>
      <c r="CA47" s="20"/>
      <c r="CB47" s="20"/>
      <c r="CC47" s="571"/>
      <c r="CD47" s="20"/>
      <c r="CE47" s="20"/>
      <c r="CF47" s="20"/>
      <c r="CG47" s="571"/>
    </row>
    <row r="48" spans="1:85" ht="12.75" customHeight="1">
      <c r="A48" s="28"/>
      <c r="B48" s="26" t="s">
        <v>846</v>
      </c>
      <c r="C48" s="44"/>
      <c r="D48" s="44">
        <f ca="1">+'Raw Data'!U55</f>
        <v>-4.1300000000000008</v>
      </c>
      <c r="E48" s="44">
        <f ca="1">+'Raw Data'!V55</f>
        <v>-11.789</v>
      </c>
      <c r="F48" s="44">
        <f ca="1">+'Raw Data'!W55</f>
        <v>-8.5410000000000004</v>
      </c>
      <c r="G48" s="44">
        <f ca="1">+'Raw Data'!X55</f>
        <v>6.5520000000000005</v>
      </c>
      <c r="H48" s="44">
        <f ca="1">+'Raw Data'!Y55</f>
        <v>-1.8459999999999996</v>
      </c>
      <c r="I48" s="44">
        <f ca="1">+'Raw Data'!Z55</f>
        <v>-14.475999999999999</v>
      </c>
      <c r="J48" s="21">
        <f>SUMIF($AL$4:$VI$4,J$4,$AL48:$VI48)</f>
        <v>-23.416</v>
      </c>
      <c r="K48" s="21">
        <f>SUMIF($AL$4:$VI$4,K$4,$AL48:$VI48)</f>
        <v>-68.31</v>
      </c>
      <c r="L48" s="21">
        <f>SUMIF($AL$4:$VI$4,L$4,$AL48:$VI48)</f>
        <v>-65.165999999999997</v>
      </c>
      <c r="M48" s="21">
        <f>SUMIF($AL$4:$VI$4,M$4,$AL48:$VI48)</f>
        <v>-16.023000000000003</v>
      </c>
      <c r="N48" s="21">
        <f>SUMIF($AL$4:$VI$4,N$4,$AL48:$VI48)</f>
        <v>-62.513999999999818</v>
      </c>
      <c r="O48" s="21">
        <f>SUMIF($AL$4:$VI$4,O$4,$AL48:$VI48)</f>
        <v>-129.06300000000024</v>
      </c>
      <c r="P48" s="21">
        <f>SUMIF($AL$4:$VI$4,P$4,$AL48:$VI48)</f>
        <v>-84.312999999999775</v>
      </c>
      <c r="Q48" s="21">
        <f>SUMIF($AL$4:$VI$4,Q$4,$AL48:$VI48)</f>
        <v>-154.75347511621138</v>
      </c>
      <c r="R48" s="21">
        <f>SUMIF($AL$4:$VI$4,R$4,$AL48:$VI48)</f>
        <v>-260.19088163896254</v>
      </c>
      <c r="S48" s="21">
        <f>SUMIF($AL$4:$VI$4,S$4,$AL48:$VI48)</f>
        <v>-365.64081599718656</v>
      </c>
      <c r="T48" s="510">
        <f>TP!N15</f>
        <v>-603.54744232473172</v>
      </c>
      <c r="U48" s="187"/>
      <c r="V48" s="44">
        <f>+'Raw Data'!DW55</f>
        <v>-2.536</v>
      </c>
      <c r="W48" s="44">
        <f>+'Raw Data'!DX55</f>
        <v>-0.51</v>
      </c>
      <c r="X48" s="44">
        <f>+'Raw Data'!DY55</f>
        <v>-0.91400000000000003</v>
      </c>
      <c r="Y48" s="44">
        <f>+'Raw Data'!DZ55</f>
        <v>-0.17</v>
      </c>
      <c r="Z48" s="44">
        <f>+'Raw Data'!EA55</f>
        <v>-1.454</v>
      </c>
      <c r="AA48" s="44">
        <f>+'Raw Data'!EB55</f>
        <v>9.2999999999999999E-2</v>
      </c>
      <c r="AB48" s="44">
        <f>+'Raw Data'!EC55</f>
        <v>1.7999999999999999E-2</v>
      </c>
      <c r="AC48" s="44">
        <f>+'Raw Data'!ED55</f>
        <v>-10.446</v>
      </c>
      <c r="AD48" s="44">
        <f>+'Raw Data'!EE55</f>
        <v>-5.3999999999999999E-2</v>
      </c>
      <c r="AE48" s="44">
        <f>+'Raw Data'!EF55</f>
        <v>-0.92400000000000004</v>
      </c>
      <c r="AF48" s="44">
        <f>+'Raw Data'!EG55</f>
        <v>-1.7929999999999999</v>
      </c>
      <c r="AG48" s="44">
        <f>+'Raw Data'!EH55</f>
        <v>-5.77</v>
      </c>
      <c r="AH48" s="44">
        <f>+'Raw Data'!EI55</f>
        <v>-0.73799999999999999</v>
      </c>
      <c r="AI48" s="44">
        <f>+'Raw Data'!EJ55</f>
        <v>-0.29699999999999999</v>
      </c>
      <c r="AJ48" s="44">
        <f>+'Raw Data'!EK55</f>
        <v>-0.96</v>
      </c>
      <c r="AK48" s="44">
        <f>+'Raw Data'!EL55</f>
        <v>8.5470000000000006</v>
      </c>
      <c r="AL48" s="44">
        <f>+'Raw Data'!EM55</f>
        <v>-0.80200000000000005</v>
      </c>
      <c r="AM48" s="44">
        <f>+'Raw Data'!EN55</f>
        <v>-2.8559999999999999</v>
      </c>
      <c r="AN48" s="44">
        <f>+'Raw Data'!EO55</f>
        <v>0.59499999999999997</v>
      </c>
      <c r="AO48" s="570">
        <f>+'Raw Data'!EP55</f>
        <v>1.2170000000000001</v>
      </c>
      <c r="AP48" s="44">
        <f>+'Raw Data'!EQ55</f>
        <v>-15.958</v>
      </c>
      <c r="AQ48" s="44">
        <f>+'Raw Data'!ER55</f>
        <v>-2.4260000000000002</v>
      </c>
      <c r="AR48" s="44">
        <f>+'Raw Data'!ES55</f>
        <v>-4.4240000000000004</v>
      </c>
      <c r="AS48" s="570">
        <f>+'Raw Data'!ET55</f>
        <v>8.3320000000000007</v>
      </c>
      <c r="AT48" s="21">
        <v>-6.1230000000000002</v>
      </c>
      <c r="AU48" s="21">
        <v>-1.3660000000000001</v>
      </c>
      <c r="AV48" s="21">
        <v>-4.0609999999999999</v>
      </c>
      <c r="AW48" s="575">
        <v>-11.866</v>
      </c>
      <c r="AX48" s="21">
        <v>-14.34</v>
      </c>
      <c r="AY48" s="21">
        <v>-16.029</v>
      </c>
      <c r="AZ48" s="21">
        <f>-20.959</f>
        <v>-20.959</v>
      </c>
      <c r="BA48" s="575">
        <v>-16.981999999999999</v>
      </c>
      <c r="BB48" s="21">
        <v>-25.573</v>
      </c>
      <c r="BC48" s="21">
        <v>27.672999999999998</v>
      </c>
      <c r="BD48" s="21">
        <v>-14.228999999999999</v>
      </c>
      <c r="BE48" s="575">
        <v>-53.036999999999999</v>
      </c>
      <c r="BF48" s="21">
        <v>-4.9889999999999999</v>
      </c>
      <c r="BG48" s="21">
        <f>-7.174</f>
        <v>-7.1740000000000004</v>
      </c>
      <c r="BH48" s="21">
        <v>-10.211</v>
      </c>
      <c r="BI48" s="575">
        <v>6.351</v>
      </c>
      <c r="BJ48" s="21">
        <v>-8.7899999999999991</v>
      </c>
      <c r="BK48" s="21">
        <v>-31.573</v>
      </c>
      <c r="BL48" s="21">
        <f t="shared" ref="BL48:BV48" si="135">BL52-BL45+BL49</f>
        <v>-11.43799999999991</v>
      </c>
      <c r="BM48" s="575">
        <f t="shared" si="135"/>
        <v>-10.712999999999909</v>
      </c>
      <c r="BN48" s="21">
        <f t="shared" si="135"/>
        <v>-10.897999999999952</v>
      </c>
      <c r="BO48" s="21">
        <f t="shared" si="135"/>
        <v>-14.753000000000112</v>
      </c>
      <c r="BP48" s="21">
        <f t="shared" si="135"/>
        <v>-19.602000000000146</v>
      </c>
      <c r="BQ48" s="575">
        <f t="shared" si="135"/>
        <v>-83.810000000000031</v>
      </c>
      <c r="BR48" s="21">
        <f t="shared" si="135"/>
        <v>-25.853999999999786</v>
      </c>
      <c r="BS48" s="173">
        <f t="shared" si="135"/>
        <v>-13.720999999999679</v>
      </c>
      <c r="BT48" s="173">
        <f t="shared" si="135"/>
        <v>-21.610000000000184</v>
      </c>
      <c r="BU48" s="1085">
        <f t="shared" si="135"/>
        <v>-23.128000000000128</v>
      </c>
      <c r="BV48" s="1085">
        <f t="shared" si="135"/>
        <v>-24.419000000000125</v>
      </c>
      <c r="BW48" s="21">
        <f t="shared" ref="BW48:CG48" si="136">-(BW45-BW42)*BW77</f>
        <v>-35.374243697149602</v>
      </c>
      <c r="BX48" s="21">
        <f t="shared" si="136"/>
        <v>-44.834671355779825</v>
      </c>
      <c r="BY48" s="575">
        <f t="shared" si="136"/>
        <v>-50.125560063281831</v>
      </c>
      <c r="BZ48" s="21">
        <f t="shared" si="136"/>
        <v>-54.696599952359037</v>
      </c>
      <c r="CA48" s="21">
        <f t="shared" si="136"/>
        <v>-54.987780213533668</v>
      </c>
      <c r="CB48" s="21">
        <f t="shared" si="136"/>
        <v>-78.286098427266737</v>
      </c>
      <c r="CC48" s="575">
        <f t="shared" si="136"/>
        <v>-72.220403045803081</v>
      </c>
      <c r="CD48" s="21">
        <f t="shared" si="136"/>
        <v>-78.968525138926324</v>
      </c>
      <c r="CE48" s="21">
        <f t="shared" si="136"/>
        <v>-82.242210136803592</v>
      </c>
      <c r="CF48" s="21">
        <f t="shared" si="136"/>
        <v>-101.73000955909313</v>
      </c>
      <c r="CG48" s="575">
        <f t="shared" si="136"/>
        <v>-102.70007116236351</v>
      </c>
    </row>
    <row r="49" spans="1:85" ht="12.75" customHeight="1">
      <c r="A49" s="28"/>
      <c r="B49" s="21" t="s">
        <v>126</v>
      </c>
      <c r="C49" s="44"/>
      <c r="D49" s="44">
        <f ca="1">'Raw Data'!U56</f>
        <v>1.29</v>
      </c>
      <c r="E49" s="44">
        <f ca="1">'Raw Data'!V56</f>
        <v>-26.707999999999998</v>
      </c>
      <c r="F49" s="44">
        <f ca="1">'Raw Data'!W56</f>
        <v>-31.087999999999997</v>
      </c>
      <c r="G49" s="44">
        <f ca="1">'Raw Data'!X56</f>
        <v>-60.195999999999998</v>
      </c>
      <c r="H49" s="44">
        <f ca="1">'Raw Data'!Y56</f>
        <v>-53.256</v>
      </c>
      <c r="I49" s="44">
        <f ca="1">'Raw Data'!Z56</f>
        <v>-56.843999999999994</v>
      </c>
      <c r="J49" s="21">
        <f>SUMIF($AL$4:$VI$4,J$4,$AL49:$VI49)</f>
        <v>-75.820999999999998</v>
      </c>
      <c r="K49" s="21">
        <f>SUMIF($AL$4:$VI$4,K$4,$AL49:$VI49)</f>
        <v>-46.451999999999998</v>
      </c>
      <c r="L49" s="21">
        <f>SUMIF($AL$4:$VI$4,L$4,$AL49:$VI49)</f>
        <v>73.35499999999999</v>
      </c>
      <c r="M49" s="21">
        <f>SUMIF($AL$4:$VI$4,M$4,$AL49:$VI49)</f>
        <v>380.14000000000004</v>
      </c>
      <c r="N49" s="21">
        <f>SUMIF($AL$4:$VI$4,N$4,$AL49:$VI49)</f>
        <v>222.40899999999999</v>
      </c>
      <c r="O49" s="21">
        <f>SUMIF($AL$4:$VI$4,O$4,$AL49:$VI49)</f>
        <v>237.245</v>
      </c>
      <c r="P49" s="21">
        <f>SUMIF($AL$4:$VI$4,P$4,$AL49:$VI49)</f>
        <v>303.81299999999999</v>
      </c>
      <c r="Q49" s="21">
        <f>SUMIF($AL$4:$VI$4,Q$4,$AL49:$VI49)</f>
        <v>133.85599999999999</v>
      </c>
      <c r="R49" s="21">
        <f>SUMIF($AL$4:$VI$4,R$4,$AL49:$VI49)</f>
        <v>160.62719999999999</v>
      </c>
      <c r="S49" s="21">
        <f>SUMIF($AL$4:$VI$4,S$4,$AL49:$VI49)</f>
        <v>168.65855999999999</v>
      </c>
      <c r="T49" s="510">
        <f>TP!N16</f>
        <v>202.39027199999998</v>
      </c>
      <c r="U49" s="187"/>
      <c r="V49" s="44">
        <f>'Raw Data'!DW56</f>
        <v>-9.1999999999999998E-2</v>
      </c>
      <c r="W49" s="44">
        <f>'Raw Data'!DX56</f>
        <v>-7.0999999999999994E-2</v>
      </c>
      <c r="X49" s="44">
        <f>'Raw Data'!DY56</f>
        <v>0.44900000000000001</v>
      </c>
      <c r="Y49" s="44">
        <f>'Raw Data'!DZ56</f>
        <v>1.004</v>
      </c>
      <c r="Z49" s="44">
        <f>'Raw Data'!EA56</f>
        <v>-1.319</v>
      </c>
      <c r="AA49" s="44">
        <f>'Raw Data'!EB56</f>
        <v>0.379</v>
      </c>
      <c r="AB49" s="44">
        <f>'Raw Data'!EC56</f>
        <v>1.1579999999999999</v>
      </c>
      <c r="AC49" s="44">
        <f>'Raw Data'!ED56</f>
        <v>-26.925999999999998</v>
      </c>
      <c r="AD49" s="44">
        <f>'Raw Data'!EE56</f>
        <v>-3.9020000000000001</v>
      </c>
      <c r="AE49" s="44">
        <f>'Raw Data'!EF56</f>
        <v>-5.008</v>
      </c>
      <c r="AF49" s="44">
        <f>'Raw Data'!EG56</f>
        <v>-13.651999999999999</v>
      </c>
      <c r="AG49" s="44">
        <f>'Raw Data'!EH56</f>
        <v>-8.5259999999999998</v>
      </c>
      <c r="AH49" s="44">
        <f>'Raw Data'!EI56</f>
        <v>-9.6560000000000006</v>
      </c>
      <c r="AI49" s="44">
        <f>'Raw Data'!EJ56</f>
        <v>-3.1520000000000001</v>
      </c>
      <c r="AJ49" s="44">
        <f>'Raw Data'!EK56</f>
        <v>-1.4179999999999999</v>
      </c>
      <c r="AK49" s="44">
        <f>'Raw Data'!EL56</f>
        <v>-45.97</v>
      </c>
      <c r="AL49" s="44">
        <f>'Raw Data'!EM56</f>
        <v>-5.5780000000000003</v>
      </c>
      <c r="AM49" s="44">
        <f>'Raw Data'!EN56</f>
        <v>-2.9550000000000001</v>
      </c>
      <c r="AN49" s="44">
        <f>'Raw Data'!EO56</f>
        <v>4.6909999999999998</v>
      </c>
      <c r="AO49" s="570">
        <f>'Raw Data'!EP56</f>
        <v>-49.414000000000001</v>
      </c>
      <c r="AP49" s="44">
        <f>'Raw Data'!EQ56</f>
        <v>-2.2970000000000002</v>
      </c>
      <c r="AQ49" s="44">
        <f>'Raw Data'!ER56</f>
        <v>-19.934000000000001</v>
      </c>
      <c r="AR49" s="44">
        <f>'Raw Data'!ES56</f>
        <v>-18.968</v>
      </c>
      <c r="AS49" s="570">
        <f>'Raw Data'!ET56</f>
        <v>-15.645</v>
      </c>
      <c r="AT49" s="21">
        <v>12.105</v>
      </c>
      <c r="AU49" s="21">
        <v>-44.356000000000002</v>
      </c>
      <c r="AV49" s="21">
        <v>-30.509</v>
      </c>
      <c r="AW49" s="575">
        <v>-13.061</v>
      </c>
      <c r="AX49" s="21">
        <v>-12.846</v>
      </c>
      <c r="AY49" s="21">
        <v>-12.333</v>
      </c>
      <c r="AZ49" s="21">
        <v>7.1449999999999996</v>
      </c>
      <c r="BA49" s="575">
        <v>-28.417999999999999</v>
      </c>
      <c r="BB49" s="21">
        <v>-42.948999999999998</v>
      </c>
      <c r="BC49" s="21">
        <v>20.298999999999999</v>
      </c>
      <c r="BD49" s="21">
        <v>51.424999999999997</v>
      </c>
      <c r="BE49" s="21">
        <v>44.58</v>
      </c>
      <c r="BF49" s="21">
        <v>121.934</v>
      </c>
      <c r="BG49" s="21">
        <v>114.741</v>
      </c>
      <c r="BH49" s="21">
        <v>103.52500000000001</v>
      </c>
      <c r="BI49" s="575">
        <v>39.94</v>
      </c>
      <c r="BJ49" s="21">
        <v>36.018000000000001</v>
      </c>
      <c r="BK49" s="21">
        <v>61.408999999999999</v>
      </c>
      <c r="BL49" s="102">
        <v>62.392000000000003</v>
      </c>
      <c r="BM49" s="598">
        <v>62.59</v>
      </c>
      <c r="BN49" s="102">
        <v>-8.2769999999999992</v>
      </c>
      <c r="BO49" s="102">
        <v>7.6929999999999996</v>
      </c>
      <c r="BP49" s="102">
        <v>74.47</v>
      </c>
      <c r="BQ49" s="598">
        <v>163.35900000000001</v>
      </c>
      <c r="BR49" s="102">
        <v>135.387</v>
      </c>
      <c r="BS49" s="102">
        <v>14.194000000000001</v>
      </c>
      <c r="BT49" s="102">
        <v>123.708</v>
      </c>
      <c r="BU49" s="598">
        <v>30.524000000000001</v>
      </c>
      <c r="BV49" s="102">
        <v>33.463999999999999</v>
      </c>
      <c r="BW49" s="834">
        <f>BV49</f>
        <v>33.463999999999999</v>
      </c>
      <c r="BX49" s="834">
        <f>BW49</f>
        <v>33.463999999999999</v>
      </c>
      <c r="BY49" s="838">
        <f>BX49</f>
        <v>33.463999999999999</v>
      </c>
      <c r="BZ49" s="834">
        <f>BY49*1.2</f>
        <v>40.156799999999997</v>
      </c>
      <c r="CA49" s="834">
        <f>BZ49</f>
        <v>40.156799999999997</v>
      </c>
      <c r="CB49" s="834">
        <f>CA49</f>
        <v>40.156799999999997</v>
      </c>
      <c r="CC49" s="838">
        <f>CB49</f>
        <v>40.156799999999997</v>
      </c>
      <c r="CD49" s="834">
        <f>CC49*1.05</f>
        <v>42.164639999999999</v>
      </c>
      <c r="CE49" s="834">
        <f>CD49</f>
        <v>42.164639999999999</v>
      </c>
      <c r="CF49" s="834">
        <f>CE49</f>
        <v>42.164639999999999</v>
      </c>
      <c r="CG49" s="838">
        <f>CF49</f>
        <v>42.164639999999999</v>
      </c>
    </row>
    <row r="50" spans="1:85" ht="12.75" customHeight="1">
      <c r="A50" s="28"/>
      <c r="B50" s="21" t="s">
        <v>71</v>
      </c>
      <c r="C50" s="44"/>
      <c r="D50" s="44">
        <f ca="1">'Raw Data'!U57</f>
        <v>0</v>
      </c>
      <c r="E50" s="44">
        <f ca="1">'Raw Data'!V57</f>
        <v>0</v>
      </c>
      <c r="F50" s="44">
        <f ca="1">'Raw Data'!W57</f>
        <v>0</v>
      </c>
      <c r="G50" s="44">
        <f ca="1">'Raw Data'!X57</f>
        <v>0</v>
      </c>
      <c r="H50" s="44">
        <f ca="1">'Raw Data'!Y57</f>
        <v>0</v>
      </c>
      <c r="I50" s="44">
        <f ca="1">'Raw Data'!Z57</f>
        <v>0</v>
      </c>
      <c r="J50" s="21">
        <f>SUMIF($AL$4:$VI$4,J$4,$AL50:$VI50)</f>
        <v>0</v>
      </c>
      <c r="K50" s="21">
        <f>SUMIF($AL$4:$VI$4,K$4,$AL50:$VI50)</f>
        <v>0</v>
      </c>
      <c r="L50" s="21">
        <f>SUMIF($AL$4:$VI$4,L$4,$AL50:$VI50)</f>
        <v>0</v>
      </c>
      <c r="M50" s="21">
        <f>SUMIF($AL$4:$VI$4,M$4,$AL50:$VI50)</f>
        <v>0</v>
      </c>
      <c r="N50" s="21">
        <f>SUMIF($AL$4:$VI$4,N$4,$AL50:$VI50)</f>
        <v>0</v>
      </c>
      <c r="O50" s="21">
        <f>SUMIF($AL$4:$VI$4,O$4,$AL50:$VI50)</f>
        <v>0</v>
      </c>
      <c r="P50" s="21">
        <f>SUMIF($AL$4:$VI$4,P$4,$AL50:$VI50)</f>
        <v>0</v>
      </c>
      <c r="Q50" s="21">
        <f>SUMIF($AL$4:$VI$4,Q$4,$AL50:$VI50)</f>
        <v>0</v>
      </c>
      <c r="R50" s="21">
        <f>SUMIF($AL$4:$VI$4,R$4,$AL50:$VI50)</f>
        <v>0</v>
      </c>
      <c r="S50" s="21">
        <f>SUMIF($AL$4:$VI$4,S$4,$AL50:$VI50)</f>
        <v>0</v>
      </c>
      <c r="T50" s="21">
        <f>SUMIF($AL$4:$VI$4,T$4,$AL50:$VI50)</f>
        <v>0</v>
      </c>
      <c r="U50" s="187"/>
      <c r="V50" s="44">
        <f>'Raw Data'!DW57</f>
        <v>0</v>
      </c>
      <c r="W50" s="44">
        <f>'Raw Data'!DX57</f>
        <v>0</v>
      </c>
      <c r="X50" s="44">
        <f>'Raw Data'!DY57</f>
        <v>0</v>
      </c>
      <c r="Y50" s="44">
        <f>'Raw Data'!DZ57</f>
        <v>0</v>
      </c>
      <c r="Z50" s="44">
        <f>'Raw Data'!EA57</f>
        <v>0</v>
      </c>
      <c r="AA50" s="44">
        <f>'Raw Data'!EB57</f>
        <v>0</v>
      </c>
      <c r="AB50" s="44">
        <f>'Raw Data'!EC57</f>
        <v>0</v>
      </c>
      <c r="AC50" s="44">
        <f>'Raw Data'!ED57</f>
        <v>0</v>
      </c>
      <c r="AD50" s="44">
        <f>'Raw Data'!EE57</f>
        <v>0</v>
      </c>
      <c r="AE50" s="44">
        <f>'Raw Data'!EF57</f>
        <v>0</v>
      </c>
      <c r="AF50" s="44">
        <f>'Raw Data'!EG57</f>
        <v>0</v>
      </c>
      <c r="AG50" s="44">
        <f>'Raw Data'!EH57</f>
        <v>0</v>
      </c>
      <c r="AH50" s="44">
        <f>'Raw Data'!EI57</f>
        <v>0</v>
      </c>
      <c r="AI50" s="44">
        <f>'Raw Data'!EJ57</f>
        <v>0</v>
      </c>
      <c r="AJ50" s="44">
        <f>'Raw Data'!EK57</f>
        <v>0</v>
      </c>
      <c r="AK50" s="44">
        <f>'Raw Data'!EL57</f>
        <v>0</v>
      </c>
      <c r="AL50" s="44">
        <f>'Raw Data'!EM57</f>
        <v>0</v>
      </c>
      <c r="AM50" s="44">
        <f>'Raw Data'!EN57</f>
        <v>0</v>
      </c>
      <c r="AN50" s="44">
        <f>'Raw Data'!EO57</f>
        <v>0</v>
      </c>
      <c r="AO50" s="570">
        <f>'Raw Data'!EP57</f>
        <v>0</v>
      </c>
      <c r="AP50" s="44">
        <f>'Raw Data'!EQ57</f>
        <v>0</v>
      </c>
      <c r="AQ50" s="44">
        <f>'Raw Data'!ER57</f>
        <v>0</v>
      </c>
      <c r="AR50" s="44">
        <f>'Raw Data'!ES57</f>
        <v>0</v>
      </c>
      <c r="AS50" s="570">
        <f>'Raw Data'!ET57</f>
        <v>0</v>
      </c>
      <c r="AT50" s="21"/>
      <c r="AU50" s="21"/>
      <c r="AV50" s="622"/>
      <c r="AW50" s="845"/>
      <c r="AX50" s="622"/>
      <c r="AY50" s="622"/>
      <c r="AZ50" s="622"/>
      <c r="BA50" s="845"/>
      <c r="BB50" s="622"/>
      <c r="BC50" s="82"/>
      <c r="BD50" s="82"/>
      <c r="BE50" s="593"/>
      <c r="BF50" s="82"/>
      <c r="BG50" s="82"/>
      <c r="BH50" s="82"/>
      <c r="BI50" s="593"/>
      <c r="BJ50" s="82"/>
      <c r="BK50" s="82"/>
      <c r="BL50" s="82"/>
      <c r="BM50" s="593"/>
      <c r="BN50" s="82"/>
      <c r="BO50" s="82"/>
      <c r="BP50" s="82"/>
      <c r="BQ50" s="593"/>
      <c r="BR50" s="82"/>
      <c r="BS50" s="82"/>
      <c r="BT50" s="82"/>
      <c r="BU50" s="593"/>
      <c r="BV50" s="82"/>
      <c r="BW50" s="82"/>
      <c r="BX50" s="82"/>
      <c r="BY50" s="593"/>
      <c r="BZ50" s="82"/>
      <c r="CA50" s="82"/>
      <c r="CB50" s="82"/>
      <c r="CC50" s="593"/>
      <c r="CD50" s="82"/>
      <c r="CE50" s="82"/>
      <c r="CF50" s="82"/>
      <c r="CG50" s="593"/>
    </row>
    <row r="51" spans="1:85" ht="12.75" customHeight="1">
      <c r="A51" s="28"/>
      <c r="B51" s="26" t="s">
        <v>131</v>
      </c>
      <c r="C51" s="44"/>
      <c r="D51" s="44">
        <v>0</v>
      </c>
      <c r="E51" s="44">
        <v>0</v>
      </c>
      <c r="F51" s="44">
        <v>0</v>
      </c>
      <c r="G51" s="44">
        <v>0</v>
      </c>
      <c r="H51" s="44">
        <v>0</v>
      </c>
      <c r="I51" s="44">
        <v>0</v>
      </c>
      <c r="J51" s="778"/>
      <c r="K51" s="21"/>
      <c r="L51" s="21"/>
      <c r="M51" s="21"/>
      <c r="N51" s="21"/>
      <c r="O51" s="21"/>
      <c r="P51" s="21"/>
      <c r="Q51" s="21"/>
      <c r="R51" s="21"/>
      <c r="S51" s="21"/>
      <c r="T51" s="21"/>
      <c r="U51" s="187"/>
      <c r="V51" s="44"/>
      <c r="W51" s="44"/>
      <c r="X51" s="44"/>
      <c r="Y51" s="44"/>
      <c r="Z51" s="44"/>
      <c r="AA51" s="44"/>
      <c r="AB51" s="44"/>
      <c r="AC51" s="44"/>
      <c r="AD51" s="44"/>
      <c r="AE51" s="44"/>
      <c r="AF51" s="44"/>
      <c r="AG51" s="44"/>
      <c r="AH51" s="44"/>
      <c r="AI51" s="44"/>
      <c r="AJ51" s="44"/>
      <c r="AK51" s="44"/>
      <c r="AL51" s="44"/>
      <c r="AM51" s="44"/>
      <c r="AN51" s="44"/>
      <c r="AO51" s="570"/>
      <c r="AP51" s="44"/>
      <c r="AQ51" s="44"/>
      <c r="AR51" s="44"/>
      <c r="AS51" s="570"/>
      <c r="AT51" s="21"/>
      <c r="AU51" s="21"/>
      <c r="AV51" s="167"/>
      <c r="AW51" s="567"/>
      <c r="AX51" s="622"/>
      <c r="AY51" s="622"/>
      <c r="AZ51" s="622"/>
      <c r="BA51" s="845"/>
      <c r="BB51" s="622"/>
      <c r="BC51" s="82"/>
      <c r="BD51" s="82"/>
      <c r="BE51" s="593"/>
      <c r="BF51" s="82"/>
      <c r="BG51" s="82"/>
      <c r="BH51" s="82"/>
      <c r="BI51" s="593"/>
      <c r="BJ51" s="82"/>
      <c r="BK51" s="82"/>
      <c r="BL51" s="82"/>
      <c r="BM51" s="593"/>
      <c r="BN51" s="82"/>
      <c r="BO51" s="82"/>
      <c r="BP51" s="82"/>
      <c r="BQ51" s="593"/>
      <c r="BR51" s="82"/>
      <c r="BS51" s="82"/>
      <c r="BT51" s="82"/>
      <c r="BU51" s="593"/>
      <c r="BV51" s="82"/>
      <c r="BW51" s="82"/>
      <c r="BX51" s="82"/>
      <c r="BY51" s="593"/>
      <c r="BZ51" s="82"/>
      <c r="CA51" s="82"/>
      <c r="CB51" s="82"/>
      <c r="CC51" s="593"/>
      <c r="CD51" s="82"/>
      <c r="CE51" s="82"/>
      <c r="CF51" s="82"/>
      <c r="CG51" s="593"/>
    </row>
    <row r="52" spans="1:85" ht="12.75" customHeight="1">
      <c r="A52" s="28"/>
      <c r="B52" s="25" t="s">
        <v>72</v>
      </c>
      <c r="C52" s="25"/>
      <c r="D52" s="25">
        <f t="shared" ref="D52:T52" ca="1" si="137">D45+D48-D49</f>
        <v>173.17700000000002</v>
      </c>
      <c r="E52" s="25">
        <f t="shared" ca="1" si="137"/>
        <v>152.96899999999999</v>
      </c>
      <c r="F52" s="25">
        <f t="shared" ca="1" si="137"/>
        <v>253.411</v>
      </c>
      <c r="G52" s="25">
        <f t="shared" ca="1" si="137"/>
        <v>376.63</v>
      </c>
      <c r="H52" s="25">
        <f t="shared" ca="1" si="137"/>
        <v>179.679</v>
      </c>
      <c r="I52" s="25">
        <f t="shared" ca="1" si="137"/>
        <v>134.05499999999964</v>
      </c>
      <c r="J52" s="25">
        <f t="shared" si="137"/>
        <v>234.68100000000041</v>
      </c>
      <c r="K52" s="25">
        <f t="shared" si="137"/>
        <v>715.55000000000018</v>
      </c>
      <c r="L52" s="25">
        <f t="shared" si="137"/>
        <v>1701.8030000000003</v>
      </c>
      <c r="M52" s="25">
        <f t="shared" si="137"/>
        <v>1817.9419999999998</v>
      </c>
      <c r="N52" s="25">
        <f>N45+N48-N49</f>
        <v>902.52600000000041</v>
      </c>
      <c r="O52" s="25">
        <f t="shared" si="137"/>
        <v>492.74800000000096</v>
      </c>
      <c r="P52" s="25">
        <f t="shared" si="137"/>
        <v>685.13099999999827</v>
      </c>
      <c r="Q52" s="25">
        <f t="shared" si="137"/>
        <v>1183.7387929376646</v>
      </c>
      <c r="R52" s="25">
        <f t="shared" ref="R52:S52" si="138">R45+R48-R49</f>
        <v>1580.6502386607494</v>
      </c>
      <c r="S52" s="25">
        <f t="shared" si="138"/>
        <v>2278.322285519635</v>
      </c>
      <c r="T52" s="25">
        <f t="shared" si="137"/>
        <v>2966.2338002048423</v>
      </c>
      <c r="U52" s="187"/>
      <c r="V52" s="25">
        <f t="shared" ref="V52:AO52" si="139">V45+V48-V49</f>
        <v>40.603999999999999</v>
      </c>
      <c r="W52" s="25">
        <f t="shared" si="139"/>
        <v>75.400999999999996</v>
      </c>
      <c r="X52" s="25">
        <f t="shared" si="139"/>
        <v>42.491</v>
      </c>
      <c r="Y52" s="25">
        <f t="shared" si="139"/>
        <v>14.681000000000001</v>
      </c>
      <c r="Z52" s="25">
        <f t="shared" si="139"/>
        <v>20.260999999999999</v>
      </c>
      <c r="AA52" s="25">
        <f t="shared" si="139"/>
        <v>56.801000000000009</v>
      </c>
      <c r="AB52" s="25">
        <f t="shared" si="139"/>
        <v>47.519999999999996</v>
      </c>
      <c r="AC52" s="25">
        <f t="shared" si="139"/>
        <v>28.387</v>
      </c>
      <c r="AD52" s="25">
        <f t="shared" si="139"/>
        <v>55.476999999999997</v>
      </c>
      <c r="AE52" s="25">
        <f t="shared" si="139"/>
        <v>76.703999999999994</v>
      </c>
      <c r="AF52" s="25">
        <f t="shared" si="139"/>
        <v>82.625999999999991</v>
      </c>
      <c r="AG52" s="25">
        <f t="shared" si="139"/>
        <v>38.603999999999999</v>
      </c>
      <c r="AH52" s="25">
        <f t="shared" si="139"/>
        <v>61.417999999999999</v>
      </c>
      <c r="AI52" s="25">
        <f t="shared" si="139"/>
        <v>97.643000000000001</v>
      </c>
      <c r="AJ52" s="25">
        <f t="shared" si="139"/>
        <v>113.56100000000001</v>
      </c>
      <c r="AK52" s="25">
        <f t="shared" si="139"/>
        <v>104.008</v>
      </c>
      <c r="AL52" s="25">
        <f t="shared" si="139"/>
        <v>69.790999999999997</v>
      </c>
      <c r="AM52" s="25">
        <f t="shared" si="139"/>
        <v>36.270999999999994</v>
      </c>
      <c r="AN52" s="25">
        <f t="shared" si="139"/>
        <v>25.899000000000001</v>
      </c>
      <c r="AO52" s="572">
        <f t="shared" si="139"/>
        <v>47.718000000000004</v>
      </c>
      <c r="AP52" s="25">
        <f>AP45+AP48-AP49</f>
        <v>29.376999999999999</v>
      </c>
      <c r="AQ52" s="25">
        <f>AQ45+AQ48-AQ49</f>
        <v>51.599000000000004</v>
      </c>
      <c r="AR52" s="25">
        <f>AR45+AR48-AR49</f>
        <v>26.559000000000001</v>
      </c>
      <c r="AS52" s="572">
        <f>AS45+AS48-AS49</f>
        <v>26.52</v>
      </c>
      <c r="AT52" s="25">
        <f t="shared" ref="AT52:BA52" si="140">AT45+AT48-AT49</f>
        <v>12.27200000000008</v>
      </c>
      <c r="AU52" s="25">
        <f t="shared" si="140"/>
        <v>18.538999999999934</v>
      </c>
      <c r="AV52" s="25">
        <f t="shared" si="140"/>
        <v>115.13500000000006</v>
      </c>
      <c r="AW52" s="572">
        <f t="shared" si="140"/>
        <v>88.734999999999957</v>
      </c>
      <c r="AX52" s="25">
        <f t="shared" si="140"/>
        <v>64.164000000000058</v>
      </c>
      <c r="AY52" s="25">
        <f t="shared" si="140"/>
        <v>137.96899999999997</v>
      </c>
      <c r="AZ52" s="25">
        <f t="shared" si="140"/>
        <v>256.37900000000008</v>
      </c>
      <c r="BA52" s="572">
        <f t="shared" si="140"/>
        <v>257.03800000000007</v>
      </c>
      <c r="BB52" s="25">
        <f>BB45+BB48-BB49</f>
        <v>158.87599999999998</v>
      </c>
      <c r="BC52" s="25">
        <v>687.803</v>
      </c>
      <c r="BD52" s="25">
        <v>321.351</v>
      </c>
      <c r="BE52" s="572">
        <v>533.77300000000002</v>
      </c>
      <c r="BF52" s="25">
        <v>447.22699999999998</v>
      </c>
      <c r="BG52" s="25">
        <v>514.33199999999999</v>
      </c>
      <c r="BH52" s="25">
        <f>BH45+BH48-BH49</f>
        <v>470.84899999999982</v>
      </c>
      <c r="BI52" s="572">
        <f t="shared" ref="BI52:BY52" si="141">BI45+BI48-BI49</f>
        <v>385.53400000000011</v>
      </c>
      <c r="BJ52" s="946">
        <f t="shared" si="141"/>
        <v>231.10200000000012</v>
      </c>
      <c r="BK52" s="946">
        <f>BK45+BK48-BK49</f>
        <v>402.76200000000006</v>
      </c>
      <c r="BL52" s="953">
        <v>93.983999999999995</v>
      </c>
      <c r="BM52" s="990">
        <v>174.678</v>
      </c>
      <c r="BN52" s="996">
        <v>71.792000000000002</v>
      </c>
      <c r="BO52" s="996">
        <v>164.56899999999999</v>
      </c>
      <c r="BP52" s="953">
        <v>148.80000000000001</v>
      </c>
      <c r="BQ52" s="990">
        <v>107.587</v>
      </c>
      <c r="BR52" s="996">
        <v>188.035</v>
      </c>
      <c r="BS52" s="996">
        <v>132.48699999999999</v>
      </c>
      <c r="BT52" s="953">
        <v>191.75800000000001</v>
      </c>
      <c r="BU52" s="1143">
        <v>172.851</v>
      </c>
      <c r="BV52" s="1142">
        <v>197.44800000000001</v>
      </c>
      <c r="BW52" s="946">
        <f t="shared" si="141"/>
        <v>284.90419327434643</v>
      </c>
      <c r="BX52" s="946">
        <f t="shared" si="141"/>
        <v>329.28925006040038</v>
      </c>
      <c r="BY52" s="572">
        <f t="shared" si="141"/>
        <v>372.09734960291661</v>
      </c>
      <c r="BZ52" s="946">
        <f t="shared" ref="BZ52:CG52" si="142">BZ45+BZ48-BZ49</f>
        <v>325.88967660424896</v>
      </c>
      <c r="CA52" s="946">
        <f t="shared" si="142"/>
        <v>327.83834450595612</v>
      </c>
      <c r="CB52" s="946">
        <f t="shared" si="142"/>
        <v>483.75785870555433</v>
      </c>
      <c r="CC52" s="572">
        <f t="shared" si="142"/>
        <v>443.16435884498981</v>
      </c>
      <c r="CD52" s="946">
        <f t="shared" si="142"/>
        <v>486.31702823742995</v>
      </c>
      <c r="CE52" s="946">
        <f t="shared" si="142"/>
        <v>508.22553553091637</v>
      </c>
      <c r="CF52" s="946">
        <f t="shared" si="142"/>
        <v>638.64388551085403</v>
      </c>
      <c r="CG52" s="572">
        <f t="shared" si="142"/>
        <v>645.1358362404327</v>
      </c>
    </row>
    <row r="53" spans="1:85" s="168" customFormat="1" ht="12.75" customHeight="1">
      <c r="A53" s="18"/>
      <c r="B53" s="15" t="s">
        <v>155</v>
      </c>
      <c r="C53" s="61"/>
      <c r="D53" s="61" t="str">
        <f t="shared" ref="D53:T53" ca="1" si="143">IF(ISERROR(D52/C52-1)," ",(D52/C52-1))</f>
        <v xml:space="preserve"> </v>
      </c>
      <c r="E53" s="61">
        <f t="shared" ca="1" si="143"/>
        <v>-0.11668986066279019</v>
      </c>
      <c r="F53" s="61">
        <f t="shared" ca="1" si="143"/>
        <v>0.65661670011570972</v>
      </c>
      <c r="G53" s="61">
        <f t="shared" ca="1" si="143"/>
        <v>0.48624171799961324</v>
      </c>
      <c r="H53" s="61">
        <f t="shared" ca="1" si="143"/>
        <v>-0.52292966571967181</v>
      </c>
      <c r="I53" s="61">
        <f t="shared" ca="1" si="143"/>
        <v>-0.25391948975673484</v>
      </c>
      <c r="J53" s="61">
        <f t="shared" ca="1" si="143"/>
        <v>0.75063220320018686</v>
      </c>
      <c r="K53" s="61">
        <f t="shared" si="143"/>
        <v>2.0490325164798127</v>
      </c>
      <c r="L53" s="61">
        <f t="shared" si="143"/>
        <v>1.3783145831877577</v>
      </c>
      <c r="M53" s="61">
        <f t="shared" si="143"/>
        <v>6.8244679319521273E-2</v>
      </c>
      <c r="N53" s="61">
        <f t="shared" si="143"/>
        <v>-0.50354521761420301</v>
      </c>
      <c r="O53" s="61">
        <f t="shared" si="143"/>
        <v>-0.45403456520920094</v>
      </c>
      <c r="P53" s="61">
        <f t="shared" si="143"/>
        <v>0.39042877901076611</v>
      </c>
      <c r="Q53" s="61">
        <f t="shared" si="143"/>
        <v>0.72775541164779822</v>
      </c>
      <c r="R53" s="61">
        <f t="shared" ref="R53" si="144">IF(ISERROR(R52/Q52-1)," ",(R52/Q52-1))</f>
        <v>0.33530323420260344</v>
      </c>
      <c r="S53" s="61">
        <f t="shared" ref="S53" si="145">IF(ISERROR(S52/R52-1)," ",(S52/R52-1))</f>
        <v>0.44138293835960063</v>
      </c>
      <c r="T53" s="61">
        <f t="shared" si="143"/>
        <v>0.30193775439821491</v>
      </c>
      <c r="U53" s="187"/>
      <c r="V53" s="61" t="str">
        <f>IF(ISERROR(V52/#REF!-1),"",V52/#REF!-1)</f>
        <v/>
      </c>
      <c r="W53" s="61" t="str">
        <f>IF(ISERROR(W52/#REF!-1),"",W52/#REF!-1)</f>
        <v/>
      </c>
      <c r="X53" s="61" t="str">
        <f>IF(ISERROR(X52/#REF!-1),"",X52/#REF!-1)</f>
        <v/>
      </c>
      <c r="Y53" s="61" t="str">
        <f>IF(ISERROR(Y52/#REF!-1),"",Y52/#REF!-1)</f>
        <v/>
      </c>
      <c r="Z53" s="61">
        <f t="shared" ref="Z53:AW53" si="146">IF(ISERROR(Z52/V52-1),"",Z52/V52-1)</f>
        <v>-0.50100975273372084</v>
      </c>
      <c r="AA53" s="61">
        <f t="shared" si="146"/>
        <v>-0.24668107850028498</v>
      </c>
      <c r="AB53" s="61">
        <f t="shared" si="146"/>
        <v>0.11835447506530783</v>
      </c>
      <c r="AC53" s="61">
        <f t="shared" si="146"/>
        <v>0.93358763027041736</v>
      </c>
      <c r="AD53" s="61">
        <f t="shared" si="146"/>
        <v>1.738117565766744</v>
      </c>
      <c r="AE53" s="61">
        <f t="shared" si="146"/>
        <v>0.35039876058520059</v>
      </c>
      <c r="AF53" s="61">
        <f t="shared" si="146"/>
        <v>0.73876262626262612</v>
      </c>
      <c r="AG53" s="61">
        <f t="shared" si="146"/>
        <v>0.35991827244865604</v>
      </c>
      <c r="AH53" s="61">
        <f t="shared" si="146"/>
        <v>0.10708942444616687</v>
      </c>
      <c r="AI53" s="61">
        <f t="shared" si="146"/>
        <v>0.27298445974134355</v>
      </c>
      <c r="AJ53" s="61">
        <f t="shared" si="146"/>
        <v>0.374397889284245</v>
      </c>
      <c r="AK53" s="61">
        <f t="shared" si="146"/>
        <v>1.6942285773494974</v>
      </c>
      <c r="AL53" s="61">
        <f t="shared" si="146"/>
        <v>0.13632811227978769</v>
      </c>
      <c r="AM53" s="61">
        <f t="shared" si="146"/>
        <v>-0.62853455956904236</v>
      </c>
      <c r="AN53" s="61">
        <f t="shared" si="146"/>
        <v>-0.77193754898248512</v>
      </c>
      <c r="AO53" s="569">
        <f t="shared" si="146"/>
        <v>-0.5412083685870317</v>
      </c>
      <c r="AP53" s="61">
        <f t="shared" si="146"/>
        <v>-0.57907180008883663</v>
      </c>
      <c r="AQ53" s="61">
        <f t="shared" si="146"/>
        <v>0.42259656474869756</v>
      </c>
      <c r="AR53" s="61">
        <f t="shared" si="146"/>
        <v>2.5483609405768659E-2</v>
      </c>
      <c r="AS53" s="569">
        <f t="shared" si="146"/>
        <v>-0.44423487991952726</v>
      </c>
      <c r="AT53" s="61">
        <f t="shared" si="146"/>
        <v>-0.58225822922694348</v>
      </c>
      <c r="AU53" s="61">
        <f t="shared" si="146"/>
        <v>-0.64071009128084011</v>
      </c>
      <c r="AV53" s="61">
        <f t="shared" si="146"/>
        <v>3.3350653262547558</v>
      </c>
      <c r="AW53" s="569">
        <f t="shared" si="146"/>
        <v>2.3459653092006016</v>
      </c>
      <c r="AX53" s="61">
        <f t="shared" ref="AX53:BE53" si="147">IF(ISERROR(AX52/AT52-1),"",AX52/AT52-1)</f>
        <v>4.2284876140808052</v>
      </c>
      <c r="AY53" s="61">
        <f t="shared" si="147"/>
        <v>6.4420950428825963</v>
      </c>
      <c r="AZ53" s="61">
        <f t="shared" si="147"/>
        <v>1.2267685760194551</v>
      </c>
      <c r="BA53" s="569">
        <f t="shared" si="147"/>
        <v>1.8966923987152779</v>
      </c>
      <c r="BB53" s="61">
        <f t="shared" si="147"/>
        <v>1.4760925129355997</v>
      </c>
      <c r="BC53" s="61">
        <f>IF(ISERROR(BC52/AY52-1),"",BC52/AY52-1)</f>
        <v>3.985199573817308</v>
      </c>
      <c r="BD53" s="61">
        <f>IF(ISERROR(BD52/AZ52-1),"",BD52/AZ52-1)</f>
        <v>0.25342169210426713</v>
      </c>
      <c r="BE53" s="569">
        <f t="shared" si="147"/>
        <v>1.0766306927380382</v>
      </c>
      <c r="BF53" s="61">
        <f t="shared" ref="BF53:BU53" si="148">IF(ISERROR(BF52/BB52-1),"",BF52/BB52-1)</f>
        <v>1.814943729701151</v>
      </c>
      <c r="BG53" s="61">
        <f t="shared" si="148"/>
        <v>-0.25221029858840394</v>
      </c>
      <c r="BH53" s="61">
        <f t="shared" si="148"/>
        <v>0.46521716129714807</v>
      </c>
      <c r="BI53" s="569">
        <f t="shared" si="148"/>
        <v>-0.27771918025078057</v>
      </c>
      <c r="BJ53" s="61">
        <f t="shared" si="148"/>
        <v>-0.48325570683344221</v>
      </c>
      <c r="BK53" s="61">
        <f t="shared" si="148"/>
        <v>-0.21692214367373586</v>
      </c>
      <c r="BL53" s="61">
        <f t="shared" si="148"/>
        <v>-0.80039460633876247</v>
      </c>
      <c r="BM53" s="569">
        <f t="shared" si="148"/>
        <v>-0.54691933785347091</v>
      </c>
      <c r="BN53" s="61">
        <f t="shared" si="148"/>
        <v>-0.68934929165476733</v>
      </c>
      <c r="BO53" s="61">
        <f t="shared" si="148"/>
        <v>-0.59139889065999285</v>
      </c>
      <c r="BP53" s="61">
        <f t="shared" si="148"/>
        <v>0.58324821246169578</v>
      </c>
      <c r="BQ53" s="569">
        <f t="shared" si="148"/>
        <v>-0.38408385715430671</v>
      </c>
      <c r="BR53" s="61">
        <f t="shared" si="148"/>
        <v>1.6191636951192332</v>
      </c>
      <c r="BS53" s="61">
        <f t="shared" si="148"/>
        <v>-0.19494558513450277</v>
      </c>
      <c r="BT53" s="61">
        <f t="shared" si="148"/>
        <v>0.28869623655913967</v>
      </c>
      <c r="BU53" s="569">
        <f t="shared" si="148"/>
        <v>0.60661604097149269</v>
      </c>
      <c r="BV53" s="61">
        <f t="shared" ref="BV53:CG53" si="149">IF(ISERROR(BV52/BR52-1),"",BV52/BR52-1)</f>
        <v>5.0059829287100843E-2</v>
      </c>
      <c r="BW53" s="61">
        <f t="shared" si="149"/>
        <v>1.1504313123125018</v>
      </c>
      <c r="BX53" s="61">
        <f t="shared" si="149"/>
        <v>0.71721258075491168</v>
      </c>
      <c r="BY53" s="569">
        <f t="shared" si="149"/>
        <v>1.152705796338561</v>
      </c>
      <c r="BZ53" s="61">
        <f t="shared" si="149"/>
        <v>0.65050887628261078</v>
      </c>
      <c r="CA53" s="61">
        <f t="shared" si="149"/>
        <v>0.15069680350498227</v>
      </c>
      <c r="CB53" s="61">
        <f t="shared" si="149"/>
        <v>0.4690970282717104</v>
      </c>
      <c r="CC53" s="569">
        <f t="shared" si="149"/>
        <v>0.19099036668203184</v>
      </c>
      <c r="CD53" s="61">
        <f t="shared" si="149"/>
        <v>0.49227503400790251</v>
      </c>
      <c r="CE53" s="61">
        <f t="shared" si="149"/>
        <v>0.55023213131703397</v>
      </c>
      <c r="CF53" s="61">
        <f t="shared" si="149"/>
        <v>0.32017263186120792</v>
      </c>
      <c r="CG53" s="569">
        <f t="shared" si="149"/>
        <v>0.45574846750275011</v>
      </c>
    </row>
    <row r="54" spans="1:85" s="168" customFormat="1" ht="12.75" customHeight="1">
      <c r="A54" s="18"/>
      <c r="B54" s="15" t="s">
        <v>229</v>
      </c>
      <c r="C54" s="63"/>
      <c r="D54" s="63">
        <f t="shared" ref="D54:T54" ca="1" si="150">D52/D$9</f>
        <v>8.3702278048337242E-2</v>
      </c>
      <c r="E54" s="63">
        <f t="shared" ca="1" si="150"/>
        <v>7.7650578740952894E-2</v>
      </c>
      <c r="F54" s="63">
        <f t="shared" ca="1" si="150"/>
        <v>0.11331125931457266</v>
      </c>
      <c r="G54" s="63">
        <f t="shared" ca="1" si="150"/>
        <v>0.12924047244851039</v>
      </c>
      <c r="H54" s="63">
        <f t="shared" ca="1" si="150"/>
        <v>5.7939006989286314E-2</v>
      </c>
      <c r="I54" s="63">
        <f t="shared" ca="1" si="150"/>
        <v>3.9897511416720925E-2</v>
      </c>
      <c r="J54" s="63">
        <f t="shared" si="150"/>
        <v>7.5322755411994721E-2</v>
      </c>
      <c r="K54" s="63">
        <f t="shared" si="150"/>
        <v>0.18314680795244406</v>
      </c>
      <c r="L54" s="63">
        <f t="shared" si="150"/>
        <v>0.31265257815749525</v>
      </c>
      <c r="M54" s="63">
        <f t="shared" si="150"/>
        <v>0.2499478914889065</v>
      </c>
      <c r="N54" s="63">
        <f>N52/N$9</f>
        <v>0.14276950626111282</v>
      </c>
      <c r="O54" s="63">
        <f t="shared" si="150"/>
        <v>6.1363991003149466E-2</v>
      </c>
      <c r="P54" s="63">
        <f t="shared" si="150"/>
        <v>7.3458321552764064E-2</v>
      </c>
      <c r="Q54" s="63">
        <f t="shared" si="150"/>
        <v>0.1022360146432639</v>
      </c>
      <c r="R54" s="63">
        <f t="shared" ref="R54:S54" si="151">R52/R$9</f>
        <v>0.11396848201007295</v>
      </c>
      <c r="S54" s="63">
        <f t="shared" si="151"/>
        <v>0.13599472285950626</v>
      </c>
      <c r="T54" s="63">
        <f t="shared" si="150"/>
        <v>0.14855987502862905</v>
      </c>
      <c r="U54" s="187"/>
      <c r="V54" s="63">
        <f t="shared" ref="V54:AR54" si="152">V52/V$9</f>
        <v>8.0947510909891968E-2</v>
      </c>
      <c r="W54" s="63">
        <f t="shared" si="152"/>
        <v>0.13929562425411321</v>
      </c>
      <c r="X54" s="63">
        <f t="shared" si="152"/>
        <v>7.9533032853164029E-2</v>
      </c>
      <c r="Y54" s="63">
        <f t="shared" si="152"/>
        <v>2.9851747773979916E-2</v>
      </c>
      <c r="Z54" s="63">
        <f t="shared" si="152"/>
        <v>4.4916345772285808E-2</v>
      </c>
      <c r="AA54" s="63">
        <f t="shared" si="152"/>
        <v>0.11108177665133454</v>
      </c>
      <c r="AB54" s="63">
        <f t="shared" si="152"/>
        <v>9.1096260682531835E-2</v>
      </c>
      <c r="AC54" s="63">
        <f t="shared" si="152"/>
        <v>5.8422327549481061E-2</v>
      </c>
      <c r="AD54" s="63">
        <f t="shared" si="152"/>
        <v>0.10882153323473218</v>
      </c>
      <c r="AE54" s="63">
        <f t="shared" si="152"/>
        <v>0.14032545758897944</v>
      </c>
      <c r="AF54" s="63">
        <f t="shared" si="152"/>
        <v>0.14499503381567908</v>
      </c>
      <c r="AG54" s="63">
        <f t="shared" si="152"/>
        <v>6.3269895172974419E-2</v>
      </c>
      <c r="AH54" s="63">
        <f t="shared" si="152"/>
        <v>9.6826167564227059E-2</v>
      </c>
      <c r="AI54" s="63">
        <f t="shared" si="152"/>
        <v>0.14146628398730263</v>
      </c>
      <c r="AJ54" s="63">
        <f t="shared" si="152"/>
        <v>0.14655963450754667</v>
      </c>
      <c r="AK54" s="63">
        <f t="shared" si="152"/>
        <v>0.12764818937606928</v>
      </c>
      <c r="AL54" s="63">
        <f t="shared" si="152"/>
        <v>8.7999394768530484E-2</v>
      </c>
      <c r="AM54" s="63">
        <f t="shared" si="152"/>
        <v>4.8284528742946212E-2</v>
      </c>
      <c r="AN54" s="63">
        <f t="shared" si="152"/>
        <v>3.3647169176443996E-2</v>
      </c>
      <c r="AO54" s="573">
        <f t="shared" si="152"/>
        <v>6.0619380213269243E-2</v>
      </c>
      <c r="AP54" s="63">
        <f t="shared" si="152"/>
        <v>3.5349512179860515E-2</v>
      </c>
      <c r="AQ54" s="63">
        <f t="shared" si="152"/>
        <v>5.7929995408173007E-2</v>
      </c>
      <c r="AR54" s="63">
        <f t="shared" si="152"/>
        <v>3.1221566262510846E-2</v>
      </c>
      <c r="AS54" s="573">
        <f>AS52/AS$9</f>
        <v>3.3673411083529607E-2</v>
      </c>
      <c r="AT54" s="63">
        <f>AT52/AT$9</f>
        <v>1.8346566522001201E-2</v>
      </c>
      <c r="AU54" s="63">
        <f>AU52/AU$9</f>
        <v>2.3440917861324365E-2</v>
      </c>
      <c r="AV54" s="63">
        <f>AV52/AV$9</f>
        <v>0.14101870042574463</v>
      </c>
      <c r="AW54" s="573">
        <f>AW52/AW$9</f>
        <v>0.10570750227235089</v>
      </c>
      <c r="AX54" s="63">
        <f t="shared" ref="AX54:BE54" si="153">AX52/AX$9</f>
        <v>7.0906342274165951E-2</v>
      </c>
      <c r="AY54" s="63">
        <f t="shared" si="153"/>
        <v>0.1470159185817661</v>
      </c>
      <c r="AZ54" s="63">
        <f t="shared" si="153"/>
        <v>0.23683862892088262</v>
      </c>
      <c r="BA54" s="573">
        <f t="shared" si="153"/>
        <v>0.26199093869604889</v>
      </c>
      <c r="BB54" s="63">
        <f t="shared" si="153"/>
        <v>0.14395518865146437</v>
      </c>
      <c r="BC54" s="63">
        <f>BC52/BC$9</f>
        <v>0.51171934868038282</v>
      </c>
      <c r="BD54" s="63">
        <f>BD52/BD$9</f>
        <v>0.22705472047661915</v>
      </c>
      <c r="BE54" s="573">
        <f t="shared" si="153"/>
        <v>0.33781839792058399</v>
      </c>
      <c r="BF54" s="63">
        <f t="shared" ref="BF54:BU54" si="154">BF52/BF$9</f>
        <v>0.24280821806249436</v>
      </c>
      <c r="BG54" s="63">
        <f t="shared" si="154"/>
        <v>0.2702510135752883</v>
      </c>
      <c r="BH54" s="63">
        <f t="shared" si="154"/>
        <v>0.24691130786447082</v>
      </c>
      <c r="BI54" s="573">
        <f t="shared" si="154"/>
        <v>0.23779752909755938</v>
      </c>
      <c r="BJ54" s="63">
        <f t="shared" si="154"/>
        <v>0.15804137078332048</v>
      </c>
      <c r="BK54" s="63">
        <f>BK52/BK$9</f>
        <v>0.25811524766789973</v>
      </c>
      <c r="BL54" s="63">
        <f t="shared" si="154"/>
        <v>5.7994158870575109E-2</v>
      </c>
      <c r="BM54" s="573">
        <f t="shared" si="154"/>
        <v>0.10408038138615348</v>
      </c>
      <c r="BN54" s="63">
        <f t="shared" si="154"/>
        <v>4.1019874572614412E-2</v>
      </c>
      <c r="BO54" s="63">
        <f t="shared" si="154"/>
        <v>8.6557133209486672E-2</v>
      </c>
      <c r="BP54" s="63">
        <f t="shared" si="154"/>
        <v>6.8533908625139792E-2</v>
      </c>
      <c r="BQ54" s="573">
        <f t="shared" si="154"/>
        <v>4.8741868389208264E-2</v>
      </c>
      <c r="BR54" s="63">
        <f t="shared" si="154"/>
        <v>8.3675203063722378E-2</v>
      </c>
      <c r="BS54" s="63">
        <f t="shared" si="154"/>
        <v>5.9974215347119553E-2</v>
      </c>
      <c r="BT54" s="63">
        <f t="shared" si="154"/>
        <v>8.0508954909308927E-2</v>
      </c>
      <c r="BU54" s="573">
        <f t="shared" si="154"/>
        <v>6.9454054510167923E-2</v>
      </c>
      <c r="BV54" s="63">
        <f t="shared" ref="BV54:CG54" si="155">BV52/BV$9</f>
        <v>7.8806236073066832E-2</v>
      </c>
      <c r="BW54" s="63">
        <f t="shared" si="155"/>
        <v>9.8678197285782074E-2</v>
      </c>
      <c r="BX54" s="63">
        <f t="shared" si="155"/>
        <v>0.10896448078681495</v>
      </c>
      <c r="BY54" s="573">
        <f t="shared" si="155"/>
        <v>0.11761044774767648</v>
      </c>
      <c r="BZ54" s="63">
        <f t="shared" si="155"/>
        <v>0.10506385451063421</v>
      </c>
      <c r="CA54" s="63">
        <f t="shared" si="155"/>
        <v>0.10028726301063996</v>
      </c>
      <c r="CB54" s="63">
        <f t="shared" si="155"/>
        <v>0.13192720058077048</v>
      </c>
      <c r="CC54" s="573">
        <f t="shared" si="155"/>
        <v>0.11566295335118093</v>
      </c>
      <c r="CD54" s="63">
        <f t="shared" si="155"/>
        <v>0.12614257513535984</v>
      </c>
      <c r="CE54" s="63">
        <f t="shared" si="155"/>
        <v>0.12724239388466702</v>
      </c>
      <c r="CF54" s="63">
        <f t="shared" si="155"/>
        <v>0.14743739497145081</v>
      </c>
      <c r="CG54" s="573">
        <f t="shared" si="155"/>
        <v>0.14110758037438084</v>
      </c>
    </row>
    <row r="55" spans="1:85" ht="12.75" customHeight="1">
      <c r="A55" s="17"/>
      <c r="B55" s="53"/>
      <c r="C55" s="46"/>
      <c r="D55" s="46"/>
      <c r="E55" s="46"/>
      <c r="F55" s="46"/>
      <c r="G55" s="46"/>
      <c r="H55" s="46"/>
      <c r="I55" s="133"/>
      <c r="J55" s="623"/>
      <c r="K55" s="133"/>
      <c r="L55" s="133"/>
      <c r="M55" s="133"/>
      <c r="N55" s="133"/>
      <c r="O55" s="133"/>
      <c r="P55" s="133"/>
      <c r="Q55" s="623">
        <f>Q52-TP!K17</f>
        <v>0</v>
      </c>
      <c r="R55" s="623">
        <f>R52-TP!L17</f>
        <v>0</v>
      </c>
      <c r="S55" s="623">
        <f>S52-TP!M17</f>
        <v>0</v>
      </c>
      <c r="T55" s="133"/>
      <c r="U55" s="187"/>
      <c r="V55" s="46"/>
      <c r="W55" s="46"/>
      <c r="X55" s="46"/>
      <c r="Y55" s="46"/>
      <c r="Z55" s="46"/>
      <c r="AA55" s="46"/>
      <c r="AB55" s="46"/>
      <c r="AC55" s="46"/>
      <c r="AD55" s="46"/>
      <c r="AE55" s="46"/>
      <c r="AF55" s="46"/>
      <c r="AG55" s="46"/>
      <c r="AH55" s="46"/>
      <c r="AI55" s="46"/>
      <c r="AJ55" s="46"/>
      <c r="AK55" s="46"/>
      <c r="AL55" s="46"/>
      <c r="AM55" s="46"/>
      <c r="AN55" s="46"/>
      <c r="AO55" s="579"/>
      <c r="AP55" s="46"/>
      <c r="AQ55" s="46"/>
      <c r="AR55" s="46"/>
      <c r="AS55" s="579"/>
      <c r="AT55" s="20"/>
      <c r="AU55" s="20"/>
      <c r="AV55" s="20"/>
      <c r="AW55" s="571"/>
      <c r="AX55" s="20"/>
      <c r="AY55" s="20"/>
      <c r="AZ55" s="20"/>
      <c r="BA55" s="571"/>
      <c r="BB55" s="20"/>
      <c r="BC55" s="46"/>
      <c r="BD55" s="46"/>
      <c r="BE55" s="579"/>
      <c r="BF55" s="46"/>
      <c r="BG55" s="46"/>
      <c r="BH55" s="46"/>
      <c r="BI55" s="579"/>
      <c r="BJ55" s="46"/>
      <c r="BK55" s="46"/>
      <c r="BL55" s="46"/>
      <c r="BM55" s="579"/>
      <c r="BN55" s="46"/>
      <c r="BO55" s="46"/>
      <c r="BP55" s="46"/>
      <c r="BQ55" s="579"/>
      <c r="BR55" s="46"/>
      <c r="BS55" s="46"/>
      <c r="BT55" s="46"/>
      <c r="BU55" s="579"/>
      <c r="BV55" s="46"/>
      <c r="BW55" s="46"/>
      <c r="BX55" s="46"/>
      <c r="BY55" s="579"/>
      <c r="BZ55" s="46"/>
      <c r="CA55" s="46"/>
      <c r="CB55" s="46"/>
      <c r="CC55" s="579"/>
      <c r="CD55" s="46"/>
      <c r="CE55" s="46"/>
      <c r="CF55" s="46"/>
      <c r="CG55" s="579"/>
    </row>
    <row r="56" spans="1:85" s="172" customFormat="1" ht="12.75" customHeight="1">
      <c r="A56" s="660"/>
      <c r="B56" s="661" t="s">
        <v>76</v>
      </c>
      <c r="C56" s="71"/>
      <c r="D56" s="47">
        <f ca="1">IFERROR(D52/D61,"")</f>
        <v>5.4019999999999999E-2</v>
      </c>
      <c r="E56" s="47">
        <f ca="1">IFERROR(E52/E61,"")</f>
        <v>4.5231456842078438E-2</v>
      </c>
      <c r="F56" s="47">
        <f t="shared" ref="F56:L56" ca="1" si="156">IFERROR(F52/F61,"")</f>
        <v>6.0230192522401735E-2</v>
      </c>
      <c r="G56" s="47">
        <f t="shared" ca="1" si="156"/>
        <v>8.9130000000000001E-2</v>
      </c>
      <c r="H56" s="47">
        <f t="shared" ca="1" si="156"/>
        <v>3.9030000000000002E-2</v>
      </c>
      <c r="I56" s="47">
        <f t="shared" ca="1" si="156"/>
        <v>2.699E-2</v>
      </c>
      <c r="J56" s="47">
        <f t="shared" si="156"/>
        <v>4.6449868400516896E-2</v>
      </c>
      <c r="K56" s="47">
        <f t="shared" si="156"/>
        <v>0.10715987542813658</v>
      </c>
      <c r="L56" s="47">
        <f t="shared" si="156"/>
        <v>0.21541809847172519</v>
      </c>
      <c r="M56" s="47">
        <f t="shared" ref="M56:T56" si="157">IFERROR(M52/M61,"")</f>
        <v>0.22990191139204391</v>
      </c>
      <c r="N56" s="47">
        <f t="shared" si="157"/>
        <v>0.11386532562250196</v>
      </c>
      <c r="O56" s="47">
        <f t="shared" si="157"/>
        <v>6.1907942538284681E-2</v>
      </c>
      <c r="P56" s="47">
        <f t="shared" si="157"/>
        <v>8.5768277346270641E-2</v>
      </c>
      <c r="Q56" s="47">
        <f t="shared" si="157"/>
        <v>0.14794885551026929</v>
      </c>
      <c r="R56" s="47">
        <f t="shared" ref="R56:S56" si="158">IFERROR(R52/R61,"")</f>
        <v>0.19755658525943626</v>
      </c>
      <c r="S56" s="47">
        <f t="shared" si="158"/>
        <v>0.28475469135353521</v>
      </c>
      <c r="T56" s="47">
        <f t="shared" si="157"/>
        <v>0.3707328834151784</v>
      </c>
      <c r="U56" s="187"/>
      <c r="V56" s="71">
        <f>'Raw Data'!DW68</f>
        <v>1.268E-2</v>
      </c>
      <c r="W56" s="71">
        <f>'Raw Data'!DX68</f>
        <v>2.3519999999999999E-2</v>
      </c>
      <c r="X56" s="71">
        <f>'Raw Data'!DY68</f>
        <v>1.324E-2</v>
      </c>
      <c r="Y56" s="71">
        <f>'Raw Data'!DZ68</f>
        <v>4.5799999999999999E-3</v>
      </c>
      <c r="Z56" s="71">
        <f>'Raw Data'!EA68</f>
        <v>6.3E-3</v>
      </c>
      <c r="AA56" s="71">
        <f>'Raw Data'!EB68</f>
        <v>1.7330000000000002E-2</v>
      </c>
      <c r="AB56" s="71">
        <f>'Raw Data'!EC68</f>
        <v>1.3639999999999999E-2</v>
      </c>
      <c r="AC56" s="71">
        <f>'Raw Data'!ED68</f>
        <v>8.2699999999999996E-3</v>
      </c>
      <c r="AD56" s="71">
        <f>'Raw Data'!EE68</f>
        <v>1.546E-2</v>
      </c>
      <c r="AE56" s="71">
        <f>'Raw Data'!EF68</f>
        <v>2.0619999999999999E-2</v>
      </c>
      <c r="AF56" s="71">
        <f>'Raw Data'!EG68</f>
        <v>2.027E-2</v>
      </c>
      <c r="AG56" s="71">
        <f>'Raw Data'!EH68</f>
        <v>9.1999999999999998E-3</v>
      </c>
      <c r="AH56" s="71">
        <f>'Raw Data'!EI68</f>
        <v>1.4590000000000001E-2</v>
      </c>
      <c r="AI56" s="71">
        <f>'Raw Data'!EJ68</f>
        <v>2.315E-2</v>
      </c>
      <c r="AJ56" s="71">
        <f>'Raw Data'!EK68</f>
        <v>2.69E-2</v>
      </c>
      <c r="AK56" s="71">
        <f>'Raw Data'!EL68</f>
        <v>2.4490000000000001E-2</v>
      </c>
      <c r="AL56" s="71">
        <f>'Raw Data'!EM68</f>
        <v>1.5570000000000001E-2</v>
      </c>
      <c r="AM56" s="71">
        <f>'Raw Data'!EN68</f>
        <v>7.7999999999999996E-3</v>
      </c>
      <c r="AN56" s="71">
        <f>'Raw Data'!EO68</f>
        <v>5.5700000000000003E-3</v>
      </c>
      <c r="AO56" s="662">
        <f>'Raw Data'!EP68</f>
        <v>1.009E-2</v>
      </c>
      <c r="AP56" s="71">
        <f>'Raw Data'!EQ68</f>
        <v>5.9699999999999996E-3</v>
      </c>
      <c r="AQ56" s="71">
        <f>'Raw Data'!ER68</f>
        <v>1.0460000000000001E-2</v>
      </c>
      <c r="AR56" s="71">
        <f>'Raw Data'!ES68</f>
        <v>5.3E-3</v>
      </c>
      <c r="AS56" s="662">
        <f>'Raw Data'!ET68</f>
        <v>5.2599999999999999E-3</v>
      </c>
      <c r="AT56" s="47">
        <f>IF(ISNUMBER(AT61),AT52/AT61," ")</f>
        <v>2.434437611585019E-3</v>
      </c>
      <c r="AU56" s="47">
        <f>IF(ISNUMBER(AU61),AU52/AU61," ")</f>
        <v>3.6710891089108779E-3</v>
      </c>
      <c r="AV56" s="47">
        <f>IF(ISNUMBER(AV61),AV52/AV61," ")</f>
        <v>2.2789531739252536E-2</v>
      </c>
      <c r="AW56" s="663">
        <f>IF(ISNUMBER(AW61),AW52/AW61," ")</f>
        <v>1.7554809940768461E-2</v>
      </c>
      <c r="AX56" s="47">
        <f t="shared" ref="AX56:BE56" si="159">IF(ISNUMBER(AX61),AX52/AX61," ")</f>
        <v>1.259352306182533E-2</v>
      </c>
      <c r="AY56" s="47">
        <f t="shared" si="159"/>
        <v>2.5851414652426449E-2</v>
      </c>
      <c r="AZ56" s="47">
        <f t="shared" si="159"/>
        <v>3.5333379272326361E-2</v>
      </c>
      <c r="BA56" s="663">
        <f t="shared" si="159"/>
        <v>3.3381558441558448E-2</v>
      </c>
      <c r="BB56" s="47">
        <f t="shared" si="159"/>
        <v>2.0150592946886602E-2</v>
      </c>
      <c r="BC56" s="47">
        <f t="shared" si="159"/>
        <v>8.7061474181816617E-2</v>
      </c>
      <c r="BD56" s="47">
        <f>IF(ISNUMBER(BD61),BD52/BD61," ")</f>
        <v>4.0670902373920119E-2</v>
      </c>
      <c r="BE56" s="663">
        <f t="shared" si="159"/>
        <v>6.7535128969101854E-2</v>
      </c>
      <c r="BF56" s="47">
        <f t="shared" ref="BF56:BU56" si="160">IF(ISNUMBER(BF61),BF52/BF61," ")</f>
        <v>5.6582487800276499E-2</v>
      </c>
      <c r="BG56" s="47">
        <f t="shared" si="160"/>
        <v>6.5061731725148453E-2</v>
      </c>
      <c r="BH56" s="47">
        <f t="shared" si="160"/>
        <v>5.9548266846940263E-2</v>
      </c>
      <c r="BI56" s="663">
        <f t="shared" si="160"/>
        <v>4.870942501967869E-2</v>
      </c>
      <c r="BJ56" s="47">
        <f t="shared" si="160"/>
        <v>2.9205358271199307E-2</v>
      </c>
      <c r="BK56" s="47">
        <f>IF(ISNUMBER(BK61),BK52/BK61," ")</f>
        <v>5.0828117112569418E-2</v>
      </c>
      <c r="BL56" s="47">
        <f>IF(ISNUMBER(BL61),BL52/BL61," ")</f>
        <v>1.1848714069591527E-2</v>
      </c>
      <c r="BM56" s="663">
        <f t="shared" si="160"/>
        <v>2.1983136169141704E-2</v>
      </c>
      <c r="BN56" s="47">
        <f t="shared" si="160"/>
        <v>9.0338492512897946E-3</v>
      </c>
      <c r="BO56" s="47">
        <f t="shared" si="160"/>
        <v>2.0690093034950965E-2</v>
      </c>
      <c r="BP56" s="47">
        <f t="shared" si="160"/>
        <v>1.8693467336683419E-2</v>
      </c>
      <c r="BQ56" s="663">
        <f t="shared" si="160"/>
        <v>1.3490532915360502E-2</v>
      </c>
      <c r="BR56" s="47">
        <f t="shared" si="160"/>
        <v>2.356623637047249E-2</v>
      </c>
      <c r="BS56" s="47">
        <f t="shared" si="160"/>
        <v>1.6589907337841221E-2</v>
      </c>
      <c r="BT56" s="47">
        <f t="shared" si="160"/>
        <v>2.4005758637956936E-2</v>
      </c>
      <c r="BU56" s="663">
        <f t="shared" si="160"/>
        <v>2.1606375000000001E-2</v>
      </c>
      <c r="BV56" s="47">
        <f t="shared" ref="BV56:CG56" si="161">IF(ISNUMBER(BV61),BV52/BV61," ")</f>
        <v>2.4677915260592428E-2</v>
      </c>
      <c r="BW56" s="47">
        <f t="shared" si="161"/>
        <v>3.5608573087657344E-2</v>
      </c>
      <c r="BX56" s="47">
        <f t="shared" si="161"/>
        <v>4.1156011756080538E-2</v>
      </c>
      <c r="BY56" s="663">
        <f t="shared" si="161"/>
        <v>4.650635540593883E-2</v>
      </c>
      <c r="BZ56" s="47">
        <f t="shared" si="161"/>
        <v>4.0731118185757899E-2</v>
      </c>
      <c r="CA56" s="47">
        <f t="shared" si="161"/>
        <v>4.0974671229340849E-2</v>
      </c>
      <c r="CB56" s="47">
        <f t="shared" si="161"/>
        <v>6.0462174566373497E-2</v>
      </c>
      <c r="CC56" s="663">
        <f t="shared" si="161"/>
        <v>5.5388621277963977E-2</v>
      </c>
      <c r="CD56" s="47">
        <f t="shared" si="161"/>
        <v>6.0782030775831768E-2</v>
      </c>
      <c r="CE56" s="47">
        <f t="shared" si="161"/>
        <v>6.3520251909875813E-2</v>
      </c>
      <c r="CF56" s="47">
        <f t="shared" si="161"/>
        <v>7.9820508125341083E-2</v>
      </c>
      <c r="CG56" s="663">
        <f t="shared" si="161"/>
        <v>8.0631900542486271E-2</v>
      </c>
    </row>
    <row r="57" spans="1:85" s="172" customFormat="1" ht="12.75" customHeight="1">
      <c r="A57" s="35"/>
      <c r="B57" s="172" t="s">
        <v>77</v>
      </c>
      <c r="C57" s="70"/>
      <c r="D57" s="70">
        <f ca="1">'Raw Data'!U69</f>
        <v>5.2758604926574665E-2</v>
      </c>
      <c r="E57" s="70">
        <f ca="1">'Raw Data'!V69</f>
        <v>4.2804098900240319E-2</v>
      </c>
      <c r="F57" s="70">
        <f ca="1">'Raw Data'!W69</f>
        <v>5.8885515386012409E-2</v>
      </c>
      <c r="G57" s="70">
        <f ca="1">'Raw Data'!X69</f>
        <v>7.8135104405242947E-2</v>
      </c>
      <c r="H57" s="70">
        <f ca="1">'Raw Data'!Y69</f>
        <v>3.5972863308714235E-2</v>
      </c>
      <c r="I57" s="70">
        <f ca="1">'Raw Data'!Z69</f>
        <v>2.6764027151810494E-2</v>
      </c>
      <c r="J57" s="36">
        <f t="shared" ref="J57:T57" si="162">IFERROR(J52/J62,"")</f>
        <v>4.1323135321439164E-2</v>
      </c>
      <c r="K57" s="36">
        <f t="shared" si="162"/>
        <v>9.7080982878410299E-2</v>
      </c>
      <c r="L57" s="36">
        <f t="shared" si="162"/>
        <v>0.21449009384620407</v>
      </c>
      <c r="M57" s="36">
        <f t="shared" si="162"/>
        <v>0.22909909099882939</v>
      </c>
      <c r="N57" s="36">
        <f t="shared" si="162"/>
        <v>0.11345065655475441</v>
      </c>
      <c r="O57" s="36">
        <f t="shared" si="162"/>
        <v>6.174215320911796E-2</v>
      </c>
      <c r="P57" s="36">
        <f t="shared" si="162"/>
        <v>8.555022678026733E-2</v>
      </c>
      <c r="Q57" s="36">
        <f t="shared" si="162"/>
        <v>0.14772729226727374</v>
      </c>
      <c r="R57" s="36">
        <f t="shared" ref="R57:S57" si="163">IFERROR(R52/R62,"")</f>
        <v>0.19726073114448389</v>
      </c>
      <c r="S57" s="36">
        <f t="shared" si="163"/>
        <v>0.28432825227999936</v>
      </c>
      <c r="T57" s="36">
        <f t="shared" si="162"/>
        <v>0.37017768628539155</v>
      </c>
      <c r="U57" s="187"/>
      <c r="V57" s="70">
        <f>'Raw Data'!DW69</f>
        <v>1.2619999999999999E-2</v>
      </c>
      <c r="W57" s="70">
        <f>'Raw Data'!DX69</f>
        <v>2.3349999999999999E-2</v>
      </c>
      <c r="X57" s="70">
        <f>'Raw Data'!DY69</f>
        <v>1.3129999999999999E-2</v>
      </c>
      <c r="Y57" s="70">
        <f>'Raw Data'!DZ69</f>
        <v>4.5999999999999999E-3</v>
      </c>
      <c r="Z57" s="70">
        <f>'Raw Data'!EA69</f>
        <v>6.2300000000000003E-3</v>
      </c>
      <c r="AA57" s="70">
        <f>'Raw Data'!EB69</f>
        <v>1.5259999999999999E-2</v>
      </c>
      <c r="AB57" s="70">
        <f>'Raw Data'!EC69</f>
        <v>1.221E-2</v>
      </c>
      <c r="AC57" s="70">
        <f>'Raw Data'!ED69</f>
        <v>8.2699999999999996E-3</v>
      </c>
      <c r="AD57" s="70">
        <f>'Raw Data'!EE69</f>
        <v>1.3809999999999999E-2</v>
      </c>
      <c r="AE57" s="70">
        <f>'Raw Data'!EF69</f>
        <v>1.8450000000000001E-2</v>
      </c>
      <c r="AF57" s="70">
        <f>'Raw Data'!EG69</f>
        <v>1.8350000000000002E-2</v>
      </c>
      <c r="AG57" s="70">
        <f>'Raw Data'!EH69</f>
        <v>8.5100000000000002E-3</v>
      </c>
      <c r="AH57" s="70">
        <f>'Raw Data'!EI69</f>
        <v>1.325E-2</v>
      </c>
      <c r="AI57" s="70">
        <f>'Raw Data'!EJ69</f>
        <v>2.2530000000000001E-2</v>
      </c>
      <c r="AJ57" s="70">
        <f>'Raw Data'!EK69</f>
        <v>2.2589999999999999E-2</v>
      </c>
      <c r="AK57" s="70">
        <f>'Raw Data'!EL69</f>
        <v>2.4150000000000001E-2</v>
      </c>
      <c r="AL57" s="70">
        <f>'Raw Data'!EM69</f>
        <v>1.3780000000000001E-2</v>
      </c>
      <c r="AM57" s="70">
        <f>'Raw Data'!EN69</f>
        <v>7.1599999999999997E-3</v>
      </c>
      <c r="AN57" s="70">
        <f>'Raw Data'!EO69</f>
        <v>5.5199999999999997E-3</v>
      </c>
      <c r="AO57" s="664">
        <f>'Raw Data'!EP69</f>
        <v>9.2499999999999995E-3</v>
      </c>
      <c r="AP57" s="70">
        <f>'Raw Data'!EQ69</f>
        <v>5.9199999999999999E-3</v>
      </c>
      <c r="AQ57" s="70">
        <f>'Raw Data'!ER69</f>
        <v>1.0240000000000001E-2</v>
      </c>
      <c r="AR57" s="70">
        <f>'Raw Data'!ES69</f>
        <v>5.2700000000000004E-3</v>
      </c>
      <c r="AS57" s="664">
        <f>'Raw Data'!ET69</f>
        <v>5.2399999999999999E-3</v>
      </c>
      <c r="AT57" s="36">
        <f>IF(ISNUMBER(AT62),AT52/AT62," ")</f>
        <v>2.4252964426877627E-3</v>
      </c>
      <c r="AU57" s="36">
        <f>IF(ISNUMBER(AU62),AU52/AU62," ")</f>
        <v>3.6609399684044103E-3</v>
      </c>
      <c r="AV57" s="36">
        <f>IF(ISNUMBER(AV62),AV52/AV62," ")</f>
        <v>1.9907101384260342E-2</v>
      </c>
      <c r="AW57" s="580">
        <f>IF(ISNUMBER(AW62),AW52/AW62," ")</f>
        <v>1.5329797526086649E-2</v>
      </c>
      <c r="AX57" s="36">
        <f t="shared" ref="AX57:BE57" si="164">IF(ISNUMBER(AX62),AX52/AX62," ")</f>
        <v>1.0751340482573736E-2</v>
      </c>
      <c r="AY57" s="36">
        <f t="shared" si="164"/>
        <v>2.2971861471861466E-2</v>
      </c>
      <c r="AZ57" s="36">
        <f t="shared" si="164"/>
        <v>3.244893051512468E-2</v>
      </c>
      <c r="BA57" s="580">
        <f t="shared" si="164"/>
        <v>3.0908850408850417E-2</v>
      </c>
      <c r="BB57" s="36">
        <f t="shared" si="164"/>
        <v>2.005013163909157E-2</v>
      </c>
      <c r="BC57" s="36">
        <f t="shared" si="164"/>
        <v>8.6794966370822402E-2</v>
      </c>
      <c r="BD57" s="36">
        <f t="shared" si="164"/>
        <v>4.0455109264668207E-2</v>
      </c>
      <c r="BE57" s="580">
        <f t="shared" si="164"/>
        <v>6.7189886571621893E-2</v>
      </c>
      <c r="BF57" s="36">
        <f t="shared" ref="BF57:BU57" si="165">IF(ISNUMBER(BF62),BF52/BF62," ")</f>
        <v>5.628829733577128E-2</v>
      </c>
      <c r="BG57" s="36">
        <f t="shared" si="165"/>
        <v>6.4818562989325673E-2</v>
      </c>
      <c r="BH57" s="36">
        <f t="shared" si="165"/>
        <v>5.9429353563547435E-2</v>
      </c>
      <c r="BI57" s="580">
        <f t="shared" si="165"/>
        <v>4.8562877110184997E-2</v>
      </c>
      <c r="BJ57" s="36">
        <f t="shared" si="165"/>
        <v>2.9102380052890078E-2</v>
      </c>
      <c r="BK57" s="36">
        <f>IF(ISNUMBER(BK62),BK52/BK62," ")</f>
        <v>5.06173180847053E-2</v>
      </c>
      <c r="BL57" s="36">
        <f>IF(ISNUMBER(BL62),BL52/BL62," ")</f>
        <v>1.180851865812288E-2</v>
      </c>
      <c r="BM57" s="580">
        <f t="shared" si="165"/>
        <v>2.1922439759036145E-2</v>
      </c>
      <c r="BN57" s="36">
        <f t="shared" si="165"/>
        <v>9.0156976014065058E-3</v>
      </c>
      <c r="BO57" s="36">
        <f t="shared" si="165"/>
        <v>2.0630437507835026E-2</v>
      </c>
      <c r="BP57" s="36">
        <f t="shared" si="165"/>
        <v>1.864428016539281E-2</v>
      </c>
      <c r="BQ57" s="580">
        <f t="shared" si="165"/>
        <v>1.3451737934483621E-2</v>
      </c>
      <c r="BR57" s="36">
        <f t="shared" si="165"/>
        <v>2.3489693941286697E-2</v>
      </c>
      <c r="BS57" s="36">
        <f t="shared" si="165"/>
        <v>1.6546396902710127E-2</v>
      </c>
      <c r="BT57" s="36">
        <f t="shared" si="165"/>
        <v>2.3942814333874393E-2</v>
      </c>
      <c r="BU57" s="580">
        <f t="shared" si="165"/>
        <v>2.1571321602396106E-2</v>
      </c>
      <c r="BV57" s="36">
        <f t="shared" ref="BV57:CG57" si="166">IF(ISNUMBER(BV62),BV52/BV62," ")</f>
        <v>2.4640958442530888E-2</v>
      </c>
      <c r="BW57" s="36">
        <f t="shared" si="166"/>
        <v>3.5555246883108252E-2</v>
      </c>
      <c r="BX57" s="36">
        <f t="shared" si="166"/>
        <v>4.1094377893473151E-2</v>
      </c>
      <c r="BY57" s="580">
        <f t="shared" si="166"/>
        <v>4.6436709048161315E-2</v>
      </c>
      <c r="BZ57" s="36">
        <f t="shared" si="166"/>
        <v>4.0670120629508172E-2</v>
      </c>
      <c r="CA57" s="36">
        <f t="shared" si="166"/>
        <v>4.091330893622315E-2</v>
      </c>
      <c r="CB57" s="36">
        <f t="shared" si="166"/>
        <v>6.0371628441976077E-2</v>
      </c>
      <c r="CC57" s="580">
        <f t="shared" si="166"/>
        <v>5.5305673136776465E-2</v>
      </c>
      <c r="CD57" s="36">
        <f t="shared" si="166"/>
        <v>6.0691005645504802E-2</v>
      </c>
      <c r="CE57" s="36">
        <f t="shared" si="166"/>
        <v>6.3425126111433472E-2</v>
      </c>
      <c r="CF57" s="36">
        <f t="shared" si="166"/>
        <v>7.9700971609990526E-2</v>
      </c>
      <c r="CG57" s="580">
        <f t="shared" si="166"/>
        <v>8.0511148913070346E-2</v>
      </c>
    </row>
    <row r="58" spans="1:85" ht="12.75" customHeight="1">
      <c r="A58" s="17"/>
      <c r="C58" s="21"/>
      <c r="D58" s="36"/>
      <c r="E58" s="36"/>
      <c r="F58" s="36"/>
      <c r="G58" s="36"/>
      <c r="H58" s="36"/>
      <c r="I58" s="21"/>
      <c r="J58" s="21"/>
      <c r="K58" s="21"/>
      <c r="L58" s="21"/>
      <c r="M58" s="21"/>
      <c r="N58" s="21"/>
      <c r="O58" s="21"/>
      <c r="P58" s="21"/>
      <c r="Q58" s="21"/>
      <c r="R58" s="21"/>
      <c r="S58" s="21"/>
      <c r="T58" s="21"/>
      <c r="U58" s="187"/>
      <c r="V58" s="36"/>
      <c r="W58" s="36"/>
      <c r="X58" s="36"/>
      <c r="Y58" s="36"/>
      <c r="Z58" s="36"/>
      <c r="AA58" s="36"/>
      <c r="AB58" s="36"/>
      <c r="AC58" s="36"/>
      <c r="AD58" s="36"/>
      <c r="AE58" s="36"/>
      <c r="AF58" s="36"/>
      <c r="AG58" s="36"/>
      <c r="AH58" s="36"/>
      <c r="AI58" s="36"/>
      <c r="AJ58" s="36"/>
      <c r="AK58" s="36"/>
      <c r="AL58" s="36"/>
      <c r="AM58" s="36"/>
      <c r="AN58" s="36"/>
      <c r="AO58" s="580"/>
      <c r="AP58" s="36"/>
      <c r="AQ58" s="36"/>
      <c r="AR58" s="36"/>
      <c r="AS58" s="580"/>
      <c r="AT58" s="36"/>
      <c r="AU58" s="36"/>
      <c r="AV58" s="21"/>
      <c r="AW58" s="575"/>
      <c r="AX58" s="21"/>
      <c r="AY58" s="21"/>
      <c r="AZ58" s="21"/>
      <c r="BA58" s="575"/>
      <c r="BB58" s="21"/>
      <c r="BC58" s="21"/>
      <c r="BD58" s="21"/>
      <c r="BE58" s="575"/>
      <c r="BF58" s="21"/>
      <c r="BG58" s="21"/>
      <c r="BH58" s="21"/>
      <c r="BI58" s="575"/>
      <c r="BJ58" s="21"/>
      <c r="BK58" s="21"/>
      <c r="BL58" s="21"/>
      <c r="BM58" s="575"/>
      <c r="BN58" s="21"/>
      <c r="BO58" s="21"/>
      <c r="BP58" s="21"/>
      <c r="BQ58" s="575"/>
      <c r="BR58" s="21"/>
      <c r="BS58" s="21"/>
      <c r="BT58" s="21"/>
      <c r="BU58" s="575"/>
      <c r="BV58" s="21"/>
      <c r="BW58" s="21"/>
      <c r="BX58" s="21"/>
      <c r="BY58" s="575"/>
      <c r="BZ58" s="21"/>
      <c r="CA58" s="21"/>
      <c r="CB58" s="21"/>
      <c r="CC58" s="575"/>
      <c r="CD58" s="21"/>
      <c r="CE58" s="21"/>
      <c r="CF58" s="21"/>
      <c r="CG58" s="575"/>
    </row>
    <row r="59" spans="1:85" ht="12.75" customHeight="1">
      <c r="A59" s="28"/>
      <c r="B59" s="21" t="s">
        <v>182</v>
      </c>
      <c r="C59" s="44"/>
      <c r="D59" s="102">
        <v>0</v>
      </c>
      <c r="E59" s="102">
        <v>0</v>
      </c>
      <c r="F59" s="102">
        <v>0</v>
      </c>
      <c r="G59" s="102">
        <v>0</v>
      </c>
      <c r="H59" s="102">
        <v>0</v>
      </c>
      <c r="I59" s="21">
        <f ca="1">IF(ISERROR(-I52*I163)," ",(-I52*I163))</f>
        <v>0</v>
      </c>
      <c r="J59" s="21">
        <f>IF(ISERROR(-J52*J163)," ",(-J52*J163))</f>
        <v>0</v>
      </c>
      <c r="K59" s="21">
        <f>IF(ISERROR(-K52*K163)," ",(-K52*K163))</f>
        <v>0</v>
      </c>
      <c r="L59" s="21">
        <f>IF(ISERROR(-L52*L163)," ",(-L52*L163))</f>
        <v>0</v>
      </c>
      <c r="M59" s="21">
        <f>IF(ISERROR(-M52*M163)," ",(-M52*M163))</f>
        <v>0</v>
      </c>
      <c r="N59" s="21">
        <f>IF(ISERROR(-N52*N163)," ",(-N52*N163))</f>
        <v>0</v>
      </c>
      <c r="O59" s="21">
        <f>IF(ISERROR(-O52*O163)," ",(-O52*O163))</f>
        <v>0</v>
      </c>
      <c r="P59" s="21">
        <f>IF(ISERROR(-P52*P163)," ",(-P52*P163))</f>
        <v>0</v>
      </c>
      <c r="Q59" s="21">
        <f>IF(ISERROR(-Q52*Q163)," ",(-Q52*Q163))</f>
        <v>0</v>
      </c>
      <c r="R59" s="21">
        <f>IF(ISERROR(-R52*R163)," ",(-R52*R163))</f>
        <v>0</v>
      </c>
      <c r="S59" s="21">
        <f>IF(ISERROR(-S52*S163)," ",(-S52*S163))</f>
        <v>0</v>
      </c>
      <c r="T59" s="21">
        <f>IF(ISERROR(-T52*T163)," ",(-T52*T163))</f>
        <v>0</v>
      </c>
      <c r="U59" s="187"/>
      <c r="V59" s="44"/>
      <c r="W59" s="44"/>
      <c r="X59" s="44"/>
      <c r="Y59" s="44"/>
      <c r="Z59" s="44"/>
      <c r="AA59" s="44"/>
      <c r="AB59" s="44"/>
      <c r="AC59" s="44"/>
      <c r="AD59" s="44"/>
      <c r="AE59" s="44"/>
      <c r="AF59" s="44"/>
      <c r="AG59" s="44"/>
      <c r="AH59" s="44"/>
      <c r="AI59" s="44"/>
      <c r="AJ59" s="44"/>
      <c r="AK59" s="44"/>
      <c r="AL59" s="44"/>
      <c r="AM59" s="44"/>
      <c r="AN59" s="44"/>
      <c r="AO59" s="570"/>
      <c r="AP59" s="44"/>
      <c r="AQ59" s="44"/>
      <c r="AR59" s="44"/>
      <c r="AS59" s="570"/>
      <c r="AT59" s="21"/>
      <c r="AU59" s="21"/>
      <c r="AV59" s="21"/>
      <c r="AW59" s="575"/>
      <c r="AX59" s="778"/>
      <c r="AY59" s="778"/>
      <c r="AZ59" s="778"/>
      <c r="BA59" s="567"/>
      <c r="BB59" s="21"/>
      <c r="BC59" s="21"/>
      <c r="BD59" s="21"/>
      <c r="BE59" s="575"/>
      <c r="BF59" s="21"/>
      <c r="BG59" s="21"/>
      <c r="BH59" s="21"/>
      <c r="BI59" s="575"/>
      <c r="BJ59" s="21"/>
      <c r="BK59" s="21"/>
      <c r="BL59" s="21"/>
      <c r="BM59" s="575"/>
      <c r="BN59" s="21"/>
      <c r="BO59" s="21"/>
      <c r="BP59" s="21"/>
      <c r="BQ59" s="575"/>
      <c r="BR59" s="21"/>
      <c r="BS59" s="21"/>
      <c r="BT59" s="21"/>
      <c r="BU59" s="575"/>
      <c r="BV59" s="21"/>
      <c r="BW59" s="21"/>
      <c r="BX59" s="21"/>
      <c r="BY59" s="575"/>
      <c r="BZ59" s="21"/>
      <c r="CA59" s="21"/>
      <c r="CB59" s="21"/>
      <c r="CC59" s="575"/>
      <c r="CD59" s="21"/>
      <c r="CE59" s="21"/>
      <c r="CF59" s="21"/>
      <c r="CG59" s="575"/>
    </row>
    <row r="60" spans="1:85" s="172" customFormat="1" ht="12.75" customHeight="1">
      <c r="A60" s="35"/>
      <c r="B60" s="36" t="s">
        <v>73</v>
      </c>
      <c r="C60" s="36"/>
      <c r="D60" s="36">
        <f t="shared" ref="D60:T60" ca="1" si="167">IFERROR(-D59/D61,0)</f>
        <v>0</v>
      </c>
      <c r="E60" s="36">
        <f t="shared" si="167"/>
        <v>0</v>
      </c>
      <c r="F60" s="36">
        <f t="shared" si="167"/>
        <v>0</v>
      </c>
      <c r="G60" s="36">
        <f t="shared" ca="1" si="167"/>
        <v>0</v>
      </c>
      <c r="H60" s="36">
        <f t="shared" ca="1" si="167"/>
        <v>0</v>
      </c>
      <c r="I60" s="36">
        <f t="shared" ca="1" si="167"/>
        <v>0</v>
      </c>
      <c r="J60" s="36">
        <f t="shared" si="167"/>
        <v>0</v>
      </c>
      <c r="K60" s="36">
        <f t="shared" si="167"/>
        <v>0</v>
      </c>
      <c r="L60" s="36">
        <f t="shared" si="167"/>
        <v>0</v>
      </c>
      <c r="M60" s="36">
        <f t="shared" si="167"/>
        <v>0</v>
      </c>
      <c r="N60" s="36">
        <f t="shared" si="167"/>
        <v>0</v>
      </c>
      <c r="O60" s="36">
        <f t="shared" si="167"/>
        <v>0</v>
      </c>
      <c r="P60" s="36">
        <f t="shared" si="167"/>
        <v>0</v>
      </c>
      <c r="Q60" s="36">
        <f t="shared" si="167"/>
        <v>0</v>
      </c>
      <c r="R60" s="36">
        <f t="shared" si="167"/>
        <v>0</v>
      </c>
      <c r="S60" s="36">
        <f t="shared" si="167"/>
        <v>0</v>
      </c>
      <c r="T60" s="36">
        <f t="shared" si="167"/>
        <v>0</v>
      </c>
      <c r="U60" s="187"/>
      <c r="V60" s="36"/>
      <c r="W60" s="36"/>
      <c r="X60" s="36"/>
      <c r="Y60" s="36"/>
      <c r="Z60" s="36"/>
      <c r="AA60" s="36"/>
      <c r="AB60" s="36"/>
      <c r="AC60" s="36"/>
      <c r="AD60" s="36"/>
      <c r="AE60" s="36"/>
      <c r="AF60" s="36"/>
      <c r="AG60" s="36"/>
      <c r="AH60" s="36"/>
      <c r="AI60" s="36"/>
      <c r="AJ60" s="36"/>
      <c r="AK60" s="36"/>
      <c r="AL60" s="36"/>
      <c r="AM60" s="36"/>
      <c r="AN60" s="36"/>
      <c r="AO60" s="580"/>
      <c r="AP60" s="36"/>
      <c r="AQ60" s="36"/>
      <c r="AR60" s="36"/>
      <c r="AS60" s="580"/>
      <c r="AT60" s="36"/>
      <c r="AU60" s="36"/>
      <c r="AV60" s="846"/>
      <c r="AW60" s="847"/>
      <c r="AX60" s="846"/>
      <c r="AY60" s="846"/>
      <c r="AZ60" s="846"/>
      <c r="BA60" s="847"/>
      <c r="BB60" s="846"/>
      <c r="BC60" s="57"/>
      <c r="BD60" s="57"/>
      <c r="BE60" s="21"/>
      <c r="BF60" s="57"/>
      <c r="BG60" s="57"/>
      <c r="BH60" s="57"/>
      <c r="BI60" s="616"/>
      <c r="BJ60" s="57"/>
      <c r="BK60" s="57"/>
      <c r="BL60" s="57"/>
      <c r="BM60" s="616"/>
      <c r="BN60" s="57"/>
      <c r="BO60" s="57"/>
      <c r="BP60" s="57"/>
      <c r="BQ60" s="616"/>
      <c r="BR60" s="57"/>
      <c r="BS60" s="57"/>
      <c r="BT60" s="57"/>
      <c r="BU60" s="616"/>
      <c r="BV60" s="57"/>
      <c r="BW60" s="57"/>
      <c r="BX60" s="57"/>
      <c r="BY60" s="616"/>
      <c r="BZ60" s="57"/>
      <c r="CA60" s="57"/>
      <c r="CB60" s="57"/>
      <c r="CC60" s="616"/>
      <c r="CD60" s="57"/>
      <c r="CE60" s="57"/>
      <c r="CF60" s="57"/>
      <c r="CG60" s="616"/>
    </row>
    <row r="61" spans="1:85" ht="12.75" customHeight="1">
      <c r="A61" s="28"/>
      <c r="B61" s="21" t="s">
        <v>4</v>
      </c>
      <c r="C61" s="44"/>
      <c r="D61" s="41">
        <f ca="1">D52/SUMIF($V$4:$BE$4,D$5,$V$56:$BE$56)</f>
        <v>3205.7941503146985</v>
      </c>
      <c r="E61" s="132">
        <v>3381.9162741999999</v>
      </c>
      <c r="F61" s="132">
        <v>4207.3748960000003</v>
      </c>
      <c r="G61" s="41">
        <f t="shared" ref="G61:L61" ca="1" si="168">G52/SUMIF($V$4:$BE$4,G$5,$V$56:$BE$56)</f>
        <v>4225.6254908560531</v>
      </c>
      <c r="H61" s="41">
        <f t="shared" ca="1" si="168"/>
        <v>4603.612605687932</v>
      </c>
      <c r="I61" s="41">
        <f t="shared" ca="1" si="168"/>
        <v>4966.8395702111757</v>
      </c>
      <c r="J61" s="41">
        <f t="shared" si="168"/>
        <v>5052.3501590241076</v>
      </c>
      <c r="K61" s="41">
        <f t="shared" si="168"/>
        <v>6677.4060453239463</v>
      </c>
      <c r="L61" s="41">
        <f t="shared" si="168"/>
        <v>7900.0001024675803</v>
      </c>
      <c r="M61" s="41">
        <f>M52/SUMIF($V$4:$BI$4,M$5,$V$56:$BI$56)</f>
        <v>7907.4679675016932</v>
      </c>
      <c r="N61" s="41">
        <f>N52/SUMIF($V$4:$BM$4,N$5,$V$56:$BM$56)</f>
        <v>7926.2584554682389</v>
      </c>
      <c r="O61" s="41">
        <f>O52/SUMIF($V$4:$BQ$4,O$5,$V$56:$BQ$56)</f>
        <v>7959.3664366293415</v>
      </c>
      <c r="P61" s="41">
        <f>P52/SUMIF($V$4:$BU$4,P$5,$V$56:$BU$56)</f>
        <v>7988.1632370198113</v>
      </c>
      <c r="Q61" s="520">
        <f>BY61</f>
        <v>8001</v>
      </c>
      <c r="R61" s="520">
        <f t="shared" ref="R61:T63" si="169">Q61</f>
        <v>8001</v>
      </c>
      <c r="S61" s="520">
        <f t="shared" si="169"/>
        <v>8001</v>
      </c>
      <c r="T61" s="520">
        <f t="shared" si="169"/>
        <v>8001</v>
      </c>
      <c r="U61" s="187"/>
      <c r="V61" s="44">
        <f>'Raw Data'!DW75</f>
        <v>3201.4142099999999</v>
      </c>
      <c r="W61" s="44">
        <f>'Raw Data'!DX75</f>
        <v>3205.1463600000002</v>
      </c>
      <c r="X61" s="44">
        <f>'Raw Data'!DY75</f>
        <v>3208.3652000000002</v>
      </c>
      <c r="Y61" s="44">
        <f>'Raw Data'!DZ75</f>
        <v>3207.78692</v>
      </c>
      <c r="Z61" s="44">
        <f>'Raw Data'!EA75</f>
        <v>3216.8629999999998</v>
      </c>
      <c r="AA61" s="44">
        <f>'Raw Data'!EB75</f>
        <v>3276.9544500000002</v>
      </c>
      <c r="AB61" s="44">
        <f>'Raw Data'!EC75</f>
        <v>3484.56763</v>
      </c>
      <c r="AC61" s="44">
        <f>'Raw Data'!ED75</f>
        <v>3430.6981999999998</v>
      </c>
      <c r="AD61" s="44">
        <f>'Raw Data'!EE75</f>
        <v>3587.674</v>
      </c>
      <c r="AE61" s="44">
        <f>'Raw Data'!EF75</f>
        <v>3719.18001</v>
      </c>
      <c r="AF61" s="44">
        <f>'Raw Data'!EG75</f>
        <v>4077.0627599999998</v>
      </c>
      <c r="AG61" s="44">
        <f>'Raw Data'!EH75</f>
        <v>4196.7226000000001</v>
      </c>
      <c r="AH61" s="44">
        <f>'Raw Data'!EI75</f>
        <v>4208.8297899999998</v>
      </c>
      <c r="AI61" s="44">
        <f>'Raw Data'!EJ75</f>
        <v>4217.8115200000002</v>
      </c>
      <c r="AJ61" s="44">
        <f>'Raw Data'!EK75</f>
        <v>4221.4327599999997</v>
      </c>
      <c r="AK61" s="44">
        <f>'Raw Data'!EL75</f>
        <v>4246.1673300000002</v>
      </c>
      <c r="AL61" s="44">
        <f>'Raw Data'!EM75</f>
        <v>4482.6644999999999</v>
      </c>
      <c r="AM61" s="44">
        <f>'Raw Data'!EN75</f>
        <v>4650.6323000000002</v>
      </c>
      <c r="AN61" s="44">
        <f>'Raw Data'!EO75</f>
        <v>4651.3043399999997</v>
      </c>
      <c r="AO61" s="570">
        <f>'Raw Data'!EP75</f>
        <v>4728.7732699999997</v>
      </c>
      <c r="AP61" s="44">
        <f>'Raw Data'!EQ75</f>
        <v>4918.4486800000004</v>
      </c>
      <c r="AQ61" s="44">
        <f>'Raw Data'!ER75</f>
        <v>4932.1691000000001</v>
      </c>
      <c r="AR61" s="44">
        <f>'Raw Data'!ES75</f>
        <v>5013.9690099999998</v>
      </c>
      <c r="AS61" s="570">
        <f>'Raw Data'!ET75</f>
        <v>5038.8529900000003</v>
      </c>
      <c r="AT61" s="21">
        <v>5041</v>
      </c>
      <c r="AU61" s="21">
        <v>5050</v>
      </c>
      <c r="AV61" s="21">
        <v>5052.1002939999998</v>
      </c>
      <c r="AW61" s="575">
        <v>5054.74</v>
      </c>
      <c r="AX61" s="21">
        <v>5095</v>
      </c>
      <c r="AY61" s="21">
        <v>5337</v>
      </c>
      <c r="AZ61" s="21">
        <v>7256</v>
      </c>
      <c r="BA61" s="575">
        <v>7700</v>
      </c>
      <c r="BB61" s="21">
        <v>7884.433</v>
      </c>
      <c r="BC61" s="21">
        <v>7900.1993300000004</v>
      </c>
      <c r="BD61" s="21">
        <v>7901.2508019999996</v>
      </c>
      <c r="BE61" s="21">
        <v>7903.6348660000003</v>
      </c>
      <c r="BF61" s="21">
        <v>7903.9826169999997</v>
      </c>
      <c r="BG61" s="21">
        <v>7905.292195</v>
      </c>
      <c r="BH61" s="21">
        <v>7907.0143420000004</v>
      </c>
      <c r="BI61" s="575">
        <v>7914.9774369999996</v>
      </c>
      <c r="BJ61" s="21">
        <v>7913</v>
      </c>
      <c r="BK61" s="21">
        <v>7924</v>
      </c>
      <c r="BL61" s="102">
        <v>7932</v>
      </c>
      <c r="BM61" s="598">
        <v>7946</v>
      </c>
      <c r="BN61" s="102">
        <v>7947</v>
      </c>
      <c r="BO61" s="102">
        <v>7954</v>
      </c>
      <c r="BP61" s="102">
        <v>7960</v>
      </c>
      <c r="BQ61" s="598">
        <v>7975</v>
      </c>
      <c r="BR61" s="102">
        <v>7979</v>
      </c>
      <c r="BS61" s="102">
        <v>7986</v>
      </c>
      <c r="BT61" s="102">
        <v>7988</v>
      </c>
      <c r="BU61" s="598">
        <v>8000</v>
      </c>
      <c r="BV61" s="102">
        <v>8001</v>
      </c>
      <c r="BW61" s="58">
        <f t="shared" ref="BW61:CG62" si="170">BV61</f>
        <v>8001</v>
      </c>
      <c r="BX61" s="58">
        <f t="shared" si="170"/>
        <v>8001</v>
      </c>
      <c r="BY61" s="615">
        <f t="shared" si="170"/>
        <v>8001</v>
      </c>
      <c r="BZ61" s="58">
        <f t="shared" si="170"/>
        <v>8001</v>
      </c>
      <c r="CA61" s="58">
        <f t="shared" si="170"/>
        <v>8001</v>
      </c>
      <c r="CB61" s="58">
        <f t="shared" si="170"/>
        <v>8001</v>
      </c>
      <c r="CC61" s="615">
        <f t="shared" si="170"/>
        <v>8001</v>
      </c>
      <c r="CD61" s="58">
        <f t="shared" si="170"/>
        <v>8001</v>
      </c>
      <c r="CE61" s="58">
        <f t="shared" si="170"/>
        <v>8001</v>
      </c>
      <c r="CF61" s="58">
        <f t="shared" si="170"/>
        <v>8001</v>
      </c>
      <c r="CG61" s="615">
        <f t="shared" si="170"/>
        <v>8001</v>
      </c>
    </row>
    <row r="62" spans="1:85" ht="12.75" customHeight="1">
      <c r="A62" s="28"/>
      <c r="B62" s="21" t="s">
        <v>3</v>
      </c>
      <c r="C62" s="44"/>
      <c r="D62" s="21">
        <f ca="1">D61</f>
        <v>3205.7941503146985</v>
      </c>
      <c r="E62" s="132">
        <v>3709.348657</v>
      </c>
      <c r="F62" s="132">
        <v>4326.2435975999997</v>
      </c>
      <c r="G62" s="41">
        <f t="shared" ref="G62:L62" ca="1" si="171">G52/SUMIF($V$4:$BE$4,G$5,$V$57:$BE$57)</f>
        <v>4564.1056713523994</v>
      </c>
      <c r="H62" s="41">
        <f t="shared" ca="1" si="171"/>
        <v>5031.6157938952674</v>
      </c>
      <c r="I62" s="41">
        <f t="shared" ca="1" si="171"/>
        <v>5026.434195725521</v>
      </c>
      <c r="J62" s="41">
        <f t="shared" si="171"/>
        <v>5679.1673278054441</v>
      </c>
      <c r="K62" s="41">
        <f>K52/SUMIF($V$4:$BE$4,K$5,$V$57:$BE$57)</f>
        <v>7370.6505515729623</v>
      </c>
      <c r="L62" s="41">
        <f t="shared" si="171"/>
        <v>7934.1799403577343</v>
      </c>
      <c r="M62" s="41">
        <f>M52/SUMIF($V$4:$BI$4,M$5,$V$57:$BI$57)</f>
        <v>7935.1777087988921</v>
      </c>
      <c r="N62" s="41">
        <f>N52/SUMIF($V$4:$BM$4,N$5,$V$57:$BM$57)</f>
        <v>7955.2294134535623</v>
      </c>
      <c r="O62" s="41">
        <f>O52/SUMIF($V$4:$BQ$4,O$5,$V$57:$BQ$57)</f>
        <v>7980.7388370646086</v>
      </c>
      <c r="P62" s="41">
        <f>P52/SUMIF($V$4:$BU$4,P$5,$V$57:$BU$57)</f>
        <v>8008.5234812963445</v>
      </c>
      <c r="Q62" s="520">
        <f>BY62</f>
        <v>8013</v>
      </c>
      <c r="R62" s="520">
        <f t="shared" si="169"/>
        <v>8013</v>
      </c>
      <c r="S62" s="520">
        <f t="shared" si="169"/>
        <v>8013</v>
      </c>
      <c r="T62" s="520">
        <f t="shared" si="169"/>
        <v>8013</v>
      </c>
      <c r="U62" s="187"/>
      <c r="V62" s="44">
        <f>'Raw Data'!DW76</f>
        <v>3218.2139299999999</v>
      </c>
      <c r="W62" s="44">
        <f>'Raw Data'!DX76</f>
        <v>3229.57251</v>
      </c>
      <c r="X62" s="44">
        <f>'Raw Data'!DY76</f>
        <v>3235.4552199999998</v>
      </c>
      <c r="Y62" s="44">
        <f>'Raw Data'!DZ76</f>
        <v>3446.5217400000001</v>
      </c>
      <c r="Z62" s="44">
        <f>'Raw Data'!EA76</f>
        <v>3251.2916</v>
      </c>
      <c r="AA62" s="44">
        <f>'Raw Data'!EB76</f>
        <v>3722.4188800000002</v>
      </c>
      <c r="AB62" s="44">
        <f>'Raw Data'!EC76</f>
        <v>3890.3905500000001</v>
      </c>
      <c r="AC62" s="44">
        <f>'Raw Data'!ED76</f>
        <v>3430.6981999999998</v>
      </c>
      <c r="AD62" s="44">
        <f>'Raw Data'!EE76</f>
        <v>4018.0857999999998</v>
      </c>
      <c r="AE62" s="44">
        <f>'Raw Data'!EF76</f>
        <v>4157.1630699999996</v>
      </c>
      <c r="AF62" s="44">
        <f>'Raw Data'!EG76</f>
        <v>4502.0233600000001</v>
      </c>
      <c r="AG62" s="44">
        <f>'Raw Data'!EH76</f>
        <v>4536.5365199999997</v>
      </c>
      <c r="AH62" s="44">
        <f>'Raw Data'!EI76</f>
        <v>4634.8491899999999</v>
      </c>
      <c r="AI62" s="44">
        <f>'Raw Data'!EJ76</f>
        <v>4635.1072299999996</v>
      </c>
      <c r="AJ62" s="44">
        <f>'Raw Data'!EK76</f>
        <v>5027.1070900000004</v>
      </c>
      <c r="AK62" s="44">
        <f>'Raw Data'!EL76</f>
        <v>4983.89876</v>
      </c>
      <c r="AL62" s="44">
        <f>'Raw Data'!EM76</f>
        <v>5064.0823700000001</v>
      </c>
      <c r="AM62" s="44">
        <f>'Raw Data'!EN76</f>
        <v>5066.0719300000001</v>
      </c>
      <c r="AN62" s="44">
        <f>'Raw Data'!EO76</f>
        <v>4690.0391900000004</v>
      </c>
      <c r="AO62" s="570">
        <f>'Raw Data'!EP76</f>
        <v>5159.2002499999999</v>
      </c>
      <c r="AP62" s="44">
        <f>'Raw Data'!EQ76</f>
        <v>4961.9334900000003</v>
      </c>
      <c r="AQ62" s="44">
        <f>'Raw Data'!ER76</f>
        <v>4974.7536099999998</v>
      </c>
      <c r="AR62" s="44">
        <f>'Raw Data'!ES76</f>
        <v>5040.1707299999998</v>
      </c>
      <c r="AS62" s="570">
        <f>'Raw Data'!ET76</f>
        <v>5058.2436500000003</v>
      </c>
      <c r="AT62" s="21">
        <v>5060</v>
      </c>
      <c r="AU62" s="21">
        <v>5064</v>
      </c>
      <c r="AV62" s="21">
        <v>5783.6144889999996</v>
      </c>
      <c r="AW62" s="575">
        <v>5788.4</v>
      </c>
      <c r="AX62" s="21">
        <v>5968</v>
      </c>
      <c r="AY62" s="21">
        <v>6006</v>
      </c>
      <c r="AZ62" s="21">
        <v>7901</v>
      </c>
      <c r="BA62" s="575">
        <v>8316</v>
      </c>
      <c r="BB62" s="21">
        <v>7923.9380000000001</v>
      </c>
      <c r="BC62" s="21">
        <v>7924.4572440000002</v>
      </c>
      <c r="BD62" s="21">
        <v>7943.3971590000001</v>
      </c>
      <c r="BE62" s="21">
        <v>7944.2461839999996</v>
      </c>
      <c r="BF62" s="21">
        <v>7945.2927369999998</v>
      </c>
      <c r="BG62" s="21">
        <v>7934.94913</v>
      </c>
      <c r="BH62" s="21">
        <v>7922.8356320000003</v>
      </c>
      <c r="BI62" s="575">
        <v>7938.8624179999997</v>
      </c>
      <c r="BJ62" s="21">
        <v>7941</v>
      </c>
      <c r="BK62" s="21">
        <v>7957</v>
      </c>
      <c r="BL62" s="102">
        <v>7959</v>
      </c>
      <c r="BM62" s="598">
        <v>7968</v>
      </c>
      <c r="BN62" s="102">
        <v>7963</v>
      </c>
      <c r="BO62" s="102">
        <v>7977</v>
      </c>
      <c r="BP62" s="102">
        <v>7981</v>
      </c>
      <c r="BQ62" s="598">
        <v>7998</v>
      </c>
      <c r="BR62" s="102">
        <v>8005</v>
      </c>
      <c r="BS62" s="102">
        <v>8007</v>
      </c>
      <c r="BT62" s="102">
        <v>8009</v>
      </c>
      <c r="BU62" s="598">
        <v>8013</v>
      </c>
      <c r="BV62" s="102">
        <v>8013</v>
      </c>
      <c r="BW62" s="58">
        <f t="shared" si="170"/>
        <v>8013</v>
      </c>
      <c r="BX62" s="58">
        <f t="shared" si="170"/>
        <v>8013</v>
      </c>
      <c r="BY62" s="615">
        <f t="shared" si="170"/>
        <v>8013</v>
      </c>
      <c r="BZ62" s="58">
        <f t="shared" si="170"/>
        <v>8013</v>
      </c>
      <c r="CA62" s="58">
        <f t="shared" si="170"/>
        <v>8013</v>
      </c>
      <c r="CB62" s="58">
        <f t="shared" si="170"/>
        <v>8013</v>
      </c>
      <c r="CC62" s="615">
        <f t="shared" si="170"/>
        <v>8013</v>
      </c>
      <c r="CD62" s="58">
        <f t="shared" si="170"/>
        <v>8013</v>
      </c>
      <c r="CE62" s="58">
        <f t="shared" si="170"/>
        <v>8013</v>
      </c>
      <c r="CF62" s="58">
        <f t="shared" si="170"/>
        <v>8013</v>
      </c>
      <c r="CG62" s="615">
        <f t="shared" si="170"/>
        <v>8013</v>
      </c>
    </row>
    <row r="63" spans="1:85" ht="12.75" customHeight="1">
      <c r="A63" s="28"/>
      <c r="B63" s="21" t="s">
        <v>74</v>
      </c>
      <c r="C63" s="44"/>
      <c r="D63" s="128">
        <f>Y63</f>
        <v>3210.6840000000002</v>
      </c>
      <c r="E63" s="128">
        <f>AC63</f>
        <v>3585.605</v>
      </c>
      <c r="F63" s="44">
        <f>AG63</f>
        <v>4207.2929999999997</v>
      </c>
      <c r="G63" s="44">
        <f>AK63</f>
        <v>4250.8410000000003</v>
      </c>
      <c r="H63" s="44">
        <f>AO63</f>
        <v>4914.3680000000004</v>
      </c>
      <c r="I63" s="44">
        <f>AS63</f>
        <v>5039.817</v>
      </c>
      <c r="J63" s="21">
        <f>AW63</f>
        <v>5054.74</v>
      </c>
      <c r="K63" s="21">
        <f>BA63</f>
        <v>7700</v>
      </c>
      <c r="L63" s="21">
        <f>BE63</f>
        <v>7903.6348660000003</v>
      </c>
      <c r="M63" s="21">
        <f>BI63</f>
        <v>7914.9774369999996</v>
      </c>
      <c r="N63" s="21">
        <f>BM63</f>
        <v>7946</v>
      </c>
      <c r="O63" s="21">
        <f>BQ63</f>
        <v>7975</v>
      </c>
      <c r="P63" s="21">
        <f>BU63</f>
        <v>8000</v>
      </c>
      <c r="Q63" s="510">
        <f>BY63</f>
        <v>8001</v>
      </c>
      <c r="R63" s="510">
        <f t="shared" si="169"/>
        <v>8001</v>
      </c>
      <c r="S63" s="510">
        <f t="shared" si="169"/>
        <v>8001</v>
      </c>
      <c r="T63" s="510">
        <f t="shared" si="169"/>
        <v>8001</v>
      </c>
      <c r="U63" s="187"/>
      <c r="V63" s="128">
        <v>3201.8969999999999</v>
      </c>
      <c r="W63" s="128">
        <v>3207.5050000000001</v>
      </c>
      <c r="X63" s="128">
        <v>3208.7840000000001</v>
      </c>
      <c r="Y63" s="128">
        <v>3210.6840000000002</v>
      </c>
      <c r="Z63" s="128">
        <v>3221.4059999999999</v>
      </c>
      <c r="AA63" s="128">
        <v>3483.127</v>
      </c>
      <c r="AB63" s="128">
        <v>3488.3180000000002</v>
      </c>
      <c r="AC63" s="128">
        <v>3585.605</v>
      </c>
      <c r="AD63" s="128">
        <v>3592.7330000000002</v>
      </c>
      <c r="AE63" s="128">
        <v>4074.8780000000002</v>
      </c>
      <c r="AF63" s="128">
        <v>4107.9459999999999</v>
      </c>
      <c r="AG63" s="128">
        <v>4207.2929999999997</v>
      </c>
      <c r="AH63" s="128">
        <v>4215.4560000000001</v>
      </c>
      <c r="AI63" s="128">
        <v>4219.0119999999997</v>
      </c>
      <c r="AJ63" s="128">
        <v>4223.7529999999997</v>
      </c>
      <c r="AK63" s="128">
        <v>4250.8410000000003</v>
      </c>
      <c r="AL63" s="128">
        <v>4647.1149999999998</v>
      </c>
      <c r="AM63" s="128">
        <v>4650.6930000000002</v>
      </c>
      <c r="AN63" s="128">
        <v>4651.625</v>
      </c>
      <c r="AO63" s="577">
        <v>4914.3680000000004</v>
      </c>
      <c r="AP63" s="128">
        <v>4921.482</v>
      </c>
      <c r="AQ63" s="128">
        <v>4931.8469999999998</v>
      </c>
      <c r="AR63" s="128">
        <v>5053.0749999999998</v>
      </c>
      <c r="AS63" s="577">
        <v>5039.817</v>
      </c>
      <c r="AT63" s="21">
        <f t="shared" ref="AT63:BC63" si="172">AT61</f>
        <v>5041</v>
      </c>
      <c r="AU63" s="21">
        <f t="shared" si="172"/>
        <v>5050</v>
      </c>
      <c r="AV63" s="21">
        <f t="shared" si="172"/>
        <v>5052.1002939999998</v>
      </c>
      <c r="AW63" s="21">
        <f t="shared" si="172"/>
        <v>5054.74</v>
      </c>
      <c r="AX63" s="21">
        <f t="shared" si="172"/>
        <v>5095</v>
      </c>
      <c r="AY63" s="21">
        <f t="shared" si="172"/>
        <v>5337</v>
      </c>
      <c r="AZ63" s="21">
        <f t="shared" si="172"/>
        <v>7256</v>
      </c>
      <c r="BA63" s="21">
        <f t="shared" si="172"/>
        <v>7700</v>
      </c>
      <c r="BB63" s="21">
        <f t="shared" si="172"/>
        <v>7884.433</v>
      </c>
      <c r="BC63" s="21">
        <f t="shared" si="172"/>
        <v>7900.1993300000004</v>
      </c>
      <c r="BD63" s="21">
        <f t="shared" ref="BD63:BI63" si="173">BD61</f>
        <v>7901.2508019999996</v>
      </c>
      <c r="BE63" s="21">
        <f t="shared" si="173"/>
        <v>7903.6348660000003</v>
      </c>
      <c r="BF63" s="21">
        <f t="shared" si="173"/>
        <v>7903.9826169999997</v>
      </c>
      <c r="BG63" s="21">
        <f t="shared" si="173"/>
        <v>7905.292195</v>
      </c>
      <c r="BH63" s="21">
        <f t="shared" si="173"/>
        <v>7907.0143420000004</v>
      </c>
      <c r="BI63" s="575">
        <f t="shared" si="173"/>
        <v>7914.9774369999996</v>
      </c>
      <c r="BJ63" s="21">
        <f t="shared" ref="BJ63:BV63" si="174">BJ61</f>
        <v>7913</v>
      </c>
      <c r="BK63" s="21">
        <f t="shared" si="174"/>
        <v>7924</v>
      </c>
      <c r="BL63" s="21">
        <f t="shared" si="174"/>
        <v>7932</v>
      </c>
      <c r="BM63" s="575">
        <f t="shared" si="174"/>
        <v>7946</v>
      </c>
      <c r="BN63" s="21">
        <f t="shared" si="174"/>
        <v>7947</v>
      </c>
      <c r="BO63" s="21">
        <f t="shared" si="174"/>
        <v>7954</v>
      </c>
      <c r="BP63" s="21">
        <f t="shared" si="174"/>
        <v>7960</v>
      </c>
      <c r="BQ63" s="575">
        <f t="shared" si="174"/>
        <v>7975</v>
      </c>
      <c r="BR63" s="21">
        <f t="shared" si="174"/>
        <v>7979</v>
      </c>
      <c r="BS63" s="21">
        <f t="shared" si="174"/>
        <v>7986</v>
      </c>
      <c r="BT63" s="21">
        <f t="shared" si="174"/>
        <v>7988</v>
      </c>
      <c r="BU63" s="575">
        <f t="shared" si="174"/>
        <v>8000</v>
      </c>
      <c r="BV63" s="21">
        <f t="shared" si="174"/>
        <v>8001</v>
      </c>
      <c r="BW63" s="58">
        <f t="shared" ref="BW63:CG63" si="175">BW61</f>
        <v>8001</v>
      </c>
      <c r="BX63" s="58">
        <f t="shared" si="175"/>
        <v>8001</v>
      </c>
      <c r="BY63" s="615">
        <f t="shared" si="175"/>
        <v>8001</v>
      </c>
      <c r="BZ63" s="58">
        <f t="shared" si="175"/>
        <v>8001</v>
      </c>
      <c r="CA63" s="58">
        <f t="shared" si="175"/>
        <v>8001</v>
      </c>
      <c r="CB63" s="58">
        <f t="shared" si="175"/>
        <v>8001</v>
      </c>
      <c r="CC63" s="615">
        <f t="shared" si="175"/>
        <v>8001</v>
      </c>
      <c r="CD63" s="58">
        <f t="shared" si="175"/>
        <v>8001</v>
      </c>
      <c r="CE63" s="58">
        <f t="shared" si="175"/>
        <v>8001</v>
      </c>
      <c r="CF63" s="58">
        <f t="shared" si="175"/>
        <v>8001</v>
      </c>
      <c r="CG63" s="615">
        <f t="shared" si="175"/>
        <v>8001</v>
      </c>
    </row>
    <row r="64" spans="1:85" ht="12.75" customHeight="1">
      <c r="A64" s="17"/>
      <c r="C64" s="45"/>
      <c r="D64" s="45"/>
      <c r="E64" s="45"/>
      <c r="F64" s="45"/>
      <c r="G64" s="45"/>
      <c r="H64" s="721"/>
      <c r="I64" s="721"/>
      <c r="J64" s="721"/>
      <c r="K64" s="721"/>
      <c r="L64" s="721"/>
      <c r="M64" s="721"/>
      <c r="N64" s="721"/>
      <c r="O64" s="721"/>
      <c r="P64" s="45"/>
      <c r="Q64" s="45"/>
      <c r="R64" s="45"/>
      <c r="S64" s="45"/>
      <c r="T64" s="45"/>
      <c r="U64" s="187"/>
      <c r="V64" s="45"/>
      <c r="W64" s="45"/>
      <c r="X64" s="45"/>
      <c r="Y64" s="45"/>
      <c r="Z64" s="45"/>
      <c r="AA64" s="45"/>
      <c r="AB64" s="45"/>
      <c r="AC64" s="45"/>
      <c r="AD64" s="45"/>
      <c r="AE64" s="45"/>
      <c r="AF64" s="45"/>
      <c r="AG64" s="45"/>
      <c r="AH64" s="45"/>
      <c r="AI64" s="45"/>
      <c r="AJ64" s="45"/>
      <c r="AK64" s="45"/>
      <c r="AL64" s="45"/>
      <c r="AM64" s="45"/>
      <c r="AN64" s="45"/>
      <c r="AO64" s="581"/>
      <c r="AP64" s="45"/>
      <c r="AQ64" s="45"/>
      <c r="AR64" s="45"/>
      <c r="AS64" s="581"/>
      <c r="AT64" s="21"/>
      <c r="AU64" s="21"/>
      <c r="AV64" s="21"/>
      <c r="AW64" s="575"/>
      <c r="AX64" s="21"/>
      <c r="AY64" s="21"/>
      <c r="AZ64" s="21"/>
      <c r="BA64" s="601"/>
      <c r="BB64" s="21"/>
      <c r="BC64" s="45"/>
      <c r="BD64" s="45"/>
      <c r="BE64" s="581"/>
      <c r="BF64" s="45"/>
      <c r="BG64" s="45"/>
      <c r="BH64" s="45"/>
      <c r="BI64" s="581"/>
      <c r="BJ64" s="45"/>
      <c r="BK64" s="45"/>
      <c r="BL64" s="45"/>
      <c r="BM64" s="581"/>
      <c r="BN64" s="1045">
        <f>BN52/(BN52+BN49)</f>
        <v>1.1303156734629616</v>
      </c>
      <c r="BO64" s="1045">
        <f>BO52/(BO52+BO49)</f>
        <v>0.95534128246508221</v>
      </c>
      <c r="BP64" s="1045">
        <f>BP52/(BP52+BP49)</f>
        <v>0.6664576521700184</v>
      </c>
      <c r="BQ64" s="1035">
        <f>BQ52/(BQ52+BQ49)</f>
        <v>0.39707912277723234</v>
      </c>
      <c r="BR64" s="45"/>
      <c r="BS64" s="45"/>
      <c r="BT64" s="45"/>
      <c r="BU64" s="581"/>
      <c r="BV64" s="45"/>
      <c r="BW64" s="45"/>
      <c r="BX64" s="45"/>
      <c r="BY64" s="581"/>
      <c r="BZ64" s="45"/>
      <c r="CA64" s="45"/>
      <c r="CB64" s="45"/>
      <c r="CC64" s="581"/>
      <c r="CD64" s="45"/>
      <c r="CE64" s="45"/>
      <c r="CF64" s="45"/>
      <c r="CG64" s="581"/>
    </row>
    <row r="65" spans="1:85" ht="12.75" customHeight="1">
      <c r="A65" s="17"/>
      <c r="B65" s="2"/>
      <c r="C65" s="21"/>
      <c r="D65" s="21"/>
      <c r="E65" s="21"/>
      <c r="F65" s="21"/>
      <c r="G65" s="21"/>
      <c r="H65" s="478"/>
      <c r="I65" s="478"/>
      <c r="J65" s="478"/>
      <c r="K65" s="726"/>
      <c r="L65" s="478"/>
      <c r="M65" s="478"/>
      <c r="N65" s="478"/>
      <c r="O65" s="478"/>
      <c r="P65" s="478"/>
      <c r="Q65" s="478"/>
      <c r="R65" s="478"/>
      <c r="S65" s="478"/>
      <c r="T65" s="478"/>
      <c r="U65" s="21"/>
      <c r="V65" s="21"/>
      <c r="W65" s="21"/>
      <c r="X65" s="21"/>
      <c r="Y65" s="21"/>
      <c r="Z65" s="21"/>
      <c r="AA65" s="21"/>
      <c r="AB65" s="21"/>
      <c r="AC65" s="21"/>
      <c r="AD65" s="21"/>
      <c r="AE65" s="21"/>
      <c r="AF65" s="21"/>
      <c r="AG65" s="21"/>
      <c r="AH65" s="21"/>
      <c r="AI65" s="21"/>
      <c r="AJ65" s="21"/>
      <c r="AK65" s="21"/>
      <c r="AL65" s="21"/>
      <c r="AM65" s="21"/>
      <c r="AN65" s="21"/>
      <c r="AO65" s="575"/>
      <c r="AP65" s="21"/>
      <c r="AQ65" s="21"/>
      <c r="AR65" s="21"/>
      <c r="AS65" s="575"/>
      <c r="AT65" s="21"/>
      <c r="AU65" s="21"/>
      <c r="AV65" s="21"/>
      <c r="AW65" s="575"/>
      <c r="AX65" s="21"/>
      <c r="AY65" s="21"/>
      <c r="AZ65" s="478"/>
      <c r="BA65" s="575"/>
      <c r="BB65" s="21"/>
      <c r="BC65" s="21"/>
      <c r="BD65" s="21"/>
      <c r="BE65" s="575"/>
      <c r="BF65" s="21"/>
      <c r="BG65" s="21"/>
      <c r="BH65" s="21"/>
      <c r="BI65" s="575"/>
      <c r="BJ65" s="21"/>
      <c r="BK65" s="21"/>
      <c r="BL65" s="21"/>
      <c r="BM65" s="575"/>
      <c r="BN65" s="21"/>
      <c r="BO65" s="21"/>
      <c r="BP65" s="21"/>
      <c r="BQ65" s="575"/>
      <c r="BR65" s="21"/>
      <c r="BS65" s="21"/>
      <c r="BT65" s="21"/>
      <c r="BU65" s="575"/>
      <c r="BV65" s="21"/>
      <c r="BW65" s="21"/>
      <c r="BX65" s="21"/>
      <c r="BY65" s="575"/>
      <c r="BZ65" s="21"/>
      <c r="CA65" s="21"/>
      <c r="CB65" s="21"/>
      <c r="CC65" s="575"/>
      <c r="CD65" s="21"/>
      <c r="CE65" s="21"/>
      <c r="CF65" s="21"/>
      <c r="CG65" s="575"/>
    </row>
    <row r="66" spans="1:85" s="7" customFormat="1" ht="15.75">
      <c r="A66" s="16"/>
      <c r="B66" s="134" t="s">
        <v>156</v>
      </c>
      <c r="C66" s="135"/>
      <c r="D66" s="135">
        <f t="shared" ref="D66:O66" si="176">D5</f>
        <v>2013</v>
      </c>
      <c r="E66" s="135">
        <f t="shared" si="176"/>
        <v>2014</v>
      </c>
      <c r="F66" s="135">
        <f t="shared" si="176"/>
        <v>2015</v>
      </c>
      <c r="G66" s="135">
        <f t="shared" si="176"/>
        <v>2016</v>
      </c>
      <c r="H66" s="135">
        <f t="shared" si="176"/>
        <v>2017</v>
      </c>
      <c r="I66" s="135">
        <f t="shared" si="176"/>
        <v>2018</v>
      </c>
      <c r="J66" s="135">
        <f t="shared" si="176"/>
        <v>2019</v>
      </c>
      <c r="K66" s="135">
        <f t="shared" si="176"/>
        <v>2020</v>
      </c>
      <c r="L66" s="135">
        <f t="shared" si="176"/>
        <v>2021</v>
      </c>
      <c r="M66" s="135">
        <f t="shared" si="176"/>
        <v>2022</v>
      </c>
      <c r="N66" s="135">
        <f t="shared" si="176"/>
        <v>2023</v>
      </c>
      <c r="O66" s="135">
        <f t="shared" si="176"/>
        <v>2024</v>
      </c>
      <c r="P66" s="136">
        <f>P5</f>
        <v>2025</v>
      </c>
      <c r="Q66" s="136">
        <f>Q5</f>
        <v>2026</v>
      </c>
      <c r="R66" s="136">
        <f>R5</f>
        <v>2027</v>
      </c>
      <c r="S66" s="136">
        <f>S5</f>
        <v>2028</v>
      </c>
      <c r="T66" s="136">
        <f>T5</f>
        <v>2029</v>
      </c>
      <c r="U66" s="139"/>
      <c r="V66" s="137" t="str">
        <f t="shared" ref="V66:BU66" si="177">V5</f>
        <v>1Q13</v>
      </c>
      <c r="W66" s="137" t="str">
        <f t="shared" si="177"/>
        <v>2Q13</v>
      </c>
      <c r="X66" s="137" t="str">
        <f t="shared" si="177"/>
        <v>3Q13</v>
      </c>
      <c r="Y66" s="137" t="str">
        <f t="shared" si="177"/>
        <v>4Q13</v>
      </c>
      <c r="Z66" s="137" t="str">
        <f t="shared" si="177"/>
        <v>1Q14</v>
      </c>
      <c r="AA66" s="137" t="str">
        <f t="shared" si="177"/>
        <v>2Q14</v>
      </c>
      <c r="AB66" s="137" t="str">
        <f t="shared" si="177"/>
        <v>3Q14</v>
      </c>
      <c r="AC66" s="137" t="str">
        <f t="shared" si="177"/>
        <v>4Q14</v>
      </c>
      <c r="AD66" s="137" t="str">
        <f t="shared" si="177"/>
        <v>1Q15</v>
      </c>
      <c r="AE66" s="137" t="str">
        <f t="shared" si="177"/>
        <v>2Q15</v>
      </c>
      <c r="AF66" s="137" t="str">
        <f t="shared" si="177"/>
        <v>3Q15</v>
      </c>
      <c r="AG66" s="137" t="str">
        <f t="shared" si="177"/>
        <v>4Q15</v>
      </c>
      <c r="AH66" s="137" t="str">
        <f t="shared" si="177"/>
        <v>1Q16</v>
      </c>
      <c r="AI66" s="137" t="str">
        <f t="shared" si="177"/>
        <v>2Q16</v>
      </c>
      <c r="AJ66" s="137" t="str">
        <f t="shared" si="177"/>
        <v>3Q16</v>
      </c>
      <c r="AK66" s="137" t="str">
        <f t="shared" si="177"/>
        <v>4Q16</v>
      </c>
      <c r="AL66" s="137" t="str">
        <f t="shared" si="177"/>
        <v>1Q17</v>
      </c>
      <c r="AM66" s="137" t="str">
        <f t="shared" si="177"/>
        <v>2Q17</v>
      </c>
      <c r="AN66" s="137" t="str">
        <f t="shared" si="177"/>
        <v>3Q17</v>
      </c>
      <c r="AO66" s="566" t="str">
        <f t="shared" si="177"/>
        <v>4Q17</v>
      </c>
      <c r="AP66" s="137" t="str">
        <f t="shared" si="177"/>
        <v>1Q18</v>
      </c>
      <c r="AQ66" s="137" t="str">
        <f t="shared" si="177"/>
        <v>2Q18</v>
      </c>
      <c r="AR66" s="137" t="str">
        <f t="shared" si="177"/>
        <v>3Q18</v>
      </c>
      <c r="AS66" s="566" t="str">
        <f t="shared" si="177"/>
        <v>4Q18</v>
      </c>
      <c r="AT66" s="137" t="str">
        <f t="shared" si="177"/>
        <v>1Q19</v>
      </c>
      <c r="AU66" s="137" t="str">
        <f t="shared" si="177"/>
        <v>2Q19</v>
      </c>
      <c r="AV66" s="137" t="str">
        <f t="shared" si="177"/>
        <v>3Q19</v>
      </c>
      <c r="AW66" s="604" t="str">
        <f t="shared" si="177"/>
        <v>4Q19</v>
      </c>
      <c r="AX66" s="137" t="str">
        <f t="shared" si="177"/>
        <v>1Q20</v>
      </c>
      <c r="AY66" s="137" t="str">
        <f t="shared" si="177"/>
        <v>2Q20</v>
      </c>
      <c r="AZ66" s="137" t="str">
        <f t="shared" si="177"/>
        <v>3Q20</v>
      </c>
      <c r="BA66" s="137" t="str">
        <f t="shared" si="177"/>
        <v>4Q20</v>
      </c>
      <c r="BB66" s="137" t="str">
        <f t="shared" si="177"/>
        <v>1Q21</v>
      </c>
      <c r="BC66" s="137" t="str">
        <f t="shared" si="177"/>
        <v>2Q21</v>
      </c>
      <c r="BD66" s="137" t="str">
        <f t="shared" si="177"/>
        <v>3Q21</v>
      </c>
      <c r="BE66" s="137" t="str">
        <f t="shared" si="177"/>
        <v>4Q21</v>
      </c>
      <c r="BF66" s="137" t="str">
        <f t="shared" si="177"/>
        <v>1Q22</v>
      </c>
      <c r="BG66" s="137" t="str">
        <f t="shared" si="177"/>
        <v>2Q22</v>
      </c>
      <c r="BH66" s="137" t="str">
        <f t="shared" si="177"/>
        <v>3Q22</v>
      </c>
      <c r="BI66" s="566" t="str">
        <f t="shared" si="177"/>
        <v>4Q22</v>
      </c>
      <c r="BJ66" s="566" t="str">
        <f t="shared" si="177"/>
        <v>1Q23</v>
      </c>
      <c r="BK66" s="566" t="str">
        <f t="shared" si="177"/>
        <v>2Q23</v>
      </c>
      <c r="BL66" s="566" t="str">
        <f t="shared" si="177"/>
        <v>3Q23</v>
      </c>
      <c r="BM66" s="566" t="str">
        <f t="shared" si="177"/>
        <v>4Q23</v>
      </c>
      <c r="BN66" s="566" t="str">
        <f t="shared" si="177"/>
        <v>1Q24</v>
      </c>
      <c r="BO66" s="566" t="str">
        <f t="shared" si="177"/>
        <v>2Q24</v>
      </c>
      <c r="BP66" s="566" t="str">
        <f t="shared" si="177"/>
        <v>3Q24</v>
      </c>
      <c r="BQ66" s="566" t="str">
        <f t="shared" si="177"/>
        <v>4Q24</v>
      </c>
      <c r="BR66" s="566" t="str">
        <f t="shared" si="177"/>
        <v>1Q25</v>
      </c>
      <c r="BS66" s="566" t="str">
        <f t="shared" si="177"/>
        <v>2Q25</v>
      </c>
      <c r="BT66" s="566" t="str">
        <f t="shared" si="177"/>
        <v>3Q25</v>
      </c>
      <c r="BU66" s="566" t="str">
        <f t="shared" si="177"/>
        <v>4Q25</v>
      </c>
      <c r="BV66" s="566" t="str">
        <f t="shared" ref="BV66:CG66" si="178">BV5</f>
        <v>1Q26</v>
      </c>
      <c r="BW66" s="138" t="str">
        <f t="shared" si="178"/>
        <v>2Q26</v>
      </c>
      <c r="BX66" s="138" t="str">
        <f t="shared" si="178"/>
        <v>3Q26</v>
      </c>
      <c r="BY66" s="604" t="str">
        <f t="shared" si="178"/>
        <v>4Q26</v>
      </c>
      <c r="BZ66" s="138" t="str">
        <f t="shared" si="178"/>
        <v>1Q27</v>
      </c>
      <c r="CA66" s="138" t="str">
        <f t="shared" si="178"/>
        <v>2Q27</v>
      </c>
      <c r="CB66" s="138" t="str">
        <f t="shared" si="178"/>
        <v>3Q27</v>
      </c>
      <c r="CC66" s="604" t="str">
        <f t="shared" si="178"/>
        <v>4Q27</v>
      </c>
      <c r="CD66" s="138" t="str">
        <f t="shared" si="178"/>
        <v>1Q28</v>
      </c>
      <c r="CE66" s="138" t="str">
        <f t="shared" si="178"/>
        <v>2Q28</v>
      </c>
      <c r="CF66" s="138" t="str">
        <f t="shared" si="178"/>
        <v>3Q28</v>
      </c>
      <c r="CG66" s="604" t="str">
        <f t="shared" si="178"/>
        <v>4Q28</v>
      </c>
    </row>
    <row r="67" spans="1:85">
      <c r="A67" s="17"/>
      <c r="B67" s="2"/>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173"/>
      <c r="AF67" s="173"/>
      <c r="AG67" s="21"/>
      <c r="AH67" s="21"/>
      <c r="AI67" s="173"/>
      <c r="AJ67" s="173"/>
      <c r="AK67" s="21"/>
      <c r="AL67" s="21"/>
      <c r="AM67" s="21"/>
      <c r="AN67" s="21"/>
      <c r="AO67" s="575"/>
      <c r="AP67" s="21"/>
      <c r="AQ67" s="21"/>
      <c r="AR67" s="21"/>
      <c r="AS67" s="575"/>
      <c r="AT67" s="21"/>
      <c r="AU67" s="21"/>
      <c r="AV67" s="21"/>
      <c r="AW67" s="575"/>
      <c r="AX67" s="21"/>
      <c r="AY67" s="21"/>
      <c r="AZ67" s="21"/>
      <c r="BA67" s="575"/>
      <c r="BB67" s="21"/>
      <c r="BC67" s="21"/>
      <c r="BD67" s="21"/>
      <c r="BE67" s="575"/>
      <c r="BF67" s="21"/>
      <c r="BG67" s="21"/>
      <c r="BH67" s="21"/>
      <c r="BI67" s="575"/>
      <c r="BJ67" s="21"/>
      <c r="BK67" s="21"/>
      <c r="BL67" s="21"/>
      <c r="BM67" s="575"/>
      <c r="BN67" s="21"/>
      <c r="BO67" s="21"/>
      <c r="BP67" s="21"/>
      <c r="BQ67" s="575"/>
      <c r="BR67" s="21"/>
      <c r="BS67" s="21"/>
      <c r="BT67" s="21"/>
      <c r="BU67" s="575"/>
      <c r="BV67" s="21"/>
      <c r="BW67" s="21"/>
      <c r="BX67" s="21"/>
      <c r="BY67" s="575"/>
      <c r="BZ67" s="21"/>
      <c r="CA67" s="21"/>
      <c r="CB67" s="21"/>
      <c r="CC67" s="575"/>
      <c r="CD67" s="21"/>
      <c r="CE67" s="21"/>
      <c r="CF67" s="21"/>
      <c r="CG67" s="575"/>
    </row>
    <row r="68" spans="1:85" s="168" customFormat="1">
      <c r="A68" s="17"/>
      <c r="B68" s="11" t="s">
        <v>403</v>
      </c>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582"/>
      <c r="AP68" s="38"/>
      <c r="AQ68" s="38"/>
      <c r="AR68" s="38"/>
      <c r="AS68" s="582"/>
      <c r="AT68" s="38"/>
      <c r="AU68" s="38"/>
      <c r="AV68" s="38"/>
      <c r="AW68" s="582"/>
      <c r="AX68" s="38"/>
      <c r="AY68" s="38"/>
      <c r="AZ68" s="38"/>
      <c r="BA68" s="582"/>
      <c r="BB68" s="38"/>
      <c r="BC68" s="38"/>
      <c r="BD68" s="38"/>
      <c r="BE68" s="582"/>
      <c r="BF68" s="38"/>
      <c r="BG68" s="38"/>
      <c r="BH68" s="38"/>
      <c r="BI68" s="582"/>
      <c r="BJ68" s="38"/>
      <c r="BK68" s="38"/>
      <c r="BL68" s="38"/>
      <c r="BM68" s="582"/>
      <c r="BN68" s="38"/>
      <c r="BO68" s="38"/>
      <c r="BP68" s="38"/>
      <c r="BQ68" s="582"/>
      <c r="BR68" s="38"/>
      <c r="BS68" s="38"/>
      <c r="BT68" s="38"/>
      <c r="BU68" s="582"/>
      <c r="BV68" s="38"/>
      <c r="BW68" s="38"/>
      <c r="BX68" s="38"/>
      <c r="BY68" s="582"/>
      <c r="BZ68" s="38"/>
      <c r="CA68" s="38"/>
      <c r="CB68" s="38"/>
      <c r="CC68" s="582"/>
      <c r="CD68" s="38"/>
      <c r="CE68" s="38"/>
      <c r="CF68" s="38"/>
      <c r="CG68" s="582"/>
    </row>
    <row r="69" spans="1:85" s="168" customFormat="1">
      <c r="A69" s="19"/>
      <c r="B69" s="8" t="s">
        <v>412</v>
      </c>
      <c r="C69" s="48"/>
      <c r="D69" s="48">
        <f t="shared" ref="D69:Q69" ca="1" si="179">IF(ISERROR(-D26/D$9)," ",-D26/D$9)</f>
        <v>0.12148543908932199</v>
      </c>
      <c r="E69" s="48">
        <f t="shared" ca="1" si="179"/>
        <v>0.17929598784953649</v>
      </c>
      <c r="F69" s="48">
        <f t="shared" ca="1" si="179"/>
        <v>0.20596177364219079</v>
      </c>
      <c r="G69" s="48">
        <f t="shared" ca="1" si="179"/>
        <v>0.17516934437817849</v>
      </c>
      <c r="H69" s="48">
        <f t="shared" ca="1" si="179"/>
        <v>0.19858569735664705</v>
      </c>
      <c r="I69" s="48">
        <f t="shared" ca="1" si="179"/>
        <v>0.21786919223424875</v>
      </c>
      <c r="J69" s="48">
        <f t="shared" si="179"/>
        <v>0.19050432779830487</v>
      </c>
      <c r="K69" s="48">
        <f t="shared" si="179"/>
        <v>0.15586662315474245</v>
      </c>
      <c r="L69" s="48">
        <f t="shared" si="179"/>
        <v>5.2030529594099838E-2</v>
      </c>
      <c r="M69" s="543">
        <f t="shared" si="179"/>
        <v>0.12731099184357439</v>
      </c>
      <c r="N69" s="543">
        <f t="shared" si="179"/>
        <v>0.13604189472218883</v>
      </c>
      <c r="O69" s="543">
        <f t="shared" si="179"/>
        <v>0.12136732104836398</v>
      </c>
      <c r="P69" s="543">
        <f t="shared" si="179"/>
        <v>9.0777339578133942E-2</v>
      </c>
      <c r="Q69" s="543">
        <f t="shared" si="179"/>
        <v>9.5608558457283471E-2</v>
      </c>
      <c r="R69" s="543">
        <f t="shared" ref="R69:S69" si="180">IF(ISERROR(-R26/R$9)," ",-R26/R$9)</f>
        <v>0.10037036892327976</v>
      </c>
      <c r="S69" s="543">
        <f t="shared" si="180"/>
        <v>9.8988416042322808E-2</v>
      </c>
      <c r="T69" s="543">
        <f>IF(ISERROR(-T26/T$9)," ",-T26/T$9)</f>
        <v>0.101744211777427</v>
      </c>
      <c r="U69" s="48"/>
      <c r="V69" s="48">
        <f t="shared" ref="V69:AR69" si="181">IF(ISERROR(-V26/V$9)," ",-V26/V$9)</f>
        <v>0.11780091665021956</v>
      </c>
      <c r="W69" s="48">
        <f t="shared" si="181"/>
        <v>8.1233765993844478E-2</v>
      </c>
      <c r="X69" s="48">
        <f t="shared" si="181"/>
        <v>0.11875767422359315</v>
      </c>
      <c r="Y69" s="48">
        <f t="shared" si="181"/>
        <v>0.17251020238025039</v>
      </c>
      <c r="Z69" s="48">
        <f t="shared" si="181"/>
        <v>0.14749613707455178</v>
      </c>
      <c r="AA69" s="48">
        <f t="shared" si="181"/>
        <v>0.1659567727400732</v>
      </c>
      <c r="AB69" s="48">
        <f t="shared" si="181"/>
        <v>0.18043270723824195</v>
      </c>
      <c r="AC69" s="48">
        <f t="shared" si="181"/>
        <v>0.22163521598376598</v>
      </c>
      <c r="AD69" s="48">
        <f t="shared" si="181"/>
        <v>0.20483210997296974</v>
      </c>
      <c r="AE69" s="48">
        <f t="shared" si="181"/>
        <v>0.21171757086797843</v>
      </c>
      <c r="AF69" s="48">
        <f t="shared" si="181"/>
        <v>0.18974158293176857</v>
      </c>
      <c r="AG69" s="48">
        <f t="shared" si="181"/>
        <v>0.21689819519198619</v>
      </c>
      <c r="AH69" s="48">
        <f t="shared" si="181"/>
        <v>0.1381276091261083</v>
      </c>
      <c r="AI69" s="48">
        <f t="shared" si="181"/>
        <v>0.14834958658168909</v>
      </c>
      <c r="AJ69" s="48">
        <f t="shared" si="181"/>
        <v>0.15934928921268132</v>
      </c>
      <c r="AK69" s="48">
        <f t="shared" si="181"/>
        <v>0.24176916600597453</v>
      </c>
      <c r="AL69" s="48">
        <f t="shared" si="181"/>
        <v>0.18085451118102103</v>
      </c>
      <c r="AM69" s="48">
        <f t="shared" si="181"/>
        <v>0.22963472769314935</v>
      </c>
      <c r="AN69" s="48">
        <f t="shared" si="181"/>
        <v>0.20084108179176136</v>
      </c>
      <c r="AO69" s="583">
        <f t="shared" si="181"/>
        <v>0.1846148373802996</v>
      </c>
      <c r="AP69" s="48">
        <f t="shared" si="181"/>
        <v>0.21408493413104474</v>
      </c>
      <c r="AQ69" s="48">
        <f t="shared" si="181"/>
        <v>0.22307634445663191</v>
      </c>
      <c r="AR69" s="48">
        <f t="shared" si="181"/>
        <v>0.21203603781525449</v>
      </c>
      <c r="AS69" s="583">
        <f>IF(ISERROR(-AS26/AS$9)," ",-AS26/AS$9)</f>
        <v>0.22227371709001795</v>
      </c>
      <c r="AT69" s="48">
        <f>IF(ISERROR(-AT26/AT$9)," ",-AT26/AT$9)</f>
        <v>0.14594879047509415</v>
      </c>
      <c r="AU69" s="48">
        <f t="shared" ref="AU69:BE69" si="182">IF(ISERROR(-AU26/AU$9)," ",-AU26/AU$9)</f>
        <v>0.24528058547292772</v>
      </c>
      <c r="AV69" s="48">
        <f>IF(ISERROR(-AV26/AV$9)," ",-AV26/AV$9)</f>
        <v>0.15024153287639691</v>
      </c>
      <c r="AW69" s="583">
        <f t="shared" si="182"/>
        <v>0.21356048503822198</v>
      </c>
      <c r="AX69" s="48">
        <f t="shared" si="182"/>
        <v>0.20581448803861588</v>
      </c>
      <c r="AY69" s="48">
        <f t="shared" si="182"/>
        <v>0.19598321937039606</v>
      </c>
      <c r="AZ69" s="48">
        <f t="shared" si="182"/>
        <v>7.324400349190073E-2</v>
      </c>
      <c r="BA69" s="583">
        <f t="shared" si="182"/>
        <v>0.16258670159362751</v>
      </c>
      <c r="BB69" s="48">
        <f t="shared" si="182"/>
        <v>0.11368922546932947</v>
      </c>
      <c r="BC69" s="48">
        <f>IF(ISERROR(-BC26/BC$9)," ",-BC26/BC$9)</f>
        <v>-9.8765569874905368E-2</v>
      </c>
      <c r="BD69" s="48">
        <f t="shared" si="182"/>
        <v>0.11150764995739426</v>
      </c>
      <c r="BE69" s="583">
        <f t="shared" si="182"/>
        <v>8.3964586132543137E-2</v>
      </c>
      <c r="BF69" s="48">
        <f t="shared" ref="BF69:CG69" si="183">IF(ISERROR(-BF26/BF$9)," ",-BF26/BF$9)</f>
        <v>0.11633894241471007</v>
      </c>
      <c r="BG69" s="48">
        <f t="shared" si="183"/>
        <v>0.11089165200686857</v>
      </c>
      <c r="BH69" s="48">
        <f t="shared" si="183"/>
        <v>0.13859627594973353</v>
      </c>
      <c r="BI69" s="583">
        <f t="shared" si="183"/>
        <v>0.14577645919556892</v>
      </c>
      <c r="BJ69" s="48">
        <f t="shared" si="183"/>
        <v>0.15139698882846608</v>
      </c>
      <c r="BK69" s="48">
        <f t="shared" si="183"/>
        <v>0.15169354445922703</v>
      </c>
      <c r="BL69" s="48">
        <f t="shared" si="183"/>
        <v>0.14453617446131842</v>
      </c>
      <c r="BM69" s="583">
        <f t="shared" si="183"/>
        <v>9.9908895852288557E-2</v>
      </c>
      <c r="BN69" s="48">
        <f t="shared" si="183"/>
        <v>0.13558522114347357</v>
      </c>
      <c r="BO69" s="48">
        <f t="shared" si="183"/>
        <v>9.3596616167247668E-2</v>
      </c>
      <c r="BP69" s="48">
        <f t="shared" si="183"/>
        <v>0.12632392957219732</v>
      </c>
      <c r="BQ69" s="583">
        <f t="shared" si="183"/>
        <v>0.12913897233745952</v>
      </c>
      <c r="BR69" s="48">
        <f t="shared" si="183"/>
        <v>8.7351776721352484E-2</v>
      </c>
      <c r="BS69" s="48">
        <f t="shared" si="183"/>
        <v>0.13540654738246843</v>
      </c>
      <c r="BT69" s="48">
        <f t="shared" si="183"/>
        <v>7.2105304258672565E-2</v>
      </c>
      <c r="BU69" s="583">
        <f t="shared" si="183"/>
        <v>7.2126121564987489E-2</v>
      </c>
      <c r="BV69" s="48">
        <f t="shared" si="183"/>
        <v>0.10210031023908725</v>
      </c>
      <c r="BW69" s="48">
        <f t="shared" si="183"/>
        <v>8.8030106021833796E-2</v>
      </c>
      <c r="BX69" s="48">
        <f t="shared" si="183"/>
        <v>8.6990700317599173E-2</v>
      </c>
      <c r="BY69" s="583">
        <f t="shared" si="183"/>
        <v>0.10561503233544216</v>
      </c>
      <c r="BZ69" s="48">
        <f t="shared" si="183"/>
        <v>9.7557961174219263E-2</v>
      </c>
      <c r="CA69" s="48">
        <f t="shared" si="183"/>
        <v>9.9695434241982073E-2</v>
      </c>
      <c r="CB69" s="48">
        <f t="shared" si="183"/>
        <v>9.2498913382198664E-2</v>
      </c>
      <c r="CC69" s="583">
        <f t="shared" si="183"/>
        <v>0.1107561912543021</v>
      </c>
      <c r="CD69" s="48">
        <f t="shared" si="183"/>
        <v>9.3672584958336566E-2</v>
      </c>
      <c r="CE69" s="48">
        <f t="shared" si="183"/>
        <v>9.7358637406148321E-2</v>
      </c>
      <c r="CF69" s="48">
        <f t="shared" si="183"/>
        <v>9.3602300692909507E-2</v>
      </c>
      <c r="CG69" s="583">
        <f t="shared" si="183"/>
        <v>0.10999781260781251</v>
      </c>
    </row>
    <row r="70" spans="1:85" s="168" customFormat="1">
      <c r="A70" s="19"/>
      <c r="B70" s="9" t="s">
        <v>382</v>
      </c>
      <c r="C70" s="48"/>
      <c r="D70" s="48">
        <f t="shared" ref="D70:L70" ca="1" si="184">-D22/D$9</f>
        <v>1.7089712532455857E-2</v>
      </c>
      <c r="E70" s="48">
        <f t="shared" ca="1" si="184"/>
        <v>1.9417594009236705E-2</v>
      </c>
      <c r="F70" s="48">
        <f t="shared" ca="1" si="184"/>
        <v>1.8724610593293285E-2</v>
      </c>
      <c r="G70" s="48">
        <f t="shared" ca="1" si="184"/>
        <v>1.2021906677006913E-2</v>
      </c>
      <c r="H70" s="48">
        <f t="shared" ca="1" si="184"/>
        <v>1.1542721710319474E-2</v>
      </c>
      <c r="I70" s="48">
        <f t="shared" ca="1" si="184"/>
        <v>9.064031257291702E-3</v>
      </c>
      <c r="J70" s="48">
        <f t="shared" si="184"/>
        <v>8.6132301474609648E-3</v>
      </c>
      <c r="K70" s="48">
        <f t="shared" si="184"/>
        <v>7.5418962240608135E-3</v>
      </c>
      <c r="L70" s="48">
        <f t="shared" si="184"/>
        <v>5.078344887997896E-3</v>
      </c>
      <c r="M70" s="48">
        <f t="shared" ref="M70:T71" si="185">-M22/M$9</f>
        <v>4.651818903262956E-3</v>
      </c>
      <c r="N70" s="48">
        <f t="shared" si="185"/>
        <v>5.7204234397838505E-3</v>
      </c>
      <c r="O70" s="48">
        <f t="shared" si="185"/>
        <v>4.9623153204122429E-3</v>
      </c>
      <c r="P70" s="48">
        <f t="shared" si="185"/>
        <v>4.6064035474550277E-3</v>
      </c>
      <c r="Q70" s="48">
        <f t="shared" si="185"/>
        <v>4.0827590832478982E-3</v>
      </c>
      <c r="R70" s="48">
        <f t="shared" ref="R70:S70" si="186">-R22/R$9</f>
        <v>4.2605406969701397E-3</v>
      </c>
      <c r="S70" s="48">
        <f t="shared" si="186"/>
        <v>4.2325673713095842E-3</v>
      </c>
      <c r="T70" s="48">
        <f t="shared" si="185"/>
        <v>0</v>
      </c>
      <c r="U70" s="48"/>
      <c r="V70" s="48">
        <f>-V22/V$9</f>
        <v>1.569748549168775E-2</v>
      </c>
      <c r="W70" s="48">
        <f t="shared" ref="W70:AS70" si="187">-W22/W$9</f>
        <v>1.8058311256932358E-2</v>
      </c>
      <c r="X70" s="48">
        <f t="shared" si="187"/>
        <v>1.745230750801114E-2</v>
      </c>
      <c r="Y70" s="48">
        <f t="shared" si="187"/>
        <v>1.7049717668062226E-2</v>
      </c>
      <c r="Z70" s="48">
        <f t="shared" si="187"/>
        <v>2.1521538164816674E-2</v>
      </c>
      <c r="AA70" s="48">
        <f t="shared" si="187"/>
        <v>1.7635877217685159E-2</v>
      </c>
      <c r="AB70" s="48">
        <f t="shared" si="187"/>
        <v>1.9342619324216041E-2</v>
      </c>
      <c r="AC70" s="48">
        <f t="shared" si="187"/>
        <v>1.9419913437732177E-2</v>
      </c>
      <c r="AD70" s="48">
        <f t="shared" si="187"/>
        <v>1.8056171267835496E-2</v>
      </c>
      <c r="AE70" s="48">
        <f t="shared" si="187"/>
        <v>1.67558519250295E-2</v>
      </c>
      <c r="AF70" s="48">
        <f t="shared" si="187"/>
        <v>1.9573434599037647E-2</v>
      </c>
      <c r="AG70" s="48">
        <f t="shared" si="187"/>
        <v>2.0254102283380426E-2</v>
      </c>
      <c r="AH70" s="48">
        <f t="shared" si="187"/>
        <v>1.5307924176115225E-2</v>
      </c>
      <c r="AI70" s="48">
        <f t="shared" si="187"/>
        <v>1.1920819563589053E-2</v>
      </c>
      <c r="AJ70" s="48">
        <f t="shared" si="187"/>
        <v>1.0336260800547207E-2</v>
      </c>
      <c r="AK70" s="48">
        <f t="shared" si="187"/>
        <v>1.1152402669605621E-2</v>
      </c>
      <c r="AL70" s="48">
        <f t="shared" si="187"/>
        <v>1.308182603377948E-2</v>
      </c>
      <c r="AM70" s="48">
        <f t="shared" si="187"/>
        <v>1.2568008487832023E-2</v>
      </c>
      <c r="AN70" s="48">
        <f t="shared" si="187"/>
        <v>1.2455129962337101E-2</v>
      </c>
      <c r="AO70" s="583">
        <f t="shared" si="187"/>
        <v>8.1214572635783192E-3</v>
      </c>
      <c r="AP70" s="48">
        <f t="shared" si="187"/>
        <v>1.0243741606942592E-2</v>
      </c>
      <c r="AQ70" s="48">
        <f t="shared" si="187"/>
        <v>9.1376234544684985E-3</v>
      </c>
      <c r="AR70" s="48">
        <f t="shared" si="187"/>
        <v>7.1732368437757892E-3</v>
      </c>
      <c r="AS70" s="583">
        <f t="shared" si="187"/>
        <v>9.7782405261787903E-3</v>
      </c>
      <c r="AT70" s="48">
        <f t="shared" ref="AT70:BE70" si="188">-AT22/AT$9</f>
        <v>1.01824042194711E-2</v>
      </c>
      <c r="AU70" s="48">
        <f t="shared" si="188"/>
        <v>1.1192567285638061E-2</v>
      </c>
      <c r="AV70" s="48">
        <f>-AV22/AV$9</f>
        <v>7.2263893039639813E-3</v>
      </c>
      <c r="AW70" s="583">
        <f t="shared" si="188"/>
        <v>6.2815761478797151E-3</v>
      </c>
      <c r="AX70" s="48">
        <f t="shared" si="188"/>
        <v>6.4547712926781827E-3</v>
      </c>
      <c r="AY70" s="48">
        <f t="shared" si="188"/>
        <v>5.404581746962853E-3</v>
      </c>
      <c r="AZ70" s="48">
        <f t="shared" si="188"/>
        <v>5.9787252714768062E-3</v>
      </c>
      <c r="BA70" s="583">
        <f t="shared" si="188"/>
        <v>1.2313792242341465E-2</v>
      </c>
      <c r="BB70" s="48">
        <f t="shared" si="188"/>
        <v>4.9789380500503333E-3</v>
      </c>
      <c r="BC70" s="48">
        <f>-BC22/BC$9</f>
        <v>4.863470183066463E-3</v>
      </c>
      <c r="BD70" s="48">
        <f t="shared" si="188"/>
        <v>5.2610679558143776E-3</v>
      </c>
      <c r="BE70" s="583">
        <f t="shared" si="188"/>
        <v>5.1668956665542236E-3</v>
      </c>
      <c r="BF70" s="48">
        <f t="shared" ref="BF70:CG70" si="189">-BF22/BF$9</f>
        <v>4.9568541946496385E-3</v>
      </c>
      <c r="BG70" s="48">
        <f t="shared" si="189"/>
        <v>4.9901112042892784E-3</v>
      </c>
      <c r="BH70" s="48">
        <f t="shared" si="189"/>
        <v>3.8579809916956661E-3</v>
      </c>
      <c r="BI70" s="583">
        <f t="shared" si="189"/>
        <v>4.8418832150104547E-3</v>
      </c>
      <c r="BJ70" s="48">
        <f t="shared" si="189"/>
        <v>5.5071230838248013E-3</v>
      </c>
      <c r="BK70" s="48">
        <f t="shared" si="189"/>
        <v>5.9645115727033401E-3</v>
      </c>
      <c r="BL70" s="48">
        <f t="shared" si="189"/>
        <v>5.8337246548605844E-3</v>
      </c>
      <c r="BM70" s="583">
        <f t="shared" si="189"/>
        <v>5.5699252636151253E-3</v>
      </c>
      <c r="BN70" s="48">
        <f t="shared" si="189"/>
        <v>5.1669089280163821E-3</v>
      </c>
      <c r="BO70" s="48">
        <f t="shared" si="189"/>
        <v>5.1212974865300987E-3</v>
      </c>
      <c r="BP70" s="48">
        <f t="shared" si="189"/>
        <v>4.4220030692874134E-3</v>
      </c>
      <c r="BQ70" s="583">
        <f t="shared" si="189"/>
        <v>5.1946263298601305E-3</v>
      </c>
      <c r="BR70" s="48">
        <f t="shared" si="189"/>
        <v>5.0560675257798476E-3</v>
      </c>
      <c r="BS70" s="48">
        <f t="shared" si="189"/>
        <v>5.8572265382745474E-3</v>
      </c>
      <c r="BT70" s="48">
        <f t="shared" si="189"/>
        <v>4.4306417524063516E-3</v>
      </c>
      <c r="BU70" s="583">
        <f t="shared" si="189"/>
        <v>3.2583145485010306E-3</v>
      </c>
      <c r="BV70" s="48">
        <f t="shared" si="189"/>
        <v>3.858331733511289E-3</v>
      </c>
      <c r="BW70" s="48">
        <f t="shared" si="189"/>
        <v>5.3329810425323905E-3</v>
      </c>
      <c r="BX70" s="48">
        <f t="shared" si="189"/>
        <v>4.1555671100209903E-3</v>
      </c>
      <c r="BY70" s="583">
        <f t="shared" si="189"/>
        <v>3.0500263303308824E-3</v>
      </c>
      <c r="BZ70" s="48">
        <f t="shared" si="189"/>
        <v>3.8956906066239094E-3</v>
      </c>
      <c r="CA70" s="48">
        <f t="shared" si="189"/>
        <v>5.8876734991130802E-3</v>
      </c>
      <c r="CB70" s="48">
        <f t="shared" si="189"/>
        <v>4.2809408415361789E-3</v>
      </c>
      <c r="CC70" s="583">
        <f t="shared" si="189"/>
        <v>3.1481377487444185E-3</v>
      </c>
      <c r="CD70" s="48">
        <f t="shared" si="189"/>
        <v>3.7611893159070434E-3</v>
      </c>
      <c r="CE70" s="48">
        <f t="shared" si="189"/>
        <v>5.7824819033651101E-3</v>
      </c>
      <c r="CF70" s="48">
        <f t="shared" si="189"/>
        <v>4.3487360530855505E-3</v>
      </c>
      <c r="CG70" s="583">
        <f t="shared" si="189"/>
        <v>3.1659547174193877E-3</v>
      </c>
    </row>
    <row r="71" spans="1:85" s="168" customFormat="1">
      <c r="A71" s="19"/>
      <c r="B71" s="9" t="s">
        <v>405</v>
      </c>
      <c r="C71" s="48"/>
      <c r="D71" s="48">
        <f t="shared" ref="D71:L71" ca="1" si="190">-D23/D$9</f>
        <v>6.947776761702959E-2</v>
      </c>
      <c r="E71" s="48">
        <f t="shared" ca="1" si="190"/>
        <v>7.0776856047261735E-2</v>
      </c>
      <c r="F71" s="48">
        <f t="shared" ca="1" si="190"/>
        <v>9.5320859500584651E-2</v>
      </c>
      <c r="G71" s="48">
        <f t="shared" ca="1" si="190"/>
        <v>5.4001811830429139E-2</v>
      </c>
      <c r="H71" s="48">
        <f t="shared" ca="1" si="190"/>
        <v>6.3813876998234528E-2</v>
      </c>
      <c r="I71" s="48">
        <f t="shared" ca="1" si="190"/>
        <v>5.9689867570797965E-2</v>
      </c>
      <c r="J71" s="48">
        <f t="shared" si="190"/>
        <v>8.181990915603439E-2</v>
      </c>
      <c r="K71" s="48">
        <f t="shared" si="190"/>
        <v>6.8179601865893683E-2</v>
      </c>
      <c r="L71" s="48">
        <f t="shared" si="190"/>
        <v>5.0651722764477373E-2</v>
      </c>
      <c r="M71" s="48">
        <f t="shared" si="185"/>
        <v>6.7882678580954633E-2</v>
      </c>
      <c r="N71" s="48">
        <f t="shared" si="185"/>
        <v>7.6288447788204164E-2</v>
      </c>
      <c r="O71" s="48">
        <f t="shared" si="185"/>
        <v>7.223495723058794E-2</v>
      </c>
      <c r="P71" s="48">
        <f t="shared" si="185"/>
        <v>5.6422037185533874E-2</v>
      </c>
      <c r="Q71" s="48">
        <f t="shared" si="185"/>
        <v>4.1546817532813619E-2</v>
      </c>
      <c r="R71" s="48">
        <f t="shared" ref="R71:S71" si="191">-R23/R$9</f>
        <v>3.8153237778813472E-2</v>
      </c>
      <c r="S71" s="48">
        <f t="shared" si="191"/>
        <v>3.4744174683428539E-2</v>
      </c>
      <c r="T71" s="48">
        <f t="shared" si="185"/>
        <v>0</v>
      </c>
      <c r="U71" s="48"/>
      <c r="V71" s="48">
        <f>-V23/V$9</f>
        <v>7.9310777916664174E-2</v>
      </c>
      <c r="W71" s="48">
        <f t="shared" ref="W71:AS71" si="192">-W23/W$9</f>
        <v>7.8765642838932795E-2</v>
      </c>
      <c r="X71" s="48">
        <f t="shared" si="192"/>
        <v>4.6266209457638291E-2</v>
      </c>
      <c r="Y71" s="48">
        <f t="shared" si="192"/>
        <v>7.4441283700388564E-2</v>
      </c>
      <c r="Z71" s="48">
        <f t="shared" si="192"/>
        <v>5.1416258205252689E-2</v>
      </c>
      <c r="AA71" s="48">
        <f t="shared" si="192"/>
        <v>6.9479645796176354E-2</v>
      </c>
      <c r="AB71" s="48">
        <f t="shared" si="192"/>
        <v>6.6458862907028904E-2</v>
      </c>
      <c r="AC71" s="48">
        <f t="shared" si="192"/>
        <v>9.4751313560804545E-2</v>
      </c>
      <c r="AD71" s="48">
        <f t="shared" si="192"/>
        <v>8.3338891090196501E-2</v>
      </c>
      <c r="AE71" s="48">
        <f t="shared" si="192"/>
        <v>9.5224243754745114E-2</v>
      </c>
      <c r="AF71" s="48">
        <f t="shared" si="192"/>
        <v>9.0175729221870865E-2</v>
      </c>
      <c r="AG71" s="48">
        <f t="shared" si="192"/>
        <v>0.11022407678137107</v>
      </c>
      <c r="AH71" s="48">
        <f t="shared" si="192"/>
        <v>4.3341447111200797E-2</v>
      </c>
      <c r="AI71" s="48">
        <f t="shared" si="192"/>
        <v>4.852938406684236E-2</v>
      </c>
      <c r="AJ71" s="48">
        <f t="shared" si="192"/>
        <v>4.5749795120314379E-2</v>
      </c>
      <c r="AK71" s="48">
        <f t="shared" si="192"/>
        <v>7.4783812509051278E-2</v>
      </c>
      <c r="AL71" s="48">
        <f t="shared" si="192"/>
        <v>4.9671851062622542E-2</v>
      </c>
      <c r="AM71" s="48">
        <f t="shared" si="192"/>
        <v>7.2150565833281194E-2</v>
      </c>
      <c r="AN71" s="48">
        <f t="shared" si="192"/>
        <v>5.9896871991612567E-2</v>
      </c>
      <c r="AO71" s="583">
        <f t="shared" si="192"/>
        <v>7.3936639167452176E-2</v>
      </c>
      <c r="AP71" s="48">
        <f t="shared" si="192"/>
        <v>6.1977464490448164E-2</v>
      </c>
      <c r="AQ71" s="48">
        <f t="shared" si="192"/>
        <v>5.4788691755930367E-2</v>
      </c>
      <c r="AR71" s="48">
        <f t="shared" si="192"/>
        <v>5.9173913963477855E-2</v>
      </c>
      <c r="AS71" s="583">
        <f t="shared" si="192"/>
        <v>6.3376356237262954E-2</v>
      </c>
      <c r="AT71" s="48">
        <f t="shared" ref="AT71:BE71" si="193">-AT23/AT$9</f>
        <v>6.4506001653463388E-2</v>
      </c>
      <c r="AU71" s="48">
        <f t="shared" si="193"/>
        <v>8.1653141682324307E-2</v>
      </c>
      <c r="AV71" s="48">
        <f>-AV23/AV$9</f>
        <v>8.578703953202392E-2</v>
      </c>
      <c r="AW71" s="583">
        <f t="shared" si="193"/>
        <v>9.1914957489466181E-2</v>
      </c>
      <c r="AX71" s="48">
        <f t="shared" si="193"/>
        <v>8.203118093251055E-2</v>
      </c>
      <c r="AY71" s="48">
        <f t="shared" si="193"/>
        <v>6.3274737522949764E-2</v>
      </c>
      <c r="AZ71" s="48">
        <f t="shared" si="193"/>
        <v>5.2627932434492215E-2</v>
      </c>
      <c r="BA71" s="583">
        <f t="shared" si="193"/>
        <v>7.7254496251637189E-2</v>
      </c>
      <c r="BB71" s="48">
        <f t="shared" si="193"/>
        <v>4.4219674914760039E-2</v>
      </c>
      <c r="BC71" s="48">
        <f>-BC23/BC$9</f>
        <v>3.8041755759607526E-2</v>
      </c>
      <c r="BD71" s="48">
        <f t="shared" si="193"/>
        <v>5.0640075404401332E-2</v>
      </c>
      <c r="BE71" s="583">
        <f t="shared" si="193"/>
        <v>6.5881717075121873E-2</v>
      </c>
      <c r="BF71" s="48">
        <f t="shared" ref="BF71:CG71" si="194">-BF23/BF$9</f>
        <v>5.1355289718083667E-2</v>
      </c>
      <c r="BG71" s="48">
        <f t="shared" si="194"/>
        <v>6.2595761584393145E-2</v>
      </c>
      <c r="BH71" s="48">
        <f t="shared" si="194"/>
        <v>8.0060053824000138E-2</v>
      </c>
      <c r="BI71" s="583">
        <f t="shared" si="194"/>
        <v>7.854213055197469E-2</v>
      </c>
      <c r="BJ71" s="48">
        <f t="shared" si="194"/>
        <v>6.8301866663748864E-2</v>
      </c>
      <c r="BK71" s="48">
        <f t="shared" si="194"/>
        <v>6.8210890056113971E-2</v>
      </c>
      <c r="BL71" s="48">
        <f t="shared" si="194"/>
        <v>7.9063197861008752E-2</v>
      </c>
      <c r="BM71" s="583">
        <f t="shared" si="194"/>
        <v>8.8077869318875832E-2</v>
      </c>
      <c r="BN71" s="48">
        <f t="shared" si="194"/>
        <v>6.6495026785877542E-2</v>
      </c>
      <c r="BO71" s="48">
        <f t="shared" si="194"/>
        <v>8.4485366669541928E-2</v>
      </c>
      <c r="BP71" s="48">
        <f t="shared" si="194"/>
        <v>6.2722343712290227E-2</v>
      </c>
      <c r="BQ71" s="583">
        <f t="shared" si="194"/>
        <v>7.5591191153278628E-2</v>
      </c>
      <c r="BR71" s="48">
        <f t="shared" si="194"/>
        <v>6.6446214646575907E-2</v>
      </c>
      <c r="BS71" s="48">
        <f t="shared" si="194"/>
        <v>8.5508083506785224E-2</v>
      </c>
      <c r="BT71" s="48">
        <f t="shared" si="194"/>
        <v>1.7778826461423227E-2</v>
      </c>
      <c r="BU71" s="583">
        <f t="shared" si="194"/>
        <v>5.8536350157310416E-2</v>
      </c>
      <c r="BV71" s="48">
        <f t="shared" si="194"/>
        <v>4.7183641343978233E-2</v>
      </c>
      <c r="BW71" s="48">
        <f t="shared" si="194"/>
        <v>4.0562986151669922E-2</v>
      </c>
      <c r="BX71" s="48">
        <f t="shared" si="194"/>
        <v>3.503158623119413E-2</v>
      </c>
      <c r="BY71" s="583">
        <f t="shared" si="194"/>
        <v>4.4203890310744974E-2</v>
      </c>
      <c r="BZ71" s="48">
        <f t="shared" si="194"/>
        <v>4.1923643516892678E-2</v>
      </c>
      <c r="CA71" s="48">
        <f t="shared" si="194"/>
        <v>3.9408170158630768E-2</v>
      </c>
      <c r="CB71" s="48">
        <f t="shared" si="194"/>
        <v>3.1757872501628058E-2</v>
      </c>
      <c r="CC71" s="583">
        <f t="shared" si="194"/>
        <v>4.0150716806400519E-2</v>
      </c>
      <c r="CD71" s="48">
        <f t="shared" si="194"/>
        <v>3.7103185203472826E-2</v>
      </c>
      <c r="CE71" s="48">
        <f t="shared" si="194"/>
        <v>3.5478746953766641E-2</v>
      </c>
      <c r="CF71" s="48">
        <f t="shared" si="194"/>
        <v>2.957240617040045E-2</v>
      </c>
      <c r="CG71" s="583">
        <f t="shared" si="194"/>
        <v>3.7013121610508883E-2</v>
      </c>
    </row>
    <row r="72" spans="1:85" s="168" customFormat="1">
      <c r="A72" s="19"/>
      <c r="B72" s="9" t="s">
        <v>293</v>
      </c>
      <c r="C72" s="48"/>
      <c r="D72" s="48">
        <f t="shared" ref="D72:T72" ca="1" si="195">IF(ISERROR(-D25/D$9)," ",-D25/D$9)</f>
        <v>7.0235151505777763E-2</v>
      </c>
      <c r="E72" s="48">
        <f t="shared" ca="1" si="195"/>
        <v>9.6312829764574628E-2</v>
      </c>
      <c r="F72" s="48">
        <f t="shared" ca="1" si="195"/>
        <v>0.10604337745901364</v>
      </c>
      <c r="G72" s="48">
        <f t="shared" ca="1" si="195"/>
        <v>0.10920636336808297</v>
      </c>
      <c r="H72" s="48">
        <f t="shared" ca="1" si="195"/>
        <v>0.13772553951324901</v>
      </c>
      <c r="I72" s="48">
        <f t="shared" ca="1" si="195"/>
        <v>0.17184248496421414</v>
      </c>
      <c r="J72" s="48">
        <f t="shared" si="195"/>
        <v>0.1971555414048719</v>
      </c>
      <c r="K72" s="48">
        <f t="shared" si="195"/>
        <v>0.17338554764235756</v>
      </c>
      <c r="L72" s="48">
        <f t="shared" si="195"/>
        <v>0.11736705031974355</v>
      </c>
      <c r="M72" s="48">
        <f t="shared" si="195"/>
        <v>0.10079298429705208</v>
      </c>
      <c r="N72" s="48">
        <f t="shared" si="195"/>
        <v>0.11188298457975564</v>
      </c>
      <c r="O72" s="48">
        <f t="shared" si="195"/>
        <v>9.5303428265359022E-2</v>
      </c>
      <c r="P72" s="48">
        <f t="shared" si="195"/>
        <v>8.3026984928055172E-2</v>
      </c>
      <c r="Q72" s="48">
        <f t="shared" si="195"/>
        <v>7.5558394185871375E-2</v>
      </c>
      <c r="R72" s="48">
        <f t="shared" ref="R72:S72" si="196">IF(ISERROR(-R25/R$9)," ",-R25/R$9)</f>
        <v>8.0740910111849556E-2</v>
      </c>
      <c r="S72" s="48">
        <f t="shared" si="196"/>
        <v>7.8873945009000995E-2</v>
      </c>
      <c r="T72" s="48">
        <f t="shared" si="195"/>
        <v>0</v>
      </c>
      <c r="U72" s="48"/>
      <c r="V72" s="48">
        <f>IF(ISERROR(-V25/V$9)," ",-V25/V$9)</f>
        <v>4.6665829361115935E-2</v>
      </c>
      <c r="W72" s="48">
        <f t="shared" ref="W72:AW72" si="197">IF(ISERROR(-W25/W$9)," ",-W25/W$9)</f>
        <v>7.0359983890693173E-2</v>
      </c>
      <c r="X72" s="48">
        <f t="shared" si="197"/>
        <v>7.031086220837951E-2</v>
      </c>
      <c r="Y72" s="48">
        <f t="shared" si="197"/>
        <v>9.405506743636094E-2</v>
      </c>
      <c r="Z72" s="48">
        <f t="shared" si="197"/>
        <v>8.1255556072829166E-2</v>
      </c>
      <c r="AA72" s="48">
        <f t="shared" si="197"/>
        <v>8.8159829781908061E-2</v>
      </c>
      <c r="AB72" s="48">
        <f t="shared" si="197"/>
        <v>0.10521886490071812</v>
      </c>
      <c r="AC72" s="48">
        <f t="shared" si="197"/>
        <v>0.10931007444025743</v>
      </c>
      <c r="AD72" s="48">
        <f t="shared" si="197"/>
        <v>0.10485133327317879</v>
      </c>
      <c r="AE72" s="48">
        <f t="shared" si="197"/>
        <v>0.10098881296707921</v>
      </c>
      <c r="AF72" s="48">
        <f t="shared" si="197"/>
        <v>0.10946839014905571</v>
      </c>
      <c r="AG72" s="48">
        <f t="shared" si="197"/>
        <v>0.10836878921179778</v>
      </c>
      <c r="AH72" s="48">
        <f t="shared" si="197"/>
        <v>8.4340198514295792E-2</v>
      </c>
      <c r="AI72" s="48">
        <f t="shared" si="197"/>
        <v>9.3485999411782594E-2</v>
      </c>
      <c r="AJ72" s="48">
        <f t="shared" si="197"/>
        <v>0.10569597790525846</v>
      </c>
      <c r="AK72" s="48">
        <f t="shared" si="197"/>
        <v>0.14521932935854354</v>
      </c>
      <c r="AL72" s="48">
        <f t="shared" si="197"/>
        <v>0.13593120535629852</v>
      </c>
      <c r="AM72" s="48">
        <f t="shared" si="197"/>
        <v>0.14797528730965279</v>
      </c>
      <c r="AN72" s="48">
        <f t="shared" si="197"/>
        <v>0.13881357319451285</v>
      </c>
      <c r="AO72" s="583">
        <f t="shared" si="197"/>
        <v>0.12868819346167429</v>
      </c>
      <c r="AP72" s="48">
        <f t="shared" si="197"/>
        <v>0.14800058721319209</v>
      </c>
      <c r="AQ72" s="48">
        <f t="shared" si="197"/>
        <v>0.16523504203935499</v>
      </c>
      <c r="AR72" s="48">
        <f t="shared" si="197"/>
        <v>0.20248465312897485</v>
      </c>
      <c r="AS72" s="583">
        <f>IF(ISERROR(-AS25/AS$9)," ",-AS25/AS$9)</f>
        <v>0.17137633084253362</v>
      </c>
      <c r="AT72" s="48">
        <f>IF(ISERROR(-AT25/AT$9)," ",-AT25/AT$9)</f>
        <v>0.1153761629184675</v>
      </c>
      <c r="AU72" s="48">
        <f t="shared" si="197"/>
        <v>0.23038455799980276</v>
      </c>
      <c r="AV72" s="48">
        <f>IF(ISERROR(-AV25/AV$9)," ",-AV25/AV$9)</f>
        <v>0.22661344451357826</v>
      </c>
      <c r="AW72" s="583">
        <f t="shared" si="197"/>
        <v>0.20236253021363079</v>
      </c>
      <c r="AX72" s="48">
        <f t="shared" ref="AX72:BE72" si="198">IF(ISERROR(-AX25/AX$9)," ",-AX25/AX$9)</f>
        <v>0.18398032073837012</v>
      </c>
      <c r="AY72" s="48">
        <f t="shared" si="198"/>
        <v>0.16835932796498104</v>
      </c>
      <c r="AZ72" s="48">
        <f t="shared" si="198"/>
        <v>0.14643812268765502</v>
      </c>
      <c r="BA72" s="583">
        <f t="shared" si="198"/>
        <v>0.19815410332332747</v>
      </c>
      <c r="BB72" s="48">
        <f t="shared" si="198"/>
        <v>0.14159664893457977</v>
      </c>
      <c r="BC72" s="48">
        <f>IF(ISERROR(-BC25/BC$9)," ",-BC25/BC$9)</f>
        <v>0.10642942276702214</v>
      </c>
      <c r="BD72" s="48">
        <f t="shared" si="198"/>
        <v>0.11828712175917226</v>
      </c>
      <c r="BE72" s="583">
        <f t="shared" si="198"/>
        <v>0.10892314780650596</v>
      </c>
      <c r="BF72" s="48">
        <f t="shared" ref="BF72:CG72" si="199">IF(ISERROR(-BF25/BF$9)," ",-BF25/BF$9)</f>
        <v>8.9727747633685767E-2</v>
      </c>
      <c r="BG72" s="48">
        <f t="shared" si="199"/>
        <v>9.8511741499944308E-2</v>
      </c>
      <c r="BH72" s="48">
        <f t="shared" si="199"/>
        <v>9.5905726193997148E-2</v>
      </c>
      <c r="BI72" s="583">
        <f t="shared" si="199"/>
        <v>0.12179032486877572</v>
      </c>
      <c r="BJ72" s="48">
        <f t="shared" si="199"/>
        <v>0.11466140732878886</v>
      </c>
      <c r="BK72" s="48">
        <f t="shared" si="199"/>
        <v>0.11383841024970585</v>
      </c>
      <c r="BL72" s="48">
        <f t="shared" si="199"/>
        <v>0.10665090273402622</v>
      </c>
      <c r="BM72" s="583">
        <f t="shared" si="199"/>
        <v>0.11269624780804852</v>
      </c>
      <c r="BN72" s="48">
        <f t="shared" si="199"/>
        <v>0.10748061909202276</v>
      </c>
      <c r="BO72" s="48">
        <f t="shared" si="199"/>
        <v>9.5066681533875139E-2</v>
      </c>
      <c r="BP72" s="48">
        <f t="shared" si="199"/>
        <v>8.2621127235412123E-2</v>
      </c>
      <c r="BQ72" s="583">
        <f t="shared" si="199"/>
        <v>9.8326855529495341E-2</v>
      </c>
      <c r="BR72" s="48">
        <f t="shared" si="199"/>
        <v>6.6368784990750718E-2</v>
      </c>
      <c r="BS72" s="48">
        <f t="shared" si="199"/>
        <v>8.2572906377627486E-2</v>
      </c>
      <c r="BT72" s="48">
        <f t="shared" si="199"/>
        <v>8.5290588465468858E-2</v>
      </c>
      <c r="BU72" s="583">
        <f t="shared" si="199"/>
        <v>9.6305314801644212E-2</v>
      </c>
      <c r="BV72" s="48">
        <f t="shared" si="199"/>
        <v>7.4674903521750463E-2</v>
      </c>
      <c r="BW72" s="48">
        <f t="shared" si="199"/>
        <v>6.9496240788939193E-2</v>
      </c>
      <c r="BX72" s="48">
        <f t="shared" si="199"/>
        <v>7.3945287044058325E-2</v>
      </c>
      <c r="BY72" s="583">
        <f t="shared" si="199"/>
        <v>8.333099355558074E-2</v>
      </c>
      <c r="BZ72" s="48">
        <f t="shared" si="199"/>
        <v>7.7207505331310017E-2</v>
      </c>
      <c r="CA72" s="48">
        <f t="shared" si="199"/>
        <v>7.8566055278232017E-2</v>
      </c>
      <c r="CB72" s="48">
        <f t="shared" si="199"/>
        <v>7.8004450499342945E-2</v>
      </c>
      <c r="CC72" s="583">
        <f t="shared" si="199"/>
        <v>8.8075811836819035E-2</v>
      </c>
      <c r="CD72" s="48">
        <f t="shared" si="199"/>
        <v>7.3299500805265205E-2</v>
      </c>
      <c r="CE72" s="48">
        <f t="shared" si="199"/>
        <v>7.5876322464445367E-2</v>
      </c>
      <c r="CF72" s="48">
        <f t="shared" si="199"/>
        <v>7.7919106826867937E-2</v>
      </c>
      <c r="CG72" s="583">
        <f t="shared" si="199"/>
        <v>8.7098041231441117E-2</v>
      </c>
    </row>
    <row r="73" spans="1:85" s="168" customFormat="1">
      <c r="A73" s="19"/>
      <c r="B73" s="8" t="s">
        <v>36</v>
      </c>
      <c r="C73" s="48"/>
      <c r="D73" s="48">
        <f t="shared" ref="D73:L73" ca="1" si="200">IF(ISERROR(D16/D$9)," ",D16/D$9)</f>
        <v>0.21191088873465172</v>
      </c>
      <c r="E73" s="48">
        <f t="shared" ca="1" si="200"/>
        <v>0.24541134212468632</v>
      </c>
      <c r="F73" s="48">
        <f t="shared" ca="1" si="200"/>
        <v>0.30522957501179349</v>
      </c>
      <c r="G73" s="48">
        <f t="shared" ca="1" si="200"/>
        <v>0.29156778236073272</v>
      </c>
      <c r="H73" s="48">
        <f t="shared" ca="1" si="200"/>
        <v>0.2388591420993656</v>
      </c>
      <c r="I73" s="48">
        <f t="shared" ca="1" si="200"/>
        <v>0.22222635583978961</v>
      </c>
      <c r="J73" s="48">
        <f t="shared" si="200"/>
        <v>0.20620238587373776</v>
      </c>
      <c r="K73" s="48">
        <f t="shared" si="200"/>
        <v>0.23570998022766973</v>
      </c>
      <c r="L73" s="48">
        <f t="shared" si="200"/>
        <v>0.30786983622604136</v>
      </c>
      <c r="M73" s="48">
        <f t="shared" ref="M73:T73" si="201">IF(ISERROR(M16/M$9)," ",M16/M$9)</f>
        <v>0.37969753415376056</v>
      </c>
      <c r="N73" s="48">
        <f t="shared" si="201"/>
        <v>0.19263346389182426</v>
      </c>
      <c r="O73" s="48">
        <f t="shared" si="201"/>
        <v>0.18032157477016283</v>
      </c>
      <c r="P73" s="48">
        <f t="shared" si="201"/>
        <v>0.20978247735369857</v>
      </c>
      <c r="Q73" s="48">
        <f t="shared" si="201"/>
        <v>0.22087583608382946</v>
      </c>
      <c r="R73" s="48">
        <f t="shared" ref="R73:S73" si="202">IF(ISERROR(R16/R$9)," ",R16/R$9)</f>
        <v>0.24376299998838638</v>
      </c>
      <c r="S73" s="48">
        <f t="shared" si="202"/>
        <v>0.26558862680907969</v>
      </c>
      <c r="T73" s="48">
        <f t="shared" si="201"/>
        <v>0.28958834950082513</v>
      </c>
      <c r="U73" s="48"/>
      <c r="V73" s="48">
        <f t="shared" ref="V73:BE73" si="203">IF(ISERROR(V16/V$9)," ",V16/V$9)</f>
        <v>0.20362074843154723</v>
      </c>
      <c r="W73" s="48">
        <f t="shared" si="203"/>
        <v>0.24270555069074196</v>
      </c>
      <c r="X73" s="48">
        <f t="shared" si="203"/>
        <v>0.20960363571022128</v>
      </c>
      <c r="Y73" s="48">
        <f t="shared" si="203"/>
        <v>0.18897837929064232</v>
      </c>
      <c r="Z73" s="48">
        <f t="shared" si="203"/>
        <v>0.21308273643653175</v>
      </c>
      <c r="AA73" s="48">
        <f t="shared" si="203"/>
        <v>0.2797588316280234</v>
      </c>
      <c r="AB73" s="48">
        <f t="shared" si="203"/>
        <v>0.25868500860736965</v>
      </c>
      <c r="AC73" s="48">
        <f t="shared" si="203"/>
        <v>0.22502690921663823</v>
      </c>
      <c r="AD73" s="48">
        <f t="shared" si="203"/>
        <v>0.29409099290307145</v>
      </c>
      <c r="AE73" s="48">
        <f t="shared" si="203"/>
        <v>0.32272257438965274</v>
      </c>
      <c r="AF73" s="48">
        <f t="shared" si="203"/>
        <v>0.31999599897517617</v>
      </c>
      <c r="AG73" s="48">
        <f t="shared" si="203"/>
        <v>0.28507345758733948</v>
      </c>
      <c r="AH73" s="48">
        <f t="shared" si="203"/>
        <v>0.24239175673800906</v>
      </c>
      <c r="AI73" s="48">
        <f t="shared" si="203"/>
        <v>0.31557138945352287</v>
      </c>
      <c r="AJ73" s="48">
        <f t="shared" si="203"/>
        <v>0.29954765146577711</v>
      </c>
      <c r="AK73" s="48">
        <f t="shared" si="203"/>
        <v>0.30192856669473078</v>
      </c>
      <c r="AL73" s="48">
        <f t="shared" si="203"/>
        <v>0.27843043305572551</v>
      </c>
      <c r="AM73" s="48">
        <f t="shared" si="203"/>
        <v>0.25843158815377665</v>
      </c>
      <c r="AN73" s="48">
        <f t="shared" si="203"/>
        <v>0.23033870626186292</v>
      </c>
      <c r="AO73" s="583">
        <f t="shared" si="203"/>
        <v>0.18864444201663164</v>
      </c>
      <c r="AP73" s="48">
        <f t="shared" si="203"/>
        <v>0.26493904053214984</v>
      </c>
      <c r="AQ73" s="48">
        <f t="shared" si="203"/>
        <v>0.24456025678304907</v>
      </c>
      <c r="AR73" s="48">
        <f t="shared" si="203"/>
        <v>0.20518490305197598</v>
      </c>
      <c r="AS73" s="583">
        <f t="shared" si="203"/>
        <v>0.17030340352859763</v>
      </c>
      <c r="AT73" s="48">
        <f>IF(ISERROR(AT16/AT$9)," ",AT16/AT$9)</f>
        <v>0.18249391911185403</v>
      </c>
      <c r="AU73" s="48">
        <f t="shared" si="203"/>
        <v>0.19112585695464041</v>
      </c>
      <c r="AV73" s="48">
        <f>IF(ISERROR(AV16/AV$9)," ",AV16/AV$9)</f>
        <v>0.20799140672078709</v>
      </c>
      <c r="AW73" s="583">
        <f t="shared" si="203"/>
        <v>0.2375586552447527</v>
      </c>
      <c r="AX73" s="48">
        <f t="shared" si="203"/>
        <v>0.25813007231642415</v>
      </c>
      <c r="AY73" s="48">
        <f t="shared" si="203"/>
        <v>0.26488950549995038</v>
      </c>
      <c r="AZ73" s="48">
        <f t="shared" si="203"/>
        <v>0.24200996762139673</v>
      </c>
      <c r="BA73" s="583">
        <f t="shared" si="203"/>
        <v>0.18016807750523656</v>
      </c>
      <c r="BB73" s="48">
        <f t="shared" si="203"/>
        <v>0.22662458807102615</v>
      </c>
      <c r="BC73" s="48">
        <f>IF(ISERROR(BC16/BC$9)," ",BC16/BC$9)</f>
        <v>0.30132534584428861</v>
      </c>
      <c r="BD73" s="48">
        <f t="shared" si="203"/>
        <v>0.33057326280892696</v>
      </c>
      <c r="BE73" s="583">
        <f t="shared" si="203"/>
        <v>0.34984959422401307</v>
      </c>
      <c r="BF73" s="48">
        <f t="shared" ref="BF73:CG73" si="204">IF(ISERROR(BF16/BF$9)," ",BF16/BF$9)</f>
        <v>0.40732800041696215</v>
      </c>
      <c r="BG73" s="48">
        <f t="shared" si="204"/>
        <v>0.39433700931711618</v>
      </c>
      <c r="BH73" s="48">
        <f t="shared" si="204"/>
        <v>0.38921506316873589</v>
      </c>
      <c r="BI73" s="583">
        <f t="shared" si="204"/>
        <v>0.31992758763191825</v>
      </c>
      <c r="BJ73" s="48">
        <f t="shared" si="204"/>
        <v>0.20835088573523142</v>
      </c>
      <c r="BK73" s="48">
        <f t="shared" si="204"/>
        <v>0.20283312697546008</v>
      </c>
      <c r="BL73" s="48">
        <f t="shared" si="204"/>
        <v>0.19846017807237787</v>
      </c>
      <c r="BM73" s="583">
        <f t="shared" si="204"/>
        <v>0.16382956791370307</v>
      </c>
      <c r="BN73" s="48">
        <f t="shared" si="204"/>
        <v>0.1369599400288885</v>
      </c>
      <c r="BO73" s="48">
        <f t="shared" si="204"/>
        <v>0.13942899400192296</v>
      </c>
      <c r="BP73" s="48">
        <f t="shared" si="204"/>
        <v>0.204570032627299</v>
      </c>
      <c r="BQ73" s="583">
        <f t="shared" si="204"/>
        <v>0.22607497640762547</v>
      </c>
      <c r="BR73" s="48">
        <f t="shared" si="204"/>
        <v>0.22511025938489701</v>
      </c>
      <c r="BS73" s="48">
        <f t="shared" si="204"/>
        <v>0.20361501195527873</v>
      </c>
      <c r="BT73" s="48">
        <f t="shared" si="204"/>
        <v>0.21950044965576779</v>
      </c>
      <c r="BU73" s="583">
        <f t="shared" si="204"/>
        <v>0.19211599583720082</v>
      </c>
      <c r="BV73" s="48">
        <f t="shared" si="204"/>
        <v>0.20100004510101233</v>
      </c>
      <c r="BW73" s="48">
        <f t="shared" si="204"/>
        <v>0.21019857906943995</v>
      </c>
      <c r="BX73" s="48">
        <f t="shared" si="204"/>
        <v>0.22152831230160688</v>
      </c>
      <c r="BY73" s="583">
        <f t="shared" si="204"/>
        <v>0.2457364128933954</v>
      </c>
      <c r="BZ73" s="48">
        <f t="shared" si="204"/>
        <v>0.2321757534618045</v>
      </c>
      <c r="CA73" s="48">
        <f t="shared" si="204"/>
        <v>0.22811439528775468</v>
      </c>
      <c r="CB73" s="48">
        <f t="shared" si="204"/>
        <v>0.2558592224549473</v>
      </c>
      <c r="CC73" s="583">
        <f t="shared" si="204"/>
        <v>0.25491829905382296</v>
      </c>
      <c r="CD73" s="48">
        <f t="shared" si="204"/>
        <v>0.24983669214721346</v>
      </c>
      <c r="CE73" s="48">
        <f t="shared" si="204"/>
        <v>0.25439848897145356</v>
      </c>
      <c r="CF73" s="48">
        <f t="shared" si="204"/>
        <v>0.27301460335392108</v>
      </c>
      <c r="CG73" s="583">
        <f t="shared" si="204"/>
        <v>0.28161177696284906</v>
      </c>
    </row>
    <row r="74" spans="1:85" s="168" customFormat="1">
      <c r="A74" s="19"/>
      <c r="B74" s="8" t="s">
        <v>287</v>
      </c>
      <c r="C74" s="48"/>
      <c r="D74" s="48">
        <f t="shared" ref="D74:T74" ca="1" si="205">IF(ISERROR(D27/D$9)," ",D27/D$9)</f>
        <v>0.35476547682801629</v>
      </c>
      <c r="E74" s="48">
        <f t="shared" ca="1" si="205"/>
        <v>0.34503793466486216</v>
      </c>
      <c r="F74" s="48">
        <f t="shared" ca="1" si="205"/>
        <v>0.33336970106174391</v>
      </c>
      <c r="G74" s="48">
        <f t="shared" ca="1" si="205"/>
        <v>0.36685173873954252</v>
      </c>
      <c r="H74" s="48">
        <f t="shared" ca="1" si="205"/>
        <v>0.35350375260989786</v>
      </c>
      <c r="I74" s="48">
        <f t="shared" ca="1" si="205"/>
        <v>0.31638543516873885</v>
      </c>
      <c r="J74" s="48">
        <f t="shared" si="205"/>
        <v>0.37766042125101762</v>
      </c>
      <c r="K74" s="48">
        <f t="shared" si="205"/>
        <v>0.41582989397167885</v>
      </c>
      <c r="L74" s="48">
        <f t="shared" si="205"/>
        <v>0.59926453837437121</v>
      </c>
      <c r="M74" s="48">
        <f t="shared" si="205"/>
        <v>0.56467477414603917</v>
      </c>
      <c r="N74" s="48">
        <f t="shared" si="205"/>
        <v>0.47852713570700905</v>
      </c>
      <c r="O74" s="48">
        <f t="shared" si="205"/>
        <v>0.46033591115030909</v>
      </c>
      <c r="P74" s="48">
        <f t="shared" si="205"/>
        <v>0.52750648963272384</v>
      </c>
      <c r="Q74" s="48">
        <f t="shared" si="205"/>
        <v>0.55436078015294821</v>
      </c>
      <c r="R74" s="48">
        <f t="shared" ref="R74:S74" si="206">IF(ISERROR(R27/R$9)," ",R27/R$9)</f>
        <v>0.55324770609668561</v>
      </c>
      <c r="S74" s="48">
        <f t="shared" si="206"/>
        <v>0.53987960742361274</v>
      </c>
      <c r="T74" s="48">
        <f t="shared" si="205"/>
        <v>0.58487678338698545</v>
      </c>
      <c r="U74" s="48"/>
      <c r="V74" s="48">
        <f t="shared" ref="V74:AR74" si="207">IF(ISERROR(V27/V$9)," ",V27/V$9)</f>
        <v>0.35645293445691767</v>
      </c>
      <c r="W74" s="48">
        <f t="shared" si="207"/>
        <v>0.41218580385810505</v>
      </c>
      <c r="X74" s="48">
        <f t="shared" si="207"/>
        <v>0.34676260070078763</v>
      </c>
      <c r="Y74" s="48">
        <f t="shared" si="207"/>
        <v>0.29853781133272472</v>
      </c>
      <c r="Z74" s="48">
        <f t="shared" si="207"/>
        <v>0.36901412822030538</v>
      </c>
      <c r="AA74" s="48">
        <f t="shared" si="207"/>
        <v>0.38458454582433743</v>
      </c>
      <c r="AB74" s="48">
        <f t="shared" si="207"/>
        <v>0.34450374391828947</v>
      </c>
      <c r="AC74" s="48">
        <f t="shared" si="207"/>
        <v>0.28173486755314442</v>
      </c>
      <c r="AD74" s="48">
        <f t="shared" si="207"/>
        <v>0.33535831839277513</v>
      </c>
      <c r="AE74" s="48">
        <f t="shared" si="207"/>
        <v>0.33952233290341466</v>
      </c>
      <c r="AF74" s="48">
        <f t="shared" si="207"/>
        <v>0.35919024873037653</v>
      </c>
      <c r="AG74" s="48">
        <f t="shared" si="207"/>
        <v>0.30208080662396664</v>
      </c>
      <c r="AH74" s="48">
        <f t="shared" si="207"/>
        <v>0.35600776904740883</v>
      </c>
      <c r="AI74" s="48">
        <f t="shared" si="207"/>
        <v>0.41193762577493293</v>
      </c>
      <c r="AJ74" s="48">
        <f t="shared" si="207"/>
        <v>0.37984371067761935</v>
      </c>
      <c r="AK74" s="48">
        <f t="shared" si="207"/>
        <v>0.32474638010215984</v>
      </c>
      <c r="AL74" s="48">
        <f t="shared" si="207"/>
        <v>0.39439152171583119</v>
      </c>
      <c r="AM74" s="48">
        <f t="shared" si="207"/>
        <v>0.34967977603625172</v>
      </c>
      <c r="AN74" s="48">
        <f t="shared" si="207"/>
        <v>0.34545024638733668</v>
      </c>
      <c r="AO74" s="583">
        <f t="shared" si="207"/>
        <v>0.32383310424378858</v>
      </c>
      <c r="AP74" s="48">
        <f t="shared" si="207"/>
        <v>0.37396094550950376</v>
      </c>
      <c r="AQ74" s="48">
        <f t="shared" si="207"/>
        <v>0.32183655116743554</v>
      </c>
      <c r="AR74" s="48">
        <f t="shared" si="207"/>
        <v>0.2977069623422699</v>
      </c>
      <c r="AS74" s="583">
        <f>IF(ISERROR(AS27/AS$9)," ",AS27/AS$9)</f>
        <v>0.26964123596147616</v>
      </c>
      <c r="AT74" s="48">
        <f>IF(ISERROR(AT27/AT$9)," ",AT27/AT$9)</f>
        <v>0.45181410048452769</v>
      </c>
      <c r="AU74" s="48">
        <f>IF(ISERROR(AU27/AU$9)," ",AU27/AU$9)</f>
        <v>0.30539827686051768</v>
      </c>
      <c r="AV74" s="48">
        <f>IF(ISERROR(AV27/AV$9)," ",AV27/AV$9)</f>
        <v>0.40023418400591843</v>
      </c>
      <c r="AW74" s="583">
        <f>IF(ISERROR(AW27/AW$9)," ",AW27/AW$9)</f>
        <v>0.36469832828829729</v>
      </c>
      <c r="AX74" s="48">
        <f t="shared" ref="AX74:BE74" si="208">IF(ISERROR(AX27/AX$9)," ",AX27/AX$9)</f>
        <v>0.37260971232561846</v>
      </c>
      <c r="AY74" s="48">
        <f t="shared" si="208"/>
        <v>0.39468790991227137</v>
      </c>
      <c r="AZ74" s="48">
        <f t="shared" si="208"/>
        <v>0.49308502039251551</v>
      </c>
      <c r="BA74" s="583">
        <f t="shared" si="208"/>
        <v>0.39067674384233947</v>
      </c>
      <c r="BB74" s="48">
        <f t="shared" si="208"/>
        <v>0.49319122293410317</v>
      </c>
      <c r="BC74" s="48">
        <f>IF(ISERROR(BC27/BC$9)," ",BC27/BC$9)</f>
        <v>0.74352988091677574</v>
      </c>
      <c r="BD74" s="48">
        <f t="shared" si="208"/>
        <v>0.55803920294043241</v>
      </c>
      <c r="BE74" s="583">
        <f t="shared" si="208"/>
        <v>0.58756033793674789</v>
      </c>
      <c r="BF74" s="48">
        <f t="shared" ref="BF74:CG74" si="209">IF(ISERROR(BF27/BF$9)," ",BF27/BF$9)</f>
        <v>0.58081463971325165</v>
      </c>
      <c r="BG74" s="48">
        <f t="shared" si="209"/>
        <v>0.57629400303914957</v>
      </c>
      <c r="BH74" s="48">
        <f t="shared" si="209"/>
        <v>0.55260268197063789</v>
      </c>
      <c r="BI74" s="583">
        <f t="shared" si="209"/>
        <v>0.54689841914055037</v>
      </c>
      <c r="BJ74" s="48">
        <f t="shared" si="209"/>
        <v>0.48880931800028454</v>
      </c>
      <c r="BK74" s="48">
        <f t="shared" si="209"/>
        <v>0.47183535461511056</v>
      </c>
      <c r="BL74" s="48">
        <f t="shared" si="209"/>
        <v>0.47310063020763587</v>
      </c>
      <c r="BM74" s="583">
        <f t="shared" si="209"/>
        <v>0.48102989991652256</v>
      </c>
      <c r="BN74" s="48">
        <f t="shared" si="209"/>
        <v>0.42735302049622437</v>
      </c>
      <c r="BO74" s="48">
        <f t="shared" si="209"/>
        <v>0.46511185119887916</v>
      </c>
      <c r="BP74" s="48">
        <f t="shared" si="209"/>
        <v>0.46103055101631002</v>
      </c>
      <c r="BQ74" s="583">
        <f t="shared" si="209"/>
        <v>0.48169127537454454</v>
      </c>
      <c r="BR74" s="48">
        <f t="shared" si="209"/>
        <v>0.52293275056392363</v>
      </c>
      <c r="BS74" s="48">
        <f t="shared" si="209"/>
        <v>0.46603089269401632</v>
      </c>
      <c r="BT74" s="48">
        <f t="shared" si="209"/>
        <v>0.56550237591222186</v>
      </c>
      <c r="BU74" s="583">
        <f t="shared" si="209"/>
        <v>0.54984027869860286</v>
      </c>
      <c r="BV74" s="48">
        <f t="shared" si="209"/>
        <v>0.53320212796953248</v>
      </c>
      <c r="BW74" s="48">
        <f t="shared" si="209"/>
        <v>0.54762712294470672</v>
      </c>
      <c r="BX74" s="48">
        <f t="shared" si="209"/>
        <v>0.56327809134331963</v>
      </c>
      <c r="BY74" s="583">
        <f t="shared" si="209"/>
        <v>0.56874411833109173</v>
      </c>
      <c r="BZ74" s="48">
        <f t="shared" si="209"/>
        <v>0.57985253086084343</v>
      </c>
      <c r="CA74" s="48">
        <f t="shared" si="209"/>
        <v>0.55893005249924099</v>
      </c>
      <c r="CB74" s="48">
        <f t="shared" si="209"/>
        <v>0.55224818208633686</v>
      </c>
      <c r="CC74" s="583">
        <f t="shared" si="209"/>
        <v>0.5278180931191182</v>
      </c>
      <c r="CD74" s="48">
        <f t="shared" si="209"/>
        <v>0.54567457557549037</v>
      </c>
      <c r="CE74" s="48">
        <f t="shared" si="209"/>
        <v>0.54331964548515699</v>
      </c>
      <c r="CF74" s="48">
        <f t="shared" si="209"/>
        <v>0.54711960665305281</v>
      </c>
      <c r="CG74" s="583">
        <f t="shared" si="209"/>
        <v>0.52512825655915585</v>
      </c>
    </row>
    <row r="75" spans="1:85" s="168" customFormat="1">
      <c r="A75" s="19">
        <v>7.0000000000000001E-3</v>
      </c>
      <c r="B75" s="8" t="s">
        <v>78</v>
      </c>
      <c r="C75" s="48"/>
      <c r="D75" s="48">
        <f t="shared" ref="D75:T75" ca="1" si="210">IF(ISERROR(D33/D$9)," ",D33/D$9)</f>
        <v>9.0425449645329697E-2</v>
      </c>
      <c r="E75" s="48">
        <f t="shared" ca="1" si="210"/>
        <v>6.6115354275149807E-2</v>
      </c>
      <c r="F75" s="48">
        <f t="shared" ca="1" si="210"/>
        <v>9.9267801369602698E-2</v>
      </c>
      <c r="G75" s="48">
        <f t="shared" ca="1" si="210"/>
        <v>0.11639843798255427</v>
      </c>
      <c r="H75" s="48">
        <f t="shared" ca="1" si="210"/>
        <v>4.0273444742718503E-2</v>
      </c>
      <c r="I75" s="48">
        <f t="shared" ca="1" si="210"/>
        <v>4.357163605540882E-3</v>
      </c>
      <c r="J75" s="48">
        <f t="shared" si="210"/>
        <v>1.569805807543298E-2</v>
      </c>
      <c r="K75" s="48">
        <f t="shared" si="210"/>
        <v>7.9843357072927293E-2</v>
      </c>
      <c r="L75" s="48">
        <f t="shared" si="210"/>
        <v>0.25583930663194149</v>
      </c>
      <c r="M75" s="48">
        <f t="shared" si="210"/>
        <v>0.2523865423101862</v>
      </c>
      <c r="N75" s="48">
        <f t="shared" si="210"/>
        <v>5.6591569169635383E-2</v>
      </c>
      <c r="O75" s="48">
        <f t="shared" si="210"/>
        <v>5.8954253721798883E-2</v>
      </c>
      <c r="P75" s="48">
        <f t="shared" si="210"/>
        <v>0.11900513777556461</v>
      </c>
      <c r="Q75" s="48">
        <f t="shared" si="210"/>
        <v>0.12526727762654599</v>
      </c>
      <c r="R75" s="48">
        <f t="shared" ref="R75:S75" si="211">IF(ISERROR(R33/R$9)," ",R33/R$9)</f>
        <v>0.14339263106510661</v>
      </c>
      <c r="S75" s="48">
        <f t="shared" si="211"/>
        <v>0.16660021076675688</v>
      </c>
      <c r="T75" s="48">
        <f t="shared" si="210"/>
        <v>0.18784413772339817</v>
      </c>
      <c r="U75" s="48"/>
      <c r="V75" s="48">
        <f t="shared" ref="V75:AR75" si="212">IF(ISERROR(V33/V$9)," ",V33/V$9)</f>
        <v>8.581983178132771E-2</v>
      </c>
      <c r="W75" s="48">
        <f t="shared" si="212"/>
        <v>0.16147178469689746</v>
      </c>
      <c r="X75" s="48">
        <f t="shared" si="212"/>
        <v>9.0845961486628143E-2</v>
      </c>
      <c r="Y75" s="48">
        <f t="shared" si="212"/>
        <v>1.6468176910391936E-2</v>
      </c>
      <c r="Z75" s="48">
        <f t="shared" si="212"/>
        <v>6.5586599361979941E-2</v>
      </c>
      <c r="AA75" s="48">
        <f t="shared" si="212"/>
        <v>0.11380205888795018</v>
      </c>
      <c r="AB75" s="48">
        <f t="shared" si="212"/>
        <v>7.8252301369127697E-2</v>
      </c>
      <c r="AC75" s="48">
        <f t="shared" si="212"/>
        <v>3.3916932328722392E-3</v>
      </c>
      <c r="AD75" s="48">
        <f t="shared" si="212"/>
        <v>8.9258882930101674E-2</v>
      </c>
      <c r="AE75" s="48">
        <f t="shared" si="212"/>
        <v>0.11100500352167429</v>
      </c>
      <c r="AF75" s="48">
        <f t="shared" si="212"/>
        <v>0.13025441604340759</v>
      </c>
      <c r="AG75" s="48">
        <f t="shared" si="212"/>
        <v>6.817526239535325E-2</v>
      </c>
      <c r="AH75" s="48">
        <f t="shared" si="212"/>
        <v>0.10426414761190078</v>
      </c>
      <c r="AI75" s="48">
        <f t="shared" si="212"/>
        <v>0.1672218028718338</v>
      </c>
      <c r="AJ75" s="48">
        <f t="shared" si="212"/>
        <v>0.14019836225309579</v>
      </c>
      <c r="AK75" s="48">
        <f t="shared" si="212"/>
        <v>6.0159400688756338E-2</v>
      </c>
      <c r="AL75" s="48">
        <f t="shared" si="212"/>
        <v>9.7575921874704444E-2</v>
      </c>
      <c r="AM75" s="48">
        <f t="shared" si="212"/>
        <v>2.8796860460627325E-2</v>
      </c>
      <c r="AN75" s="48">
        <f t="shared" si="212"/>
        <v>2.9497624470101513E-2</v>
      </c>
      <c r="AO75" s="583">
        <f t="shared" si="212"/>
        <v>4.0296046363320114E-3</v>
      </c>
      <c r="AP75" s="48">
        <f t="shared" si="212"/>
        <v>5.0854106401105124E-2</v>
      </c>
      <c r="AQ75" s="48">
        <f t="shared" si="212"/>
        <v>2.1483912326417123E-2</v>
      </c>
      <c r="AR75" s="48">
        <f t="shared" si="212"/>
        <v>-6.8511347632784769E-3</v>
      </c>
      <c r="AS75" s="583">
        <f>IF(ISERROR(AS33/AS$9)," ",AS33/AS$9)</f>
        <v>-5.1970313561420324E-2</v>
      </c>
      <c r="AT75" s="48">
        <f>IF(ISERROR(AT33/AT$9)," ",AT33/AT$9)</f>
        <v>3.6545128636759926E-2</v>
      </c>
      <c r="AU75" s="48">
        <f>IF(ISERROR(AU33/AU$9)," ",AU33/AU$9)</f>
        <v>-5.4154728518287266E-2</v>
      </c>
      <c r="AV75" s="48">
        <f>IF(ISERROR(AV33/AV$9)," ",AV33/AV$9)</f>
        <v>5.7749873844390197E-2</v>
      </c>
      <c r="AW75" s="583">
        <f>IF(ISERROR(AW33/AW$9)," ",AW33/AW$9)</f>
        <v>2.3998170206530736E-2</v>
      </c>
      <c r="AX75" s="48">
        <f t="shared" ref="AX75:BE75" si="213">IF(ISERROR(AX33/AX$9)," ",AX33/AX$9)</f>
        <v>5.2315584277808289E-2</v>
      </c>
      <c r="AY75" s="48">
        <f t="shared" si="213"/>
        <v>6.8906286129554323E-2</v>
      </c>
      <c r="AZ75" s="48">
        <f t="shared" si="213"/>
        <v>0.16876596412949596</v>
      </c>
      <c r="BA75" s="583">
        <f t="shared" si="213"/>
        <v>1.7581375911609042E-2</v>
      </c>
      <c r="BB75" s="48">
        <f t="shared" si="213"/>
        <v>0.11293536260169675</v>
      </c>
      <c r="BC75" s="48">
        <f t="shared" si="213"/>
        <v>0.40009091571919403</v>
      </c>
      <c r="BD75" s="48">
        <f t="shared" si="213"/>
        <v>0.21906561285153267</v>
      </c>
      <c r="BE75" s="583">
        <f t="shared" si="213"/>
        <v>0.26588500809146992</v>
      </c>
      <c r="BF75" s="48">
        <f t="shared" ref="BF75:CG75" si="214">IF(ISERROR(BF33/BF$9)," ",BF33/BF$9)</f>
        <v>0.29098905800225205</v>
      </c>
      <c r="BG75" s="48">
        <f t="shared" si="214"/>
        <v>0.28344535731024761</v>
      </c>
      <c r="BH75" s="48">
        <f t="shared" si="214"/>
        <v>0.25061878721900233</v>
      </c>
      <c r="BI75" s="583">
        <f t="shared" si="214"/>
        <v>0.17415112843634936</v>
      </c>
      <c r="BJ75" s="48">
        <f t="shared" si="214"/>
        <v>5.6953896906765375E-2</v>
      </c>
      <c r="BK75" s="48">
        <f t="shared" si="214"/>
        <v>5.1139582516233059E-2</v>
      </c>
      <c r="BL75" s="48">
        <f t="shared" si="214"/>
        <v>5.3924003611059465E-2</v>
      </c>
      <c r="BM75" s="583">
        <f t="shared" si="214"/>
        <v>6.392067206141451E-2</v>
      </c>
      <c r="BN75" s="48">
        <f t="shared" si="214"/>
        <v>1.3747188854149194E-3</v>
      </c>
      <c r="BO75" s="48">
        <f t="shared" si="214"/>
        <v>4.5832377834675288E-2</v>
      </c>
      <c r="BP75" s="48">
        <f t="shared" si="214"/>
        <v>7.8246103055101712E-2</v>
      </c>
      <c r="BQ75" s="583">
        <f t="shared" si="214"/>
        <v>9.6936004070165976E-2</v>
      </c>
      <c r="BR75" s="48">
        <f t="shared" si="214"/>
        <v>0.13775848266354446</v>
      </c>
      <c r="BS75" s="48">
        <f t="shared" si="214"/>
        <v>6.8208464572810268E-2</v>
      </c>
      <c r="BT75" s="48">
        <f t="shared" si="214"/>
        <v>0.14739514539709522</v>
      </c>
      <c r="BU75" s="583">
        <f t="shared" si="214"/>
        <v>0.11998987427221336</v>
      </c>
      <c r="BV75" s="48">
        <f t="shared" si="214"/>
        <v>9.8899734861925104E-2</v>
      </c>
      <c r="BW75" s="48">
        <f t="shared" si="214"/>
        <v>0.1221684730476062</v>
      </c>
      <c r="BX75" s="48">
        <f t="shared" si="214"/>
        <v>0.13453761198400765</v>
      </c>
      <c r="BY75" s="583">
        <f t="shared" si="214"/>
        <v>0.14012138055795323</v>
      </c>
      <c r="BZ75" s="48">
        <f t="shared" si="214"/>
        <v>0.13461779228758522</v>
      </c>
      <c r="CA75" s="48">
        <f t="shared" si="214"/>
        <v>0.12841896104577258</v>
      </c>
      <c r="CB75" s="48">
        <f t="shared" si="214"/>
        <v>0.16336030907274859</v>
      </c>
      <c r="CC75" s="583">
        <f t="shared" si="214"/>
        <v>0.14416210779952082</v>
      </c>
      <c r="CD75" s="48">
        <f t="shared" si="214"/>
        <v>0.15616410718887683</v>
      </c>
      <c r="CE75" s="48">
        <f t="shared" si="214"/>
        <v>0.1570398515653052</v>
      </c>
      <c r="CF75" s="48">
        <f t="shared" si="214"/>
        <v>0.1794123026610116</v>
      </c>
      <c r="CG75" s="583">
        <f t="shared" si="214"/>
        <v>0.17161396435503659</v>
      </c>
    </row>
    <row r="76" spans="1:85" s="168" customFormat="1">
      <c r="A76" s="19"/>
      <c r="B76" s="8" t="s">
        <v>7</v>
      </c>
      <c r="C76" s="48"/>
      <c r="D76" s="48">
        <f t="shared" ref="D76:T76" ca="1" si="215">IF(ISERROR(D45/D$9)," ",D45/D$9)</f>
        <v>8.6321946636094202E-2</v>
      </c>
      <c r="E76" s="48">
        <f t="shared" ca="1" si="215"/>
        <v>7.007735158880915E-2</v>
      </c>
      <c r="F76" s="48">
        <f t="shared" ca="1" si="215"/>
        <v>0.10322949899727914</v>
      </c>
      <c r="G76" s="48">
        <f t="shared" ca="1" si="215"/>
        <v>0.10633591610676074</v>
      </c>
      <c r="H76" s="48">
        <f t="shared" ca="1" si="215"/>
        <v>4.1361419461978119E-2</v>
      </c>
      <c r="I76" s="48">
        <f t="shared" ca="1" si="215"/>
        <v>2.7287927561559712E-2</v>
      </c>
      <c r="J76" s="48">
        <f t="shared" si="215"/>
        <v>5.8502948962535342E-2</v>
      </c>
      <c r="K76" s="48">
        <f t="shared" si="215"/>
        <v>0.18874141759289478</v>
      </c>
      <c r="L76" s="48">
        <f t="shared" si="215"/>
        <v>0.33810143902973155</v>
      </c>
      <c r="M76" s="48">
        <f t="shared" si="215"/>
        <v>0.30441613444490828</v>
      </c>
      <c r="N76" s="48">
        <f t="shared" si="215"/>
        <v>0.18784113415043127</v>
      </c>
      <c r="O76" s="48">
        <f t="shared" si="215"/>
        <v>0.10698187441694647</v>
      </c>
      <c r="P76" s="48">
        <f t="shared" si="215"/>
        <v>0.11507238442685407</v>
      </c>
      <c r="Q76" s="48">
        <f t="shared" si="215"/>
        <v>0.12716236047243154</v>
      </c>
      <c r="R76" s="48">
        <f t="shared" ref="R76:S76" si="216">IF(ISERROR(R45/R$9)," ",R45/R$9)</f>
        <v>0.14431042407526948</v>
      </c>
      <c r="S76" s="48">
        <f t="shared" si="216"/>
        <v>0.16788744322859661</v>
      </c>
      <c r="T76" s="48">
        <f t="shared" si="215"/>
        <v>0.1889241936176333</v>
      </c>
      <c r="U76" s="48"/>
      <c r="V76" s="48">
        <f t="shared" ref="V76:AR76" si="217">IF(ISERROR(V45/V$9)," ",V45/V$9)</f>
        <v>8.5819831781327696E-2</v>
      </c>
      <c r="W76" s="48">
        <f t="shared" si="217"/>
        <v>0.14010663178780053</v>
      </c>
      <c r="X76" s="48">
        <f t="shared" si="217"/>
        <v>8.2084244257434644E-2</v>
      </c>
      <c r="Y76" s="48">
        <f t="shared" si="217"/>
        <v>3.2238911583437883E-2</v>
      </c>
      <c r="Z76" s="48">
        <f t="shared" si="217"/>
        <v>4.5215625505727323E-2</v>
      </c>
      <c r="AA76" s="48">
        <f t="shared" si="217"/>
        <v>0.11164108701774149</v>
      </c>
      <c r="AB76" s="48">
        <f t="shared" si="217"/>
        <v>9.3281650774663272E-2</v>
      </c>
      <c r="AC76" s="48">
        <f t="shared" si="217"/>
        <v>2.450539522075848E-2</v>
      </c>
      <c r="AD76" s="48">
        <f t="shared" si="217"/>
        <v>0.10127344556079074</v>
      </c>
      <c r="AE76" s="48">
        <f t="shared" si="217"/>
        <v>0.13285401973967054</v>
      </c>
      <c r="AF76" s="48">
        <f t="shared" si="217"/>
        <v>0.12418444022504008</v>
      </c>
      <c r="AG76" s="48">
        <f t="shared" si="217"/>
        <v>5.8752958298642292E-2</v>
      </c>
      <c r="AH76" s="48">
        <f t="shared" si="217"/>
        <v>8.2766840293104965E-2</v>
      </c>
      <c r="AI76" s="48">
        <f t="shared" si="217"/>
        <v>0.13732992766085064</v>
      </c>
      <c r="AJ76" s="48">
        <f t="shared" si="217"/>
        <v>0.14596854854841934</v>
      </c>
      <c r="AK76" s="48">
        <f t="shared" si="217"/>
        <v>6.073990981858169E-2</v>
      </c>
      <c r="AL76" s="48">
        <f t="shared" si="217"/>
        <v>8.1977341646860047E-2</v>
      </c>
      <c r="AM76" s="48">
        <f t="shared" si="217"/>
        <v>4.8152738377487542E-2</v>
      </c>
      <c r="AN76" s="48">
        <f t="shared" si="217"/>
        <v>3.8968564015886241E-2</v>
      </c>
      <c r="AO76" s="583">
        <f t="shared" si="217"/>
        <v>-3.7005795414990841E-3</v>
      </c>
      <c r="AP76" s="48">
        <f t="shared" si="217"/>
        <v>5.1787871640972073E-2</v>
      </c>
      <c r="AQ76" s="48">
        <f t="shared" si="217"/>
        <v>3.8273832311867012E-2</v>
      </c>
      <c r="AR76" s="48">
        <f t="shared" si="217"/>
        <v>1.4124293785310734E-2</v>
      </c>
      <c r="AS76" s="583">
        <f>IF(ISERROR(AS45/AS$9)," ",AS45/AS$9)</f>
        <v>3.2289398335375494E-3</v>
      </c>
      <c r="AT76" s="48">
        <f>IF(ISERROR(AT45/AT$9)," ",AT45/AT$9)</f>
        <v>4.5597317382744001E-2</v>
      </c>
      <c r="AU76" s="48">
        <f>IF(ISERROR(AU45/AU$9)," ",AU45/AU$9)</f>
        <v>-3.0916116437091842E-2</v>
      </c>
      <c r="AV76" s="48">
        <f>IF(ISERROR(AV45/AV$9)," ",AV45/AV$9)</f>
        <v>0.10862487935604306</v>
      </c>
      <c r="AW76" s="583">
        <f>IF(ISERROR(AW45/AW$9)," ",AW45/AW$9)</f>
        <v>0.10428393248348</v>
      </c>
      <c r="AX76" s="48">
        <f t="shared" ref="AX76:BE76" si="218">IF(ISERROR(AX45/AX$9)," ",AX45/AX$9)</f>
        <v>7.2557331541630632E-2</v>
      </c>
      <c r="AY76" s="48">
        <f t="shared" si="218"/>
        <v>0.15095427310400086</v>
      </c>
      <c r="AZ76" s="48">
        <f t="shared" si="218"/>
        <v>0.26280063371531776</v>
      </c>
      <c r="BA76" s="583">
        <f t="shared" si="218"/>
        <v>0.25033457514308</v>
      </c>
      <c r="BB76" s="48">
        <f t="shared" si="218"/>
        <v>0.1282110526082115</v>
      </c>
      <c r="BC76" s="48">
        <f>IF(ISERROR(BC45/BC$9)," ",BC45/BC$9)</f>
        <v>0.50623315790021894</v>
      </c>
      <c r="BD76" s="48">
        <f t="shared" si="218"/>
        <v>0.27344340642491843</v>
      </c>
      <c r="BE76" s="583">
        <f t="shared" si="218"/>
        <v>0.39959900231573625</v>
      </c>
      <c r="BF76" s="48">
        <f t="shared" ref="BF76:CG76" si="219">IF(ISERROR(BF45/BF$9)," ",BF45/BF$9)</f>
        <v>0.31171717807865162</v>
      </c>
      <c r="BG76" s="48">
        <f t="shared" si="219"/>
        <v>0.33431012776618307</v>
      </c>
      <c r="BH76" s="48">
        <f t="shared" si="219"/>
        <v>0.30655400544113226</v>
      </c>
      <c r="BI76" s="583">
        <f t="shared" si="219"/>
        <v>0.25851523805411813</v>
      </c>
      <c r="BJ76" s="48">
        <f t="shared" si="219"/>
        <v>0.18868376133839582</v>
      </c>
      <c r="BK76" s="48">
        <f t="shared" si="219"/>
        <v>0.31770396745441543</v>
      </c>
      <c r="BL76" s="48">
        <f t="shared" si="219"/>
        <v>0.10355200647670547</v>
      </c>
      <c r="BM76" s="583">
        <f t="shared" si="219"/>
        <v>0.14775734240442251</v>
      </c>
      <c r="BN76" s="48">
        <f t="shared" si="219"/>
        <v>4.251743824621064E-2</v>
      </c>
      <c r="BO76" s="48">
        <f t="shared" si="219"/>
        <v>9.836288892301806E-2</v>
      </c>
      <c r="BP76" s="48">
        <f t="shared" si="219"/>
        <v>0.11186134042745269</v>
      </c>
      <c r="BQ76" s="583">
        <f t="shared" si="219"/>
        <v>0.16072081443187344</v>
      </c>
      <c r="BR76" s="48">
        <f t="shared" si="219"/>
        <v>0.15542712912641093</v>
      </c>
      <c r="BS76" s="48">
        <f t="shared" si="219"/>
        <v>7.261077758654548E-2</v>
      </c>
      <c r="BT76" s="48">
        <f t="shared" si="219"/>
        <v>0.14152023115077456</v>
      </c>
      <c r="BU76" s="583">
        <f t="shared" si="219"/>
        <v>9.1012211145533276E-2</v>
      </c>
      <c r="BV76" s="48">
        <f t="shared" si="219"/>
        <v>0.10190873071782057</v>
      </c>
      <c r="BW76" s="48">
        <f t="shared" si="219"/>
        <v>0.12252071681589291</v>
      </c>
      <c r="BX76" s="48">
        <f t="shared" si="219"/>
        <v>0.1348741455238662</v>
      </c>
      <c r="BY76" s="583">
        <f t="shared" si="219"/>
        <v>0.14403096806733215</v>
      </c>
      <c r="BZ76" s="48">
        <f t="shared" si="219"/>
        <v>0.13564372410415823</v>
      </c>
      <c r="CA76" s="48">
        <f t="shared" si="219"/>
        <v>0.12939242932146552</v>
      </c>
      <c r="CB76" s="48">
        <f t="shared" si="219"/>
        <v>0.16422815391307122</v>
      </c>
      <c r="CC76" s="583">
        <f t="shared" si="219"/>
        <v>0.14499265673143247</v>
      </c>
      <c r="CD76" s="48">
        <f t="shared" si="219"/>
        <v>0.15756251007019198</v>
      </c>
      <c r="CE76" s="48">
        <f t="shared" si="219"/>
        <v>0.15838963919283777</v>
      </c>
      <c r="CF76" s="48">
        <f t="shared" si="219"/>
        <v>0.18065692899134075</v>
      </c>
      <c r="CG76" s="583">
        <f t="shared" si="219"/>
        <v>0.17279316924645277</v>
      </c>
    </row>
    <row r="77" spans="1:85" s="168" customFormat="1">
      <c r="A77" s="19"/>
      <c r="B77" s="8" t="s">
        <v>164</v>
      </c>
      <c r="C77" s="48"/>
      <c r="D77" s="48">
        <f t="shared" ref="D77:T77" ca="1" si="220">-D48/(D45-D42)</f>
        <v>2.3124688544600418E-2</v>
      </c>
      <c r="E77" s="48">
        <f t="shared" ca="1" si="220"/>
        <v>8.539659543643606E-2</v>
      </c>
      <c r="F77" s="48">
        <f t="shared" ca="1" si="220"/>
        <v>3.6995807055235981E-2</v>
      </c>
      <c r="G77" s="48">
        <f t="shared" ca="1" si="220"/>
        <v>-2.1143532054136736E-2</v>
      </c>
      <c r="H77" s="48">
        <f t="shared" ca="1" si="220"/>
        <v>1.4391630089889213E-2</v>
      </c>
      <c r="I77" s="48">
        <f t="shared" ca="1" si="220"/>
        <v>0.15788497824119074</v>
      </c>
      <c r="J77" s="48">
        <f t="shared" si="220"/>
        <v>0.1284645263227191</v>
      </c>
      <c r="K77" s="48">
        <f t="shared" si="220"/>
        <v>9.2635284672799842E-2</v>
      </c>
      <c r="L77" s="48">
        <f t="shared" si="220"/>
        <v>3.5410069096528649E-2</v>
      </c>
      <c r="M77" s="48">
        <f t="shared" si="220"/>
        <v>7.2367841633526877E-3</v>
      </c>
      <c r="N77" s="48">
        <f t="shared" si="220"/>
        <v>5.2645629412294594E-2</v>
      </c>
      <c r="O77" s="48">
        <f t="shared" si="220"/>
        <v>0.15023816840811316</v>
      </c>
      <c r="P77" s="48">
        <f t="shared" si="220"/>
        <v>7.8558071365944906E-2</v>
      </c>
      <c r="Q77" s="48">
        <f t="shared" si="220"/>
        <v>0.10510656919558971</v>
      </c>
      <c r="R77" s="48">
        <f t="shared" ref="R77:S77" si="221">-R48/(R45-R42)</f>
        <v>0.13</v>
      </c>
      <c r="S77" s="48">
        <f t="shared" si="221"/>
        <v>0.12999999999999992</v>
      </c>
      <c r="T77" s="48">
        <f t="shared" si="220"/>
        <v>0.15999999999999998</v>
      </c>
      <c r="U77" s="48"/>
      <c r="V77" s="48">
        <f t="shared" ref="V77:AR77" si="222">-V48/(V45-V42)</f>
        <v>5.891098308864523E-2</v>
      </c>
      <c r="W77" s="48">
        <f t="shared" si="222"/>
        <v>6.7246835443037969E-3</v>
      </c>
      <c r="X77" s="48">
        <f t="shared" si="222"/>
        <v>2.0841884434715192E-2</v>
      </c>
      <c r="Y77" s="48">
        <f t="shared" si="222"/>
        <v>1.0722169662567014E-2</v>
      </c>
      <c r="Z77" s="48">
        <f t="shared" si="222"/>
        <v>7.1288487938811526E-2</v>
      </c>
      <c r="AA77" s="48">
        <f t="shared" si="222"/>
        <v>-1.6290924378580061E-3</v>
      </c>
      <c r="AB77" s="48">
        <f t="shared" si="222"/>
        <v>-3.6991368680641185E-4</v>
      </c>
      <c r="AC77" s="48">
        <f t="shared" si="222"/>
        <v>0.87729906777525823</v>
      </c>
      <c r="AD77" s="48">
        <f t="shared" si="222"/>
        <v>1.045923802514091E-3</v>
      </c>
      <c r="AE77" s="48">
        <f t="shared" si="222"/>
        <v>1.2723767557146791E-2</v>
      </c>
      <c r="AF77" s="48">
        <f t="shared" si="222"/>
        <v>2.533666822106349E-2</v>
      </c>
      <c r="AG77" s="48">
        <f t="shared" si="222"/>
        <v>0.16095737558580672</v>
      </c>
      <c r="AH77" s="48">
        <f t="shared" si="222"/>
        <v>1.4057142857142857E-2</v>
      </c>
      <c r="AI77" s="48">
        <f t="shared" si="222"/>
        <v>3.1333080136726169E-3</v>
      </c>
      <c r="AJ77" s="48">
        <f t="shared" si="222"/>
        <v>8.4878385188721789E-3</v>
      </c>
      <c r="AK77" s="48">
        <f t="shared" si="222"/>
        <v>-0.17269806631508761</v>
      </c>
      <c r="AL77" s="48">
        <f t="shared" si="222"/>
        <v>1.2335614858109668E-2</v>
      </c>
      <c r="AM77" s="48">
        <f t="shared" si="222"/>
        <v>7.8956098639831912E-2</v>
      </c>
      <c r="AN77" s="48">
        <f t="shared" si="222"/>
        <v>-1.9836639439906649E-2</v>
      </c>
      <c r="AO77" s="583">
        <f t="shared" si="222"/>
        <v>0.41778235496052185</v>
      </c>
      <c r="AP77" s="48">
        <f t="shared" si="222"/>
        <v>0.37078860541846742</v>
      </c>
      <c r="AQ77" s="48">
        <f t="shared" si="222"/>
        <v>7.1162476900061597E-2</v>
      </c>
      <c r="AR77" s="48">
        <f t="shared" si="222"/>
        <v>0.36820640865584686</v>
      </c>
      <c r="AS77" s="583">
        <f>-AS48/(AS45-AS42)</f>
        <v>-3.2764451435312623</v>
      </c>
      <c r="AT77" s="48">
        <f>-AT48/(AT45-AT42)</f>
        <v>0.20075409836065522</v>
      </c>
      <c r="AU77" s="48">
        <f>-AU48/(AU45-AU42)</f>
        <v>-5.5866835712240659E-2</v>
      </c>
      <c r="AV77" s="48">
        <f t="shared" ref="AV77:BB77" si="223">-AV48/(AV45-AV42)</f>
        <v>4.5790251107828618E-2</v>
      </c>
      <c r="AW77" s="48">
        <f t="shared" si="223"/>
        <v>0.13554946310258173</v>
      </c>
      <c r="AX77" s="48">
        <f t="shared" si="223"/>
        <v>0.21840445947180825</v>
      </c>
      <c r="AY77" s="48">
        <f t="shared" si="223"/>
        <v>0.1131472134966294</v>
      </c>
      <c r="AZ77" s="48">
        <f t="shared" si="223"/>
        <v>7.3673998094789472E-2</v>
      </c>
      <c r="BA77" s="48">
        <f t="shared" si="223"/>
        <v>6.9144388075015661E-2</v>
      </c>
      <c r="BB77" s="48">
        <f t="shared" si="223"/>
        <v>0.18072791519434631</v>
      </c>
      <c r="BC77" s="48">
        <f t="shared" ref="BC77:BV77" si="224">-BC48/(BC45-BC42)</f>
        <v>-4.0669930293976295E-2</v>
      </c>
      <c r="BD77" s="48">
        <f t="shared" si="224"/>
        <v>3.6766966835053823E-2</v>
      </c>
      <c r="BE77" s="48">
        <f t="shared" si="224"/>
        <v>8.4000380113717368E-2</v>
      </c>
      <c r="BF77" s="48">
        <f t="shared" si="224"/>
        <v>8.6893668901854917E-3</v>
      </c>
      <c r="BG77" s="48">
        <f t="shared" si="224"/>
        <v>1.1275495208621809E-2</v>
      </c>
      <c r="BH77" s="48">
        <f t="shared" si="224"/>
        <v>1.7467092039652066E-2</v>
      </c>
      <c r="BI77" s="583">
        <f t="shared" si="224"/>
        <v>-1.5153069623952868E-2</v>
      </c>
      <c r="BJ77" s="48">
        <f t="shared" si="224"/>
        <v>3.1858214635207112E-2</v>
      </c>
      <c r="BK77" s="48">
        <f t="shared" si="224"/>
        <v>6.3688113219726311E-2</v>
      </c>
      <c r="BL77" s="48">
        <f t="shared" si="224"/>
        <v>6.8158794856209348E-2</v>
      </c>
      <c r="BM77" s="583">
        <f t="shared" si="224"/>
        <v>4.3200890390795714E-2</v>
      </c>
      <c r="BN77" s="48">
        <f t="shared" si="224"/>
        <v>0.14645290473438724</v>
      </c>
      <c r="BO77" s="48">
        <f t="shared" si="224"/>
        <v>7.8886720316552708E-2</v>
      </c>
      <c r="BP77" s="48">
        <f t="shared" si="224"/>
        <v>8.070918014427407E-2</v>
      </c>
      <c r="BQ77" s="583">
        <f t="shared" si="224"/>
        <v>0.23624688518305545</v>
      </c>
      <c r="BR77" s="48">
        <f t="shared" si="224"/>
        <v>7.4021690582805014E-2</v>
      </c>
      <c r="BS77" s="48">
        <f t="shared" si="224"/>
        <v>8.5541327414868307E-2</v>
      </c>
      <c r="BT77" s="48">
        <f t="shared" si="224"/>
        <v>6.4110171000012373E-2</v>
      </c>
      <c r="BU77" s="583">
        <f t="shared" si="224"/>
        <v>0.10210902283855011</v>
      </c>
      <c r="BV77" s="48">
        <f t="shared" si="224"/>
        <v>9.5636644199098869E-2</v>
      </c>
      <c r="BW77" s="85">
        <v>0.1</v>
      </c>
      <c r="BX77" s="85">
        <v>0.11</v>
      </c>
      <c r="BY77" s="978">
        <v>0.11</v>
      </c>
      <c r="BZ77" s="85">
        <v>0.13</v>
      </c>
      <c r="CA77" s="85">
        <f>BZ77</f>
        <v>0.13</v>
      </c>
      <c r="CB77" s="85">
        <f>CA77</f>
        <v>0.13</v>
      </c>
      <c r="CC77" s="978">
        <f>CB77</f>
        <v>0.13</v>
      </c>
      <c r="CD77" s="85">
        <v>0.13</v>
      </c>
      <c r="CE77" s="85">
        <f>CD77</f>
        <v>0.13</v>
      </c>
      <c r="CF77" s="85">
        <f>CE77</f>
        <v>0.13</v>
      </c>
      <c r="CG77" s="978">
        <f>CF77</f>
        <v>0.13</v>
      </c>
    </row>
    <row r="78" spans="1:85" s="168" customFormat="1">
      <c r="A78" s="19"/>
      <c r="B78" s="8" t="s">
        <v>132</v>
      </c>
      <c r="C78" s="48"/>
      <c r="D78" s="48">
        <f t="shared" ref="D78:T78" ca="1" si="225">IF(ISERROR(D52/D$9)," ",D52/D$9)</f>
        <v>8.3702278048337242E-2</v>
      </c>
      <c r="E78" s="48">
        <f t="shared" ca="1" si="225"/>
        <v>7.7650578740952894E-2</v>
      </c>
      <c r="F78" s="48">
        <f t="shared" ca="1" si="225"/>
        <v>0.11331125931457266</v>
      </c>
      <c r="G78" s="48">
        <f t="shared" ca="1" si="225"/>
        <v>0.12924047244851039</v>
      </c>
      <c r="H78" s="48">
        <f t="shared" ca="1" si="225"/>
        <v>5.7939006989286314E-2</v>
      </c>
      <c r="I78" s="48">
        <f t="shared" ca="1" si="225"/>
        <v>3.9897511416720925E-2</v>
      </c>
      <c r="J78" s="48">
        <f t="shared" si="225"/>
        <v>7.5322755411994721E-2</v>
      </c>
      <c r="K78" s="48">
        <f t="shared" si="225"/>
        <v>0.18314680795244406</v>
      </c>
      <c r="L78" s="48">
        <f t="shared" si="225"/>
        <v>0.31265257815749525</v>
      </c>
      <c r="M78" s="48">
        <f t="shared" si="225"/>
        <v>0.2499478914889065</v>
      </c>
      <c r="N78" s="48">
        <f t="shared" si="225"/>
        <v>0.14276950626111282</v>
      </c>
      <c r="O78" s="48">
        <f t="shared" si="225"/>
        <v>6.1363991003149466E-2</v>
      </c>
      <c r="P78" s="48">
        <f t="shared" si="225"/>
        <v>7.3458321552764064E-2</v>
      </c>
      <c r="Q78" s="48">
        <f t="shared" si="225"/>
        <v>0.1022360146432639</v>
      </c>
      <c r="R78" s="48">
        <f t="shared" ref="R78:S78" si="226">IF(ISERROR(R52/R$9)," ",R52/R$9)</f>
        <v>0.11396848201007295</v>
      </c>
      <c r="S78" s="48">
        <f t="shared" si="226"/>
        <v>0.13599472285950626</v>
      </c>
      <c r="T78" s="48">
        <f t="shared" si="225"/>
        <v>0.14855987502862905</v>
      </c>
      <c r="U78" s="48"/>
      <c r="V78" s="48">
        <f t="shared" ref="V78:AR78" si="227">IF(ISERROR(V52/V$9)," ",V52/V$9)</f>
        <v>8.0947510909891968E-2</v>
      </c>
      <c r="W78" s="48">
        <f t="shared" si="227"/>
        <v>0.13929562425411321</v>
      </c>
      <c r="X78" s="48">
        <f t="shared" si="227"/>
        <v>7.9533032853164029E-2</v>
      </c>
      <c r="Y78" s="48">
        <f t="shared" si="227"/>
        <v>2.9851747773979916E-2</v>
      </c>
      <c r="Z78" s="48">
        <f t="shared" si="227"/>
        <v>4.4916345772285808E-2</v>
      </c>
      <c r="AA78" s="48">
        <f t="shared" si="227"/>
        <v>0.11108177665133454</v>
      </c>
      <c r="AB78" s="48">
        <f t="shared" si="227"/>
        <v>9.1096260682531835E-2</v>
      </c>
      <c r="AC78" s="48">
        <f t="shared" si="227"/>
        <v>5.8422327549481061E-2</v>
      </c>
      <c r="AD78" s="48">
        <f t="shared" si="227"/>
        <v>0.10882153323473218</v>
      </c>
      <c r="AE78" s="48">
        <f t="shared" si="227"/>
        <v>0.14032545758897944</v>
      </c>
      <c r="AF78" s="48">
        <f t="shared" si="227"/>
        <v>0.14499503381567908</v>
      </c>
      <c r="AG78" s="48">
        <f t="shared" si="227"/>
        <v>6.3269895172974419E-2</v>
      </c>
      <c r="AH78" s="48">
        <f t="shared" si="227"/>
        <v>9.6826167564227059E-2</v>
      </c>
      <c r="AI78" s="48">
        <f t="shared" si="227"/>
        <v>0.14146628398730263</v>
      </c>
      <c r="AJ78" s="48">
        <f t="shared" si="227"/>
        <v>0.14655963450754667</v>
      </c>
      <c r="AK78" s="48">
        <f t="shared" si="227"/>
        <v>0.12764818937606928</v>
      </c>
      <c r="AL78" s="48">
        <f t="shared" si="227"/>
        <v>8.7999394768530484E-2</v>
      </c>
      <c r="AM78" s="48">
        <f t="shared" si="227"/>
        <v>4.8284528742946212E-2</v>
      </c>
      <c r="AN78" s="48">
        <f t="shared" si="227"/>
        <v>3.3647169176443996E-2</v>
      </c>
      <c r="AO78" s="583">
        <f t="shared" si="227"/>
        <v>6.0619380213269243E-2</v>
      </c>
      <c r="AP78" s="48">
        <f t="shared" si="227"/>
        <v>3.5349512179860515E-2</v>
      </c>
      <c r="AQ78" s="48">
        <f t="shared" si="227"/>
        <v>5.7929995408173007E-2</v>
      </c>
      <c r="AR78" s="48">
        <f t="shared" si="227"/>
        <v>3.1221566262510846E-2</v>
      </c>
      <c r="AS78" s="583">
        <f>IF(ISERROR(AS52/AS$9)," ",AS52/AS$9)</f>
        <v>3.3673411083529607E-2</v>
      </c>
      <c r="AT78" s="48">
        <f>IF(ISERROR(AT52/AT$9)," ",AT52/AT$9)</f>
        <v>1.8346566522001201E-2</v>
      </c>
      <c r="AU78" s="48">
        <f>IF(ISERROR(AU52/AU$9)," ",AU52/AU$9)</f>
        <v>2.3440917861324365E-2</v>
      </c>
      <c r="AV78" s="48">
        <f>IF(ISERROR(AV52/AV$9)," ",AV52/AV$9)</f>
        <v>0.14101870042574463</v>
      </c>
      <c r="AW78" s="583">
        <f>IF(ISERROR(AW52/AW$9)," ",AW52/AW$9)</f>
        <v>0.10570750227235089</v>
      </c>
      <c r="AX78" s="48">
        <f t="shared" ref="AX78:BE78" si="228">IF(ISERROR(AX52/AX$9)," ",AX52/AX$9)</f>
        <v>7.0906342274165951E-2</v>
      </c>
      <c r="AY78" s="48">
        <f t="shared" si="228"/>
        <v>0.1470159185817661</v>
      </c>
      <c r="AZ78" s="48">
        <f t="shared" si="228"/>
        <v>0.23683862892088262</v>
      </c>
      <c r="BA78" s="583">
        <f t="shared" si="228"/>
        <v>0.26199093869604889</v>
      </c>
      <c r="BB78" s="48">
        <f t="shared" si="228"/>
        <v>0.14395518865146437</v>
      </c>
      <c r="BC78" s="48">
        <f>IF(ISERROR(BC52/BC$9)," ",BC52/BC$9)</f>
        <v>0.51171934868038282</v>
      </c>
      <c r="BD78" s="48">
        <f t="shared" si="228"/>
        <v>0.22705472047661915</v>
      </c>
      <c r="BE78" s="583">
        <f t="shared" si="228"/>
        <v>0.33781839792058399</v>
      </c>
      <c r="BF78" s="48">
        <f t="shared" ref="BF78:CG78" si="229">IF(ISERROR(BF52/BF$9)," ",BF52/BF$9)</f>
        <v>0.24280821806249436</v>
      </c>
      <c r="BG78" s="48">
        <f t="shared" si="229"/>
        <v>0.2702510135752883</v>
      </c>
      <c r="BH78" s="48">
        <f t="shared" si="229"/>
        <v>0.24691130786447082</v>
      </c>
      <c r="BI78" s="583">
        <f t="shared" si="229"/>
        <v>0.23779752909755938</v>
      </c>
      <c r="BJ78" s="48">
        <f t="shared" si="229"/>
        <v>0.15804137078332048</v>
      </c>
      <c r="BK78" s="48">
        <f t="shared" si="229"/>
        <v>0.25811524766789973</v>
      </c>
      <c r="BL78" s="48">
        <f t="shared" si="229"/>
        <v>5.7994158870575109E-2</v>
      </c>
      <c r="BM78" s="583">
        <f t="shared" si="229"/>
        <v>0.10408038138615348</v>
      </c>
      <c r="BN78" s="48">
        <f t="shared" si="229"/>
        <v>4.1019874572614412E-2</v>
      </c>
      <c r="BO78" s="48">
        <f t="shared" si="229"/>
        <v>8.6557133209486672E-2</v>
      </c>
      <c r="BP78" s="48">
        <f t="shared" si="229"/>
        <v>6.8533908625139792E-2</v>
      </c>
      <c r="BQ78" s="583">
        <f t="shared" si="229"/>
        <v>4.8741868389208264E-2</v>
      </c>
      <c r="BR78" s="48">
        <f t="shared" si="229"/>
        <v>8.3675203063722378E-2</v>
      </c>
      <c r="BS78" s="48">
        <f t="shared" si="229"/>
        <v>5.9974215347119553E-2</v>
      </c>
      <c r="BT78" s="48">
        <f t="shared" si="229"/>
        <v>8.0508954909308927E-2</v>
      </c>
      <c r="BU78" s="583">
        <f t="shared" si="229"/>
        <v>6.9454054510167923E-2</v>
      </c>
      <c r="BV78" s="48">
        <f t="shared" si="229"/>
        <v>7.8806236073066832E-2</v>
      </c>
      <c r="BW78" s="48">
        <f t="shared" si="229"/>
        <v>9.8678197285782074E-2</v>
      </c>
      <c r="BX78" s="48">
        <f t="shared" si="229"/>
        <v>0.10896448078681495</v>
      </c>
      <c r="BY78" s="583">
        <f t="shared" si="229"/>
        <v>0.11761044774767648</v>
      </c>
      <c r="BZ78" s="48">
        <f t="shared" si="229"/>
        <v>0.10506385451063421</v>
      </c>
      <c r="CA78" s="48">
        <f t="shared" si="229"/>
        <v>0.10028726301063996</v>
      </c>
      <c r="CB78" s="48">
        <f t="shared" si="229"/>
        <v>0.13192720058077048</v>
      </c>
      <c r="CC78" s="583">
        <f t="shared" si="229"/>
        <v>0.11566295335118093</v>
      </c>
      <c r="CD78" s="48">
        <f t="shared" si="229"/>
        <v>0.12614257513535984</v>
      </c>
      <c r="CE78" s="48">
        <f t="shared" si="229"/>
        <v>0.12724239388466702</v>
      </c>
      <c r="CF78" s="48">
        <f t="shared" si="229"/>
        <v>0.14743739497145081</v>
      </c>
      <c r="CG78" s="583">
        <f t="shared" si="229"/>
        <v>0.14110758037438084</v>
      </c>
    </row>
    <row r="79" spans="1:85" s="168" customFormat="1">
      <c r="A79" s="19"/>
      <c r="B79" s="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583"/>
      <c r="AP79" s="48"/>
      <c r="AQ79" s="48"/>
      <c r="AR79" s="48"/>
      <c r="AS79" s="583"/>
      <c r="AT79" s="48"/>
      <c r="AU79" s="48"/>
      <c r="AV79" s="48"/>
      <c r="AW79" s="583"/>
      <c r="AX79" s="48"/>
      <c r="AY79" s="48"/>
      <c r="AZ79" s="48"/>
      <c r="BA79" s="583"/>
      <c r="BB79" s="48"/>
      <c r="BC79" s="48"/>
      <c r="BD79" s="48"/>
      <c r="BE79" s="583"/>
      <c r="BF79" s="48"/>
      <c r="BG79" s="48"/>
      <c r="BH79" s="48"/>
      <c r="BI79" s="583"/>
      <c r="BJ79" s="48"/>
      <c r="BK79" s="48"/>
      <c r="BL79" s="48"/>
      <c r="BM79" s="583"/>
      <c r="BN79" s="48"/>
      <c r="BO79" s="48"/>
      <c r="BP79" s="48"/>
      <c r="BQ79" s="583"/>
      <c r="BR79" s="48"/>
      <c r="BS79" s="48"/>
      <c r="BT79" s="48"/>
      <c r="BU79" s="583"/>
      <c r="BV79" s="48"/>
      <c r="BW79" s="48"/>
      <c r="BX79" s="48"/>
      <c r="BY79" s="583"/>
      <c r="BZ79" s="48"/>
      <c r="CA79" s="48"/>
      <c r="CB79" s="48"/>
      <c r="CC79" s="583"/>
      <c r="CD79" s="48"/>
      <c r="CE79" s="48"/>
      <c r="CF79" s="48"/>
      <c r="CG79" s="583"/>
    </row>
    <row r="80" spans="1:85" s="168" customFormat="1">
      <c r="A80" s="19"/>
      <c r="B80" s="86" t="s">
        <v>413</v>
      </c>
      <c r="C80" s="48"/>
      <c r="D80" s="48"/>
      <c r="E80" s="48"/>
      <c r="F80" s="48"/>
      <c r="G80" s="48"/>
      <c r="H80" s="48"/>
      <c r="I80" s="48"/>
      <c r="J80" s="48"/>
      <c r="K80" s="48"/>
      <c r="L80" s="48"/>
      <c r="M80" s="48"/>
      <c r="N80" s="48"/>
      <c r="O80" s="48"/>
      <c r="P80" s="48"/>
      <c r="Q80" s="48"/>
      <c r="R80" s="48"/>
      <c r="S80" s="48"/>
      <c r="T80" s="48"/>
      <c r="U80" s="48"/>
      <c r="V80" s="48">
        <v>0.20362074843154723</v>
      </c>
      <c r="W80" s="48">
        <v>0.24270555069074196</v>
      </c>
      <c r="X80" s="48">
        <v>0.20960363571022128</v>
      </c>
      <c r="Y80" s="48">
        <v>0.18897837929064232</v>
      </c>
      <c r="Z80" s="48">
        <v>0.21308273643653175</v>
      </c>
      <c r="AA80" s="48">
        <v>0.2797588316280234</v>
      </c>
      <c r="AB80" s="48">
        <v>0.25868500860736965</v>
      </c>
      <c r="AC80" s="48">
        <v>0.22502690921663823</v>
      </c>
      <c r="AD80" s="48">
        <v>0.29409099290307145</v>
      </c>
      <c r="AE80" s="48">
        <v>0.32272257438965274</v>
      </c>
      <c r="AF80" s="48">
        <v>0.31999599897517617</v>
      </c>
      <c r="AG80" s="48">
        <v>0.28507345758733948</v>
      </c>
      <c r="AH80" s="48">
        <v>0.24239175673800906</v>
      </c>
      <c r="AI80" s="48">
        <v>0.31557138945352287</v>
      </c>
      <c r="AJ80" s="48">
        <v>0.29954765146577711</v>
      </c>
      <c r="AK80" s="48">
        <v>0.30192856669473078</v>
      </c>
      <c r="AL80" s="48"/>
      <c r="AM80" s="48"/>
      <c r="AN80" s="48"/>
      <c r="AO80" s="583"/>
      <c r="AP80" s="48"/>
      <c r="AQ80" s="48"/>
      <c r="AR80" s="48"/>
      <c r="AS80" s="583"/>
      <c r="AT80" s="48"/>
      <c r="AU80" s="48"/>
      <c r="AV80" s="48"/>
      <c r="AW80" s="583"/>
      <c r="AX80" s="48"/>
      <c r="AY80" s="48"/>
      <c r="AZ80" s="48"/>
      <c r="BA80" s="583"/>
      <c r="BB80" s="48"/>
      <c r="BC80" s="48"/>
      <c r="BD80" s="48"/>
      <c r="BE80" s="583"/>
      <c r="BF80" s="48"/>
      <c r="BG80" s="48"/>
      <c r="BH80" s="48"/>
      <c r="BI80" s="583"/>
      <c r="BJ80" s="48"/>
      <c r="BK80" s="48"/>
      <c r="BL80" s="48"/>
      <c r="BM80" s="583"/>
      <c r="BN80" s="48"/>
      <c r="BO80" s="48"/>
      <c r="BP80" s="48"/>
      <c r="BQ80" s="583"/>
      <c r="BR80" s="48"/>
      <c r="BS80" s="48"/>
      <c r="BT80" s="48"/>
      <c r="BU80" s="583"/>
      <c r="BV80" s="48"/>
      <c r="BW80" s="48"/>
      <c r="BX80" s="48"/>
      <c r="BY80" s="583"/>
      <c r="BZ80" s="48"/>
      <c r="CA80" s="48"/>
      <c r="CB80" s="48"/>
      <c r="CC80" s="583"/>
      <c r="CD80" s="48"/>
      <c r="CE80" s="48"/>
      <c r="CF80" s="48"/>
      <c r="CG80" s="583"/>
    </row>
    <row r="81" spans="1:85" s="168" customFormat="1">
      <c r="A81" s="19"/>
      <c r="B81" s="8" t="s">
        <v>195</v>
      </c>
      <c r="C81" s="48"/>
      <c r="D81" s="48" t="e">
        <f ca="1">D9/C9-1</f>
        <v>#DIV/0!</v>
      </c>
      <c r="E81" s="48">
        <f t="shared" ref="E81:N81" ca="1" si="230">E9/D9-1</f>
        <v>-4.7849068422650243E-2</v>
      </c>
      <c r="F81" s="48">
        <f t="shared" ca="1" si="230"/>
        <v>0.1352556338535793</v>
      </c>
      <c r="G81" s="48">
        <f t="shared" ca="1" si="230"/>
        <v>0.30305868991220319</v>
      </c>
      <c r="H81" s="48">
        <f t="shared" ca="1" si="230"/>
        <v>6.4167278616969581E-2</v>
      </c>
      <c r="I81" s="48">
        <f t="shared" ca="1" si="230"/>
        <v>8.3455142002627936E-2</v>
      </c>
      <c r="J81" s="48">
        <f t="shared" ca="1" si="230"/>
        <v>-7.2712251010719098E-2</v>
      </c>
      <c r="K81" s="48">
        <f t="shared" si="230"/>
        <v>0.25397506541125003</v>
      </c>
      <c r="L81" s="48">
        <f t="shared" si="230"/>
        <v>0.39317809814498417</v>
      </c>
      <c r="M81" s="48">
        <f t="shared" si="230"/>
        <v>0.33623632951150006</v>
      </c>
      <c r="N81" s="48">
        <f t="shared" si="230"/>
        <v>-0.13085203327685258</v>
      </c>
      <c r="O81" s="48">
        <f t="shared" ref="O81:T81" si="231">O9/N9-1</f>
        <v>0.27024357911654717</v>
      </c>
      <c r="P81" s="48">
        <f t="shared" si="231"/>
        <v>0.16150569849939989</v>
      </c>
      <c r="Q81" s="48">
        <f t="shared" si="231"/>
        <v>0.24142175373533648</v>
      </c>
      <c r="R81" s="48">
        <f t="shared" ref="R81" si="232">R9/Q9-1</f>
        <v>0.19784065381400118</v>
      </c>
      <c r="S81" s="48">
        <f t="shared" ref="S81" si="233">S9/R9-1</f>
        <v>0.2079308816252301</v>
      </c>
      <c r="T81" s="48">
        <f t="shared" si="231"/>
        <v>0.19182022774044816</v>
      </c>
      <c r="U81" s="48"/>
      <c r="V81" s="48"/>
      <c r="W81" s="48">
        <f t="shared" ref="W81:BE81" si="234">W9/V9-1</f>
        <v>7.9131355298649009E-2</v>
      </c>
      <c r="X81" s="48">
        <f t="shared" si="234"/>
        <v>-1.3016763285559674E-2</v>
      </c>
      <c r="Y81" s="48">
        <f t="shared" si="234"/>
        <v>-7.9473136473900086E-2</v>
      </c>
      <c r="Z81" s="48">
        <f t="shared" si="234"/>
        <v>-8.2786190237028712E-2</v>
      </c>
      <c r="AA81" s="48">
        <f t="shared" si="234"/>
        <v>0.13359182234755007</v>
      </c>
      <c r="AB81" s="48">
        <f t="shared" si="234"/>
        <v>2.0146906974561007E-2</v>
      </c>
      <c r="AC81" s="48">
        <f t="shared" si="234"/>
        <v>-6.8538817512259209E-2</v>
      </c>
      <c r="AD81" s="48">
        <f t="shared" si="234"/>
        <v>4.9198074473186582E-2</v>
      </c>
      <c r="AE81" s="48">
        <f t="shared" si="234"/>
        <v>7.2218800387604531E-2</v>
      </c>
      <c r="AF81" s="48">
        <f t="shared" si="234"/>
        <v>4.2514383981412829E-2</v>
      </c>
      <c r="AG81" s="48">
        <f t="shared" si="234"/>
        <v>7.070933958522696E-2</v>
      </c>
      <c r="AH81" s="48">
        <f t="shared" si="234"/>
        <v>3.9603506034601388E-2</v>
      </c>
      <c r="AI81" s="48">
        <f t="shared" si="234"/>
        <v>8.8141167122803843E-2</v>
      </c>
      <c r="AJ81" s="48">
        <f t="shared" si="234"/>
        <v>0.12260420937641725</v>
      </c>
      <c r="AK81" s="48">
        <f t="shared" si="234"/>
        <v>5.1567732901419028E-2</v>
      </c>
      <c r="AL81" s="48">
        <f t="shared" si="234"/>
        <v>-2.6653100998770274E-2</v>
      </c>
      <c r="AM81" s="48">
        <f t="shared" si="234"/>
        <v>-5.2821576501888234E-2</v>
      </c>
      <c r="AN81" s="48">
        <f t="shared" si="234"/>
        <v>2.4667429009588737E-2</v>
      </c>
      <c r="AO81" s="583">
        <f t="shared" si="234"/>
        <v>2.2671792320094308E-2</v>
      </c>
      <c r="AP81" s="48">
        <f t="shared" si="234"/>
        <v>5.5731007375751762E-2</v>
      </c>
      <c r="AQ81" s="48">
        <f t="shared" si="234"/>
        <v>7.1800049094873364E-2</v>
      </c>
      <c r="AR81" s="48">
        <f t="shared" si="234"/>
        <v>-4.4965100992126472E-2</v>
      </c>
      <c r="AS81" s="583">
        <f t="shared" si="234"/>
        <v>-7.4173996252330565E-2</v>
      </c>
      <c r="AT81" s="48">
        <f t="shared" si="234"/>
        <v>-0.15067454749766696</v>
      </c>
      <c r="AU81" s="48">
        <f t="shared" si="234"/>
        <v>0.18236385463276217</v>
      </c>
      <c r="AV81" s="48">
        <f t="shared" si="234"/>
        <v>3.2330992486869103E-2</v>
      </c>
      <c r="AW81" s="583">
        <f t="shared" si="234"/>
        <v>2.8154747615291464E-2</v>
      </c>
      <c r="AX81" s="48">
        <f t="shared" si="234"/>
        <v>7.7996137896857443E-2</v>
      </c>
      <c r="AY81" s="48">
        <f t="shared" si="234"/>
        <v>3.7076533408773482E-2</v>
      </c>
      <c r="AZ81" s="48">
        <f t="shared" si="234"/>
        <v>0.15348713801183433</v>
      </c>
      <c r="BA81" s="583">
        <f t="shared" si="234"/>
        <v>-9.3680860596486948E-2</v>
      </c>
      <c r="BB81" s="48">
        <f t="shared" si="234"/>
        <v>0.12491552805793504</v>
      </c>
      <c r="BC81" s="48">
        <f>BC9/BB9-1</f>
        <v>0.21787089917174773</v>
      </c>
      <c r="BD81" s="48">
        <f t="shared" si="234"/>
        <v>5.2972170266839758E-2</v>
      </c>
      <c r="BE81" s="583">
        <f t="shared" si="234"/>
        <v>0.11641119704487113</v>
      </c>
      <c r="BF81" s="48">
        <f t="shared" ref="BF81:CG81" si="235">BF9/BE9-1</f>
        <v>0.16571216644441766</v>
      </c>
      <c r="BG81" s="48">
        <f t="shared" si="235"/>
        <v>3.3264672125540296E-2</v>
      </c>
      <c r="BH81" s="48">
        <f t="shared" si="235"/>
        <v>1.9924714843282398E-3</v>
      </c>
      <c r="BI81" s="583">
        <f t="shared" si="235"/>
        <v>-0.14981258088807503</v>
      </c>
      <c r="BJ81" s="48">
        <f t="shared" si="235"/>
        <v>-9.8060162711948062E-2</v>
      </c>
      <c r="BK81" s="48">
        <f t="shared" si="235"/>
        <v>6.7092118652413157E-2</v>
      </c>
      <c r="BL81" s="48">
        <f t="shared" si="235"/>
        <v>3.8567773821517104E-2</v>
      </c>
      <c r="BM81" s="583">
        <f t="shared" si="235"/>
        <v>3.5618177969945153E-2</v>
      </c>
      <c r="BN81" s="48">
        <f t="shared" si="235"/>
        <v>4.2827291203772377E-2</v>
      </c>
      <c r="BO81" s="48">
        <f t="shared" si="235"/>
        <v>8.6334174391604179E-2</v>
      </c>
      <c r="BP81" s="48">
        <f t="shared" si="235"/>
        <v>0.14196360759826554</v>
      </c>
      <c r="BQ81" s="583">
        <f t="shared" si="235"/>
        <v>1.6623618037682419E-2</v>
      </c>
      <c r="BR81" s="48">
        <f t="shared" si="235"/>
        <v>1.808559943206145E-2</v>
      </c>
      <c r="BS81" s="48">
        <f t="shared" si="235"/>
        <v>-1.696999956835199E-2</v>
      </c>
      <c r="BT81" s="48">
        <f t="shared" si="235"/>
        <v>7.8203186323994034E-2</v>
      </c>
      <c r="BU81" s="582">
        <f t="shared" si="235"/>
        <v>4.4876569281835366E-2</v>
      </c>
      <c r="BV81" s="48">
        <f t="shared" si="235"/>
        <v>6.7412434554448009E-3</v>
      </c>
      <c r="BW81" s="48">
        <f t="shared" si="235"/>
        <v>0.15235285114677222</v>
      </c>
      <c r="BX81" s="48">
        <f t="shared" si="235"/>
        <v>4.6682504319690787E-2</v>
      </c>
      <c r="BY81" s="583">
        <f t="shared" si="235"/>
        <v>4.693103478411742E-2</v>
      </c>
      <c r="BZ81" s="48">
        <f t="shared" si="235"/>
        <v>-1.9592555820286295E-2</v>
      </c>
      <c r="CA81" s="48">
        <f t="shared" si="235"/>
        <v>5.38934264115698E-2</v>
      </c>
      <c r="CB81" s="48">
        <f t="shared" si="235"/>
        <v>0.12170774136430929</v>
      </c>
      <c r="CC81" s="583">
        <f t="shared" si="235"/>
        <v>4.4905130785128256E-2</v>
      </c>
      <c r="CD81" s="48">
        <f t="shared" si="235"/>
        <v>6.2067721983238844E-3</v>
      </c>
      <c r="CE81" s="48">
        <f t="shared" si="235"/>
        <v>3.6016965032847903E-2</v>
      </c>
      <c r="CF81" s="48">
        <f t="shared" si="235"/>
        <v>8.4492264578398091E-2</v>
      </c>
      <c r="CG81" s="583">
        <f t="shared" si="235"/>
        <v>5.5479280478883064E-2</v>
      </c>
    </row>
    <row r="82" spans="1:85" s="168" customFormat="1">
      <c r="A82" s="19"/>
      <c r="B82" s="8" t="s">
        <v>705</v>
      </c>
      <c r="C82" s="48"/>
      <c r="D82" s="48" t="e">
        <f ca="1">D33/C33-1</f>
        <v>#DIV/0!</v>
      </c>
      <c r="E82" s="48">
        <f t="shared" ref="E82:N82" ca="1" si="236">E33/D33-1</f>
        <v>-0.30382656197384206</v>
      </c>
      <c r="F82" s="48">
        <f t="shared" ca="1" si="236"/>
        <v>0.70451072977849782</v>
      </c>
      <c r="G82" s="48">
        <f t="shared" ca="1" si="236"/>
        <v>0.52792742473108567</v>
      </c>
      <c r="H82" s="48">
        <f t="shared" ca="1" si="236"/>
        <v>-0.63180191388124007</v>
      </c>
      <c r="I82" s="48">
        <f t="shared" ca="1" si="236"/>
        <v>-0.88278153649065483</v>
      </c>
      <c r="J82" s="48">
        <f t="shared" ca="1" si="236"/>
        <v>2.3408469945356223</v>
      </c>
      <c r="K82" s="48">
        <f t="shared" si="236"/>
        <v>5.3779595174810355</v>
      </c>
      <c r="L82" s="48">
        <f t="shared" si="236"/>
        <v>3.4641123784244696</v>
      </c>
      <c r="M82" s="48">
        <f t="shared" si="236"/>
        <v>0.3182027083892851</v>
      </c>
      <c r="N82" s="48">
        <f t="shared" si="236"/>
        <v>-0.80511461971292353</v>
      </c>
      <c r="O82" s="48">
        <f t="shared" ref="O82:T82" si="237">O33/N33-1</f>
        <v>0.32327594640905621</v>
      </c>
      <c r="P82" s="48">
        <f t="shared" si="237"/>
        <v>1.3446170030291542</v>
      </c>
      <c r="Q82" s="48">
        <f t="shared" si="237"/>
        <v>0.30674630006376802</v>
      </c>
      <c r="R82" s="48">
        <f t="shared" ref="R82" si="238">R33/Q33-1</f>
        <v>0.37116033972736662</v>
      </c>
      <c r="S82" s="48">
        <f t="shared" ref="S82" si="239">S33/R33-1</f>
        <v>0.40343013427980967</v>
      </c>
      <c r="T82" s="48">
        <f t="shared" si="237"/>
        <v>0.34379447643460259</v>
      </c>
      <c r="U82" s="48"/>
      <c r="V82" s="48"/>
      <c r="W82" s="48">
        <f t="shared" ref="W82:AW82" si="240">W33/V33-1</f>
        <v>1.0304079167440992</v>
      </c>
      <c r="X82" s="48">
        <f t="shared" si="240"/>
        <v>-0.44471140094960238</v>
      </c>
      <c r="Y82" s="48">
        <f t="shared" si="240"/>
        <v>-0.83313073040074126</v>
      </c>
      <c r="Z82" s="48">
        <f t="shared" si="240"/>
        <v>2.6529201135942606</v>
      </c>
      <c r="AA82" s="48">
        <f t="shared" si="240"/>
        <v>0.96694270745310118</v>
      </c>
      <c r="AB82" s="48">
        <f t="shared" si="240"/>
        <v>-0.29852900742370114</v>
      </c>
      <c r="AC82" s="48">
        <f t="shared" si="240"/>
        <v>-0.95962763351298408</v>
      </c>
      <c r="AD82" s="48">
        <f t="shared" si="240"/>
        <v>26.611650485437032</v>
      </c>
      <c r="AE82" s="48">
        <f t="shared" si="240"/>
        <v>0.33344321378340425</v>
      </c>
      <c r="AF82" s="48">
        <f t="shared" si="240"/>
        <v>0.22329713070850588</v>
      </c>
      <c r="AG82" s="48">
        <f t="shared" si="240"/>
        <v>-0.4395899011128177</v>
      </c>
      <c r="AH82" s="48">
        <f t="shared" si="240"/>
        <v>0.58992235016948391</v>
      </c>
      <c r="AI82" s="48">
        <f t="shared" si="240"/>
        <v>0.74519172614007467</v>
      </c>
      <c r="AJ82" s="48">
        <f t="shared" si="240"/>
        <v>-5.8811297868653467E-2</v>
      </c>
      <c r="AK82" s="48">
        <f t="shared" si="240"/>
        <v>-0.54877015980558186</v>
      </c>
      <c r="AL82" s="48">
        <f>AL33/AK33-1</f>
        <v>0.57872618221877503</v>
      </c>
      <c r="AM82" s="48">
        <f t="shared" si="240"/>
        <v>-0.7204662342025685</v>
      </c>
      <c r="AN82" s="48">
        <f t="shared" si="240"/>
        <v>4.9602440828398819E-2</v>
      </c>
      <c r="AO82" s="583">
        <f t="shared" si="240"/>
        <v>-0.86029508918740261</v>
      </c>
      <c r="AP82" s="48">
        <f t="shared" si="240"/>
        <v>12.32345523329124</v>
      </c>
      <c r="AQ82" s="48">
        <f t="shared" si="240"/>
        <v>-0.54720552742416428</v>
      </c>
      <c r="AR82" s="48">
        <f t="shared" si="240"/>
        <v>-1.3045568561872911</v>
      </c>
      <c r="AS82" s="583">
        <f t="shared" si="240"/>
        <v>6.022992450240225</v>
      </c>
      <c r="AT82" s="48">
        <f t="shared" si="240"/>
        <v>-1.5972391888590294</v>
      </c>
      <c r="AU82" s="48">
        <f t="shared" si="240"/>
        <v>-2.7520965432603779</v>
      </c>
      <c r="AV82" s="48">
        <f t="shared" si="240"/>
        <v>-2.1008638804576227</v>
      </c>
      <c r="AW82" s="583">
        <f t="shared" si="240"/>
        <v>-0.5727465535524936</v>
      </c>
      <c r="AX82" s="48">
        <f t="shared" ref="AX82:CG82" si="241">AX33/AW33-1</f>
        <v>1.3500124100273103</v>
      </c>
      <c r="AY82" s="48">
        <f t="shared" si="241"/>
        <v>0.36596185124944247</v>
      </c>
      <c r="AZ82" s="48">
        <f t="shared" si="241"/>
        <v>1.8251322178579197</v>
      </c>
      <c r="BA82" s="583">
        <f t="shared" si="241"/>
        <v>-0.90558322841972705</v>
      </c>
      <c r="BB82" s="48">
        <f t="shared" si="241"/>
        <v>6.2259841150211299</v>
      </c>
      <c r="BC82" s="48">
        <f t="shared" si="241"/>
        <v>3.3144952303014268</v>
      </c>
      <c r="BD82" s="48">
        <f t="shared" si="241"/>
        <v>-0.42345605778010054</v>
      </c>
      <c r="BE82" s="583">
        <f t="shared" si="241"/>
        <v>0.35501412702713186</v>
      </c>
      <c r="BF82" s="48">
        <f t="shared" si="241"/>
        <v>0.27577514674588377</v>
      </c>
      <c r="BG82" s="48">
        <f t="shared" si="241"/>
        <v>6.4779624270718816E-3</v>
      </c>
      <c r="BH82" s="48">
        <f t="shared" si="241"/>
        <v>-0.11405097480178694</v>
      </c>
      <c r="BI82" s="583">
        <f t="shared" si="241"/>
        <v>-0.40921788001732451</v>
      </c>
      <c r="BJ82" s="48">
        <f t="shared" si="241"/>
        <v>-0.70503212370637414</v>
      </c>
      <c r="BK82" s="48">
        <f t="shared" si="241"/>
        <v>-4.1845274545827094E-2</v>
      </c>
      <c r="BL82" s="48">
        <f t="shared" si="241"/>
        <v>9.5115165793627776E-2</v>
      </c>
      <c r="BM82" s="583">
        <f t="shared" si="241"/>
        <v>0.22760562090904934</v>
      </c>
      <c r="BN82" s="48">
        <f t="shared" si="241"/>
        <v>-0.9775722888197026</v>
      </c>
      <c r="BO82" s="48">
        <f t="shared" si="241"/>
        <v>35.217788861181297</v>
      </c>
      <c r="BP82" s="48">
        <f t="shared" si="241"/>
        <v>0.94958687170071121</v>
      </c>
      <c r="BQ82" s="583">
        <f t="shared" si="241"/>
        <v>0.25945481408230076</v>
      </c>
      <c r="BR82" s="48">
        <f t="shared" si="241"/>
        <v>0.44683008903325194</v>
      </c>
      <c r="BS82" s="48">
        <f t="shared" si="241"/>
        <v>-0.51327159197728545</v>
      </c>
      <c r="BT82" s="48">
        <f t="shared" si="241"/>
        <v>1.3299441852439386</v>
      </c>
      <c r="BU82" s="583">
        <f t="shared" si="241"/>
        <v>-0.14939798159336215</v>
      </c>
      <c r="BV82" s="48">
        <f t="shared" si="241"/>
        <v>-0.17020963096912445</v>
      </c>
      <c r="BW82" s="48">
        <f t="shared" si="241"/>
        <v>0.42347386909785567</v>
      </c>
      <c r="BX82" s="48">
        <f t="shared" si="241"/>
        <v>0.15265551843099834</v>
      </c>
      <c r="BY82" s="583">
        <f t="shared" si="241"/>
        <v>9.0382234228706393E-2</v>
      </c>
      <c r="BZ82" s="48">
        <f t="shared" si="241"/>
        <v>-5.8100304519902446E-2</v>
      </c>
      <c r="CA82" s="48">
        <f t="shared" si="241"/>
        <v>5.3641244064923654E-3</v>
      </c>
      <c r="CB82" s="48">
        <f t="shared" si="241"/>
        <v>0.42691174127514464</v>
      </c>
      <c r="CC82" s="583">
        <f t="shared" si="241"/>
        <v>-7.7892745431596522E-2</v>
      </c>
      <c r="CD82" s="48">
        <f t="shared" si="241"/>
        <v>8.9977003154466217E-2</v>
      </c>
      <c r="CE82" s="48">
        <f t="shared" si="241"/>
        <v>4.1826789373050399E-2</v>
      </c>
      <c r="CF82" s="48">
        <f t="shared" si="241"/>
        <v>0.23899285733311304</v>
      </c>
      <c r="CG82" s="583">
        <f t="shared" si="241"/>
        <v>9.6017994921226979E-3</v>
      </c>
    </row>
    <row r="83" spans="1:85" s="168" customFormat="1">
      <c r="A83" s="19"/>
      <c r="B83" s="8" t="s">
        <v>425</v>
      </c>
      <c r="C83" s="48"/>
      <c r="D83" s="48" t="e">
        <f>D45/C45-1</f>
        <v>#DIV/0!</v>
      </c>
      <c r="E83" s="48">
        <f t="shared" ref="E83:N83" si="242">E45/D45-1</f>
        <v>-0.22703068920530578</v>
      </c>
      <c r="F83" s="48">
        <f t="shared" si="242"/>
        <v>0.67232162260050687</v>
      </c>
      <c r="G83" s="48">
        <f t="shared" si="242"/>
        <v>0.34227077413542162</v>
      </c>
      <c r="H83" s="48">
        <f t="shared" si="242"/>
        <v>-0.58607147236690094</v>
      </c>
      <c r="I83" s="48">
        <f t="shared" ca="1" si="242"/>
        <v>-0.28519751459822995</v>
      </c>
      <c r="J83" s="48">
        <f t="shared" ca="1" si="242"/>
        <v>0.98802447457110731</v>
      </c>
      <c r="K83" s="48">
        <f t="shared" si="242"/>
        <v>3.0455572867519498</v>
      </c>
      <c r="L83" s="48">
        <f t="shared" si="242"/>
        <v>1.4956659000173582</v>
      </c>
      <c r="M83" s="48">
        <f t="shared" si="242"/>
        <v>0.20310608349399328</v>
      </c>
      <c r="N83" s="48">
        <f t="shared" si="242"/>
        <v>-0.46368893977476211</v>
      </c>
      <c r="O83" s="48">
        <f t="shared" ref="O83:T83" si="243">O45/N45-1</f>
        <v>-0.27655335092285993</v>
      </c>
      <c r="P83" s="48">
        <f t="shared" si="243"/>
        <v>0.24934462945372182</v>
      </c>
      <c r="Q83" s="48">
        <f t="shared" si="243"/>
        <v>0.37185060805928005</v>
      </c>
      <c r="R83" s="48">
        <f t="shared" ref="R83" si="244">R45/Q45-1</f>
        <v>0.35937153167247415</v>
      </c>
      <c r="S83" s="48">
        <f t="shared" ref="S83" si="245">S45/R45-1</f>
        <v>0.40527913082113765</v>
      </c>
      <c r="T83" s="48">
        <f t="shared" si="243"/>
        <v>0.34115852343086761</v>
      </c>
      <c r="U83" s="48"/>
      <c r="V83" s="48"/>
      <c r="W83" s="48">
        <f t="shared" ref="W83:AW83" si="246">W45/V45-1</f>
        <v>0.76175432075822336</v>
      </c>
      <c r="X83" s="48">
        <f t="shared" si="246"/>
        <v>-0.42175632911392413</v>
      </c>
      <c r="Y83" s="48">
        <f t="shared" si="246"/>
        <v>-0.63845943357504442</v>
      </c>
      <c r="Z83" s="48">
        <f t="shared" si="246"/>
        <v>0.28640807316304007</v>
      </c>
      <c r="AA83" s="48">
        <f t="shared" si="246"/>
        <v>1.7989311629731319</v>
      </c>
      <c r="AB83" s="48">
        <f t="shared" si="246"/>
        <v>-0.14761679541752071</v>
      </c>
      <c r="AC83" s="48">
        <f t="shared" si="246"/>
        <v>-0.7553020961775585</v>
      </c>
      <c r="AD83" s="48">
        <f t="shared" si="246"/>
        <v>3.3360208280843198</v>
      </c>
      <c r="AE83" s="48">
        <f t="shared" si="246"/>
        <v>0.40657382478839432</v>
      </c>
      <c r="AF83" s="48">
        <f t="shared" si="246"/>
        <v>-2.5516386670338842E-2</v>
      </c>
      <c r="AG83" s="48">
        <f t="shared" si="246"/>
        <v>-0.49343620614128048</v>
      </c>
      <c r="AH83" s="48">
        <f t="shared" si="246"/>
        <v>0.46451684891765233</v>
      </c>
      <c r="AI83" s="48">
        <f t="shared" si="246"/>
        <v>0.80548571428571414</v>
      </c>
      <c r="AJ83" s="48">
        <f t="shared" si="246"/>
        <v>0.1932206608431446</v>
      </c>
      <c r="AK83" s="48">
        <f t="shared" si="246"/>
        <v>-0.56242539985676765</v>
      </c>
      <c r="AL83" s="48">
        <f>AL45/AK45-1</f>
        <v>0.31367319310581721</v>
      </c>
      <c r="AM83" s="48">
        <f t="shared" si="246"/>
        <v>-0.44363608398061993</v>
      </c>
      <c r="AN83" s="48">
        <f t="shared" si="246"/>
        <v>-0.17076744443215741</v>
      </c>
      <c r="AO83" s="583">
        <f t="shared" si="246"/>
        <v>-1.0971161860310052</v>
      </c>
      <c r="AP83" s="48">
        <f t="shared" si="246"/>
        <v>-15.774459320288363</v>
      </c>
      <c r="AQ83" s="48">
        <f t="shared" si="246"/>
        <v>-0.20788605418467387</v>
      </c>
      <c r="AR83" s="48">
        <f t="shared" si="246"/>
        <v>-0.64756093983749374</v>
      </c>
      <c r="AS83" s="583">
        <f t="shared" si="246"/>
        <v>-0.78834789846025799</v>
      </c>
      <c r="AT83" s="48">
        <f t="shared" si="246"/>
        <v>10.993708218639433</v>
      </c>
      <c r="AU83" s="48">
        <f t="shared" si="246"/>
        <v>-1.8016721311475412</v>
      </c>
      <c r="AV83" s="48">
        <f t="shared" si="246"/>
        <v>-4.6271318146497009</v>
      </c>
      <c r="AW83" s="583">
        <f t="shared" si="246"/>
        <v>-1.2933124358700865E-2</v>
      </c>
      <c r="AX83" s="48">
        <f t="shared" ref="AX83:CG83" si="247">AX45/AW45-1</f>
        <v>-0.24996572995202093</v>
      </c>
      <c r="AY83" s="48">
        <f t="shared" si="247"/>
        <v>1.157619787383104</v>
      </c>
      <c r="AZ83" s="48">
        <f t="shared" si="247"/>
        <v>1.0081389192814041</v>
      </c>
      <c r="BA83" s="583">
        <f t="shared" si="247"/>
        <v>-0.13667249009606897</v>
      </c>
      <c r="BB83" s="48">
        <f t="shared" si="247"/>
        <v>-0.42386462650955625</v>
      </c>
      <c r="BC83" s="48">
        <f t="shared" si="247"/>
        <v>3.8086855123674921</v>
      </c>
      <c r="BD83" s="48">
        <f t="shared" si="247"/>
        <v>-0.43123382454304593</v>
      </c>
      <c r="BE83" s="583">
        <f t="shared" si="247"/>
        <v>0.63147762948799135</v>
      </c>
      <c r="BF83" s="48">
        <f t="shared" si="247"/>
        <v>-9.0657121588875178E-2</v>
      </c>
      <c r="BG83" s="48">
        <f t="shared" si="247"/>
        <v>0.10815466341548396</v>
      </c>
      <c r="BH83" s="48">
        <f t="shared" si="247"/>
        <v>-8.1198025295208032E-2</v>
      </c>
      <c r="BI83" s="583">
        <f t="shared" si="247"/>
        <v>-0.28304181598912004</v>
      </c>
      <c r="BJ83" s="48">
        <f t="shared" si="247"/>
        <v>-0.34169682885453656</v>
      </c>
      <c r="BK83" s="48">
        <f t="shared" si="247"/>
        <v>0.79675981298249354</v>
      </c>
      <c r="BL83" s="48">
        <f t="shared" si="247"/>
        <v>-0.66149060805577098</v>
      </c>
      <c r="BM83" s="583">
        <f t="shared" si="247"/>
        <v>0.47771342081113644</v>
      </c>
      <c r="BN83" s="48">
        <f t="shared" si="247"/>
        <v>-0.69992459099689097</v>
      </c>
      <c r="BO83" s="48">
        <f t="shared" si="247"/>
        <v>1.5132033381264054</v>
      </c>
      <c r="BP83" s="48">
        <f t="shared" si="247"/>
        <v>0.29867657674518111</v>
      </c>
      <c r="BQ83" s="583">
        <f t="shared" si="247"/>
        <v>0.46067064132547109</v>
      </c>
      <c r="BR83" s="48">
        <f t="shared" si="247"/>
        <v>-1.5447236974146294E-2</v>
      </c>
      <c r="BS83" s="48">
        <f t="shared" si="247"/>
        <v>-0.54075859778513324</v>
      </c>
      <c r="BT83" s="48">
        <f t="shared" si="247"/>
        <v>1.1014451191381709</v>
      </c>
      <c r="BU83" s="583">
        <f t="shared" si="247"/>
        <v>-0.32803581388173586</v>
      </c>
      <c r="BV83" s="48">
        <f t="shared" si="247"/>
        <v>0.1272742524381576</v>
      </c>
      <c r="BW83" s="48">
        <f t="shared" si="247"/>
        <v>0.38542690457287154</v>
      </c>
      <c r="BX83" s="48">
        <f t="shared" si="247"/>
        <v>0.15221663791789553</v>
      </c>
      <c r="BY83" s="583">
        <f t="shared" si="247"/>
        <v>0.11800886562805002</v>
      </c>
      <c r="BZ83" s="48">
        <f t="shared" si="247"/>
        <v>-7.6683864224205367E-2</v>
      </c>
      <c r="CA83" s="48">
        <f t="shared" si="247"/>
        <v>5.3235532268596231E-3</v>
      </c>
      <c r="CB83" s="48">
        <f t="shared" si="247"/>
        <v>0.42369992247839194</v>
      </c>
      <c r="CC83" s="583">
        <f t="shared" si="247"/>
        <v>-7.7481130153639222E-2</v>
      </c>
      <c r="CD83" s="48">
        <f t="shared" si="247"/>
        <v>9.3437890243336152E-2</v>
      </c>
      <c r="CE83" s="48">
        <f t="shared" si="247"/>
        <v>4.1455567165753715E-2</v>
      </c>
      <c r="CF83" s="48">
        <f t="shared" si="247"/>
        <v>0.23695617359836363</v>
      </c>
      <c r="CG83" s="583">
        <f t="shared" si="247"/>
        <v>9.535648403796726E-3</v>
      </c>
    </row>
    <row r="84" spans="1:85" s="168" customFormat="1">
      <c r="A84" s="19"/>
      <c r="B84" s="8" t="s">
        <v>850</v>
      </c>
      <c r="C84" s="48"/>
      <c r="D84" s="48" t="e">
        <f ca="1">D52/C52-1</f>
        <v>#DIV/0!</v>
      </c>
      <c r="E84" s="48">
        <f t="shared" ref="E84:N84" ca="1" si="248">E52/D52-1</f>
        <v>-0.11668986066279019</v>
      </c>
      <c r="F84" s="543">
        <f t="shared" ca="1" si="248"/>
        <v>0.65661670011570972</v>
      </c>
      <c r="G84" s="543">
        <f t="shared" ca="1" si="248"/>
        <v>0.48624171799961324</v>
      </c>
      <c r="H84" s="543">
        <f t="shared" ca="1" si="248"/>
        <v>-0.52292966571967181</v>
      </c>
      <c r="I84" s="543">
        <f t="shared" ca="1" si="248"/>
        <v>-0.25391948975673484</v>
      </c>
      <c r="J84" s="543">
        <f t="shared" ca="1" si="248"/>
        <v>0.75063220320018686</v>
      </c>
      <c r="K84" s="543">
        <f t="shared" si="248"/>
        <v>2.0490325164798127</v>
      </c>
      <c r="L84" s="543">
        <f t="shared" si="248"/>
        <v>1.3783145831877577</v>
      </c>
      <c r="M84" s="543">
        <f t="shared" si="248"/>
        <v>6.8244679319521273E-2</v>
      </c>
      <c r="N84" s="543">
        <f t="shared" si="248"/>
        <v>-0.50354521761420301</v>
      </c>
      <c r="O84" s="543">
        <f t="shared" ref="O84:T84" si="249">O52/N52-1</f>
        <v>-0.45403456520920094</v>
      </c>
      <c r="P84" s="543">
        <f t="shared" si="249"/>
        <v>0.39042877901076611</v>
      </c>
      <c r="Q84" s="48">
        <f t="shared" si="249"/>
        <v>0.72775541164779822</v>
      </c>
      <c r="R84" s="48">
        <f t="shared" ref="R84" si="250">R52/Q52-1</f>
        <v>0.33530323420260344</v>
      </c>
      <c r="S84" s="48">
        <f t="shared" ref="S84" si="251">S52/R52-1</f>
        <v>0.44138293835960063</v>
      </c>
      <c r="T84" s="48">
        <f t="shared" si="249"/>
        <v>0.30193775439821491</v>
      </c>
      <c r="U84" s="48"/>
      <c r="V84" s="48"/>
      <c r="W84" s="48">
        <f t="shared" ref="W84:AW84" si="252">W52/V52-1</f>
        <v>0.85698453354349313</v>
      </c>
      <c r="X84" s="48">
        <f t="shared" si="252"/>
        <v>-0.43646635986260129</v>
      </c>
      <c r="Y84" s="48">
        <f t="shared" si="252"/>
        <v>-0.65449153938481086</v>
      </c>
      <c r="Z84" s="48">
        <f t="shared" si="252"/>
        <v>0.38008310060622552</v>
      </c>
      <c r="AA84" s="48">
        <f t="shared" si="252"/>
        <v>1.8034647845614735</v>
      </c>
      <c r="AB84" s="48">
        <f t="shared" si="252"/>
        <v>-0.16339501065122108</v>
      </c>
      <c r="AC84" s="48">
        <f t="shared" si="252"/>
        <v>-0.40263047138047137</v>
      </c>
      <c r="AD84" s="48">
        <f t="shared" si="252"/>
        <v>0.95431007151160729</v>
      </c>
      <c r="AE84" s="48">
        <f t="shared" si="252"/>
        <v>0.38262703462696246</v>
      </c>
      <c r="AF84" s="48">
        <f t="shared" si="252"/>
        <v>7.7205882352941124E-2</v>
      </c>
      <c r="AG84" s="48">
        <f t="shared" si="252"/>
        <v>-0.53278629002977262</v>
      </c>
      <c r="AH84" s="48">
        <f t="shared" si="252"/>
        <v>0.5909750284944566</v>
      </c>
      <c r="AI84" s="48">
        <f t="shared" si="252"/>
        <v>0.58981080465010272</v>
      </c>
      <c r="AJ84" s="48">
        <f t="shared" si="252"/>
        <v>0.16302243888450785</v>
      </c>
      <c r="AK84" s="48">
        <f t="shared" si="252"/>
        <v>-8.4122189836299488E-2</v>
      </c>
      <c r="AL84" s="48">
        <f>AL52/AK52-1</f>
        <v>-0.3289843088993154</v>
      </c>
      <c r="AM84" s="48">
        <f t="shared" si="252"/>
        <v>-0.48029115501998831</v>
      </c>
      <c r="AN84" s="48">
        <f t="shared" si="252"/>
        <v>-0.28595847922582762</v>
      </c>
      <c r="AO84" s="583">
        <f t="shared" si="252"/>
        <v>0.84246496003706706</v>
      </c>
      <c r="AP84" s="48">
        <f t="shared" si="252"/>
        <v>-0.38436229515067699</v>
      </c>
      <c r="AQ84" s="48">
        <f t="shared" si="252"/>
        <v>0.75644211457943311</v>
      </c>
      <c r="AR84" s="48">
        <f t="shared" si="252"/>
        <v>-0.48528072249462195</v>
      </c>
      <c r="AS84" s="583">
        <f t="shared" si="252"/>
        <v>-1.468428781204123E-3</v>
      </c>
      <c r="AT84" s="48">
        <f t="shared" si="252"/>
        <v>-0.53725490196078129</v>
      </c>
      <c r="AU84" s="48">
        <f t="shared" si="252"/>
        <v>0.51067470664926762</v>
      </c>
      <c r="AV84" s="48">
        <f t="shared" si="252"/>
        <v>5.2104212740709031</v>
      </c>
      <c r="AW84" s="583">
        <f t="shared" si="252"/>
        <v>-0.22929604377470003</v>
      </c>
      <c r="AX84" s="48">
        <f t="shared" ref="AX84:CG84" si="253">AX52/AW52-1</f>
        <v>-0.27690313855862858</v>
      </c>
      <c r="AY84" s="48">
        <f t="shared" si="253"/>
        <v>1.1502555950377134</v>
      </c>
      <c r="AZ84" s="48">
        <f t="shared" si="253"/>
        <v>0.85823627046655515</v>
      </c>
      <c r="BA84" s="583">
        <f t="shared" si="253"/>
        <v>2.5704133333852575E-3</v>
      </c>
      <c r="BB84" s="48">
        <f t="shared" si="253"/>
        <v>-0.38189684015593051</v>
      </c>
      <c r="BC84" s="48">
        <f t="shared" si="253"/>
        <v>3.3291812482690908</v>
      </c>
      <c r="BD84" s="48">
        <f t="shared" si="253"/>
        <v>-0.53278627746607676</v>
      </c>
      <c r="BE84" s="583">
        <f t="shared" si="253"/>
        <v>0.66102797252848133</v>
      </c>
      <c r="BF84" s="48">
        <f t="shared" si="253"/>
        <v>-0.16214008576679606</v>
      </c>
      <c r="BG84" s="48">
        <f t="shared" si="253"/>
        <v>0.15004684422004932</v>
      </c>
      <c r="BH84" s="48">
        <f t="shared" si="253"/>
        <v>-8.4542668937573784E-2</v>
      </c>
      <c r="BI84" s="583">
        <f t="shared" si="253"/>
        <v>-0.18119397089087952</v>
      </c>
      <c r="BJ84" s="48">
        <f t="shared" si="253"/>
        <v>-0.40056648700244324</v>
      </c>
      <c r="BK84" s="48">
        <f t="shared" si="253"/>
        <v>0.74278889840849427</v>
      </c>
      <c r="BL84" s="48">
        <f t="shared" si="253"/>
        <v>-0.76665127296020974</v>
      </c>
      <c r="BM84" s="583">
        <f t="shared" si="253"/>
        <v>0.8585929519918285</v>
      </c>
      <c r="BN84" s="48">
        <f t="shared" si="253"/>
        <v>-0.58900376693115331</v>
      </c>
      <c r="BO84" s="48">
        <f t="shared" si="253"/>
        <v>1.2923027635391127</v>
      </c>
      <c r="BP84" s="48">
        <f t="shared" si="253"/>
        <v>-9.5819990399163779E-2</v>
      </c>
      <c r="BQ84" s="583">
        <f t="shared" si="253"/>
        <v>-0.27696908602150538</v>
      </c>
      <c r="BR84" s="48">
        <f t="shared" si="253"/>
        <v>0.74774833390651274</v>
      </c>
      <c r="BS84" s="48">
        <f t="shared" si="253"/>
        <v>-0.29541308798893828</v>
      </c>
      <c r="BT84" s="48">
        <f t="shared" si="253"/>
        <v>0.44737219500781222</v>
      </c>
      <c r="BU84" s="583">
        <f t="shared" si="253"/>
        <v>-9.8598233189749585E-2</v>
      </c>
      <c r="BV84" s="48">
        <f t="shared" si="253"/>
        <v>0.14230175121925814</v>
      </c>
      <c r="BW84" s="48">
        <f t="shared" si="253"/>
        <v>0.44293278875626196</v>
      </c>
      <c r="BX84" s="48">
        <f t="shared" si="253"/>
        <v>0.15578941213867536</v>
      </c>
      <c r="BY84" s="583">
        <f t="shared" si="253"/>
        <v>0.13000150941661204</v>
      </c>
      <c r="BZ84" s="48">
        <f t="shared" si="253"/>
        <v>-0.12418167731637464</v>
      </c>
      <c r="CA84" s="48">
        <f t="shared" si="253"/>
        <v>5.9795324663614036E-3</v>
      </c>
      <c r="CB84" s="48">
        <f t="shared" si="253"/>
        <v>0.47559877242109949</v>
      </c>
      <c r="CC84" s="583">
        <f t="shared" si="253"/>
        <v>-8.3912848401440199E-2</v>
      </c>
      <c r="CD84" s="48">
        <f t="shared" si="253"/>
        <v>9.7373961897360362E-2</v>
      </c>
      <c r="CE84" s="48">
        <f t="shared" si="253"/>
        <v>4.5049846132038551E-2</v>
      </c>
      <c r="CF84" s="48">
        <f t="shared" si="253"/>
        <v>0.2566151066055673</v>
      </c>
      <c r="CG84" s="583">
        <f t="shared" si="253"/>
        <v>1.01652123771383E-2</v>
      </c>
    </row>
    <row r="85" spans="1:85" s="168" customFormat="1">
      <c r="A85" s="19"/>
      <c r="B85" s="8" t="s">
        <v>137</v>
      </c>
      <c r="C85" s="48"/>
      <c r="D85" s="48" t="e">
        <f ca="1">D56/C56-1</f>
        <v>#DIV/0!</v>
      </c>
      <c r="E85" s="48">
        <f t="shared" ref="E85:N85" ca="1" si="254">E56/D56-1</f>
        <v>-0.16269054346393119</v>
      </c>
      <c r="F85" s="48">
        <f t="shared" ca="1" si="254"/>
        <v>0.3315996593408439</v>
      </c>
      <c r="G85" s="48">
        <f t="shared" ca="1" si="254"/>
        <v>0.47982259838949393</v>
      </c>
      <c r="H85" s="48">
        <f t="shared" ca="1" si="254"/>
        <v>-0.56210030292830693</v>
      </c>
      <c r="I85" s="48">
        <f ca="1">I56/H56-1</f>
        <v>-0.30848065590571361</v>
      </c>
      <c r="J85" s="48">
        <f t="shared" ca="1" si="254"/>
        <v>0.72100290479869944</v>
      </c>
      <c r="K85" s="48">
        <f t="shared" si="254"/>
        <v>1.3070006249349051</v>
      </c>
      <c r="L85" s="48">
        <f t="shared" si="254"/>
        <v>1.0102496163891921</v>
      </c>
      <c r="M85" s="48">
        <f t="shared" si="254"/>
        <v>6.7235821980945687E-2</v>
      </c>
      <c r="N85" s="48">
        <f t="shared" si="254"/>
        <v>-0.5047221446178789</v>
      </c>
      <c r="O85" s="48">
        <f t="shared" ref="O85:T85" si="255">O56/N56-1</f>
        <v>-0.45630557678701711</v>
      </c>
      <c r="P85" s="48">
        <f t="shared" si="255"/>
        <v>0.38541637518046112</v>
      </c>
      <c r="Q85" s="48">
        <f t="shared" si="255"/>
        <v>0.72498340980964526</v>
      </c>
      <c r="R85" s="48">
        <f t="shared" ref="R85" si="256">R56/Q56-1</f>
        <v>0.33530323420260344</v>
      </c>
      <c r="S85" s="48">
        <f t="shared" ref="S85" si="257">S56/R56-1</f>
        <v>0.44138293835960063</v>
      </c>
      <c r="T85" s="48">
        <f t="shared" si="255"/>
        <v>0.30193775439821491</v>
      </c>
      <c r="U85" s="48"/>
      <c r="V85" s="48"/>
      <c r="W85" s="48">
        <f t="shared" ref="W85:AW85" si="258">W56/V56-1</f>
        <v>0.85488958990536257</v>
      </c>
      <c r="X85" s="48">
        <f t="shared" si="258"/>
        <v>-0.43707482993197277</v>
      </c>
      <c r="Y85" s="48">
        <f t="shared" si="258"/>
        <v>-0.65407854984894254</v>
      </c>
      <c r="Z85" s="48">
        <f t="shared" si="258"/>
        <v>0.37554585152838427</v>
      </c>
      <c r="AA85" s="48">
        <f t="shared" si="258"/>
        <v>1.7507936507936512</v>
      </c>
      <c r="AB85" s="48">
        <f t="shared" si="258"/>
        <v>-0.21292556260819395</v>
      </c>
      <c r="AC85" s="48">
        <f t="shared" si="258"/>
        <v>-0.39369501466275658</v>
      </c>
      <c r="AD85" s="48">
        <f t="shared" si="258"/>
        <v>0.86940749697702557</v>
      </c>
      <c r="AE85" s="48">
        <f t="shared" si="258"/>
        <v>0.33376455368693403</v>
      </c>
      <c r="AF85" s="48">
        <f t="shared" si="258"/>
        <v>-1.6973811833171704E-2</v>
      </c>
      <c r="AG85" s="48">
        <f t="shared" si="258"/>
        <v>-0.54612728169708924</v>
      </c>
      <c r="AH85" s="48">
        <f t="shared" si="258"/>
        <v>0.58586956521739131</v>
      </c>
      <c r="AI85" s="48">
        <f t="shared" si="258"/>
        <v>0.58670322138450981</v>
      </c>
      <c r="AJ85" s="48">
        <f t="shared" si="258"/>
        <v>0.16198704103671702</v>
      </c>
      <c r="AK85" s="48">
        <f t="shared" si="258"/>
        <v>-8.9591078066914465E-2</v>
      </c>
      <c r="AL85" s="48">
        <f>AL56/AK56-1</f>
        <v>-0.36423029808084939</v>
      </c>
      <c r="AM85" s="48">
        <f t="shared" si="258"/>
        <v>-0.49903660886319845</v>
      </c>
      <c r="AN85" s="48">
        <f t="shared" si="258"/>
        <v>-0.28589743589743588</v>
      </c>
      <c r="AO85" s="583">
        <f t="shared" si="258"/>
        <v>0.81149012567324941</v>
      </c>
      <c r="AP85" s="48">
        <f>AP56/AO56-1</f>
        <v>-0.40832507433102083</v>
      </c>
      <c r="AQ85" s="48">
        <f t="shared" si="258"/>
        <v>0.75209380234505874</v>
      </c>
      <c r="AR85" s="48">
        <f t="shared" si="258"/>
        <v>-0.49330783938814537</v>
      </c>
      <c r="AS85" s="583">
        <f t="shared" si="258"/>
        <v>-7.547169811320753E-3</v>
      </c>
      <c r="AT85" s="48">
        <f t="shared" si="258"/>
        <v>-0.53717916129562382</v>
      </c>
      <c r="AU85" s="48">
        <f t="shared" si="258"/>
        <v>0.5079824150928629</v>
      </c>
      <c r="AV85" s="48">
        <f t="shared" si="258"/>
        <v>5.2078394348792125</v>
      </c>
      <c r="AW85" s="583">
        <f t="shared" si="258"/>
        <v>-0.22969852379493283</v>
      </c>
      <c r="AX85" s="48">
        <f t="shared" ref="AX85:CG85" si="259">AX56/AW56-1</f>
        <v>-0.28261695203098003</v>
      </c>
      <c r="AY85" s="48">
        <f t="shared" si="259"/>
        <v>1.0527547792237493</v>
      </c>
      <c r="AZ85" s="48">
        <f t="shared" si="259"/>
        <v>0.36678706938809325</v>
      </c>
      <c r="BA85" s="583">
        <f t="shared" si="259"/>
        <v>-5.5240140370513835E-2</v>
      </c>
      <c r="BB85" s="48">
        <f t="shared" si="259"/>
        <v>-0.39635553618131636</v>
      </c>
      <c r="BC85" s="48">
        <f t="shared" si="259"/>
        <v>3.3205415548463142</v>
      </c>
      <c r="BD85" s="48">
        <f t="shared" si="259"/>
        <v>-0.53284845270384229</v>
      </c>
      <c r="BE85" s="583">
        <f t="shared" si="259"/>
        <v>0.66052693761740078</v>
      </c>
      <c r="BF85" s="48">
        <f t="shared" si="259"/>
        <v>-0.16217694903398083</v>
      </c>
      <c r="BG85" s="48">
        <f t="shared" si="259"/>
        <v>0.1498563293081383</v>
      </c>
      <c r="BH85" s="48">
        <f t="shared" si="259"/>
        <v>-8.4742055460492072E-2</v>
      </c>
      <c r="BI85" s="583">
        <f t="shared" si="259"/>
        <v>-0.18201775469168835</v>
      </c>
      <c r="BJ85" s="48">
        <f t="shared" si="259"/>
        <v>-0.40041669021138526</v>
      </c>
      <c r="BK85" s="48">
        <f t="shared" si="259"/>
        <v>0.74036958014972432</v>
      </c>
      <c r="BL85" s="48">
        <f t="shared" si="259"/>
        <v>-0.76688662215540881</v>
      </c>
      <c r="BM85" s="583">
        <f t="shared" si="259"/>
        <v>0.85531831049574425</v>
      </c>
      <c r="BN85" s="48">
        <f t="shared" si="259"/>
        <v>-0.58905548408644071</v>
      </c>
      <c r="BO85" s="48">
        <f t="shared" si="259"/>
        <v>1.2902853987736145</v>
      </c>
      <c r="BP85" s="48">
        <f t="shared" si="259"/>
        <v>-9.6501533119968341E-2</v>
      </c>
      <c r="BQ85" s="583">
        <f t="shared" si="259"/>
        <v>-0.27832901877506999</v>
      </c>
      <c r="BR85" s="48">
        <f t="shared" si="259"/>
        <v>0.74687215978248389</v>
      </c>
      <c r="BS85" s="48">
        <f t="shared" si="259"/>
        <v>-0.29603068232703966</v>
      </c>
      <c r="BT85" s="48">
        <f t="shared" si="259"/>
        <v>0.44700980837911719</v>
      </c>
      <c r="BU85" s="583">
        <f t="shared" si="259"/>
        <v>-9.9950335839964932E-2</v>
      </c>
      <c r="BV85" s="48">
        <f t="shared" si="259"/>
        <v>0.14215898134659</v>
      </c>
      <c r="BW85" s="48">
        <f t="shared" si="259"/>
        <v>0.44293278875626174</v>
      </c>
      <c r="BX85" s="48">
        <f t="shared" si="259"/>
        <v>0.15578941213867536</v>
      </c>
      <c r="BY85" s="583">
        <f t="shared" si="259"/>
        <v>0.13000150941661182</v>
      </c>
      <c r="BZ85" s="48">
        <f t="shared" si="259"/>
        <v>-0.12418167731637464</v>
      </c>
      <c r="CA85" s="48">
        <f t="shared" si="259"/>
        <v>5.9795324663616256E-3</v>
      </c>
      <c r="CB85" s="48">
        <f t="shared" si="259"/>
        <v>0.47559877242109949</v>
      </c>
      <c r="CC85" s="583">
        <f t="shared" si="259"/>
        <v>-8.391284840144031E-2</v>
      </c>
      <c r="CD85" s="48">
        <f t="shared" si="259"/>
        <v>9.7373961897360362E-2</v>
      </c>
      <c r="CE85" s="48">
        <f t="shared" si="259"/>
        <v>4.5049846132038329E-2</v>
      </c>
      <c r="CF85" s="48">
        <f t="shared" si="259"/>
        <v>0.2566151066055673</v>
      </c>
      <c r="CG85" s="583">
        <f t="shared" si="259"/>
        <v>1.01652123771383E-2</v>
      </c>
    </row>
    <row r="86" spans="1:85">
      <c r="A86" s="17"/>
      <c r="B86" s="2" t="s">
        <v>863</v>
      </c>
      <c r="C86" s="21"/>
      <c r="D86" s="21"/>
      <c r="E86" s="21"/>
      <c r="F86" s="21"/>
      <c r="G86" s="21"/>
      <c r="H86" s="21"/>
      <c r="I86" s="21"/>
      <c r="J86" s="478"/>
      <c r="K86" s="478"/>
      <c r="L86" s="478"/>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575"/>
      <c r="AP86" s="48">
        <f>AP56/AL56-1</f>
        <v>-0.61657032755298657</v>
      </c>
      <c r="AQ86" s="48">
        <f t="shared" ref="AQ86:BE86" si="260">AQ56/AM56-1</f>
        <v>0.34102564102564115</v>
      </c>
      <c r="AR86" s="48">
        <f t="shared" si="260"/>
        <v>-4.8473967684021568E-2</v>
      </c>
      <c r="AS86" s="48">
        <f t="shared" si="260"/>
        <v>-0.47869177403369678</v>
      </c>
      <c r="AT86" s="48">
        <f t="shared" si="260"/>
        <v>-0.59222150559714914</v>
      </c>
      <c r="AU86" s="48">
        <f t="shared" si="260"/>
        <v>-0.649035458039113</v>
      </c>
      <c r="AV86" s="48">
        <f t="shared" si="260"/>
        <v>3.2999116489155726</v>
      </c>
      <c r="AW86" s="48">
        <f t="shared" si="260"/>
        <v>2.3374163385491369</v>
      </c>
      <c r="AX86" s="48">
        <f t="shared" si="260"/>
        <v>4.1730728287696444</v>
      </c>
      <c r="AY86" s="48">
        <f t="shared" si="260"/>
        <v>6.0418924426751195</v>
      </c>
      <c r="AZ86" s="48">
        <f t="shared" si="260"/>
        <v>0.55042146879518317</v>
      </c>
      <c r="BA86" s="48">
        <f t="shared" si="260"/>
        <v>0.90156193967299503</v>
      </c>
      <c r="BB86" s="48">
        <f t="shared" si="260"/>
        <v>0.60007591584669195</v>
      </c>
      <c r="BC86" s="48">
        <f>BC56/AY56-1</f>
        <v>2.3677644087320733</v>
      </c>
      <c r="BD86" s="48">
        <f t="shared" si="260"/>
        <v>0.15106177816889965</v>
      </c>
      <c r="BE86" s="48">
        <f t="shared" si="260"/>
        <v>1.0231269036565962</v>
      </c>
      <c r="BF86" s="48">
        <f t="shared" ref="BF86:CG86" si="261">BF56/BB56-1</f>
        <v>1.8079812812167821</v>
      </c>
      <c r="BG86" s="48">
        <f t="shared" si="261"/>
        <v>-0.25269205079992729</v>
      </c>
      <c r="BH86" s="48">
        <f t="shared" si="261"/>
        <v>0.46414914278187003</v>
      </c>
      <c r="BI86" s="583">
        <f t="shared" si="261"/>
        <v>-0.27875424592786602</v>
      </c>
      <c r="BJ86" s="48">
        <f t="shared" si="261"/>
        <v>-0.48384457088052268</v>
      </c>
      <c r="BK86" s="48">
        <f t="shared" si="261"/>
        <v>-0.21877091548544325</v>
      </c>
      <c r="BL86" s="48">
        <f t="shared" si="261"/>
        <v>-0.80102335975542593</v>
      </c>
      <c r="BM86" s="583">
        <f t="shared" si="261"/>
        <v>-0.54868824338902622</v>
      </c>
      <c r="BN86" s="48">
        <f t="shared" si="261"/>
        <v>-0.69067836225798085</v>
      </c>
      <c r="BO86" s="48">
        <f t="shared" si="261"/>
        <v>-0.59294000623457177</v>
      </c>
      <c r="BP86" s="48">
        <f t="shared" si="261"/>
        <v>0.57767899764399155</v>
      </c>
      <c r="BQ86" s="583">
        <f t="shared" si="261"/>
        <v>-0.38632355221920012</v>
      </c>
      <c r="BR86" s="48">
        <f t="shared" si="261"/>
        <v>1.6086594667392591</v>
      </c>
      <c r="BS86" s="48">
        <f t="shared" si="261"/>
        <v>-0.19817144805407405</v>
      </c>
      <c r="BT86" s="48">
        <f t="shared" si="261"/>
        <v>0.28417902391221239</v>
      </c>
      <c r="BU86" s="583">
        <f t="shared" si="261"/>
        <v>0.60159536584345696</v>
      </c>
      <c r="BV86" s="48">
        <f t="shared" si="261"/>
        <v>4.7172525669513465E-2</v>
      </c>
      <c r="BW86" s="48">
        <f t="shared" si="261"/>
        <v>1.1463997575462614</v>
      </c>
      <c r="BX86" s="48">
        <f t="shared" si="261"/>
        <v>0.71442245907639479</v>
      </c>
      <c r="BY86" s="583">
        <f t="shared" si="261"/>
        <v>1.1524367417458428</v>
      </c>
      <c r="BZ86" s="48">
        <f t="shared" si="261"/>
        <v>0.65050887628261078</v>
      </c>
      <c r="CA86" s="48">
        <f t="shared" si="261"/>
        <v>0.15069680350498249</v>
      </c>
      <c r="CB86" s="48">
        <f t="shared" si="261"/>
        <v>0.4690970282717104</v>
      </c>
      <c r="CC86" s="583">
        <f t="shared" si="261"/>
        <v>0.19099036668203184</v>
      </c>
      <c r="CD86" s="48">
        <f t="shared" si="261"/>
        <v>0.49227503400790251</v>
      </c>
      <c r="CE86" s="48">
        <f t="shared" si="261"/>
        <v>0.55023213131703397</v>
      </c>
      <c r="CF86" s="48">
        <f t="shared" si="261"/>
        <v>0.32017263186120792</v>
      </c>
      <c r="CG86" s="583">
        <f t="shared" si="261"/>
        <v>0.45574846750275011</v>
      </c>
    </row>
    <row r="87" spans="1:85" s="7" customFormat="1" ht="15.75">
      <c r="A87" s="16"/>
      <c r="B87" s="134" t="s">
        <v>157</v>
      </c>
      <c r="C87" s="135"/>
      <c r="D87" s="135"/>
      <c r="E87" s="135"/>
      <c r="F87" s="135"/>
      <c r="G87" s="135"/>
      <c r="H87" s="135"/>
      <c r="I87" s="136"/>
      <c r="J87" s="136"/>
      <c r="K87" s="136"/>
      <c r="L87" s="136"/>
      <c r="M87" s="136"/>
      <c r="N87" s="136"/>
      <c r="O87" s="136"/>
      <c r="P87" s="136"/>
      <c r="Q87" s="136"/>
      <c r="R87" s="136"/>
      <c r="S87" s="136"/>
      <c r="T87" s="136"/>
      <c r="U87" s="139"/>
      <c r="V87" s="137"/>
      <c r="W87" s="137"/>
      <c r="X87" s="137"/>
      <c r="Y87" s="137"/>
      <c r="Z87" s="137"/>
      <c r="AA87" s="137"/>
      <c r="AB87" s="137"/>
      <c r="AC87" s="137"/>
      <c r="AD87" s="137"/>
      <c r="AE87" s="137"/>
      <c r="AF87" s="137"/>
      <c r="AG87" s="137"/>
      <c r="AH87" s="137"/>
      <c r="AI87" s="137"/>
      <c r="AJ87" s="137"/>
      <c r="AK87" s="137"/>
      <c r="AL87" s="137"/>
      <c r="AM87" s="137"/>
      <c r="AN87" s="137"/>
      <c r="AO87" s="566"/>
      <c r="AP87" s="137"/>
      <c r="AQ87" s="137"/>
      <c r="AR87" s="138"/>
      <c r="AS87" s="604"/>
      <c r="AT87" s="138"/>
      <c r="AU87" s="138"/>
      <c r="AV87" s="138"/>
      <c r="AW87" s="604"/>
      <c r="AX87" s="138"/>
      <c r="AY87" s="138"/>
      <c r="AZ87" s="138"/>
      <c r="BA87" s="604"/>
      <c r="BB87" s="138"/>
      <c r="BC87" s="138"/>
      <c r="BD87" s="138"/>
      <c r="BE87" s="604"/>
      <c r="BF87" s="138"/>
      <c r="BG87" s="138"/>
      <c r="BH87" s="138"/>
      <c r="BI87" s="604"/>
      <c r="BJ87" s="138"/>
      <c r="BK87" s="138"/>
      <c r="BL87" s="138"/>
      <c r="BM87" s="604"/>
      <c r="BN87" s="138"/>
      <c r="BO87" s="138"/>
      <c r="BP87" s="138"/>
      <c r="BQ87" s="604"/>
      <c r="BR87" s="138"/>
      <c r="BS87" s="138"/>
      <c r="BT87" s="138"/>
      <c r="BU87" s="604"/>
      <c r="BV87" s="138"/>
      <c r="BW87" s="138"/>
      <c r="BX87" s="138"/>
      <c r="BY87" s="604"/>
      <c r="BZ87" s="138"/>
      <c r="CA87" s="138"/>
      <c r="CB87" s="138"/>
      <c r="CC87" s="604"/>
      <c r="CD87" s="138"/>
      <c r="CE87" s="138"/>
      <c r="CF87" s="138"/>
      <c r="CG87" s="604"/>
    </row>
    <row r="88" spans="1:85">
      <c r="A88" s="17"/>
      <c r="B88" s="4"/>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575"/>
      <c r="AP88" s="21"/>
      <c r="AQ88" s="21"/>
      <c r="AR88" s="21"/>
      <c r="AS88" s="575"/>
      <c r="AT88" s="21"/>
      <c r="AU88" s="21"/>
      <c r="AV88" s="21"/>
      <c r="AW88" s="575"/>
      <c r="AX88" s="21"/>
      <c r="AY88" s="21"/>
      <c r="AZ88" s="21"/>
      <c r="BA88" s="575"/>
      <c r="BB88" s="21"/>
      <c r="BC88" s="21"/>
      <c r="BD88" s="21"/>
      <c r="BE88" s="575"/>
      <c r="BF88" s="21"/>
      <c r="BG88" s="21"/>
      <c r="BH88" s="21"/>
      <c r="BI88" s="575"/>
      <c r="BJ88" s="21"/>
      <c r="BK88" s="21"/>
      <c r="BL88" s="21"/>
      <c r="BM88" s="575"/>
      <c r="BN88" s="21"/>
      <c r="BO88" s="21"/>
      <c r="BP88" s="21"/>
      <c r="BQ88" s="575"/>
      <c r="BR88" s="21"/>
      <c r="BS88" s="21"/>
      <c r="BT88" s="21"/>
      <c r="BU88" s="575"/>
      <c r="BV88" s="21"/>
      <c r="BW88" s="21"/>
      <c r="BX88" s="21"/>
      <c r="BY88" s="575"/>
      <c r="BZ88" s="21"/>
      <c r="CA88" s="21"/>
      <c r="CB88" s="21"/>
      <c r="CC88" s="575"/>
      <c r="CD88" s="21"/>
      <c r="CE88" s="21"/>
      <c r="CF88" s="21"/>
      <c r="CG88" s="575"/>
    </row>
    <row r="89" spans="1:85">
      <c r="A89" s="17"/>
      <c r="B89" s="4" t="s">
        <v>292</v>
      </c>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575"/>
      <c r="AP89" s="21"/>
      <c r="AQ89" s="21"/>
      <c r="AR89" s="21"/>
      <c r="AS89" s="575"/>
      <c r="AT89" s="21"/>
      <c r="AU89" s="21"/>
      <c r="AV89" s="21"/>
      <c r="AW89" s="575"/>
      <c r="AX89" s="21"/>
      <c r="AY89" s="21"/>
      <c r="AZ89" s="21"/>
      <c r="BA89" s="575"/>
      <c r="BB89" s="21"/>
      <c r="BC89" s="21"/>
      <c r="BD89" s="21"/>
      <c r="BE89" s="575"/>
      <c r="BF89" s="21"/>
      <c r="BG89" s="21"/>
      <c r="BH89" s="21"/>
      <c r="BI89" s="575"/>
      <c r="BJ89" s="21"/>
      <c r="BK89" s="21"/>
      <c r="BL89" s="21"/>
      <c r="BM89" s="575"/>
      <c r="BN89" s="21"/>
      <c r="BO89" s="21"/>
      <c r="BP89" s="21"/>
      <c r="BQ89" s="575"/>
      <c r="BR89" s="21"/>
      <c r="BS89" s="21"/>
      <c r="BT89" s="21"/>
      <c r="BU89" s="575"/>
      <c r="BV89" s="21"/>
      <c r="BW89" s="21"/>
      <c r="BX89" s="21"/>
      <c r="BY89" s="575"/>
      <c r="BZ89" s="21"/>
      <c r="CA89" s="21"/>
      <c r="CB89" s="21"/>
      <c r="CC89" s="575"/>
      <c r="CD89" s="21"/>
      <c r="CE89" s="21"/>
      <c r="CF89" s="21"/>
      <c r="CG89" s="575"/>
    </row>
    <row r="90" spans="1:85">
      <c r="A90" s="17"/>
      <c r="B90" s="87" t="s">
        <v>414</v>
      </c>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575"/>
      <c r="AP90" s="21"/>
      <c r="AQ90" s="21"/>
      <c r="AR90" s="21"/>
      <c r="AS90" s="575"/>
      <c r="AT90" s="88"/>
      <c r="AU90" s="88"/>
      <c r="AV90" s="88"/>
      <c r="AW90" s="617"/>
      <c r="AX90" s="88"/>
      <c r="AY90" s="88"/>
      <c r="AZ90" s="88"/>
      <c r="BA90" s="617"/>
      <c r="BB90" s="88"/>
      <c r="BC90" s="88"/>
      <c r="BD90" s="88"/>
      <c r="BE90" s="617"/>
      <c r="BF90" s="88"/>
      <c r="BG90" s="88"/>
      <c r="BH90" s="88"/>
      <c r="BI90" s="617"/>
      <c r="BJ90" s="88"/>
      <c r="BK90" s="88"/>
      <c r="BL90" s="88"/>
      <c r="BM90" s="617"/>
      <c r="BN90" s="88"/>
      <c r="BO90" s="88"/>
      <c r="BP90" s="88"/>
      <c r="BQ90" s="617"/>
      <c r="BR90" s="88"/>
      <c r="BS90" s="88"/>
      <c r="BT90" s="88"/>
      <c r="BU90" s="617"/>
      <c r="BV90" s="88"/>
      <c r="BW90" s="88"/>
      <c r="BX90" s="88"/>
      <c r="BY90" s="617"/>
      <c r="BZ90" s="88"/>
      <c r="CA90" s="88"/>
      <c r="CB90" s="88"/>
      <c r="CC90" s="617"/>
      <c r="CD90" s="88"/>
      <c r="CE90" s="88"/>
      <c r="CF90" s="88"/>
      <c r="CG90" s="617"/>
    </row>
    <row r="91" spans="1:85">
      <c r="A91" s="17"/>
      <c r="B91" s="87" t="s">
        <v>415</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575"/>
      <c r="AP91" s="21"/>
      <c r="AQ91" s="21"/>
      <c r="AR91" s="21"/>
      <c r="AS91" s="575"/>
      <c r="AT91" s="88"/>
      <c r="AU91" s="88"/>
      <c r="AV91" s="88"/>
      <c r="AW91" s="617"/>
      <c r="AX91" s="88"/>
      <c r="AY91" s="88"/>
      <c r="AZ91" s="88"/>
      <c r="BA91" s="617"/>
      <c r="BB91" s="88"/>
      <c r="BC91" s="88"/>
      <c r="BD91" s="88"/>
      <c r="BE91" s="617"/>
      <c r="BF91" s="88"/>
      <c r="BG91" s="88"/>
      <c r="BH91" s="88"/>
      <c r="BI91" s="617"/>
      <c r="BJ91" s="88"/>
      <c r="BK91" s="88"/>
      <c r="BL91" s="88"/>
      <c r="BM91" s="617"/>
      <c r="BN91" s="88"/>
      <c r="BO91" s="88"/>
      <c r="BP91" s="88"/>
      <c r="BQ91" s="617"/>
      <c r="BR91" s="88"/>
      <c r="BS91" s="88"/>
      <c r="BT91" s="88"/>
      <c r="BU91" s="617"/>
      <c r="BV91" s="88"/>
      <c r="BW91" s="88"/>
      <c r="BX91" s="88"/>
      <c r="BY91" s="617"/>
      <c r="BZ91" s="88"/>
      <c r="CA91" s="88"/>
      <c r="CB91" s="88"/>
      <c r="CC91" s="617"/>
      <c r="CD91" s="88"/>
      <c r="CE91" s="88"/>
      <c r="CF91" s="88"/>
      <c r="CG91" s="617"/>
    </row>
    <row r="92" spans="1:85">
      <c r="A92" s="17"/>
      <c r="B92" s="87" t="s">
        <v>416</v>
      </c>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575"/>
      <c r="AP92" s="21"/>
      <c r="AQ92" s="21"/>
      <c r="AR92" s="21"/>
      <c r="AS92" s="575"/>
      <c r="AT92" s="88"/>
      <c r="AU92" s="88"/>
      <c r="AV92" s="88"/>
      <c r="AW92" s="617"/>
      <c r="AX92" s="88"/>
      <c r="AY92" s="88"/>
      <c r="AZ92" s="88"/>
      <c r="BA92" s="617"/>
      <c r="BB92" s="88"/>
      <c r="BC92" s="88"/>
      <c r="BD92" s="88"/>
      <c r="BE92" s="617"/>
      <c r="BF92" s="88"/>
      <c r="BG92" s="88"/>
      <c r="BH92" s="88"/>
      <c r="BI92" s="617"/>
      <c r="BJ92" s="88"/>
      <c r="BK92" s="88"/>
      <c r="BL92" s="88"/>
      <c r="BM92" s="617"/>
      <c r="BN92" s="88"/>
      <c r="BO92" s="88"/>
      <c r="BP92" s="88"/>
      <c r="BQ92" s="617"/>
      <c r="BR92" s="88"/>
      <c r="BS92" s="88"/>
      <c r="BT92" s="88"/>
      <c r="BU92" s="617"/>
      <c r="BV92" s="88"/>
      <c r="BW92" s="88"/>
      <c r="BX92" s="88"/>
      <c r="BY92" s="617"/>
      <c r="BZ92" s="88"/>
      <c r="CA92" s="88"/>
      <c r="CB92" s="88"/>
      <c r="CC92" s="617"/>
      <c r="CD92" s="88"/>
      <c r="CE92" s="88"/>
      <c r="CF92" s="88"/>
      <c r="CG92" s="617"/>
    </row>
    <row r="93" spans="1:85">
      <c r="A93" s="17"/>
      <c r="B93" s="87"/>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575"/>
      <c r="AP93" s="21"/>
      <c r="AQ93" s="21"/>
      <c r="AR93" s="21"/>
      <c r="AS93" s="575"/>
      <c r="AT93" s="21"/>
      <c r="AU93" s="21"/>
      <c r="AV93" s="21"/>
      <c r="AW93" s="575"/>
      <c r="AX93" s="21"/>
      <c r="AY93" s="21"/>
      <c r="AZ93" s="21"/>
      <c r="BA93" s="575"/>
      <c r="BB93" s="21"/>
      <c r="BC93" s="21"/>
      <c r="BD93" s="21"/>
      <c r="BE93" s="575"/>
      <c r="BF93" s="21"/>
      <c r="BG93" s="21"/>
      <c r="BH93" s="21"/>
      <c r="BI93" s="575"/>
      <c r="BJ93" s="21"/>
      <c r="BK93" s="21"/>
      <c r="BL93" s="21"/>
      <c r="BM93" s="575"/>
      <c r="BN93" s="21"/>
      <c r="BO93" s="21"/>
      <c r="BP93" s="21"/>
      <c r="BQ93" s="575"/>
      <c r="BR93" s="21"/>
      <c r="BS93" s="21"/>
      <c r="BT93" s="21"/>
      <c r="BU93" s="575"/>
      <c r="BV93" s="21"/>
      <c r="BW93" s="21"/>
      <c r="BX93" s="21"/>
      <c r="BY93" s="575"/>
      <c r="BZ93" s="21"/>
      <c r="CA93" s="21"/>
      <c r="CB93" s="21"/>
      <c r="CC93" s="575"/>
      <c r="CD93" s="21"/>
      <c r="CE93" s="21"/>
      <c r="CF93" s="21"/>
      <c r="CG93" s="575"/>
    </row>
    <row r="94" spans="1:85">
      <c r="A94" s="17"/>
      <c r="B94" s="12" t="s">
        <v>79</v>
      </c>
      <c r="C94" s="21"/>
      <c r="D94" s="21"/>
      <c r="E94" s="21"/>
      <c r="F94" s="21"/>
      <c r="G94" s="21"/>
      <c r="H94" s="21"/>
      <c r="I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575"/>
      <c r="AP94" s="21"/>
      <c r="AQ94" s="21"/>
      <c r="AR94" s="21"/>
      <c r="AS94" s="575"/>
      <c r="AT94" s="21"/>
      <c r="AU94" s="21"/>
      <c r="AX94" s="21"/>
      <c r="AY94" s="21"/>
      <c r="AZ94" s="21"/>
      <c r="BA94" s="575"/>
      <c r="BB94" s="21"/>
      <c r="BC94" s="21"/>
      <c r="BD94" s="21"/>
      <c r="BE94" s="575"/>
      <c r="BF94" s="21"/>
      <c r="BG94" s="21"/>
      <c r="BH94" s="21"/>
      <c r="BI94" s="575"/>
      <c r="BJ94" s="21"/>
      <c r="BK94" s="21"/>
      <c r="BL94" s="21"/>
      <c r="BM94" s="575"/>
      <c r="BN94" s="21"/>
      <c r="BO94" s="21"/>
      <c r="BP94" s="21"/>
      <c r="BQ94" s="575"/>
      <c r="BR94" s="21"/>
      <c r="BS94" s="21"/>
      <c r="BT94" s="21"/>
      <c r="BU94" s="575"/>
      <c r="BV94" s="21"/>
      <c r="BW94" s="21"/>
      <c r="BX94" s="21"/>
      <c r="BY94" s="575"/>
      <c r="BZ94" s="21"/>
      <c r="CA94" s="21"/>
      <c r="CB94" s="21"/>
      <c r="CC94" s="575"/>
      <c r="CD94" s="21"/>
      <c r="CE94" s="21"/>
      <c r="CF94" s="21"/>
      <c r="CG94" s="575"/>
    </row>
    <row r="95" spans="1:85">
      <c r="A95" s="28"/>
      <c r="B95" s="21" t="s">
        <v>234</v>
      </c>
      <c r="C95" s="21"/>
      <c r="D95" s="21">
        <f t="shared" ref="D95:T95" si="262">C114</f>
        <v>0</v>
      </c>
      <c r="E95" s="21">
        <f t="shared" si="262"/>
        <v>462.483</v>
      </c>
      <c r="F95" s="21">
        <f t="shared" si="262"/>
        <v>603.03599999999994</v>
      </c>
      <c r="G95" s="21">
        <f t="shared" si="262"/>
        <v>1005.201</v>
      </c>
      <c r="H95" s="21">
        <f t="shared" si="262"/>
        <v>2126.011</v>
      </c>
      <c r="I95" s="21">
        <f t="shared" si="262"/>
        <v>1838.3</v>
      </c>
      <c r="J95" s="21">
        <f t="shared" si="262"/>
        <v>1786.42</v>
      </c>
      <c r="K95" s="21">
        <f t="shared" si="262"/>
        <v>2238.84</v>
      </c>
      <c r="L95" s="21">
        <f t="shared" si="262"/>
        <v>9826.5370000000003</v>
      </c>
      <c r="M95" s="21">
        <f t="shared" si="262"/>
        <v>8581.7459999999992</v>
      </c>
      <c r="N95" s="21">
        <f t="shared" si="262"/>
        <v>6932.5870000000004</v>
      </c>
      <c r="O95" s="21">
        <f t="shared" si="262"/>
        <v>6215.058</v>
      </c>
      <c r="P95" s="21">
        <f t="shared" si="262"/>
        <v>6364.1890000000003</v>
      </c>
      <c r="Q95" s="21">
        <f t="shared" si="262"/>
        <v>5872.5</v>
      </c>
      <c r="R95" s="21">
        <f t="shared" ref="R95" si="263">Q114</f>
        <v>7456.8772210553652</v>
      </c>
      <c r="S95" s="21">
        <f t="shared" ref="S95" si="264">R114</f>
        <v>6268.1257363711029</v>
      </c>
      <c r="T95" s="21">
        <f t="shared" si="262"/>
        <v>6253.4828672029398</v>
      </c>
      <c r="U95" s="21"/>
      <c r="V95" s="21"/>
      <c r="W95" s="21"/>
      <c r="X95" s="21"/>
      <c r="Y95" s="21"/>
      <c r="Z95" s="21"/>
      <c r="AA95" s="21"/>
      <c r="AB95" s="21"/>
      <c r="AC95" s="21"/>
      <c r="AD95" s="21"/>
      <c r="AE95" s="21"/>
      <c r="AF95" s="21"/>
      <c r="AG95" s="21"/>
      <c r="AH95" s="21"/>
      <c r="AI95" s="21"/>
      <c r="AJ95" s="21"/>
      <c r="AK95" s="21"/>
      <c r="AL95" s="21"/>
      <c r="AX95" s="21"/>
      <c r="AY95" s="21"/>
      <c r="AZ95" s="21"/>
      <c r="BA95" s="575"/>
      <c r="BB95" s="21"/>
      <c r="BC95" s="21"/>
      <c r="BD95" s="21"/>
      <c r="BE95" s="575"/>
      <c r="BF95" s="21"/>
      <c r="BG95" s="21"/>
      <c r="BH95" s="21"/>
      <c r="BI95" s="575"/>
      <c r="BJ95" s="21"/>
      <c r="BK95" s="21"/>
      <c r="BL95" s="21"/>
      <c r="BM95" s="575"/>
      <c r="BN95" s="21"/>
      <c r="BO95" s="21"/>
      <c r="BP95" s="21"/>
      <c r="BQ95" s="575"/>
      <c r="BR95" s="21"/>
      <c r="BS95" s="21"/>
      <c r="BT95" s="21"/>
      <c r="BU95" s="575"/>
      <c r="BV95" s="21"/>
      <c r="BW95" s="21"/>
      <c r="BX95" s="21"/>
      <c r="BY95" s="575"/>
      <c r="BZ95" s="21"/>
      <c r="CA95" s="21"/>
      <c r="CB95" s="21"/>
      <c r="CC95" s="575"/>
      <c r="CD95" s="21"/>
      <c r="CE95" s="21"/>
      <c r="CF95" s="21"/>
      <c r="CG95" s="575"/>
    </row>
    <row r="96" spans="1:85" s="168" customFormat="1">
      <c r="A96" s="17"/>
      <c r="B96" s="9" t="s">
        <v>80</v>
      </c>
      <c r="C96" s="48"/>
      <c r="D96" s="48" t="e">
        <f t="shared" ref="D96:N96" ca="1" si="265">D37/D95</f>
        <v>#DIV/0!</v>
      </c>
      <c r="E96" s="48">
        <f t="shared" ca="1" si="265"/>
        <v>3.0768698525134978E-2</v>
      </c>
      <c r="F96" s="48">
        <f t="shared" ca="1" si="265"/>
        <v>8.6213758382584129E-3</v>
      </c>
      <c r="G96" s="48">
        <f t="shared" ca="1" si="265"/>
        <v>1.11848277110747E-2</v>
      </c>
      <c r="H96" s="48">
        <f t="shared" ca="1" si="265"/>
        <v>1.2742173017919474E-2</v>
      </c>
      <c r="I96" s="48">
        <f t="shared" ca="1" si="265"/>
        <v>3.4999184028722187E-2</v>
      </c>
      <c r="J96" s="48">
        <f t="shared" si="265"/>
        <v>7.7802532439180033E-2</v>
      </c>
      <c r="K96" s="48">
        <f t="shared" si="265"/>
        <v>7.6286827106894647E-2</v>
      </c>
      <c r="L96" s="48">
        <f t="shared" si="265"/>
        <v>2.2697212659963523E-2</v>
      </c>
      <c r="M96" s="48">
        <f t="shared" si="265"/>
        <v>4.0683446002713203E-2</v>
      </c>
      <c r="N96" s="48">
        <f t="shared" si="265"/>
        <v>0.1062505237943642</v>
      </c>
      <c r="O96" s="48">
        <f>O37/O95</f>
        <v>8.7860966060171936E-2</v>
      </c>
      <c r="P96" s="48">
        <f>P37/P95</f>
        <v>6.2549996551013801E-2</v>
      </c>
      <c r="Q96" s="129">
        <v>4.8000000000000001E-2</v>
      </c>
      <c r="R96" s="129">
        <v>4.2000000000000003E-2</v>
      </c>
      <c r="S96" s="129">
        <f>R96</f>
        <v>4.2000000000000003E-2</v>
      </c>
      <c r="T96" s="129">
        <f>S96</f>
        <v>4.2000000000000003E-2</v>
      </c>
      <c r="U96" s="140"/>
      <c r="V96" s="174"/>
      <c r="W96" s="174"/>
      <c r="X96" s="174"/>
      <c r="Y96" s="174"/>
      <c r="Z96" s="174"/>
      <c r="AA96" s="174"/>
      <c r="AB96" s="174"/>
      <c r="AC96" s="174"/>
      <c r="AD96" s="174"/>
      <c r="AE96" s="174"/>
      <c r="AF96" s="174"/>
      <c r="AG96" s="174"/>
      <c r="AH96" s="174"/>
      <c r="AI96" s="174"/>
      <c r="AJ96" s="174"/>
      <c r="AK96" s="174"/>
      <c r="AL96" s="174"/>
      <c r="AO96" s="585"/>
      <c r="AS96" s="585"/>
      <c r="AW96" s="585"/>
      <c r="AX96" s="174"/>
      <c r="AY96" s="174"/>
      <c r="AZ96" s="174"/>
      <c r="BA96" s="620"/>
      <c r="BB96" s="174"/>
      <c r="BC96" s="174"/>
      <c r="BD96" s="174"/>
      <c r="BE96" s="620"/>
      <c r="BF96" s="174"/>
      <c r="BG96" s="174"/>
      <c r="BH96" s="174"/>
      <c r="BI96" s="620"/>
      <c r="BJ96" s="174"/>
      <c r="BK96" s="174"/>
      <c r="BL96" s="174"/>
      <c r="BM96" s="620"/>
      <c r="BN96" s="174"/>
      <c r="BO96" s="174"/>
      <c r="BP96" s="174"/>
      <c r="BQ96" s="620"/>
      <c r="BR96" s="174"/>
      <c r="BS96" s="174"/>
      <c r="BT96" s="174"/>
      <c r="BU96" s="620"/>
      <c r="BV96" s="174"/>
      <c r="BW96" s="174"/>
      <c r="BX96" s="174"/>
      <c r="BY96" s="620"/>
      <c r="BZ96" s="174"/>
      <c r="CA96" s="174"/>
      <c r="CB96" s="174"/>
      <c r="CC96" s="620"/>
      <c r="CD96" s="174"/>
      <c r="CE96" s="174"/>
      <c r="CF96" s="174"/>
      <c r="CG96" s="620"/>
    </row>
    <row r="97" spans="1:85" s="168" customFormat="1">
      <c r="A97" s="17"/>
      <c r="B97" s="533" t="s">
        <v>923</v>
      </c>
      <c r="C97" s="48"/>
      <c r="D97" s="48"/>
      <c r="E97" s="48"/>
      <c r="F97" s="48"/>
      <c r="G97" s="48"/>
      <c r="H97" s="48"/>
      <c r="I97" s="48"/>
      <c r="J97" s="536">
        <f t="shared" ref="J97:O97" si="266">I114+I110</f>
        <v>3783.2280000000001</v>
      </c>
      <c r="K97" s="536">
        <f t="shared" si="266"/>
        <v>4515.21</v>
      </c>
      <c r="L97" s="536">
        <f t="shared" si="266"/>
        <v>11465.258</v>
      </c>
      <c r="M97" s="536">
        <f t="shared" si="266"/>
        <v>10347.25</v>
      </c>
      <c r="N97" s="536">
        <f t="shared" si="266"/>
        <v>10958.495000000003</v>
      </c>
      <c r="O97" s="536">
        <f t="shared" si="266"/>
        <v>7267.9030000000021</v>
      </c>
      <c r="P97" s="536">
        <f>O114+O110</f>
        <v>8523.8809999999994</v>
      </c>
      <c r="Q97" s="536">
        <f>P114+P110</f>
        <v>8101.2119999999995</v>
      </c>
      <c r="R97" s="536">
        <f>Q114+Q110</f>
        <v>8685.5892210553648</v>
      </c>
      <c r="S97" s="536">
        <f>R114+R110</f>
        <v>7496.8377363711024</v>
      </c>
      <c r="T97" s="536">
        <f>S114+S110</f>
        <v>7482.1948672029393</v>
      </c>
      <c r="U97" s="140"/>
      <c r="V97" s="174"/>
      <c r="W97" s="174"/>
      <c r="X97" s="174"/>
      <c r="Y97" s="174"/>
      <c r="Z97" s="174"/>
      <c r="AA97" s="174"/>
      <c r="AB97" s="174"/>
      <c r="AC97" s="174"/>
      <c r="AD97" s="174"/>
      <c r="AE97" s="174"/>
      <c r="AF97" s="174"/>
      <c r="AG97" s="174"/>
      <c r="AH97" s="174"/>
      <c r="AI97" s="174"/>
      <c r="AJ97" s="174"/>
      <c r="AK97" s="174"/>
      <c r="AL97" s="174"/>
      <c r="AM97" s="536">
        <f t="shared" ref="AM97:BB97" si="267">AL110+AL114</f>
        <v>1552.0429999999999</v>
      </c>
      <c r="AN97" s="536">
        <f t="shared" si="267"/>
        <v>876.11800000000005</v>
      </c>
      <c r="AO97" s="586">
        <f t="shared" si="267"/>
        <v>1119.1489999999999</v>
      </c>
      <c r="AP97" s="536">
        <f t="shared" si="267"/>
        <v>1838.3</v>
      </c>
      <c r="AQ97" s="536">
        <f t="shared" si="267"/>
        <v>2174.413</v>
      </c>
      <c r="AR97" s="536">
        <f t="shared" si="267"/>
        <v>2649.893</v>
      </c>
      <c r="AS97" s="586">
        <f t="shared" si="267"/>
        <v>2904.8520000000003</v>
      </c>
      <c r="AT97" s="536">
        <f t="shared" si="267"/>
        <v>3783.2280000000001</v>
      </c>
      <c r="AU97" s="536">
        <f t="shared" si="267"/>
        <v>3880.5439999999999</v>
      </c>
      <c r="AV97" s="536">
        <f t="shared" si="267"/>
        <v>3723.8240000000001</v>
      </c>
      <c r="AW97" s="586">
        <f t="shared" si="267"/>
        <v>3795.1810000000005</v>
      </c>
      <c r="AX97" s="586">
        <f t="shared" si="267"/>
        <v>4515.21</v>
      </c>
      <c r="AY97" s="586">
        <f t="shared" si="267"/>
        <v>5283.5</v>
      </c>
      <c r="AZ97" s="586">
        <f t="shared" si="267"/>
        <v>6402</v>
      </c>
      <c r="BA97" s="586">
        <f t="shared" si="267"/>
        <v>11557</v>
      </c>
      <c r="BB97" s="586">
        <f t="shared" si="267"/>
        <v>11465.258</v>
      </c>
      <c r="BC97" s="174"/>
      <c r="BD97" s="174"/>
      <c r="BE97" s="620"/>
      <c r="BF97" s="174"/>
      <c r="BG97" s="174"/>
      <c r="BH97" s="174"/>
      <c r="BI97" s="620"/>
      <c r="BJ97" s="174"/>
      <c r="BK97" s="174"/>
      <c r="BL97" s="174"/>
      <c r="BM97" s="620"/>
      <c r="BN97" s="174"/>
      <c r="BO97" s="174"/>
      <c r="BP97" s="174"/>
      <c r="BQ97" s="620"/>
      <c r="BR97" s="174"/>
      <c r="BS97" s="174"/>
      <c r="BT97" s="174"/>
      <c r="BU97" s="620"/>
      <c r="BV97" s="174"/>
      <c r="BW97" s="174"/>
      <c r="BX97" s="174"/>
      <c r="BY97" s="620"/>
      <c r="BZ97" s="174"/>
      <c r="CA97" s="174"/>
      <c r="CB97" s="174"/>
      <c r="CC97" s="620"/>
      <c r="CD97" s="174"/>
      <c r="CE97" s="174"/>
      <c r="CF97" s="174"/>
      <c r="CG97" s="620"/>
    </row>
    <row r="98" spans="1:85" s="168" customFormat="1">
      <c r="A98" s="17"/>
      <c r="B98" s="541" t="s">
        <v>924</v>
      </c>
      <c r="C98" s="48"/>
      <c r="D98" s="48"/>
      <c r="E98" s="48"/>
      <c r="F98" s="48"/>
      <c r="G98" s="48"/>
      <c r="H98" s="48"/>
      <c r="I98" s="48"/>
      <c r="J98" s="534">
        <f t="shared" ref="J98:S98" si="268">J37/J97</f>
        <v>3.6737939135574167E-2</v>
      </c>
      <c r="K98" s="534">
        <f t="shared" si="268"/>
        <v>3.7826369094682198E-2</v>
      </c>
      <c r="L98" s="534">
        <f t="shared" si="268"/>
        <v>1.9453116536932703E-2</v>
      </c>
      <c r="M98" s="534">
        <f t="shared" si="268"/>
        <v>3.3741815458213531E-2</v>
      </c>
      <c r="N98" s="534">
        <f>N37/N97</f>
        <v>6.7216438023651959E-2</v>
      </c>
      <c r="O98" s="534">
        <f>O37/O97</f>
        <v>7.5133226186425428E-2</v>
      </c>
      <c r="P98" s="534">
        <f t="shared" si="268"/>
        <v>4.6701731288834279E-2</v>
      </c>
      <c r="Q98" s="534">
        <f t="shared" si="268"/>
        <v>3.4794793667910433E-2</v>
      </c>
      <c r="R98" s="534">
        <f t="shared" si="268"/>
        <v>3.605844523767042E-2</v>
      </c>
      <c r="S98" s="534">
        <f t="shared" si="268"/>
        <v>3.5116310394497058E-2</v>
      </c>
      <c r="T98" s="534">
        <f>T37/T97</f>
        <v>3.5102838817229073E-2</v>
      </c>
      <c r="U98" s="140"/>
      <c r="V98" s="174"/>
      <c r="W98" s="174"/>
      <c r="X98" s="174"/>
      <c r="Y98" s="174"/>
      <c r="Z98" s="174"/>
      <c r="AA98" s="174"/>
      <c r="AB98" s="174"/>
      <c r="AC98" s="174"/>
      <c r="AD98" s="174"/>
      <c r="AE98" s="174"/>
      <c r="AF98" s="174"/>
      <c r="AG98" s="174"/>
      <c r="AH98" s="174"/>
      <c r="AI98" s="174"/>
      <c r="AJ98" s="174"/>
      <c r="AK98" s="174"/>
      <c r="AL98" s="174"/>
      <c r="AM98" s="542">
        <f t="shared" ref="AM98:BA98" si="269">AM37/AM97*4</f>
        <v>1.7151586650627593E-2</v>
      </c>
      <c r="AN98" s="542">
        <f t="shared" si="269"/>
        <v>2.9881819572249398E-2</v>
      </c>
      <c r="AO98" s="587">
        <f t="shared" si="269"/>
        <v>2.9654675114752376E-2</v>
      </c>
      <c r="AP98" s="542">
        <f t="shared" si="269"/>
        <v>2.7971495403361805E-2</v>
      </c>
      <c r="AQ98" s="542">
        <f t="shared" si="269"/>
        <v>2.3252252446982244E-2</v>
      </c>
      <c r="AR98" s="542">
        <f t="shared" si="269"/>
        <v>2.8210950404412554E-2</v>
      </c>
      <c r="AS98" s="587">
        <f t="shared" si="269"/>
        <v>2.7753565414003881E-2</v>
      </c>
      <c r="AT98" s="542">
        <f t="shared" si="269"/>
        <v>3.1400698028244661E-2</v>
      </c>
      <c r="AU98" s="542">
        <f t="shared" si="269"/>
        <v>3.7739038650251105E-2</v>
      </c>
      <c r="AV98" s="542">
        <f>AV37/AV97*4</f>
        <v>3.9539999742200495E-2</v>
      </c>
      <c r="AW98" s="587">
        <f t="shared" si="269"/>
        <v>3.7802676604883921E-2</v>
      </c>
      <c r="AX98" s="587">
        <f t="shared" si="269"/>
        <v>3.0052201337257847E-2</v>
      </c>
      <c r="AY98" s="587">
        <f t="shared" si="269"/>
        <v>2.7306898835998867E-2</v>
      </c>
      <c r="AZ98" s="587">
        <f t="shared" si="269"/>
        <v>3.0516713527022805E-2</v>
      </c>
      <c r="BA98" s="587">
        <f t="shared" si="269"/>
        <v>1.7983905857921607E-2</v>
      </c>
      <c r="BB98" s="587">
        <f>BB37/BB97*4</f>
        <v>1.8668223602120424E-2</v>
      </c>
      <c r="BC98" s="174"/>
      <c r="BD98" s="174"/>
      <c r="BE98" s="620"/>
      <c r="BF98" s="174"/>
      <c r="BG98" s="174"/>
      <c r="BH98" s="174"/>
      <c r="BI98" s="620"/>
      <c r="BJ98" s="174"/>
      <c r="BK98" s="174"/>
      <c r="BL98" s="174"/>
      <c r="BM98" s="620"/>
      <c r="BN98" s="174"/>
      <c r="BO98" s="174"/>
      <c r="BP98" s="174"/>
      <c r="BQ98" s="620"/>
      <c r="BR98" s="174"/>
      <c r="BS98" s="174"/>
      <c r="BT98" s="174"/>
      <c r="BU98" s="620"/>
      <c r="BV98" s="174"/>
      <c r="BW98" s="174"/>
      <c r="BX98" s="174"/>
      <c r="BY98" s="620"/>
      <c r="BZ98" s="174"/>
      <c r="CA98" s="174"/>
      <c r="CB98" s="174"/>
      <c r="CC98" s="620"/>
      <c r="CD98" s="174"/>
      <c r="CE98" s="174"/>
      <c r="CF98" s="174"/>
      <c r="CG98" s="620"/>
    </row>
    <row r="99" spans="1:85" s="168" customFormat="1">
      <c r="A99" s="17"/>
      <c r="B99" s="541" t="s">
        <v>925</v>
      </c>
      <c r="C99" s="48"/>
      <c r="D99" s="48"/>
      <c r="E99" s="48"/>
      <c r="F99" s="48"/>
      <c r="G99" s="48"/>
      <c r="H99" s="48"/>
      <c r="I99" s="48"/>
      <c r="J99" s="21"/>
      <c r="K99" s="21"/>
      <c r="L99" s="21"/>
      <c r="M99" s="140"/>
      <c r="N99" s="140"/>
      <c r="O99" s="140"/>
      <c r="P99" s="140"/>
      <c r="Q99" s="140"/>
      <c r="R99" s="140"/>
      <c r="S99" s="140"/>
      <c r="T99" s="140"/>
      <c r="U99" s="140"/>
      <c r="V99" s="174"/>
      <c r="W99" s="174"/>
      <c r="X99" s="174"/>
      <c r="Y99" s="174"/>
      <c r="Z99" s="174"/>
      <c r="AA99" s="174"/>
      <c r="AB99" s="174"/>
      <c r="AC99" s="174"/>
      <c r="AD99" s="174"/>
      <c r="AE99" s="174"/>
      <c r="AF99" s="174"/>
      <c r="AG99" s="174"/>
      <c r="AH99" s="174"/>
      <c r="AI99" s="174"/>
      <c r="AJ99" s="174"/>
      <c r="AK99" s="174"/>
      <c r="AL99" s="174"/>
      <c r="AM99" s="542"/>
      <c r="AN99" s="542"/>
      <c r="AO99" s="587"/>
      <c r="AP99" s="542"/>
      <c r="AQ99" s="542"/>
      <c r="AR99" s="542"/>
      <c r="AS99" s="587"/>
      <c r="AT99" s="542"/>
      <c r="AU99" s="542"/>
      <c r="AV99" s="536"/>
      <c r="AW99" s="586"/>
      <c r="AX99" s="174"/>
      <c r="AY99" s="174"/>
      <c r="AZ99" s="174"/>
      <c r="BA99" s="620"/>
      <c r="BB99" s="174"/>
      <c r="BC99" s="174"/>
      <c r="BD99" s="174"/>
      <c r="BE99" s="620"/>
      <c r="BF99" s="174"/>
      <c r="BG99" s="174"/>
      <c r="BH99" s="174"/>
      <c r="BI99" s="620"/>
      <c r="BJ99" s="174"/>
      <c r="BK99" s="174"/>
      <c r="BL99" s="174"/>
      <c r="BM99" s="620"/>
      <c r="BN99" s="174"/>
      <c r="BO99" s="174"/>
      <c r="BP99" s="174"/>
      <c r="BQ99" s="620"/>
      <c r="BR99" s="174"/>
      <c r="BS99" s="174"/>
      <c r="BT99" s="174"/>
      <c r="BU99" s="620"/>
      <c r="BV99" s="174"/>
      <c r="BW99" s="174"/>
      <c r="BX99" s="174"/>
      <c r="BY99" s="620"/>
      <c r="BZ99" s="174"/>
      <c r="CA99" s="174"/>
      <c r="CB99" s="174"/>
      <c r="CC99" s="620"/>
      <c r="CD99" s="174"/>
      <c r="CE99" s="174"/>
      <c r="CF99" s="174"/>
      <c r="CG99" s="620"/>
    </row>
    <row r="100" spans="1:85">
      <c r="A100" s="19"/>
      <c r="B100" s="8"/>
    </row>
    <row r="101" spans="1:85">
      <c r="A101" s="17"/>
      <c r="B101" s="12" t="s">
        <v>81</v>
      </c>
      <c r="C101" s="21"/>
      <c r="D101" s="21"/>
      <c r="E101" s="21"/>
      <c r="F101" s="21"/>
      <c r="G101" s="21"/>
      <c r="H101" s="21"/>
      <c r="I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575"/>
      <c r="AP101" s="21"/>
      <c r="AQ101" s="21"/>
      <c r="AR101" s="21"/>
      <c r="AS101" s="575"/>
      <c r="AT101" s="21"/>
      <c r="AU101" s="21"/>
      <c r="AV101" s="21"/>
      <c r="AW101" s="575"/>
      <c r="AX101" s="21"/>
      <c r="AY101" s="21"/>
      <c r="AZ101" s="21"/>
      <c r="BA101" s="575"/>
      <c r="BB101" s="21"/>
      <c r="BC101" s="21"/>
      <c r="BD101" s="21"/>
      <c r="BE101" s="575"/>
      <c r="BF101" s="21"/>
      <c r="BG101" s="21"/>
      <c r="BH101" s="21"/>
      <c r="BI101" s="575"/>
      <c r="BJ101" s="21"/>
      <c r="BK101" s="21"/>
      <c r="BL101" s="21"/>
      <c r="BM101" s="575"/>
      <c r="BN101" s="21"/>
      <c r="BO101" s="21"/>
      <c r="BP101" s="21"/>
      <c r="BQ101" s="575"/>
      <c r="BR101" s="21"/>
      <c r="BS101" s="21"/>
      <c r="BT101" s="21"/>
      <c r="BU101" s="575"/>
      <c r="BV101" s="21"/>
      <c r="BW101" s="21"/>
      <c r="BX101" s="21"/>
      <c r="BY101" s="575"/>
      <c r="BZ101" s="21"/>
      <c r="CA101" s="21"/>
      <c r="CB101" s="21"/>
      <c r="CC101" s="575"/>
      <c r="CD101" s="21"/>
      <c r="CE101" s="21"/>
      <c r="CF101" s="21"/>
      <c r="CG101" s="575"/>
    </row>
    <row r="102" spans="1:85">
      <c r="A102" s="28"/>
      <c r="B102" s="21" t="s">
        <v>82</v>
      </c>
      <c r="C102" s="21"/>
      <c r="D102" s="21">
        <f t="shared" ref="D102:T102" si="270">((C131+C135)+(D131+D135))/2</f>
        <v>586.04250000000002</v>
      </c>
      <c r="E102" s="21">
        <f t="shared" si="270"/>
        <v>1230.6559999999999</v>
      </c>
      <c r="F102" s="21">
        <f t="shared" si="270"/>
        <v>1352.085</v>
      </c>
      <c r="G102" s="21">
        <f t="shared" si="270"/>
        <v>2220.1130000000003</v>
      </c>
      <c r="H102" s="21">
        <f t="shared" si="270"/>
        <v>3169.1655000000001</v>
      </c>
      <c r="I102" s="21">
        <f t="shared" si="270"/>
        <v>3369.6030000000001</v>
      </c>
      <c r="J102" s="21">
        <f t="shared" si="270"/>
        <v>3246.7659999999996</v>
      </c>
      <c r="K102" s="21">
        <f t="shared" si="270"/>
        <v>4293.7119999999995</v>
      </c>
      <c r="L102" s="21">
        <f t="shared" si="270"/>
        <v>5623.5185000000001</v>
      </c>
      <c r="M102" s="21">
        <f t="shared" si="270"/>
        <v>6856.7545</v>
      </c>
      <c r="N102" s="21">
        <f t="shared" si="270"/>
        <v>8768.7264999999989</v>
      </c>
      <c r="O102" s="21">
        <f t="shared" si="270"/>
        <v>10257.695</v>
      </c>
      <c r="P102" s="21">
        <f t="shared" si="270"/>
        <v>11776.154500000001</v>
      </c>
      <c r="Q102" s="21">
        <f t="shared" si="270"/>
        <v>13087.849999999999</v>
      </c>
      <c r="R102" s="21">
        <f t="shared" ref="R102" si="271">((Q131+Q135)+(R131+R135))/2</f>
        <v>13587.849999999999</v>
      </c>
      <c r="S102" s="21">
        <f t="shared" ref="S102" si="272">((R131+R135)+(S131+S135))/2</f>
        <v>13587.849999999999</v>
      </c>
      <c r="T102" s="21">
        <f t="shared" si="270"/>
        <v>13587.849999999999</v>
      </c>
      <c r="U102" s="21"/>
      <c r="V102" s="21"/>
      <c r="W102" s="21"/>
      <c r="X102" s="21"/>
      <c r="Y102" s="21"/>
      <c r="Z102" s="21"/>
      <c r="AA102" s="21"/>
      <c r="AB102" s="21"/>
      <c r="AC102" s="21"/>
      <c r="AD102" s="21"/>
      <c r="AE102" s="21"/>
      <c r="AF102" s="21"/>
      <c r="AG102" s="21"/>
      <c r="AH102" s="21"/>
      <c r="AI102" s="21"/>
      <c r="AJ102" s="21"/>
      <c r="AK102" s="21"/>
      <c r="AL102" s="21"/>
      <c r="AM102" s="21">
        <f t="shared" ref="AM102:AW102" si="273">((AL131+AL135)+(AM131+AM135))/2</f>
        <v>2825.8305</v>
      </c>
      <c r="AN102" s="21">
        <f t="shared" si="273"/>
        <v>3008.7925</v>
      </c>
      <c r="AO102" s="575">
        <f t="shared" si="273"/>
        <v>3225.4594999999999</v>
      </c>
      <c r="AP102" s="21">
        <f t="shared" si="273"/>
        <v>3359.5129999999999</v>
      </c>
      <c r="AQ102" s="21">
        <f t="shared" si="273"/>
        <v>3427.1374999999998</v>
      </c>
      <c r="AR102" s="21">
        <f t="shared" si="273"/>
        <v>3386.1385</v>
      </c>
      <c r="AS102" s="575">
        <f t="shared" si="273"/>
        <v>3375.0690000000004</v>
      </c>
      <c r="AT102" s="21">
        <f t="shared" si="273"/>
        <v>3689.5195000000003</v>
      </c>
      <c r="AU102" s="21">
        <f t="shared" si="273"/>
        <v>4079.433</v>
      </c>
      <c r="AV102" s="21">
        <f t="shared" si="273"/>
        <v>4179.4925000000003</v>
      </c>
      <c r="AW102" s="575">
        <f t="shared" si="273"/>
        <v>3610.1869999999999</v>
      </c>
      <c r="AX102" s="575"/>
      <c r="AY102" s="575"/>
      <c r="AZ102" s="575"/>
      <c r="BA102" s="575"/>
      <c r="BB102" s="21"/>
      <c r="BC102" s="21"/>
      <c r="BD102" s="21"/>
      <c r="BE102" s="575"/>
      <c r="BF102" s="21"/>
      <c r="BG102" s="21"/>
      <c r="BH102" s="21"/>
      <c r="BI102" s="575"/>
      <c r="BJ102" s="21"/>
      <c r="BK102" s="21"/>
      <c r="BL102" s="21"/>
      <c r="BM102" s="575"/>
      <c r="BN102" s="21"/>
      <c r="BO102" s="21"/>
      <c r="BP102" s="21"/>
      <c r="BQ102" s="575"/>
      <c r="BR102" s="21"/>
      <c r="BS102" s="21"/>
      <c r="BT102" s="21"/>
      <c r="BU102" s="575"/>
      <c r="BV102" s="21"/>
      <c r="BW102" s="21"/>
      <c r="BX102" s="21"/>
      <c r="BY102" s="575"/>
      <c r="BZ102" s="21"/>
      <c r="CA102" s="21"/>
      <c r="CB102" s="21"/>
      <c r="CC102" s="575"/>
      <c r="CD102" s="21"/>
      <c r="CE102" s="21"/>
      <c r="CF102" s="21"/>
      <c r="CG102" s="575"/>
    </row>
    <row r="103" spans="1:85">
      <c r="A103" s="28"/>
      <c r="B103" s="21" t="s">
        <v>26</v>
      </c>
      <c r="C103" s="21"/>
      <c r="D103" s="21">
        <f t="shared" ref="D103:L103" ca="1" si="274">D38</f>
        <v>-34.392000000000003</v>
      </c>
      <c r="E103" s="21">
        <f t="shared" ca="1" si="274"/>
        <v>-20.715</v>
      </c>
      <c r="F103" s="21">
        <f t="shared" ca="1" si="274"/>
        <v>-12.218</v>
      </c>
      <c r="G103" s="21">
        <f t="shared" ca="1" si="274"/>
        <v>-23.036999999999999</v>
      </c>
      <c r="H103" s="21">
        <f t="shared" ca="1" si="274"/>
        <v>-43.832999999999998</v>
      </c>
      <c r="I103" s="21">
        <f t="shared" ca="1" si="274"/>
        <v>-32.49</v>
      </c>
      <c r="J103" s="21">
        <f t="shared" si="274"/>
        <v>-63.46</v>
      </c>
      <c r="K103" s="21">
        <f t="shared" si="274"/>
        <v>-73.234000000000009</v>
      </c>
      <c r="L103" s="21">
        <f t="shared" si="274"/>
        <v>-110.143</v>
      </c>
      <c r="M103" s="21">
        <f>M38</f>
        <v>-125.58200000000001</v>
      </c>
      <c r="N103" s="21">
        <f>N38</f>
        <v>-209.42400000000001</v>
      </c>
      <c r="O103" s="21">
        <f>O38</f>
        <v>-297.11099999999999</v>
      </c>
      <c r="P103" s="21">
        <f>P38</f>
        <v>-373.11099999999999</v>
      </c>
      <c r="Q103" s="21">
        <f>-Q102*Q104</f>
        <v>-366.45979999999997</v>
      </c>
      <c r="R103" s="21">
        <f t="shared" ref="R103:S103" si="275">-R102*R104</f>
        <v>-380.45979999999997</v>
      </c>
      <c r="S103" s="21">
        <f t="shared" si="275"/>
        <v>-339.69624999999996</v>
      </c>
      <c r="T103" s="21">
        <f>-T102*T104</f>
        <v>-339.69624999999996</v>
      </c>
      <c r="U103" s="21"/>
      <c r="V103" s="21"/>
      <c r="W103" s="21"/>
      <c r="X103" s="21"/>
      <c r="Y103" s="21"/>
      <c r="Z103" s="21"/>
      <c r="AA103" s="21"/>
      <c r="AB103" s="21"/>
      <c r="AC103" s="21"/>
      <c r="AD103" s="21"/>
      <c r="AE103" s="21"/>
      <c r="AF103" s="21"/>
      <c r="AG103" s="21"/>
      <c r="AH103" s="21"/>
      <c r="AI103" s="21"/>
      <c r="AJ103" s="21"/>
      <c r="AK103" s="21"/>
      <c r="AL103" s="21"/>
      <c r="AM103" s="21">
        <f t="shared" ref="AM103:AW103" si="276">AM38</f>
        <v>-9.5489999999999995</v>
      </c>
      <c r="AN103" s="21">
        <f t="shared" si="276"/>
        <v>-12.906000000000001</v>
      </c>
      <c r="AO103" s="575">
        <f t="shared" si="276"/>
        <v>-9.42</v>
      </c>
      <c r="AP103" s="21">
        <f t="shared" si="276"/>
        <v>-13.525</v>
      </c>
      <c r="AQ103" s="21">
        <f t="shared" si="276"/>
        <v>-10.645</v>
      </c>
      <c r="AR103" s="21">
        <f t="shared" si="276"/>
        <v>0</v>
      </c>
      <c r="AS103" s="575">
        <f t="shared" si="276"/>
        <v>-8.32</v>
      </c>
      <c r="AT103" s="21">
        <f t="shared" si="276"/>
        <v>-14.819000000000001</v>
      </c>
      <c r="AU103" s="21">
        <f t="shared" si="276"/>
        <v>-16.646000000000001</v>
      </c>
      <c r="AV103" s="21">
        <f t="shared" si="276"/>
        <v>-15.186999999999999</v>
      </c>
      <c r="AW103" s="21">
        <f t="shared" si="276"/>
        <v>-16.808</v>
      </c>
      <c r="AX103" s="21"/>
      <c r="AY103" s="21"/>
      <c r="AZ103" s="21"/>
      <c r="BA103" s="575"/>
      <c r="BB103" s="21"/>
      <c r="BC103" s="21"/>
      <c r="BD103" s="21"/>
      <c r="BE103" s="575"/>
      <c r="BF103" s="21"/>
      <c r="BG103" s="21"/>
      <c r="BH103" s="21"/>
      <c r="BI103" s="575"/>
      <c r="BJ103" s="21"/>
      <c r="BK103" s="21"/>
      <c r="BL103" s="21"/>
      <c r="BM103" s="575"/>
      <c r="BN103" s="21"/>
      <c r="BO103" s="21"/>
      <c r="BP103" s="21"/>
      <c r="BQ103" s="575"/>
      <c r="BR103" s="21"/>
      <c r="BS103" s="21"/>
      <c r="BT103" s="21"/>
      <c r="BU103" s="575"/>
      <c r="BV103" s="21"/>
      <c r="BW103" s="21"/>
      <c r="BX103" s="21"/>
      <c r="BY103" s="575"/>
      <c r="BZ103" s="21"/>
      <c r="CA103" s="21"/>
      <c r="CB103" s="21"/>
      <c r="CC103" s="575"/>
      <c r="CD103" s="21"/>
      <c r="CE103" s="21"/>
      <c r="CF103" s="21"/>
      <c r="CG103" s="575"/>
    </row>
    <row r="104" spans="1:85" s="168" customFormat="1">
      <c r="A104" s="17"/>
      <c r="B104" s="9" t="s">
        <v>25</v>
      </c>
      <c r="C104" s="48"/>
      <c r="D104" s="48">
        <f t="shared" ref="D104:L104" ca="1" si="277">IFERROR(-D103/D102,0)</f>
        <v>5.8685163618679537E-2</v>
      </c>
      <c r="E104" s="48">
        <f t="shared" ca="1" si="277"/>
        <v>1.6832486088720164E-2</v>
      </c>
      <c r="F104" s="48">
        <f t="shared" ca="1" si="277"/>
        <v>9.0364141307684061E-3</v>
      </c>
      <c r="G104" s="48">
        <f t="shared" ca="1" si="277"/>
        <v>1.0376498853887165E-2</v>
      </c>
      <c r="H104" s="48">
        <f t="shared" ca="1" si="277"/>
        <v>1.3831085817386311E-2</v>
      </c>
      <c r="I104" s="48">
        <f t="shared" ca="1" si="277"/>
        <v>9.6420854326162465E-3</v>
      </c>
      <c r="J104" s="48">
        <f t="shared" si="277"/>
        <v>1.9545603224870534E-2</v>
      </c>
      <c r="K104" s="48">
        <f t="shared" si="277"/>
        <v>1.7056104368434591E-2</v>
      </c>
      <c r="L104" s="48">
        <f t="shared" si="277"/>
        <v>1.9586136330839846E-2</v>
      </c>
      <c r="M104" s="48">
        <f>IFERROR(-M103/M102,0)</f>
        <v>1.8315078948794215E-2</v>
      </c>
      <c r="N104" s="48">
        <f>IFERROR(-N103/N102,0)</f>
        <v>2.388305759108806E-2</v>
      </c>
      <c r="O104" s="48">
        <f>IFERROR(-O103/O102,0)</f>
        <v>2.8964694309978996E-2</v>
      </c>
      <c r="P104" s="48">
        <f>IFERROR(-P103/P102,0)</f>
        <v>3.1683602656537836E-2</v>
      </c>
      <c r="Q104" s="129">
        <v>2.8000000000000001E-2</v>
      </c>
      <c r="R104" s="129">
        <v>2.8000000000000001E-2</v>
      </c>
      <c r="S104" s="129">
        <v>2.5000000000000001E-2</v>
      </c>
      <c r="T104" s="129">
        <v>2.5000000000000001E-2</v>
      </c>
      <c r="U104" s="140"/>
      <c r="V104" s="54"/>
      <c r="W104" s="54"/>
      <c r="X104" s="54"/>
      <c r="Y104" s="54"/>
      <c r="Z104" s="54"/>
      <c r="AA104" s="54"/>
      <c r="AB104" s="54"/>
      <c r="AC104" s="54"/>
      <c r="AD104" s="54"/>
      <c r="AE104" s="54"/>
      <c r="AF104" s="54"/>
      <c r="AG104" s="54"/>
      <c r="AH104" s="54"/>
      <c r="AI104" s="54"/>
      <c r="AJ104" s="54"/>
      <c r="AK104" s="54"/>
      <c r="AL104" s="54"/>
      <c r="AM104" s="48">
        <f>IFERROR(-AM103/AM102,0)*4</f>
        <v>1.351673428395652E-2</v>
      </c>
      <c r="AN104" s="48">
        <f t="shared" ref="AN104:AW104" si="278">IFERROR(-AN103/AN102,0)*4</f>
        <v>1.7157713601054243E-2</v>
      </c>
      <c r="AO104" s="583">
        <f t="shared" si="278"/>
        <v>1.1682056463582941E-2</v>
      </c>
      <c r="AP104" s="48">
        <f t="shared" si="278"/>
        <v>1.6103524528704012E-2</v>
      </c>
      <c r="AQ104" s="48">
        <f t="shared" si="278"/>
        <v>1.2424362897607698E-2</v>
      </c>
      <c r="AR104" s="48">
        <f t="shared" si="278"/>
        <v>0</v>
      </c>
      <c r="AS104" s="583">
        <f t="shared" si="278"/>
        <v>9.8605391474959458E-3</v>
      </c>
      <c r="AT104" s="48">
        <f t="shared" si="278"/>
        <v>1.6066048709052764E-2</v>
      </c>
      <c r="AU104" s="48">
        <f t="shared" si="278"/>
        <v>1.6321876103860513E-2</v>
      </c>
      <c r="AV104" s="48">
        <f t="shared" si="278"/>
        <v>1.4534779043149376E-2</v>
      </c>
      <c r="AW104" s="48">
        <f t="shared" si="278"/>
        <v>1.8622858040317578E-2</v>
      </c>
      <c r="AX104" s="48"/>
      <c r="AY104" s="48"/>
      <c r="AZ104" s="48"/>
      <c r="BA104" s="621"/>
      <c r="BB104" s="144"/>
      <c r="BC104" s="144"/>
      <c r="BD104" s="144"/>
      <c r="BE104" s="621"/>
      <c r="BF104" s="144"/>
      <c r="BG104" s="144"/>
      <c r="BH104" s="144"/>
      <c r="BI104" s="621"/>
      <c r="BJ104" s="144"/>
      <c r="BK104" s="144"/>
      <c r="BL104" s="144"/>
      <c r="BM104" s="621"/>
      <c r="BN104" s="144"/>
      <c r="BO104" s="144"/>
      <c r="BP104" s="144"/>
      <c r="BQ104" s="621"/>
      <c r="BR104" s="144"/>
      <c r="BS104" s="144"/>
      <c r="BT104" s="144"/>
      <c r="BU104" s="621"/>
      <c r="BV104" s="144"/>
      <c r="BW104" s="144"/>
      <c r="BX104" s="144"/>
      <c r="BY104" s="621"/>
      <c r="BZ104" s="144"/>
      <c r="CA104" s="144"/>
      <c r="CB104" s="144"/>
      <c r="CC104" s="621"/>
      <c r="CD104" s="144"/>
      <c r="CE104" s="144"/>
      <c r="CF104" s="144"/>
      <c r="CG104" s="621"/>
    </row>
    <row r="105" spans="1:85">
      <c r="A105" s="17"/>
      <c r="B105" s="10"/>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8"/>
      <c r="AN105" s="45"/>
      <c r="AO105" s="581"/>
      <c r="AP105" s="45"/>
      <c r="AQ105" s="45"/>
      <c r="AR105" s="45"/>
      <c r="AS105" s="581"/>
      <c r="AT105" s="45"/>
      <c r="AU105" s="45"/>
      <c r="AV105" s="45"/>
      <c r="AW105" s="581"/>
      <c r="AX105" s="45"/>
      <c r="AY105" s="45"/>
      <c r="AZ105" s="45"/>
      <c r="BA105" s="581"/>
      <c r="BB105" s="45"/>
      <c r="BC105" s="45"/>
      <c r="BD105" s="45"/>
      <c r="BE105" s="581"/>
      <c r="BF105" s="45"/>
      <c r="BG105" s="45"/>
      <c r="BH105" s="45"/>
      <c r="BI105" s="581"/>
      <c r="BJ105" s="45"/>
      <c r="BK105" s="45"/>
      <c r="BL105" s="45"/>
      <c r="BM105" s="581"/>
      <c r="BN105" s="45"/>
      <c r="BO105" s="45"/>
      <c r="BP105" s="45"/>
      <c r="BQ105" s="581"/>
      <c r="BR105" s="45"/>
      <c r="BS105" s="45"/>
      <c r="BT105" s="45"/>
      <c r="BU105" s="581"/>
      <c r="BV105" s="45"/>
      <c r="BW105" s="45"/>
      <c r="BX105" s="45"/>
      <c r="BY105" s="581"/>
      <c r="BZ105" s="45"/>
      <c r="CA105" s="45"/>
      <c r="CB105" s="45"/>
      <c r="CC105" s="581"/>
      <c r="CD105" s="45"/>
      <c r="CE105" s="45"/>
      <c r="CF105" s="45"/>
      <c r="CG105" s="581"/>
    </row>
    <row r="106" spans="1:85">
      <c r="A106" s="17"/>
      <c r="B106" s="13" t="s">
        <v>387</v>
      </c>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575"/>
      <c r="AP106" s="21"/>
      <c r="AQ106" s="21"/>
      <c r="AR106" s="21"/>
      <c r="AS106" s="575"/>
      <c r="AT106" s="21"/>
      <c r="AU106" s="21"/>
      <c r="AV106" s="21"/>
      <c r="AW106" s="575"/>
      <c r="AX106" s="21"/>
      <c r="AY106" s="21"/>
      <c r="AZ106" s="21"/>
      <c r="BA106" s="575"/>
      <c r="BB106" s="21"/>
      <c r="BC106" s="21"/>
      <c r="BD106" s="21"/>
      <c r="BE106" s="575"/>
      <c r="BF106" s="21"/>
      <c r="BG106" s="21"/>
      <c r="BH106" s="21"/>
      <c r="BI106" s="575"/>
      <c r="BJ106" s="21"/>
      <c r="BK106" s="21"/>
      <c r="BL106" s="21"/>
      <c r="BM106" s="575"/>
      <c r="BN106" s="21"/>
      <c r="BO106" s="21"/>
      <c r="BP106" s="21"/>
      <c r="BQ106" s="575"/>
      <c r="BR106" s="21"/>
      <c r="BS106" s="21"/>
      <c r="BT106" s="21"/>
      <c r="BU106" s="575"/>
      <c r="BV106" s="21"/>
      <c r="BW106" s="21"/>
      <c r="BX106" s="21"/>
      <c r="BY106" s="575"/>
      <c r="BZ106" s="21"/>
      <c r="CA106" s="21"/>
      <c r="CB106" s="21"/>
      <c r="CC106" s="575"/>
      <c r="CD106" s="21"/>
      <c r="CE106" s="21"/>
      <c r="CF106" s="21"/>
      <c r="CG106" s="575"/>
    </row>
    <row r="107" spans="1:85">
      <c r="A107" s="28"/>
      <c r="B107" s="21" t="s">
        <v>401</v>
      </c>
      <c r="C107" s="43"/>
      <c r="D107" s="43">
        <f>'Raw Data'!U98</f>
        <v>0</v>
      </c>
      <c r="E107" s="43">
        <f>'Raw Data'!V98</f>
        <v>0</v>
      </c>
      <c r="F107" s="43">
        <f>'Raw Data'!W98</f>
        <v>0</v>
      </c>
      <c r="G107" s="43">
        <f>'Raw Data'!X98</f>
        <v>0</v>
      </c>
      <c r="H107" s="43">
        <f>'Raw Data'!Y98</f>
        <v>0</v>
      </c>
      <c r="I107" s="20">
        <f>AV107</f>
        <v>0</v>
      </c>
      <c r="J107" s="20">
        <f>AW107</f>
        <v>0</v>
      </c>
      <c r="K107" s="20">
        <f>BA107</f>
        <v>0</v>
      </c>
      <c r="L107" s="20">
        <f>BE107</f>
        <v>0</v>
      </c>
      <c r="M107" s="20">
        <f>BF107</f>
        <v>0</v>
      </c>
      <c r="N107" s="20">
        <f>BG107</f>
        <v>0</v>
      </c>
      <c r="O107" s="20" t="e">
        <f>#REF!</f>
        <v>#REF!</v>
      </c>
      <c r="P107" s="20" t="e">
        <f>#REF!</f>
        <v>#REF!</v>
      </c>
      <c r="Q107" s="20" t="e">
        <f>#REF!</f>
        <v>#REF!</v>
      </c>
      <c r="R107" s="20" t="e">
        <f>#REF!</f>
        <v>#REF!</v>
      </c>
      <c r="S107" s="20" t="e">
        <f>#REF!</f>
        <v>#REF!</v>
      </c>
      <c r="T107" s="20" t="e">
        <f>#REF!</f>
        <v>#REF!</v>
      </c>
      <c r="U107" s="20"/>
      <c r="V107" s="44"/>
      <c r="W107" s="44"/>
      <c r="X107" s="44"/>
      <c r="Y107" s="44"/>
      <c r="Z107" s="44"/>
      <c r="AA107" s="44"/>
      <c r="AB107" s="44"/>
      <c r="AC107" s="44"/>
      <c r="AD107" s="44"/>
      <c r="AE107" s="44"/>
      <c r="AF107" s="44"/>
      <c r="AG107" s="44"/>
      <c r="AH107" s="44"/>
      <c r="AI107" s="44"/>
      <c r="AJ107" s="44"/>
      <c r="AK107" s="44"/>
      <c r="AL107" s="44"/>
      <c r="AM107" s="44"/>
      <c r="AN107" s="44"/>
      <c r="AO107" s="570"/>
      <c r="AP107" s="44"/>
      <c r="AQ107" s="44"/>
      <c r="AR107" s="44"/>
      <c r="AS107" s="575"/>
      <c r="AT107" s="21"/>
      <c r="AU107" s="21"/>
      <c r="AV107" s="21"/>
      <c r="AW107" s="575"/>
      <c r="AX107" s="21"/>
      <c r="AY107" s="21"/>
      <c r="AZ107" s="21"/>
      <c r="BA107" s="575"/>
      <c r="BB107" s="21"/>
      <c r="BC107" s="21"/>
      <c r="BD107" s="21"/>
      <c r="BE107" s="575"/>
      <c r="BF107" s="21"/>
      <c r="BG107" s="21"/>
      <c r="BH107" s="21"/>
      <c r="BI107" s="575"/>
      <c r="BJ107" s="21"/>
      <c r="BK107" s="21"/>
      <c r="BL107" s="21"/>
      <c r="BM107" s="575"/>
      <c r="BN107" s="21"/>
      <c r="BO107" s="21"/>
      <c r="BP107" s="21"/>
      <c r="BQ107" s="575"/>
      <c r="BR107" s="21"/>
      <c r="BS107" s="21"/>
      <c r="BT107" s="21"/>
      <c r="BU107" s="575"/>
      <c r="BV107" s="21"/>
      <c r="BW107" s="21"/>
      <c r="BX107" s="21"/>
      <c r="BY107" s="575"/>
      <c r="BZ107" s="21"/>
      <c r="CA107" s="21"/>
      <c r="CB107" s="21"/>
      <c r="CC107" s="575"/>
      <c r="CD107" s="21"/>
      <c r="CE107" s="21"/>
      <c r="CF107" s="21"/>
      <c r="CG107" s="575"/>
    </row>
    <row r="108" spans="1:85" s="168" customFormat="1">
      <c r="A108" s="19"/>
      <c r="B108" s="9" t="s">
        <v>17</v>
      </c>
      <c r="C108" s="54"/>
      <c r="D108" s="54">
        <f t="shared" ref="D108:L108" ca="1" si="279">IF(ISERROR(D42/D107),0,D42/D107)</f>
        <v>0</v>
      </c>
      <c r="E108" s="54">
        <f t="shared" ca="1" si="279"/>
        <v>0</v>
      </c>
      <c r="F108" s="54">
        <f t="shared" ca="1" si="279"/>
        <v>0</v>
      </c>
      <c r="G108" s="54">
        <f t="shared" ca="1" si="279"/>
        <v>0</v>
      </c>
      <c r="H108" s="54">
        <f t="shared" ca="1" si="279"/>
        <v>0</v>
      </c>
      <c r="I108" s="54">
        <f ca="1">IF(ISERROR(I42/I107),0,I42/I107)</f>
        <v>0</v>
      </c>
      <c r="J108" s="54">
        <f t="shared" si="279"/>
        <v>0</v>
      </c>
      <c r="K108" s="54">
        <f t="shared" si="279"/>
        <v>0</v>
      </c>
      <c r="L108" s="54">
        <f t="shared" si="279"/>
        <v>0</v>
      </c>
      <c r="M108" s="54">
        <f t="shared" ref="M108:T108" si="280">IF(ISERROR(M42/M107),0,M42/M107)</f>
        <v>0</v>
      </c>
      <c r="N108" s="54">
        <f>IF(ISERROR(N42/N107),0,N42/N107)</f>
        <v>0</v>
      </c>
      <c r="O108" s="54">
        <f t="shared" si="280"/>
        <v>0</v>
      </c>
      <c r="P108" s="54">
        <f t="shared" si="280"/>
        <v>0</v>
      </c>
      <c r="Q108" s="54">
        <f t="shared" si="280"/>
        <v>0</v>
      </c>
      <c r="R108" s="54">
        <f t="shared" ref="R108:S108" si="281">IF(ISERROR(R42/R107),0,R42/R107)</f>
        <v>0</v>
      </c>
      <c r="S108" s="54">
        <f t="shared" si="281"/>
        <v>0</v>
      </c>
      <c r="T108" s="54">
        <f t="shared" si="280"/>
        <v>0</v>
      </c>
      <c r="U108" s="54"/>
      <c r="V108" s="48"/>
      <c r="W108" s="48"/>
      <c r="X108" s="48"/>
      <c r="Y108" s="48"/>
      <c r="Z108" s="48"/>
      <c r="AA108" s="48"/>
      <c r="AB108" s="48"/>
      <c r="AC108" s="48"/>
      <c r="AD108" s="48"/>
      <c r="AE108" s="48"/>
      <c r="AF108" s="48"/>
      <c r="AG108" s="48"/>
      <c r="AH108" s="48"/>
      <c r="AI108" s="48"/>
      <c r="AJ108" s="48"/>
      <c r="AK108" s="48"/>
      <c r="AL108" s="48"/>
      <c r="AM108" s="48"/>
      <c r="AN108" s="48"/>
      <c r="AO108" s="583"/>
      <c r="AP108" s="48"/>
      <c r="AQ108" s="48"/>
      <c r="AR108" s="48"/>
      <c r="AS108" s="583"/>
      <c r="AT108" s="48"/>
      <c r="AU108" s="48"/>
      <c r="AV108" s="48"/>
      <c r="AW108" s="583"/>
      <c r="AX108" s="48"/>
      <c r="AY108" s="48"/>
      <c r="AZ108" s="48"/>
      <c r="BA108" s="583"/>
      <c r="BB108" s="48"/>
      <c r="BC108" s="48"/>
      <c r="BD108" s="48"/>
      <c r="BE108" s="583"/>
      <c r="BF108" s="48"/>
      <c r="BG108" s="48"/>
      <c r="BH108" s="48"/>
      <c r="BI108" s="583"/>
      <c r="BJ108" s="48"/>
      <c r="BK108" s="48"/>
      <c r="BL108" s="48"/>
      <c r="BM108" s="583"/>
      <c r="BN108" s="48"/>
      <c r="BO108" s="48"/>
      <c r="BP108" s="48"/>
      <c r="BQ108" s="583"/>
      <c r="BR108" s="48"/>
      <c r="BS108" s="48"/>
      <c r="BT108" s="48"/>
      <c r="BU108" s="583"/>
      <c r="BV108" s="48"/>
      <c r="BW108" s="48"/>
      <c r="BX108" s="48"/>
      <c r="BY108" s="583"/>
      <c r="BZ108" s="48"/>
      <c r="CA108" s="48"/>
      <c r="CB108" s="48"/>
      <c r="CC108" s="583"/>
      <c r="CD108" s="48"/>
      <c r="CE108" s="48"/>
      <c r="CF108" s="48"/>
      <c r="CG108" s="583"/>
    </row>
    <row r="109" spans="1:85">
      <c r="A109" s="17"/>
      <c r="B109" s="13"/>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575"/>
      <c r="AP109" s="21"/>
      <c r="AQ109" s="21"/>
      <c r="AR109" s="21"/>
      <c r="AS109" s="575"/>
      <c r="AT109" s="21"/>
      <c r="AU109" s="21"/>
      <c r="AV109" s="21"/>
      <c r="AW109" s="575"/>
      <c r="AX109" s="21"/>
      <c r="AY109" s="21"/>
      <c r="AZ109" s="21"/>
      <c r="BA109" s="575"/>
      <c r="BB109" s="21"/>
      <c r="BC109" s="21"/>
      <c r="BD109" s="21"/>
      <c r="BE109" s="575"/>
      <c r="BF109" s="21"/>
      <c r="BG109" s="21"/>
      <c r="BH109" s="21"/>
      <c r="BI109" s="575"/>
      <c r="BJ109" s="21"/>
      <c r="BK109" s="21"/>
      <c r="BL109" s="21"/>
      <c r="BM109" s="575"/>
      <c r="BN109" s="21"/>
      <c r="BO109" s="21"/>
      <c r="BP109" s="21"/>
      <c r="BQ109" s="575"/>
      <c r="BR109" s="21"/>
      <c r="BS109" s="21"/>
      <c r="BT109" s="21"/>
      <c r="BU109" s="575"/>
      <c r="BV109" s="21"/>
      <c r="BW109" s="21"/>
      <c r="BX109" s="21"/>
      <c r="BY109" s="575"/>
      <c r="BZ109" s="21"/>
      <c r="CA109" s="21"/>
      <c r="CB109" s="21"/>
      <c r="CC109" s="575"/>
      <c r="CD109" s="21"/>
      <c r="CE109" s="21"/>
      <c r="CF109" s="21"/>
      <c r="CG109" s="575"/>
    </row>
    <row r="110" spans="1:85" s="537" customFormat="1">
      <c r="A110" s="532"/>
      <c r="B110" s="533" t="s">
        <v>921</v>
      </c>
      <c r="C110" s="533"/>
      <c r="D110" s="533"/>
      <c r="E110" s="533"/>
      <c r="F110" s="533"/>
      <c r="G110" s="533"/>
      <c r="H110" s="533"/>
      <c r="I110" s="533">
        <f>AS110</f>
        <v>1996.808</v>
      </c>
      <c r="J110" s="533">
        <f>AW110</f>
        <v>2276.37</v>
      </c>
      <c r="K110" s="533">
        <v>1638.721</v>
      </c>
      <c r="L110" s="533">
        <f>K110+(L117-K117)</f>
        <v>1765.5040000000013</v>
      </c>
      <c r="M110" s="533">
        <f>L110+(M117-L117)</f>
        <v>4025.9080000000017</v>
      </c>
      <c r="N110" s="533">
        <f>M110+(N117-M117)</f>
        <v>1052.8450000000016</v>
      </c>
      <c r="O110" s="533">
        <f t="shared" ref="O110:T110" si="282">N110+(O117-N117)</f>
        <v>2159.6919999999996</v>
      </c>
      <c r="P110" s="533">
        <f t="shared" si="282"/>
        <v>2228.712</v>
      </c>
      <c r="Q110" s="533">
        <f t="shared" si="282"/>
        <v>1228.712</v>
      </c>
      <c r="R110" s="533">
        <f t="shared" si="282"/>
        <v>1228.712</v>
      </c>
      <c r="S110" s="533">
        <f t="shared" si="282"/>
        <v>1228.712</v>
      </c>
      <c r="T110" s="533">
        <f t="shared" si="282"/>
        <v>1228.712</v>
      </c>
      <c r="U110" s="533"/>
      <c r="V110" s="535"/>
      <c r="W110" s="535"/>
      <c r="X110" s="535"/>
      <c r="Y110" s="535"/>
      <c r="Z110" s="535"/>
      <c r="AA110" s="535"/>
      <c r="AB110" s="535"/>
      <c r="AC110" s="535"/>
      <c r="AD110" s="535"/>
      <c r="AE110" s="535"/>
      <c r="AF110" s="535"/>
      <c r="AG110" s="535"/>
      <c r="AH110" s="535"/>
      <c r="AI110" s="535"/>
      <c r="AJ110" s="535"/>
      <c r="AK110" s="535"/>
      <c r="AL110" s="536">
        <v>0</v>
      </c>
      <c r="AM110" s="536">
        <v>0</v>
      </c>
      <c r="AN110" s="536">
        <v>0</v>
      </c>
      <c r="AO110" s="586">
        <v>0</v>
      </c>
      <c r="AP110" s="536">
        <v>1165.93</v>
      </c>
      <c r="AQ110" s="536">
        <v>1235.633</v>
      </c>
      <c r="AR110" s="536">
        <v>2082.2330000000002</v>
      </c>
      <c r="AS110" s="586">
        <v>1996.808</v>
      </c>
      <c r="AT110" s="536">
        <v>2510.5030000000002</v>
      </c>
      <c r="AU110" s="536">
        <v>2205.2460000000001</v>
      </c>
      <c r="AV110" s="537">
        <v>2612.7020000000002</v>
      </c>
      <c r="AW110" s="618">
        <v>2276.37</v>
      </c>
      <c r="AX110" s="537">
        <v>3619.7</v>
      </c>
      <c r="AY110" s="537">
        <v>3272</v>
      </c>
      <c r="AZ110" s="537">
        <v>2938</v>
      </c>
      <c r="BA110" s="618">
        <f>K110</f>
        <v>1638.721</v>
      </c>
      <c r="BE110" s="618"/>
      <c r="BI110" s="618"/>
      <c r="BM110" s="618"/>
      <c r="BQ110" s="618"/>
      <c r="BU110" s="618"/>
      <c r="BY110" s="618"/>
      <c r="CC110" s="618"/>
      <c r="CG110" s="618"/>
    </row>
    <row r="111" spans="1:85">
      <c r="A111" s="17"/>
      <c r="B111" s="1"/>
      <c r="C111" s="21"/>
      <c r="D111" s="21"/>
      <c r="E111" s="21"/>
      <c r="F111" s="21"/>
      <c r="G111" s="21"/>
      <c r="H111" s="21"/>
      <c r="I111" s="21"/>
      <c r="J111" s="21"/>
      <c r="K111" s="21"/>
      <c r="L111" s="21"/>
      <c r="M111" s="21"/>
      <c r="N111" s="21"/>
      <c r="O111" s="21"/>
      <c r="P111" s="21"/>
      <c r="Q111" s="21"/>
      <c r="R111" s="21"/>
      <c r="S111" s="21"/>
      <c r="T111" s="21"/>
      <c r="U111" s="21"/>
      <c r="V111" s="7"/>
      <c r="W111" s="7"/>
      <c r="X111" s="7"/>
      <c r="Y111" s="7"/>
      <c r="Z111" s="7"/>
      <c r="AA111" s="7"/>
      <c r="AB111" s="7"/>
      <c r="AC111" s="7"/>
      <c r="AD111" s="7"/>
      <c r="AE111" s="7"/>
      <c r="AF111" s="7"/>
      <c r="AG111" s="7"/>
      <c r="AH111" s="7"/>
      <c r="AI111" s="7"/>
      <c r="AJ111" s="7"/>
      <c r="AK111" s="7"/>
      <c r="AP111" s="7"/>
      <c r="AQ111" s="7"/>
      <c r="AS111" s="605"/>
      <c r="AT111" s="7"/>
    </row>
    <row r="112" spans="1:85" s="7" customFormat="1" ht="15.75">
      <c r="A112" s="16"/>
      <c r="B112" s="134" t="s">
        <v>302</v>
      </c>
      <c r="C112" s="135"/>
      <c r="D112" s="135">
        <f t="shared" ref="D112:O112" si="283">D5</f>
        <v>2013</v>
      </c>
      <c r="E112" s="135">
        <f t="shared" si="283"/>
        <v>2014</v>
      </c>
      <c r="F112" s="135">
        <f t="shared" si="283"/>
        <v>2015</v>
      </c>
      <c r="G112" s="135">
        <f t="shared" si="283"/>
        <v>2016</v>
      </c>
      <c r="H112" s="135">
        <f t="shared" si="283"/>
        <v>2017</v>
      </c>
      <c r="I112" s="135">
        <f t="shared" si="283"/>
        <v>2018</v>
      </c>
      <c r="J112" s="135">
        <f t="shared" si="283"/>
        <v>2019</v>
      </c>
      <c r="K112" s="135">
        <f t="shared" si="283"/>
        <v>2020</v>
      </c>
      <c r="L112" s="135">
        <f t="shared" si="283"/>
        <v>2021</v>
      </c>
      <c r="M112" s="135">
        <f t="shared" si="283"/>
        <v>2022</v>
      </c>
      <c r="N112" s="135">
        <f t="shared" si="283"/>
        <v>2023</v>
      </c>
      <c r="O112" s="135">
        <f t="shared" si="283"/>
        <v>2024</v>
      </c>
      <c r="P112" s="136">
        <f>P5</f>
        <v>2025</v>
      </c>
      <c r="Q112" s="136">
        <f>Q5</f>
        <v>2026</v>
      </c>
      <c r="R112" s="136">
        <f>R5</f>
        <v>2027</v>
      </c>
      <c r="S112" s="136">
        <f>S5</f>
        <v>2028</v>
      </c>
      <c r="T112" s="136">
        <f>T5</f>
        <v>2029</v>
      </c>
      <c r="U112" s="139"/>
      <c r="V112" s="145"/>
      <c r="W112" s="145"/>
      <c r="X112" s="145"/>
      <c r="Y112" s="145"/>
      <c r="Z112" s="145"/>
      <c r="AA112" s="145"/>
      <c r="AB112" s="145"/>
      <c r="AC112" s="145"/>
      <c r="AD112" s="145"/>
      <c r="AE112" s="145"/>
      <c r="AF112" s="145"/>
      <c r="AG112" s="145"/>
      <c r="AH112" s="145"/>
      <c r="AI112" s="145"/>
      <c r="AJ112" s="145"/>
      <c r="AK112" s="145"/>
      <c r="AL112" s="145"/>
      <c r="AM112" s="145"/>
      <c r="AN112" s="145"/>
      <c r="AO112" s="588"/>
      <c r="AP112" s="145"/>
      <c r="AQ112" s="145"/>
      <c r="AR112" s="146"/>
      <c r="AS112" s="606"/>
      <c r="AT112" s="146"/>
      <c r="AU112" s="146"/>
      <c r="AV112" s="146"/>
      <c r="AW112" s="606"/>
      <c r="AX112" s="146"/>
      <c r="AY112" s="146"/>
      <c r="AZ112" s="146"/>
      <c r="BA112" s="606"/>
      <c r="BB112" s="146"/>
      <c r="BC112" s="146"/>
      <c r="BD112" s="146"/>
      <c r="BE112" s="606"/>
      <c r="BF112" s="1014" t="s">
        <v>1071</v>
      </c>
      <c r="BG112" s="146"/>
      <c r="BH112" s="146"/>
      <c r="BI112" s="606"/>
      <c r="BJ112" s="146"/>
      <c r="BK112" s="146"/>
      <c r="BL112" s="146"/>
      <c r="BM112" s="606"/>
      <c r="BN112" s="1014"/>
      <c r="BO112" s="146"/>
      <c r="BP112" s="146"/>
      <c r="BQ112" s="606"/>
      <c r="BR112" s="146"/>
      <c r="BS112" s="146"/>
      <c r="BT112" s="146"/>
      <c r="BU112" s="606"/>
      <c r="BV112" s="146"/>
      <c r="BW112" s="146"/>
      <c r="BX112" s="146"/>
      <c r="BY112" s="606"/>
      <c r="BZ112" s="146"/>
      <c r="CA112" s="146"/>
      <c r="CB112" s="146"/>
      <c r="CC112" s="606"/>
      <c r="CD112" s="146"/>
      <c r="CE112" s="146"/>
      <c r="CF112" s="146"/>
      <c r="CG112" s="606"/>
    </row>
    <row r="113" spans="1:85">
      <c r="BN113" s="1060"/>
    </row>
    <row r="114" spans="1:85">
      <c r="A114" s="28"/>
      <c r="B114" s="21" t="s">
        <v>9</v>
      </c>
      <c r="C114" s="44"/>
      <c r="D114" s="44">
        <f>'Raw Data'!U120</f>
        <v>462.483</v>
      </c>
      <c r="E114" s="44">
        <f>'Raw Data'!V120</f>
        <v>603.03599999999994</v>
      </c>
      <c r="F114" s="44">
        <f>'Raw Data'!W120</f>
        <v>1005.201</v>
      </c>
      <c r="G114" s="44">
        <f>'Raw Data'!X120</f>
        <v>2126.011</v>
      </c>
      <c r="H114" s="44">
        <f>'Raw Data'!Y120</f>
        <v>1838.3</v>
      </c>
      <c r="I114" s="44">
        <f>'Raw Data'!Z120</f>
        <v>1786.42</v>
      </c>
      <c r="J114" s="81">
        <v>2238.84</v>
      </c>
      <c r="K114" s="21">
        <v>9826.5370000000003</v>
      </c>
      <c r="L114" s="21">
        <v>8581.7459999999992</v>
      </c>
      <c r="M114" s="21">
        <v>6932.5870000000004</v>
      </c>
      <c r="N114" s="21">
        <v>6215.058</v>
      </c>
      <c r="O114" s="102">
        <v>6364.1890000000003</v>
      </c>
      <c r="P114" s="102">
        <v>5872.5</v>
      </c>
      <c r="Q114" s="21">
        <f>P114+Q198</f>
        <v>7456.8772210553652</v>
      </c>
      <c r="R114" s="21">
        <f>Q114+R198</f>
        <v>6268.1257363711029</v>
      </c>
      <c r="S114" s="21">
        <f>R114+S198</f>
        <v>6253.4828672029398</v>
      </c>
      <c r="T114" s="21">
        <f>S114+T198</f>
        <v>6811.8809134155199</v>
      </c>
      <c r="U114" s="21"/>
      <c r="V114" s="44"/>
      <c r="W114" s="44"/>
      <c r="X114" s="44"/>
      <c r="Y114" s="44"/>
      <c r="Z114" s="44"/>
      <c r="AA114" s="44"/>
      <c r="AB114" s="44"/>
      <c r="AC114" s="44"/>
      <c r="AD114" s="44"/>
      <c r="AE114" s="44"/>
      <c r="AF114" s="44"/>
      <c r="AG114" s="44"/>
      <c r="AH114" s="44"/>
      <c r="AI114" s="44"/>
      <c r="AJ114" s="44"/>
      <c r="AK114" s="44"/>
      <c r="AL114" s="44">
        <v>1552.0429999999999</v>
      </c>
      <c r="AM114" s="44">
        <v>876.11800000000005</v>
      </c>
      <c r="AN114" s="44">
        <v>1119.1489999999999</v>
      </c>
      <c r="AO114" s="570">
        <v>1838.3</v>
      </c>
      <c r="AP114" s="44">
        <v>1008.4829999999999</v>
      </c>
      <c r="AQ114" s="44">
        <v>1414.26</v>
      </c>
      <c r="AR114" s="44">
        <v>822.61900000000003</v>
      </c>
      <c r="AS114" s="570">
        <v>1786.42</v>
      </c>
      <c r="AT114" s="44">
        <v>1370.0409999999999</v>
      </c>
      <c r="AU114" s="44">
        <v>1518.578</v>
      </c>
      <c r="AV114" s="44">
        <v>1182.479</v>
      </c>
      <c r="AW114" s="575">
        <f>J114</f>
        <v>2238.84</v>
      </c>
      <c r="AX114" s="21">
        <v>1663.8</v>
      </c>
      <c r="AY114" s="21">
        <v>3130</v>
      </c>
      <c r="AZ114" s="21">
        <v>8619</v>
      </c>
      <c r="BA114" s="575">
        <f>K114</f>
        <v>9826.5370000000003</v>
      </c>
      <c r="BB114" s="21"/>
      <c r="BC114" s="21"/>
      <c r="BD114" s="21"/>
      <c r="BE114" s="575"/>
      <c r="BF114" s="102">
        <v>3651385</v>
      </c>
      <c r="BG114" s="21"/>
      <c r="BH114" s="21"/>
      <c r="BI114" s="575"/>
      <c r="BJ114" s="21"/>
      <c r="BK114" s="21"/>
      <c r="BL114" s="21"/>
      <c r="BM114" s="575"/>
      <c r="BN114" s="102"/>
      <c r="BO114" s="21"/>
      <c r="BP114" s="21"/>
      <c r="BQ114" s="575"/>
      <c r="BR114" s="21"/>
      <c r="BS114" s="21"/>
      <c r="BT114" s="21"/>
      <c r="BU114" s="575"/>
      <c r="BV114" s="21"/>
      <c r="BW114" s="21"/>
      <c r="BX114" s="21"/>
      <c r="BY114" s="575"/>
      <c r="BZ114" s="21"/>
      <c r="CA114" s="21"/>
      <c r="CB114" s="21"/>
      <c r="CC114" s="575"/>
      <c r="CD114" s="21"/>
      <c r="CE114" s="21"/>
      <c r="CF114" s="21"/>
      <c r="CG114" s="575"/>
    </row>
    <row r="115" spans="1:85">
      <c r="A115" s="28"/>
      <c r="B115" s="21" t="s">
        <v>83</v>
      </c>
      <c r="C115" s="44"/>
      <c r="D115" s="154">
        <f>'Raw Data'!U130</f>
        <v>308.22899999999998</v>
      </c>
      <c r="E115" s="154">
        <f>'Raw Data'!V130</f>
        <v>382.64699999999999</v>
      </c>
      <c r="F115" s="154">
        <f>'Raw Data'!W130</f>
        <v>357.22399999999999</v>
      </c>
      <c r="G115" s="154">
        <f>'Raw Data'!X130</f>
        <v>489.52699999999999</v>
      </c>
      <c r="H115" s="154">
        <f>'Raw Data'!Y130</f>
        <v>406.64</v>
      </c>
      <c r="I115" s="154">
        <f>'Raw Data'!Z130</f>
        <v>409.89800000000002</v>
      </c>
      <c r="J115" s="154">
        <v>473.51499999999999</v>
      </c>
      <c r="K115" s="154">
        <v>445.99</v>
      </c>
      <c r="L115" s="154">
        <v>1215.473</v>
      </c>
      <c r="M115" s="154">
        <v>1302.6420000000001</v>
      </c>
      <c r="N115" s="21">
        <v>1170.008</v>
      </c>
      <c r="O115" s="102">
        <v>840.15300000000002</v>
      </c>
      <c r="P115" s="102">
        <v>1432.684</v>
      </c>
      <c r="Q115" s="21">
        <f>Q9*Q153*2/365-P115</f>
        <v>1549.1740002843728</v>
      </c>
      <c r="R115" s="21">
        <f>R9*R153*2/365-Q115</f>
        <v>1870.6256411805514</v>
      </c>
      <c r="S115" s="21">
        <f>S9*S153*2/365-R115</f>
        <v>2076.661217120426</v>
      </c>
      <c r="T115" s="21">
        <f>T9*T153*2/365-S115</f>
        <v>2408.9831833238331</v>
      </c>
      <c r="U115" s="21"/>
      <c r="V115" s="44"/>
      <c r="W115" s="44"/>
      <c r="X115" s="44"/>
      <c r="Y115" s="44"/>
      <c r="Z115" s="44"/>
      <c r="AA115" s="44"/>
      <c r="AB115" s="44"/>
      <c r="AC115" s="44"/>
      <c r="AD115" s="44"/>
      <c r="AE115" s="44"/>
      <c r="AF115" s="44"/>
      <c r="AG115" s="44"/>
      <c r="AH115" s="44"/>
      <c r="AI115" s="44"/>
      <c r="AJ115" s="44"/>
      <c r="AK115" s="44"/>
      <c r="AL115" s="531"/>
      <c r="AM115" s="531"/>
      <c r="AN115" s="531"/>
      <c r="AO115" s="589"/>
      <c r="AP115" s="531"/>
      <c r="AQ115" s="531"/>
      <c r="AR115" s="531"/>
      <c r="AS115" s="589"/>
      <c r="AT115" s="531"/>
      <c r="AU115" s="531"/>
      <c r="AV115" s="41"/>
      <c r="AW115" s="607"/>
      <c r="AX115" s="41"/>
      <c r="AY115" s="41"/>
      <c r="AZ115" s="41"/>
      <c r="BA115" s="607"/>
      <c r="BB115" s="41"/>
      <c r="BC115" s="41"/>
      <c r="BD115" s="41"/>
      <c r="BE115" s="607"/>
      <c r="BF115" s="132">
        <v>938800</v>
      </c>
      <c r="BG115" s="41"/>
      <c r="BH115" s="41"/>
      <c r="BI115" s="607"/>
      <c r="BJ115" s="41"/>
      <c r="BK115" s="41"/>
      <c r="BL115" s="41"/>
      <c r="BM115" s="607"/>
      <c r="BN115" s="132"/>
      <c r="BO115" s="41"/>
      <c r="BP115" s="41"/>
      <c r="BQ115" s="607"/>
      <c r="BR115" s="41"/>
      <c r="BS115" s="41"/>
      <c r="BT115" s="41"/>
      <c r="BU115" s="607"/>
      <c r="BV115" s="41"/>
      <c r="BW115" s="41"/>
      <c r="BX115" s="41"/>
      <c r="BY115" s="607"/>
      <c r="BZ115" s="41"/>
      <c r="CA115" s="41"/>
      <c r="CB115" s="41"/>
      <c r="CC115" s="607"/>
      <c r="CD115" s="41"/>
      <c r="CE115" s="41"/>
      <c r="CF115" s="41"/>
      <c r="CG115" s="607"/>
    </row>
    <row r="116" spans="1:85">
      <c r="A116" s="28"/>
      <c r="B116" s="21" t="s">
        <v>84</v>
      </c>
      <c r="C116" s="44"/>
      <c r="D116" s="44">
        <f>'Raw Data'!U123</f>
        <v>286.25099999999998</v>
      </c>
      <c r="E116" s="44">
        <f>'Raw Data'!V123</f>
        <v>316.041</v>
      </c>
      <c r="F116" s="44">
        <f>'Raw Data'!W123</f>
        <v>387.32600000000002</v>
      </c>
      <c r="G116" s="44">
        <f>'Raw Data'!X123</f>
        <v>464.21600000000001</v>
      </c>
      <c r="H116" s="44">
        <f>'Raw Data'!Y123</f>
        <v>622.67899999999997</v>
      </c>
      <c r="I116" s="44">
        <f>'Raw Data'!Z123</f>
        <v>593.00900000000001</v>
      </c>
      <c r="J116" s="21">
        <v>628.88499999999999</v>
      </c>
      <c r="K116" s="21">
        <v>798.77599999999995</v>
      </c>
      <c r="L116" s="21">
        <f>1193.811</f>
        <v>1193.8109999999999</v>
      </c>
      <c r="M116" s="21">
        <v>1911.4870000000001</v>
      </c>
      <c r="N116" s="21">
        <v>2735.9209999999998</v>
      </c>
      <c r="O116" s="102">
        <v>2958.35</v>
      </c>
      <c r="P116" s="102">
        <v>3629.8020000000001</v>
      </c>
      <c r="Q116" s="21">
        <f>-Q12*Q154*2/365-P116</f>
        <v>3784.7861533669361</v>
      </c>
      <c r="R116" s="21">
        <f>-R12*R154*2/365-Q116</f>
        <v>4146.1628459065578</v>
      </c>
      <c r="S116" s="21">
        <f>-S12*S154*2/365-R116</f>
        <v>4618.0512717173569</v>
      </c>
      <c r="T116" s="21">
        <f>-T12*T154*2/365-S116</f>
        <v>4708.7410465421181</v>
      </c>
      <c r="U116" s="21"/>
      <c r="V116" s="44"/>
      <c r="W116" s="44"/>
      <c r="X116" s="44"/>
      <c r="Y116" s="44"/>
      <c r="Z116" s="44"/>
      <c r="AA116" s="44"/>
      <c r="AB116" s="44"/>
      <c r="AC116" s="44"/>
      <c r="AD116" s="44"/>
      <c r="AE116" s="44"/>
      <c r="AF116" s="44"/>
      <c r="AG116" s="44"/>
      <c r="AH116" s="44"/>
      <c r="AI116" s="44"/>
      <c r="AJ116" s="44"/>
      <c r="AK116" s="44"/>
      <c r="AL116" s="44"/>
      <c r="AM116" s="44"/>
      <c r="AN116" s="44"/>
      <c r="AO116" s="570"/>
      <c r="AP116" s="44"/>
      <c r="AQ116" s="44"/>
      <c r="AR116" s="44"/>
      <c r="AS116" s="607"/>
      <c r="AT116" s="41"/>
      <c r="AU116" s="41"/>
      <c r="AV116" s="41"/>
      <c r="AW116" s="607"/>
      <c r="AX116" s="41"/>
      <c r="AY116" s="41"/>
      <c r="AZ116" s="41"/>
      <c r="BA116" s="607"/>
      <c r="BB116" s="41"/>
      <c r="BC116" s="41"/>
      <c r="BD116" s="41"/>
      <c r="BE116" s="607"/>
      <c r="BF116" s="132">
        <v>2877125</v>
      </c>
      <c r="BG116" s="41"/>
      <c r="BH116" s="41"/>
      <c r="BI116" s="607"/>
      <c r="BJ116" s="41"/>
      <c r="BK116" s="41"/>
      <c r="BL116" s="41"/>
      <c r="BM116" s="607"/>
      <c r="BN116" s="132"/>
      <c r="BO116" s="41"/>
      <c r="BP116" s="41"/>
      <c r="BQ116" s="607"/>
      <c r="BR116" s="41"/>
      <c r="BS116" s="41"/>
      <c r="BT116" s="41"/>
      <c r="BU116" s="607"/>
      <c r="BV116" s="41"/>
      <c r="BW116" s="41"/>
      <c r="BX116" s="41"/>
      <c r="BY116" s="607"/>
      <c r="BZ116" s="41"/>
      <c r="CA116" s="41"/>
      <c r="CB116" s="41"/>
      <c r="CC116" s="607"/>
      <c r="CD116" s="41"/>
      <c r="CE116" s="41"/>
      <c r="CF116" s="41"/>
      <c r="CG116" s="607"/>
    </row>
    <row r="117" spans="1:85">
      <c r="A117" s="28"/>
      <c r="B117" s="21" t="s">
        <v>146</v>
      </c>
      <c r="C117" s="44"/>
      <c r="D117" s="159">
        <f>D118-SUM(D114:D116)</f>
        <v>506.27800000000002</v>
      </c>
      <c r="E117" s="159">
        <f t="shared" ref="E117:N117" si="284">E118-SUM(E114:E116)</f>
        <v>996.53500000000008</v>
      </c>
      <c r="F117" s="21">
        <f t="shared" si="284"/>
        <v>840.29900000000021</v>
      </c>
      <c r="G117" s="21">
        <f t="shared" si="284"/>
        <v>603.99900000000025</v>
      </c>
      <c r="H117" s="21">
        <f t="shared" si="284"/>
        <v>1301.3650000000002</v>
      </c>
      <c r="I117" s="21">
        <f t="shared" si="284"/>
        <v>3360.2640000000001</v>
      </c>
      <c r="J117" s="21">
        <f t="shared" si="284"/>
        <v>3532.6010000000006</v>
      </c>
      <c r="K117" s="21">
        <f t="shared" si="284"/>
        <v>4100.0519999999997</v>
      </c>
      <c r="L117" s="21">
        <f t="shared" si="284"/>
        <v>4226.8350000000009</v>
      </c>
      <c r="M117" s="21">
        <f t="shared" si="284"/>
        <v>6487.2390000000014</v>
      </c>
      <c r="N117" s="21">
        <f t="shared" si="284"/>
        <v>3514.1760000000013</v>
      </c>
      <c r="O117" s="21">
        <f>O118-SUM(O114:O116)</f>
        <v>4621.0229999999992</v>
      </c>
      <c r="P117" s="21">
        <f>P118-SUM(P114:P116)</f>
        <v>4690.0429999999997</v>
      </c>
      <c r="Q117" s="545">
        <f>P117-1000</f>
        <v>3690.0429999999997</v>
      </c>
      <c r="R117" s="545">
        <f>Q117</f>
        <v>3690.0429999999997</v>
      </c>
      <c r="S117" s="545">
        <f>R117</f>
        <v>3690.0429999999997</v>
      </c>
      <c r="T117" s="521">
        <f>S117</f>
        <v>3690.0429999999997</v>
      </c>
      <c r="U117" s="21"/>
      <c r="V117" s="44"/>
      <c r="W117" s="44"/>
      <c r="X117" s="44"/>
      <c r="Y117" s="44"/>
      <c r="Z117" s="44"/>
      <c r="AA117" s="44"/>
      <c r="AB117" s="44"/>
      <c r="AC117" s="44"/>
      <c r="AD117" s="44"/>
      <c r="AE117" s="44"/>
      <c r="AF117" s="44"/>
      <c r="AG117" s="44"/>
      <c r="AH117" s="44"/>
      <c r="AI117" s="44"/>
      <c r="AJ117" s="44"/>
      <c r="AK117" s="44"/>
      <c r="AL117" s="44"/>
      <c r="AM117" s="44"/>
      <c r="AN117" s="44"/>
      <c r="AO117" s="570"/>
      <c r="AP117" s="44"/>
      <c r="AQ117" s="44"/>
      <c r="AR117" s="44"/>
      <c r="AS117" s="608"/>
      <c r="AT117" s="147"/>
      <c r="AU117" s="147"/>
      <c r="AV117" s="147"/>
      <c r="AW117" s="608"/>
      <c r="AX117" s="147"/>
      <c r="AY117" s="147"/>
      <c r="AZ117" s="147"/>
      <c r="BA117" s="608"/>
      <c r="BB117" s="147"/>
      <c r="BC117" s="147"/>
      <c r="BD117" s="147"/>
      <c r="BE117" s="608"/>
      <c r="BF117" s="102"/>
      <c r="BG117" s="147"/>
      <c r="BH117" s="147"/>
      <c r="BI117" s="608"/>
      <c r="BJ117" s="147"/>
      <c r="BK117" s="147"/>
      <c r="BL117" s="147"/>
      <c r="BM117" s="608"/>
      <c r="BN117" s="102"/>
      <c r="BO117" s="147"/>
      <c r="BP117" s="147"/>
      <c r="BQ117" s="608"/>
      <c r="BR117" s="147"/>
      <c r="BS117" s="147"/>
      <c r="BT117" s="147"/>
      <c r="BU117" s="608"/>
      <c r="BV117" s="147"/>
      <c r="BW117" s="147"/>
      <c r="BX117" s="147"/>
      <c r="BY117" s="608"/>
      <c r="BZ117" s="147"/>
      <c r="CA117" s="147"/>
      <c r="CB117" s="147"/>
      <c r="CC117" s="608"/>
      <c r="CD117" s="147"/>
      <c r="CE117" s="147"/>
      <c r="CF117" s="147"/>
      <c r="CG117" s="608"/>
    </row>
    <row r="118" spans="1:85">
      <c r="A118" s="28"/>
      <c r="B118" s="25" t="s">
        <v>144</v>
      </c>
      <c r="C118" s="25"/>
      <c r="D118" s="160">
        <f>'Raw Data'!U139</f>
        <v>1563.241</v>
      </c>
      <c r="E118" s="160">
        <f>'Raw Data'!V139</f>
        <v>2298.259</v>
      </c>
      <c r="F118" s="25">
        <f>'Raw Data'!W139</f>
        <v>2590.0500000000002</v>
      </c>
      <c r="G118" s="25">
        <f>'Raw Data'!X139</f>
        <v>3683.7530000000002</v>
      </c>
      <c r="H118" s="25">
        <f>'Raw Data'!Y139</f>
        <v>4168.9840000000004</v>
      </c>
      <c r="I118" s="25">
        <f>'Raw Data'!Z139</f>
        <v>6149.5910000000003</v>
      </c>
      <c r="J118" s="25">
        <v>6873.8410000000003</v>
      </c>
      <c r="K118" s="25">
        <v>15171.355</v>
      </c>
      <c r="L118" s="25">
        <v>15217.865</v>
      </c>
      <c r="M118" s="25">
        <v>16633.955000000002</v>
      </c>
      <c r="N118" s="946">
        <v>13635.163</v>
      </c>
      <c r="O118" s="996">
        <v>14783.715</v>
      </c>
      <c r="P118" s="996">
        <v>15625.029</v>
      </c>
      <c r="Q118" s="25">
        <f>SUM(Q114+Q115+Q116+Q117)</f>
        <v>16480.880374706674</v>
      </c>
      <c r="R118" s="25">
        <f>SUM(R114+R115+R116+R117)</f>
        <v>15974.957223458212</v>
      </c>
      <c r="S118" s="25">
        <f>SUM(S114+S115+S116+S117)</f>
        <v>16638.238356040722</v>
      </c>
      <c r="T118" s="25">
        <f>SUM(T114+T115+T116+T117)</f>
        <v>17619.648143281469</v>
      </c>
      <c r="U118" s="21"/>
      <c r="V118" s="20"/>
      <c r="W118" s="20"/>
      <c r="X118" s="20"/>
      <c r="Y118" s="20"/>
      <c r="Z118" s="20"/>
      <c r="AA118" s="20"/>
      <c r="AB118" s="20"/>
      <c r="AC118" s="20"/>
      <c r="AD118" s="20"/>
      <c r="AE118" s="20"/>
      <c r="AF118" s="20"/>
      <c r="AG118" s="20"/>
      <c r="AH118" s="20"/>
      <c r="AI118" s="20"/>
      <c r="AJ118" s="20"/>
      <c r="AK118" s="20"/>
      <c r="AL118" s="20"/>
      <c r="AM118" s="20"/>
      <c r="AN118" s="20"/>
      <c r="AO118" s="571"/>
      <c r="AP118" s="20"/>
      <c r="AQ118" s="20"/>
      <c r="AR118" s="20"/>
      <c r="AS118" s="571"/>
      <c r="AT118" s="20"/>
      <c r="AU118" s="20"/>
      <c r="AV118" s="20"/>
      <c r="AW118" s="571"/>
      <c r="AX118" s="20"/>
      <c r="AY118" s="20"/>
      <c r="AZ118" s="20"/>
      <c r="BA118" s="571"/>
      <c r="BB118" s="20"/>
      <c r="BC118" s="20"/>
      <c r="BD118" s="20"/>
      <c r="BE118" s="571"/>
      <c r="BF118" s="101"/>
      <c r="BG118" s="20"/>
      <c r="BH118" s="20"/>
      <c r="BI118" s="571"/>
      <c r="BJ118" s="20"/>
      <c r="BK118" s="20"/>
      <c r="BL118" s="20"/>
      <c r="BM118" s="571"/>
      <c r="BN118" s="101"/>
      <c r="BO118" s="20"/>
      <c r="BP118" s="20"/>
      <c r="BQ118" s="571"/>
      <c r="BR118" s="20"/>
      <c r="BS118" s="20"/>
      <c r="BT118" s="20"/>
      <c r="BU118" s="571"/>
      <c r="BV118" s="20"/>
      <c r="BW118" s="20"/>
      <c r="BX118" s="20"/>
      <c r="BY118" s="571"/>
      <c r="BZ118" s="20"/>
      <c r="CA118" s="20"/>
      <c r="CB118" s="20"/>
      <c r="CC118" s="571"/>
      <c r="CD118" s="20"/>
      <c r="CE118" s="20"/>
      <c r="CF118" s="20"/>
      <c r="CG118" s="571"/>
    </row>
    <row r="119" spans="1:85">
      <c r="A119" s="28"/>
      <c r="B119" s="26" t="s">
        <v>35</v>
      </c>
      <c r="C119" s="21"/>
      <c r="D119" s="21"/>
      <c r="E119" s="21"/>
      <c r="F119" s="167"/>
      <c r="G119" s="21"/>
      <c r="H119" s="21"/>
      <c r="I119" s="21"/>
      <c r="J119" s="21"/>
      <c r="K119" s="21"/>
      <c r="L119" s="21"/>
      <c r="M119" s="21"/>
      <c r="N119" s="21"/>
      <c r="O119" s="21"/>
      <c r="P119" s="21"/>
      <c r="Q119" s="21"/>
      <c r="R119" s="21"/>
      <c r="S119" s="21"/>
      <c r="T119" s="21"/>
      <c r="U119" s="21"/>
      <c r="V119" s="36"/>
      <c r="W119" s="36"/>
      <c r="X119" s="36"/>
      <c r="Y119" s="36"/>
      <c r="Z119" s="36"/>
      <c r="AA119" s="36"/>
      <c r="AB119" s="36"/>
      <c r="AC119" s="36"/>
      <c r="AD119" s="36"/>
      <c r="AE119" s="36"/>
      <c r="AF119" s="36"/>
      <c r="AG119" s="36"/>
      <c r="AH119" s="36"/>
      <c r="AI119" s="36"/>
      <c r="AJ119" s="36"/>
      <c r="AK119" s="36"/>
      <c r="AL119" s="36"/>
      <c r="AM119" s="36"/>
      <c r="AN119" s="36"/>
      <c r="AO119" s="580"/>
      <c r="AP119" s="21"/>
      <c r="AQ119" s="21"/>
      <c r="AR119" s="21"/>
      <c r="AS119" s="575"/>
      <c r="AT119" s="21"/>
      <c r="AU119" s="21"/>
      <c r="AV119" s="21"/>
      <c r="AW119" s="575"/>
      <c r="AX119" s="21"/>
      <c r="AY119" s="21"/>
      <c r="AZ119" s="21"/>
      <c r="BA119" s="575"/>
      <c r="BB119" s="21"/>
      <c r="BC119" s="21"/>
      <c r="BD119" s="21"/>
      <c r="BE119" s="575"/>
      <c r="BF119" s="102"/>
      <c r="BG119" s="21"/>
      <c r="BH119" s="21"/>
      <c r="BI119" s="575"/>
      <c r="BJ119" s="21"/>
      <c r="BK119" s="21"/>
      <c r="BL119" s="21"/>
      <c r="BM119" s="575"/>
      <c r="BN119" s="102"/>
      <c r="BO119" s="21"/>
      <c r="BP119" s="21"/>
      <c r="BQ119" s="575"/>
      <c r="BR119" s="21"/>
      <c r="BS119" s="21"/>
      <c r="BT119" s="21"/>
      <c r="BU119" s="575"/>
      <c r="BV119" s="21"/>
      <c r="BW119" s="21"/>
      <c r="BX119" s="21"/>
      <c r="BY119" s="575"/>
      <c r="BZ119" s="21"/>
      <c r="CA119" s="21"/>
      <c r="CB119" s="21"/>
      <c r="CC119" s="575"/>
      <c r="CD119" s="21"/>
      <c r="CE119" s="21"/>
      <c r="CF119" s="21"/>
      <c r="CG119" s="575"/>
    </row>
    <row r="120" spans="1:85">
      <c r="A120" s="29"/>
      <c r="B120" s="30" t="s">
        <v>172</v>
      </c>
      <c r="C120" s="44"/>
      <c r="D120" s="21">
        <f t="shared" ref="D120:N120" si="285">D122-D121</f>
        <v>9057.398000000001</v>
      </c>
      <c r="E120" s="21">
        <f t="shared" si="285"/>
        <v>10005.681999999999</v>
      </c>
      <c r="F120" s="21">
        <f t="shared" si="285"/>
        <v>11334.965</v>
      </c>
      <c r="G120" s="21">
        <f t="shared" si="285"/>
        <v>13751.241</v>
      </c>
      <c r="H120" s="21">
        <f t="shared" si="285"/>
        <v>15372.079</v>
      </c>
      <c r="I120" s="21">
        <f t="shared" si="285"/>
        <v>16556.897000000001</v>
      </c>
      <c r="J120" s="21">
        <f t="shared" si="285"/>
        <v>18631.704000000002</v>
      </c>
      <c r="K120" s="21">
        <f t="shared" si="285"/>
        <v>24295.812000000002</v>
      </c>
      <c r="L120" s="21">
        <f t="shared" si="285"/>
        <v>28258.519</v>
      </c>
      <c r="M120" s="21">
        <f t="shared" si="285"/>
        <v>35095.271999999997</v>
      </c>
      <c r="N120" s="21">
        <f t="shared" si="285"/>
        <v>42822.635000000002</v>
      </c>
      <c r="O120" s="21">
        <f>O122-O121</f>
        <v>50163.417000000001</v>
      </c>
      <c r="P120" s="21">
        <f>P122-P121</f>
        <v>58409.811000000002</v>
      </c>
      <c r="Q120" s="21">
        <f>P120-Q181-Q173</f>
        <v>67401.556849999994</v>
      </c>
      <c r="R120" s="21">
        <f>Q120-R181-R173</f>
        <v>76999.516758949991</v>
      </c>
      <c r="S120" s="21">
        <f>R120-S181-S173</f>
        <v>86597.476667899988</v>
      </c>
      <c r="T120" s="21">
        <f>S120-T181-T173</f>
        <v>96240.471976169414</v>
      </c>
      <c r="U120" s="21"/>
      <c r="V120" s="44"/>
      <c r="W120" s="44"/>
      <c r="X120" s="44"/>
      <c r="Y120" s="44"/>
      <c r="Z120" s="44"/>
      <c r="AA120" s="44"/>
      <c r="AB120" s="44"/>
      <c r="AC120" s="44"/>
      <c r="AD120" s="44"/>
      <c r="AE120" s="44"/>
      <c r="AF120" s="44"/>
      <c r="AG120" s="44"/>
      <c r="AH120" s="44"/>
      <c r="AI120" s="44"/>
      <c r="AJ120" s="44"/>
      <c r="AK120" s="44"/>
      <c r="AL120" s="44"/>
      <c r="AM120" s="44"/>
      <c r="AN120" s="44"/>
      <c r="AO120" s="570"/>
      <c r="AP120" s="44"/>
      <c r="AQ120" s="44"/>
      <c r="AR120" s="44"/>
      <c r="AS120" s="575"/>
      <c r="AT120" s="21"/>
      <c r="AU120" s="21"/>
      <c r="AV120" s="21"/>
      <c r="AW120" s="575"/>
      <c r="AX120" s="21"/>
      <c r="AY120" s="21"/>
      <c r="AZ120" s="21"/>
      <c r="BA120" s="575"/>
      <c r="BB120" s="21"/>
      <c r="BC120" s="21"/>
      <c r="BD120" s="21"/>
      <c r="BE120" s="575"/>
      <c r="BF120" s="102"/>
      <c r="BG120" s="21"/>
      <c r="BH120" s="21"/>
      <c r="BI120" s="575"/>
      <c r="BJ120" s="21"/>
      <c r="BK120" s="21"/>
      <c r="BL120" s="21"/>
      <c r="BM120" s="575"/>
      <c r="BN120" s="102"/>
      <c r="BO120" s="21"/>
      <c r="BP120" s="21"/>
      <c r="BQ120" s="575"/>
      <c r="BR120" s="21"/>
      <c r="BS120" s="21"/>
      <c r="BT120" s="21"/>
      <c r="BU120" s="575"/>
      <c r="BV120" s="21"/>
      <c r="BW120" s="21"/>
      <c r="BX120" s="21"/>
      <c r="BY120" s="575"/>
      <c r="BZ120" s="21"/>
      <c r="CA120" s="21"/>
      <c r="CB120" s="21"/>
      <c r="CC120" s="575"/>
      <c r="CD120" s="21"/>
      <c r="CE120" s="21"/>
      <c r="CF120" s="21"/>
      <c r="CG120" s="575"/>
    </row>
    <row r="121" spans="1:85">
      <c r="A121" s="29"/>
      <c r="B121" s="31" t="s">
        <v>133</v>
      </c>
      <c r="C121" s="44"/>
      <c r="D121" s="21">
        <f>'Basic Data TR'!E129</f>
        <v>-6528.5640000000003</v>
      </c>
      <c r="E121" s="21">
        <f>'Basic Data TR'!F129</f>
        <v>-7010.5959999999995</v>
      </c>
      <c r="F121" s="21">
        <f>'Basic Data TR'!G129</f>
        <v>-7431.1469999999999</v>
      </c>
      <c r="G121" s="21">
        <f>'Basic Data TR'!H129</f>
        <v>-8063.884</v>
      </c>
      <c r="H121" s="21">
        <f>'Basic Data TR'!I129</f>
        <v>-8848.6759999999995</v>
      </c>
      <c r="I121" s="21">
        <f>'Basic Data TR'!J129</f>
        <v>-9778.9269999999997</v>
      </c>
      <c r="J121" s="91">
        <f>I121-J205</f>
        <v>-10874.457</v>
      </c>
      <c r="K121" s="91">
        <f>J121-K205</f>
        <v>-12157.791000000001</v>
      </c>
      <c r="L121" s="91">
        <f>K121-L205</f>
        <v>-13997.736000000001</v>
      </c>
      <c r="M121" s="91">
        <f>L121-M205</f>
        <v>-16239.740000000002</v>
      </c>
      <c r="N121" s="91">
        <f>M121-N205</f>
        <v>-18877.674000000003</v>
      </c>
      <c r="O121" s="91">
        <f>N121-O205</f>
        <v>-22071.380000000005</v>
      </c>
      <c r="P121" s="91">
        <f>O121-P205</f>
        <v>-25852.033000000003</v>
      </c>
      <c r="Q121" s="91">
        <f>P121-Q205</f>
        <v>-30790.931330671432</v>
      </c>
      <c r="R121" s="91">
        <f>Q121-R205</f>
        <v>-36445.931187400703</v>
      </c>
      <c r="S121" s="91">
        <f>R121-S205</f>
        <v>-42670.13131260786</v>
      </c>
      <c r="T121" s="91">
        <f>S121-T205</f>
        <v>-50568.161523489209</v>
      </c>
      <c r="U121" s="21"/>
      <c r="V121" s="44"/>
      <c r="W121" s="44"/>
      <c r="X121" s="44"/>
      <c r="Y121" s="44"/>
      <c r="Z121" s="44"/>
      <c r="AA121" s="44"/>
      <c r="AB121" s="44"/>
      <c r="AC121" s="44"/>
      <c r="AD121" s="44"/>
      <c r="AE121" s="44"/>
      <c r="AF121" s="44"/>
      <c r="AG121" s="44"/>
      <c r="AH121" s="44"/>
      <c r="AI121" s="44"/>
      <c r="AJ121" s="44"/>
      <c r="AK121" s="44"/>
      <c r="AL121" s="21"/>
      <c r="AM121" s="21"/>
      <c r="AN121" s="21"/>
      <c r="AO121" s="575"/>
      <c r="AP121" s="21"/>
      <c r="AQ121" s="21"/>
      <c r="AR121" s="21"/>
      <c r="AS121" s="575"/>
      <c r="AT121" s="21"/>
      <c r="AU121" s="21"/>
      <c r="AV121" s="21"/>
      <c r="AW121" s="575"/>
      <c r="AX121" s="21"/>
      <c r="AY121" s="21"/>
      <c r="AZ121" s="21"/>
      <c r="BA121" s="575"/>
      <c r="BB121" s="21"/>
      <c r="BC121" s="21"/>
      <c r="BD121" s="21"/>
      <c r="BE121" s="575"/>
      <c r="BF121" s="102"/>
      <c r="BG121" s="21"/>
      <c r="BH121" s="21"/>
      <c r="BI121" s="575"/>
      <c r="BJ121" s="21"/>
      <c r="BK121" s="21"/>
      <c r="BL121" s="21"/>
      <c r="BM121" s="575"/>
      <c r="BN121" s="102"/>
      <c r="BO121" s="21"/>
      <c r="BP121" s="21"/>
      <c r="BQ121" s="575"/>
      <c r="BR121" s="21"/>
      <c r="BS121" s="21"/>
      <c r="BT121" s="21"/>
      <c r="BU121" s="575"/>
      <c r="BV121" s="21"/>
      <c r="BW121" s="21"/>
      <c r="BX121" s="21"/>
      <c r="BY121" s="575"/>
      <c r="BZ121" s="21"/>
      <c r="CA121" s="21"/>
      <c r="CB121" s="21"/>
      <c r="CC121" s="575"/>
      <c r="CD121" s="21"/>
      <c r="CE121" s="21"/>
      <c r="CF121" s="21"/>
      <c r="CG121" s="575"/>
    </row>
    <row r="122" spans="1:85">
      <c r="A122" s="28"/>
      <c r="B122" s="25" t="s">
        <v>178</v>
      </c>
      <c r="C122" s="25"/>
      <c r="D122" s="25">
        <f>'Basic Data TR'!E130</f>
        <v>2528.8339999999998</v>
      </c>
      <c r="E122" s="25">
        <f>'Basic Data TR'!F130</f>
        <v>2995.0859999999998</v>
      </c>
      <c r="F122" s="25">
        <f>'Basic Data TR'!G130</f>
        <v>3903.8180000000002</v>
      </c>
      <c r="G122" s="25">
        <f>'Basic Data TR'!H130</f>
        <v>5687.357</v>
      </c>
      <c r="H122" s="25">
        <f>'Basic Data TR'!I130</f>
        <v>6523.4030000000002</v>
      </c>
      <c r="I122" s="25">
        <v>6777.97</v>
      </c>
      <c r="J122" s="25">
        <v>7757.2470000000003</v>
      </c>
      <c r="K122" s="25">
        <v>12138.021000000001</v>
      </c>
      <c r="L122" s="25">
        <v>14260.782999999999</v>
      </c>
      <c r="M122" s="25">
        <v>18855.531999999999</v>
      </c>
      <c r="N122" s="946">
        <v>23944.960999999999</v>
      </c>
      <c r="O122" s="996">
        <v>28092.037</v>
      </c>
      <c r="P122" s="996">
        <v>32557.777999999998</v>
      </c>
      <c r="Q122" s="25">
        <f>Q120+Q121</f>
        <v>36610.625519328561</v>
      </c>
      <c r="R122" s="25">
        <f t="shared" ref="R122:S122" si="286">R120+R121</f>
        <v>40553.585571549287</v>
      </c>
      <c r="S122" s="25">
        <f t="shared" si="286"/>
        <v>43927.345355292127</v>
      </c>
      <c r="T122" s="25">
        <f>T120+T121</f>
        <v>45672.310452680205</v>
      </c>
      <c r="U122" s="21"/>
      <c r="V122" s="20"/>
      <c r="W122" s="20"/>
      <c r="X122" s="20"/>
      <c r="Y122" s="20"/>
      <c r="Z122" s="20"/>
      <c r="AA122" s="20"/>
      <c r="AB122" s="20"/>
      <c r="AC122" s="20"/>
      <c r="AD122" s="20"/>
      <c r="AE122" s="20"/>
      <c r="AF122" s="20"/>
      <c r="AG122" s="20"/>
      <c r="AH122" s="20"/>
      <c r="AI122" s="20"/>
      <c r="AJ122" s="20"/>
      <c r="AK122" s="20"/>
      <c r="AL122" s="148"/>
      <c r="AM122" s="148"/>
      <c r="AN122" s="148"/>
      <c r="AO122" s="590"/>
      <c r="AP122" s="148"/>
      <c r="AQ122" s="148"/>
      <c r="AR122" s="148"/>
      <c r="AS122" s="571"/>
      <c r="AT122" s="20"/>
      <c r="AU122" s="20"/>
      <c r="AV122" s="20"/>
      <c r="AW122" s="571"/>
      <c r="AX122" s="20"/>
      <c r="AY122" s="20"/>
      <c r="AZ122" s="20"/>
      <c r="BA122" s="571"/>
      <c r="BB122" s="20"/>
      <c r="BC122" s="20"/>
      <c r="BD122" s="20"/>
      <c r="BE122" s="571"/>
      <c r="BF122" s="101">
        <v>27274634</v>
      </c>
      <c r="BG122" s="20"/>
      <c r="BH122" s="20"/>
      <c r="BI122" s="571"/>
      <c r="BJ122" s="20"/>
      <c r="BK122" s="20"/>
      <c r="BL122" s="20"/>
      <c r="BM122" s="571"/>
      <c r="BN122" s="101"/>
      <c r="BO122" s="20"/>
      <c r="BP122" s="20"/>
      <c r="BQ122" s="571"/>
      <c r="BR122" s="20"/>
      <c r="BS122" s="20"/>
      <c r="BT122" s="20"/>
      <c r="BU122" s="571"/>
      <c r="BV122" s="20"/>
      <c r="BW122" s="20"/>
      <c r="BX122" s="20"/>
      <c r="BY122" s="571"/>
      <c r="BZ122" s="20"/>
      <c r="CA122" s="20"/>
      <c r="CB122" s="20"/>
      <c r="CC122" s="571"/>
      <c r="CD122" s="20"/>
      <c r="CE122" s="20"/>
      <c r="CF122" s="20"/>
      <c r="CG122" s="571"/>
    </row>
    <row r="123" spans="1:85">
      <c r="A123" s="28"/>
      <c r="B123" s="30" t="s">
        <v>85</v>
      </c>
      <c r="C123" s="44"/>
      <c r="D123" s="21">
        <f>D125-D124</f>
        <v>348.42099999999999</v>
      </c>
      <c r="E123" s="21">
        <f t="shared" ref="E123:J123" si="287">E125-E124</f>
        <v>370.721</v>
      </c>
      <c r="F123" s="21">
        <f t="shared" si="287"/>
        <v>391.17700000000002</v>
      </c>
      <c r="G123" s="21">
        <f t="shared" si="287"/>
        <v>449.97</v>
      </c>
      <c r="H123" s="21">
        <f t="shared" si="287"/>
        <v>484.43100000000004</v>
      </c>
      <c r="I123" s="21">
        <f t="shared" si="287"/>
        <v>451.73199999999986</v>
      </c>
      <c r="J123" s="21">
        <f t="shared" si="287"/>
        <v>458.04699999999985</v>
      </c>
      <c r="K123" s="21">
        <f t="shared" ref="K123:P123" si="288">K125-K124</f>
        <v>472.41399999999987</v>
      </c>
      <c r="L123" s="21">
        <f t="shared" si="288"/>
        <v>487.43399999999986</v>
      </c>
      <c r="M123" s="21">
        <f t="shared" si="288"/>
        <v>494.50599999999986</v>
      </c>
      <c r="N123" s="21">
        <f t="shared" si="288"/>
        <v>512.19399999999985</v>
      </c>
      <c r="O123" s="21">
        <f t="shared" si="288"/>
        <v>532.15699999999981</v>
      </c>
      <c r="P123" s="21">
        <f t="shared" si="288"/>
        <v>557.6429999999998</v>
      </c>
      <c r="Q123" s="544">
        <f>P123+60</f>
        <v>617.6429999999998</v>
      </c>
      <c r="R123" s="544">
        <f t="shared" ref="R123:S123" si="289">Q123+60</f>
        <v>677.6429999999998</v>
      </c>
      <c r="S123" s="544">
        <f t="shared" si="289"/>
        <v>737.6429999999998</v>
      </c>
      <c r="T123" s="544">
        <f>S123+60</f>
        <v>797.6429999999998</v>
      </c>
      <c r="U123" s="21"/>
      <c r="V123" s="44"/>
      <c r="W123" s="44"/>
      <c r="X123" s="44"/>
      <c r="Y123" s="44"/>
      <c r="Z123" s="44"/>
      <c r="AA123" s="44"/>
      <c r="AB123" s="44"/>
      <c r="AC123" s="44"/>
      <c r="AD123" s="44"/>
      <c r="AE123" s="44"/>
      <c r="AF123" s="44"/>
      <c r="AG123" s="44"/>
      <c r="AH123" s="44"/>
      <c r="AI123" s="44"/>
      <c r="AJ123" s="44"/>
      <c r="AK123" s="44"/>
      <c r="AL123" s="44"/>
      <c r="AM123" s="44"/>
      <c r="AN123" s="44"/>
      <c r="AO123" s="570"/>
      <c r="AP123" s="44"/>
      <c r="AQ123" s="44"/>
      <c r="AR123" s="44"/>
      <c r="AS123" s="608"/>
      <c r="AT123" s="147"/>
      <c r="AU123" s="147"/>
      <c r="AV123" s="147"/>
      <c r="AW123" s="608"/>
      <c r="AX123" s="147"/>
      <c r="AY123" s="147"/>
      <c r="AZ123" s="147"/>
      <c r="BA123" s="608"/>
      <c r="BB123" s="147"/>
      <c r="BC123" s="147"/>
      <c r="BD123" s="147"/>
      <c r="BE123" s="608"/>
      <c r="BF123" s="102"/>
      <c r="BG123" s="147"/>
      <c r="BH123" s="147"/>
      <c r="BI123" s="608"/>
      <c r="BJ123" s="147"/>
      <c r="BK123" s="147"/>
      <c r="BL123" s="147"/>
      <c r="BM123" s="608"/>
      <c r="BN123" s="102"/>
      <c r="BO123" s="147"/>
      <c r="BP123" s="147"/>
      <c r="BQ123" s="608"/>
      <c r="BR123" s="147"/>
      <c r="BS123" s="147"/>
      <c r="BT123" s="147"/>
      <c r="BU123" s="608"/>
      <c r="BV123" s="147"/>
      <c r="BW123" s="147"/>
      <c r="BX123" s="147"/>
      <c r="BY123" s="608"/>
      <c r="BZ123" s="147"/>
      <c r="CA123" s="147"/>
      <c r="CB123" s="147"/>
      <c r="CC123" s="608"/>
      <c r="CD123" s="147"/>
      <c r="CE123" s="147"/>
      <c r="CF123" s="147"/>
      <c r="CG123" s="608"/>
    </row>
    <row r="124" spans="1:85">
      <c r="A124" s="28"/>
      <c r="B124" s="31" t="s">
        <v>148</v>
      </c>
      <c r="C124" s="44"/>
      <c r="D124" s="21">
        <f>'Basic Data TR'!E135</f>
        <v>-133.15600000000001</v>
      </c>
      <c r="E124" s="21">
        <f>'Basic Data TR'!F135</f>
        <v>-162.899</v>
      </c>
      <c r="F124" s="21">
        <f>'Basic Data TR'!G135</f>
        <v>-166.898</v>
      </c>
      <c r="G124" s="21">
        <f>'Basic Data TR'!H135</f>
        <v>-201.38900000000001</v>
      </c>
      <c r="H124" s="21">
        <f>'Basic Data TR'!I135</f>
        <v>-264.48700000000002</v>
      </c>
      <c r="I124" s="21">
        <f>'Basic Data TR'!J135</f>
        <v>-328.87799999999987</v>
      </c>
      <c r="J124" s="91">
        <f>I124-J211</f>
        <v>-361.10399999999987</v>
      </c>
      <c r="K124" s="91">
        <f>J124-K211</f>
        <v>-390.4609999999999</v>
      </c>
      <c r="L124" s="91">
        <f>K124-L211</f>
        <v>-419.81799999999987</v>
      </c>
      <c r="M124" s="91">
        <f>L124-M211</f>
        <v>-449.17499999999984</v>
      </c>
      <c r="N124" s="91">
        <f>M124-N211</f>
        <v>-478.53199999999981</v>
      </c>
      <c r="O124" s="91">
        <f>N124-O211</f>
        <v>-507.88899999999978</v>
      </c>
      <c r="P124" s="91">
        <f>O124-P211</f>
        <v>-537.24599999999975</v>
      </c>
      <c r="Q124" s="91">
        <f>P124-Q211</f>
        <v>-566.60299999999972</v>
      </c>
      <c r="R124" s="91">
        <f>Q124-R211</f>
        <v>-595.9599999999997</v>
      </c>
      <c r="S124" s="91">
        <f>R124-S211</f>
        <v>-625.31699999999967</v>
      </c>
      <c r="T124" s="91">
        <f>S124-T211</f>
        <v>-654.67399999999964</v>
      </c>
      <c r="U124" s="21"/>
      <c r="V124" s="44"/>
      <c r="W124" s="44"/>
      <c r="X124" s="44"/>
      <c r="Y124" s="44"/>
      <c r="Z124" s="44"/>
      <c r="AA124" s="44"/>
      <c r="AB124" s="44"/>
      <c r="AC124" s="44"/>
      <c r="AD124" s="44"/>
      <c r="AE124" s="44"/>
      <c r="AF124" s="44"/>
      <c r="AG124" s="44"/>
      <c r="AH124" s="44"/>
      <c r="AI124" s="44"/>
      <c r="AJ124" s="44"/>
      <c r="AK124" s="44"/>
      <c r="AL124" s="44"/>
      <c r="AM124" s="44"/>
      <c r="AN124" s="44"/>
      <c r="AO124" s="570"/>
      <c r="AP124" s="44"/>
      <c r="AQ124" s="44"/>
      <c r="AR124" s="44"/>
      <c r="AS124" s="575"/>
      <c r="AT124" s="21"/>
      <c r="AU124" s="21"/>
      <c r="AV124" s="21"/>
      <c r="AW124" s="575"/>
      <c r="AX124" s="21"/>
      <c r="AY124" s="21"/>
      <c r="AZ124" s="21"/>
      <c r="BA124" s="575"/>
      <c r="BB124" s="21"/>
      <c r="BC124" s="21"/>
      <c r="BD124" s="21"/>
      <c r="BE124" s="575"/>
      <c r="BF124" s="102"/>
      <c r="BG124" s="21"/>
      <c r="BH124" s="21"/>
      <c r="BI124" s="575"/>
      <c r="BJ124" s="21"/>
      <c r="BK124" s="21"/>
      <c r="BL124" s="21"/>
      <c r="BM124" s="575"/>
      <c r="BN124" s="102"/>
      <c r="BO124" s="21"/>
      <c r="BP124" s="21"/>
      <c r="BQ124" s="575"/>
      <c r="BR124" s="21"/>
      <c r="BS124" s="21"/>
      <c r="BT124" s="21"/>
      <c r="BU124" s="575"/>
      <c r="BV124" s="21"/>
      <c r="BW124" s="21"/>
      <c r="BX124" s="21"/>
      <c r="BY124" s="575"/>
      <c r="BZ124" s="21"/>
      <c r="CA124" s="21"/>
      <c r="CB124" s="21"/>
      <c r="CC124" s="575"/>
      <c r="CD124" s="21"/>
      <c r="CE124" s="21"/>
      <c r="CF124" s="21"/>
      <c r="CG124" s="575"/>
    </row>
    <row r="125" spans="1:85">
      <c r="A125" s="28"/>
      <c r="B125" s="25" t="s">
        <v>125</v>
      </c>
      <c r="C125" s="25"/>
      <c r="D125" s="25">
        <f>'Raw Data'!U96</f>
        <v>215.26499999999999</v>
      </c>
      <c r="E125" s="25">
        <f>'Raw Data'!V96</f>
        <v>207.822</v>
      </c>
      <c r="F125" s="25">
        <f>'Raw Data'!W96</f>
        <v>224.279</v>
      </c>
      <c r="G125" s="25">
        <f>'Raw Data'!X96</f>
        <v>248.58099999999999</v>
      </c>
      <c r="H125" s="25">
        <f>'Raw Data'!Y96</f>
        <v>219.94399999999999</v>
      </c>
      <c r="I125" s="25">
        <f>'Raw Data'!Z96</f>
        <v>122.854</v>
      </c>
      <c r="J125" s="25">
        <v>96.942999999999998</v>
      </c>
      <c r="K125" s="25">
        <v>81.953000000000003</v>
      </c>
      <c r="L125" s="25">
        <v>67.616</v>
      </c>
      <c r="M125" s="25">
        <v>45.331000000000003</v>
      </c>
      <c r="N125" s="946">
        <v>33.661999999999999</v>
      </c>
      <c r="O125" s="996">
        <v>24.268000000000001</v>
      </c>
      <c r="P125" s="996">
        <v>20.396999999999998</v>
      </c>
      <c r="Q125" s="25">
        <f>+Q123+Q124</f>
        <v>51.040000000000077</v>
      </c>
      <c r="R125" s="25">
        <f t="shared" ref="R125:S125" si="290">+R123+R124</f>
        <v>81.683000000000106</v>
      </c>
      <c r="S125" s="25">
        <f t="shared" si="290"/>
        <v>112.32600000000014</v>
      </c>
      <c r="T125" s="25">
        <f>+T123+T124</f>
        <v>142.96900000000016</v>
      </c>
      <c r="U125" s="21"/>
      <c r="V125" s="20"/>
      <c r="W125" s="20"/>
      <c r="X125" s="20"/>
      <c r="Y125" s="20"/>
      <c r="Z125" s="20"/>
      <c r="AA125" s="20"/>
      <c r="AB125" s="20"/>
      <c r="AC125" s="20"/>
      <c r="AD125" s="20"/>
      <c r="AE125" s="20"/>
      <c r="AF125" s="20"/>
      <c r="AG125" s="20"/>
      <c r="AH125" s="20"/>
      <c r="AI125" s="20"/>
      <c r="AJ125" s="20"/>
      <c r="AK125" s="20"/>
      <c r="AL125" s="20"/>
      <c r="AM125" s="20"/>
      <c r="AN125" s="152"/>
      <c r="AO125" s="591"/>
      <c r="AP125" s="152"/>
      <c r="AQ125" s="152"/>
      <c r="AR125" s="152"/>
      <c r="AS125" s="591"/>
      <c r="AT125" s="152"/>
      <c r="AU125" s="152"/>
      <c r="AV125" s="20"/>
      <c r="AW125" s="571"/>
      <c r="AX125" s="20"/>
      <c r="AY125" s="20"/>
      <c r="AZ125" s="20"/>
      <c r="BA125" s="571"/>
      <c r="BB125" s="20"/>
      <c r="BC125" s="20"/>
      <c r="BD125" s="20"/>
      <c r="BE125" s="571"/>
      <c r="BF125" s="101"/>
      <c r="BG125" s="20"/>
      <c r="BH125" s="20"/>
      <c r="BI125" s="571"/>
      <c r="BJ125" s="20"/>
      <c r="BK125" s="20"/>
      <c r="BL125" s="20"/>
      <c r="BM125" s="571"/>
      <c r="BN125" s="101"/>
      <c r="BO125" s="20"/>
      <c r="BP125" s="20"/>
      <c r="BQ125" s="571"/>
      <c r="BR125" s="20"/>
      <c r="BS125" s="20"/>
      <c r="BT125" s="20"/>
      <c r="BU125" s="571"/>
      <c r="BV125" s="20"/>
      <c r="BW125" s="20"/>
      <c r="BX125" s="20"/>
      <c r="BY125" s="571"/>
      <c r="BZ125" s="20"/>
      <c r="CA125" s="20"/>
      <c r="CB125" s="20"/>
      <c r="CC125" s="571"/>
      <c r="CD125" s="20"/>
      <c r="CE125" s="20"/>
      <c r="CF125" s="20"/>
      <c r="CG125" s="571"/>
    </row>
    <row r="126" spans="1:85">
      <c r="A126" s="28"/>
      <c r="B126" s="21" t="s">
        <v>87</v>
      </c>
      <c r="C126" s="44"/>
      <c r="D126" s="44">
        <f>'Basic Data TR'!E137</f>
        <v>29.2</v>
      </c>
      <c r="E126" s="44">
        <f>'Basic Data TR'!F137</f>
        <v>57.631</v>
      </c>
      <c r="F126" s="44">
        <f>'Basic Data TR'!G137</f>
        <v>198.977</v>
      </c>
      <c r="G126" s="44">
        <f>'Basic Data TR'!H137</f>
        <v>254.495</v>
      </c>
      <c r="H126" s="44">
        <f>'Basic Data TR'!I137</f>
        <v>789.92200000000003</v>
      </c>
      <c r="I126" s="44">
        <f>'Basic Data TR'!J137</f>
        <v>1151.1289999999999</v>
      </c>
      <c r="J126" s="21">
        <f>1139.317+27.117</f>
        <v>1166.434</v>
      </c>
      <c r="K126" s="21">
        <f>1440.976+31.521+1638.721+156.367</f>
        <v>3267.585</v>
      </c>
      <c r="L126" s="21">
        <f>1859.151+17.639+223.024+3725.962</f>
        <v>5825.7759999999998</v>
      </c>
      <c r="M126" s="21">
        <f>1912.042+9.051+208.307+5553.445</f>
        <v>7682.8449999999993</v>
      </c>
      <c r="N126" s="21">
        <f>2042.671+2.295+481.969+6891.233</f>
        <v>9418.1679999999997</v>
      </c>
      <c r="O126" s="102">
        <f>1252.507+0.013+427.373+3747.134</f>
        <v>5427.027</v>
      </c>
      <c r="P126" s="102">
        <f>1309.57+79/10^6+810.501+1532.265</f>
        <v>3652.3360789999997</v>
      </c>
      <c r="Q126" s="544">
        <f>P126-Q183</f>
        <v>3652.3360789999997</v>
      </c>
      <c r="R126" s="544">
        <f>Q126-R183</f>
        <v>3652.3360789999997</v>
      </c>
      <c r="S126" s="544">
        <f>R126-S183</f>
        <v>3652.3360789999997</v>
      </c>
      <c r="T126" s="544">
        <f>S126-T183</f>
        <v>3652.3360789999997</v>
      </c>
      <c r="U126" s="21"/>
      <c r="V126" s="44"/>
      <c r="W126" s="44"/>
      <c r="X126" s="44"/>
      <c r="Y126" s="44"/>
      <c r="Z126" s="44"/>
      <c r="AA126" s="44"/>
      <c r="AB126" s="44"/>
      <c r="AC126" s="44"/>
      <c r="AD126" s="44"/>
      <c r="AE126" s="44"/>
      <c r="AF126" s="44"/>
      <c r="AG126" s="44"/>
      <c r="AH126" s="44"/>
      <c r="AI126" s="44"/>
      <c r="AJ126" s="44"/>
      <c r="AK126" s="44"/>
      <c r="AL126" s="44"/>
      <c r="AM126" s="44"/>
      <c r="AN126" s="44"/>
      <c r="AO126" s="570"/>
      <c r="AP126" s="44"/>
      <c r="AQ126" s="44"/>
      <c r="AR126" s="44"/>
      <c r="AS126" s="575"/>
      <c r="AT126" s="21"/>
      <c r="AU126" s="21"/>
      <c r="AV126" s="21"/>
      <c r="AW126" s="575"/>
      <c r="AX126" s="21"/>
      <c r="AY126" s="21"/>
      <c r="AZ126" s="21"/>
      <c r="BA126" s="575"/>
      <c r="BB126" s="21"/>
      <c r="BC126" s="21"/>
      <c r="BD126" s="21"/>
      <c r="BE126" s="575"/>
      <c r="BF126" s="102"/>
      <c r="BG126" s="21"/>
      <c r="BH126" s="21"/>
      <c r="BI126" s="575"/>
      <c r="BJ126" s="21"/>
      <c r="BK126" s="21"/>
      <c r="BL126" s="21"/>
      <c r="BM126" s="575"/>
      <c r="BN126" s="102"/>
      <c r="BO126" s="21"/>
      <c r="BP126" s="21"/>
      <c r="BQ126" s="575"/>
      <c r="BR126" s="21"/>
      <c r="BS126" s="21"/>
      <c r="BT126" s="21"/>
      <c r="BU126" s="575"/>
      <c r="BV126" s="21"/>
      <c r="BW126" s="21"/>
      <c r="BX126" s="21"/>
      <c r="BY126" s="575"/>
      <c r="BZ126" s="21"/>
      <c r="CA126" s="21"/>
      <c r="CB126" s="21"/>
      <c r="CC126" s="575"/>
      <c r="CD126" s="21"/>
      <c r="CE126" s="21"/>
      <c r="CF126" s="21"/>
      <c r="CG126" s="575"/>
    </row>
    <row r="127" spans="1:85">
      <c r="A127" s="28"/>
      <c r="B127" s="21" t="s">
        <v>44</v>
      </c>
      <c r="C127" s="44"/>
      <c r="D127" s="158">
        <f>D128-D118-D122-D125-D126</f>
        <v>186.85200000000003</v>
      </c>
      <c r="E127" s="158">
        <f t="shared" ref="E127:N127" si="291">E128-E118-E122-E125-E126</f>
        <v>210.5810000000001</v>
      </c>
      <c r="F127" s="21">
        <f t="shared" si="291"/>
        <v>198.22299999999936</v>
      </c>
      <c r="G127" s="21">
        <f t="shared" si="291"/>
        <v>241.09199999999964</v>
      </c>
      <c r="H127" s="21">
        <f t="shared" si="291"/>
        <v>216.1979999999985</v>
      </c>
      <c r="I127" s="21">
        <f t="shared" si="291"/>
        <v>222.77599999999916</v>
      </c>
      <c r="J127" s="21">
        <f t="shared" si="291"/>
        <v>543.35499999999911</v>
      </c>
      <c r="K127" s="21">
        <f t="shared" si="291"/>
        <v>661.66100000000051</v>
      </c>
      <c r="L127" s="21">
        <f>L128-L118-L122-L125-L126</f>
        <v>738.90100000000166</v>
      </c>
      <c r="M127" s="21">
        <f t="shared" si="291"/>
        <v>590.12099999999919</v>
      </c>
      <c r="N127" s="21">
        <f t="shared" si="291"/>
        <v>755.35799999999836</v>
      </c>
      <c r="O127" s="21">
        <f>O128-O118-O122-O125-O126</f>
        <v>834.20099999999547</v>
      </c>
      <c r="P127" s="21">
        <f>P128-P118-P122-P125-P126</f>
        <v>415.76792099999693</v>
      </c>
      <c r="Q127" s="105">
        <f>P127</f>
        <v>415.76792099999693</v>
      </c>
      <c r="R127" s="105">
        <f>Q127</f>
        <v>415.76792099999693</v>
      </c>
      <c r="S127" s="105">
        <f>R127</f>
        <v>415.76792099999693</v>
      </c>
      <c r="T127" s="105">
        <f>S127</f>
        <v>415.76792099999693</v>
      </c>
      <c r="U127" s="21"/>
      <c r="V127" s="44"/>
      <c r="W127" s="44"/>
      <c r="X127" s="44"/>
      <c r="Y127" s="44"/>
      <c r="Z127" s="44"/>
      <c r="AA127" s="44"/>
      <c r="AB127" s="44"/>
      <c r="AC127" s="44"/>
      <c r="AD127" s="44"/>
      <c r="AE127" s="44"/>
      <c r="AF127" s="44"/>
      <c r="AG127" s="44"/>
      <c r="AH127" s="44"/>
      <c r="AI127" s="44"/>
      <c r="AJ127" s="44"/>
      <c r="AK127" s="44"/>
      <c r="AL127" s="44"/>
      <c r="AM127" s="44"/>
      <c r="AN127" s="44"/>
      <c r="AO127" s="570"/>
      <c r="AP127" s="44"/>
      <c r="AQ127" s="44"/>
      <c r="AR127" s="44"/>
      <c r="AS127" s="608"/>
      <c r="AT127" s="147"/>
      <c r="AU127" s="147"/>
      <c r="AV127" s="147"/>
      <c r="AW127" s="608"/>
      <c r="AX127" s="147"/>
      <c r="AY127" s="147"/>
      <c r="AZ127" s="147"/>
      <c r="BA127" s="608"/>
      <c r="BB127" s="147"/>
      <c r="BC127" s="147"/>
      <c r="BD127" s="147"/>
      <c r="BE127" s="608"/>
      <c r="BF127" s="102"/>
      <c r="BG127" s="147"/>
      <c r="BH127" s="147"/>
      <c r="BI127" s="608"/>
      <c r="BJ127" s="147"/>
      <c r="BK127" s="147"/>
      <c r="BL127" s="147"/>
      <c r="BM127" s="608"/>
      <c r="BN127" s="102"/>
      <c r="BO127" s="147"/>
      <c r="BP127" s="147"/>
      <c r="BQ127" s="608"/>
      <c r="BR127" s="147"/>
      <c r="BS127" s="147"/>
      <c r="BT127" s="147"/>
      <c r="BU127" s="608"/>
      <c r="BV127" s="147"/>
      <c r="BW127" s="147"/>
      <c r="BX127" s="147"/>
      <c r="BY127" s="608"/>
      <c r="BZ127" s="147"/>
      <c r="CA127" s="147"/>
      <c r="CB127" s="147"/>
      <c r="CC127" s="608"/>
      <c r="CD127" s="147"/>
      <c r="CE127" s="147"/>
      <c r="CF127" s="147"/>
      <c r="CG127" s="608"/>
    </row>
    <row r="128" spans="1:85">
      <c r="A128" s="171"/>
      <c r="B128" s="25" t="s">
        <v>88</v>
      </c>
      <c r="C128" s="25"/>
      <c r="D128" s="25">
        <f>'Raw Data'!U141</f>
        <v>4523.3919999999998</v>
      </c>
      <c r="E128" s="25">
        <f>'Raw Data'!V141</f>
        <v>5769.3789999999999</v>
      </c>
      <c r="F128" s="25">
        <f>'Raw Data'!W141</f>
        <v>7115.3469999999998</v>
      </c>
      <c r="G128" s="25">
        <f>'Raw Data'!X141</f>
        <v>10115.278</v>
      </c>
      <c r="H128" s="25">
        <f>'Raw Data'!Y141</f>
        <v>11918.450999999999</v>
      </c>
      <c r="I128" s="25">
        <f>'Raw Data'!Z141</f>
        <v>14424.32</v>
      </c>
      <c r="J128" s="25">
        <v>16437.82</v>
      </c>
      <c r="K128" s="25">
        <v>31320.575000000001</v>
      </c>
      <c r="L128" s="25">
        <v>36110.940999999999</v>
      </c>
      <c r="M128" s="25">
        <v>43807.784</v>
      </c>
      <c r="N128" s="946">
        <v>47787.311999999998</v>
      </c>
      <c r="O128" s="996">
        <v>49161.248</v>
      </c>
      <c r="P128" s="996">
        <v>52271.307999999997</v>
      </c>
      <c r="Q128" s="25">
        <f>SUM(Q118+Q122+Q125+Q126+Q127)</f>
        <v>57210.649894035232</v>
      </c>
      <c r="R128" s="25">
        <f>SUM(R118+R122+R125+R126+R127)</f>
        <v>60678.329795007492</v>
      </c>
      <c r="S128" s="25">
        <f>SUM(S118+S122+S125+S126+S127)</f>
        <v>64746.013711332846</v>
      </c>
      <c r="T128" s="25">
        <f>SUM(T118+T122+T125+T126+T127)</f>
        <v>67503.031595961656</v>
      </c>
      <c r="U128" s="21"/>
      <c r="V128" s="20"/>
      <c r="W128" s="20"/>
      <c r="X128" s="20"/>
      <c r="Y128" s="20"/>
      <c r="Z128" s="20"/>
      <c r="AA128" s="20"/>
      <c r="AB128" s="20"/>
      <c r="AC128" s="20"/>
      <c r="AD128" s="20"/>
      <c r="AE128" s="20"/>
      <c r="AF128" s="20"/>
      <c r="AG128" s="20"/>
      <c r="AH128" s="20"/>
      <c r="AI128" s="20"/>
      <c r="AJ128" s="20"/>
      <c r="AK128" s="20"/>
      <c r="AL128" s="20"/>
      <c r="AM128" s="20"/>
      <c r="AN128" s="20"/>
      <c r="AO128" s="571"/>
      <c r="AP128" s="20"/>
      <c r="AQ128" s="20"/>
      <c r="AR128" s="20"/>
      <c r="AS128" s="571"/>
      <c r="AT128" s="20"/>
      <c r="AU128" s="20"/>
      <c r="AV128" s="20"/>
      <c r="AW128" s="571"/>
      <c r="AX128" s="20"/>
      <c r="AY128" s="20"/>
      <c r="AZ128" s="20"/>
      <c r="BA128" s="571"/>
      <c r="BB128" s="20"/>
      <c r="BC128" s="20"/>
      <c r="BD128" s="20"/>
      <c r="BE128" s="571"/>
      <c r="BF128" s="101"/>
      <c r="BG128" s="20"/>
      <c r="BH128" s="20"/>
      <c r="BI128" s="571"/>
      <c r="BJ128" s="20"/>
      <c r="BK128" s="20"/>
      <c r="BL128" s="20"/>
      <c r="BM128" s="571"/>
      <c r="BN128" s="101"/>
      <c r="BO128" s="20"/>
      <c r="BP128" s="20"/>
      <c r="BQ128" s="571"/>
      <c r="BR128" s="20"/>
      <c r="BS128" s="20"/>
      <c r="BT128" s="20"/>
      <c r="BU128" s="571"/>
      <c r="BV128" s="20"/>
      <c r="BW128" s="20"/>
      <c r="BX128" s="20"/>
      <c r="BY128" s="571"/>
      <c r="BZ128" s="20"/>
      <c r="CA128" s="20"/>
      <c r="CB128" s="20"/>
      <c r="CC128" s="571"/>
      <c r="CD128" s="20"/>
      <c r="CE128" s="20"/>
      <c r="CF128" s="20"/>
      <c r="CG128" s="571"/>
    </row>
    <row r="129" spans="1:85">
      <c r="A129" s="28"/>
      <c r="B129" s="26" t="s">
        <v>35</v>
      </c>
      <c r="C129" s="42"/>
      <c r="D129" s="21"/>
      <c r="E129" s="21"/>
      <c r="F129" s="21"/>
      <c r="G129" s="21"/>
      <c r="H129" s="21"/>
      <c r="I129" s="21"/>
      <c r="J129" s="21"/>
      <c r="K129" s="21"/>
      <c r="L129" s="21"/>
      <c r="M129" s="21"/>
      <c r="N129" s="21"/>
      <c r="O129" s="21"/>
      <c r="P129" s="21"/>
      <c r="Q129" s="21"/>
      <c r="R129" s="21"/>
      <c r="S129" s="21"/>
      <c r="T129" s="21"/>
      <c r="U129" s="21"/>
      <c r="V129" s="42"/>
      <c r="W129" s="42"/>
      <c r="X129" s="42"/>
      <c r="Y129" s="42"/>
      <c r="Z129" s="42"/>
      <c r="AA129" s="42"/>
      <c r="AB129" s="42"/>
      <c r="AC129" s="42"/>
      <c r="AD129" s="42"/>
      <c r="AE129" s="42"/>
      <c r="AF129" s="42"/>
      <c r="AG129" s="42"/>
      <c r="AH129" s="42"/>
      <c r="AI129" s="42"/>
      <c r="AJ129" s="42"/>
      <c r="AK129" s="42"/>
      <c r="AL129" s="42"/>
      <c r="AM129" s="42"/>
      <c r="AN129" s="42"/>
      <c r="AO129" s="592"/>
      <c r="AP129" s="42"/>
      <c r="AQ129" s="42"/>
      <c r="AR129" s="42"/>
      <c r="AS129" s="592"/>
      <c r="AT129" s="42"/>
      <c r="AU129" s="21"/>
      <c r="AV129" s="42"/>
      <c r="AW129" s="592"/>
      <c r="AX129" s="42"/>
      <c r="AY129" s="42"/>
      <c r="AZ129" s="42"/>
      <c r="BA129" s="592"/>
      <c r="BB129" s="42"/>
      <c r="BC129" s="42"/>
      <c r="BD129" s="42"/>
      <c r="BE129" s="592"/>
      <c r="BF129" s="1015"/>
      <c r="BG129" s="42"/>
      <c r="BH129" s="42"/>
      <c r="BI129" s="592"/>
      <c r="BJ129" s="42"/>
      <c r="BK129" s="42"/>
      <c r="BL129" s="42"/>
      <c r="BM129" s="592"/>
      <c r="BN129" s="1015"/>
      <c r="BO129" s="42"/>
      <c r="BP129" s="42"/>
      <c r="BQ129" s="592"/>
      <c r="BR129" s="42"/>
      <c r="BS129" s="42"/>
      <c r="BT129" s="42"/>
      <c r="BU129" s="592"/>
      <c r="BV129" s="42"/>
      <c r="BW129" s="42"/>
      <c r="BX129" s="42"/>
      <c r="BY129" s="592"/>
      <c r="BZ129" s="42"/>
      <c r="CA129" s="42"/>
      <c r="CB129" s="42"/>
      <c r="CC129" s="592"/>
      <c r="CD129" s="42"/>
      <c r="CE129" s="42"/>
      <c r="CF129" s="42"/>
      <c r="CG129" s="592"/>
    </row>
    <row r="130" spans="1:85">
      <c r="A130" s="28"/>
      <c r="B130" s="21" t="s">
        <v>147</v>
      </c>
      <c r="C130" s="44"/>
      <c r="D130" s="155">
        <f>'Raw Data'!U146</f>
        <v>285.96699999999998</v>
      </c>
      <c r="E130" s="155">
        <f>'Raw Data'!V146</f>
        <v>645.41399999999999</v>
      </c>
      <c r="F130" s="155">
        <f>'Raw Data'!W146</f>
        <v>885.43799999999999</v>
      </c>
      <c r="G130" s="155">
        <f>'Raw Data'!X146</f>
        <v>781.16099999999994</v>
      </c>
      <c r="H130" s="155">
        <f>'Raw Data'!Y146</f>
        <v>837.84299999999996</v>
      </c>
      <c r="I130" s="155">
        <f>'Raw Data'!Z146</f>
        <v>823.44299999999998</v>
      </c>
      <c r="J130" s="81">
        <v>1034.079</v>
      </c>
      <c r="K130" s="41">
        <v>1648.556</v>
      </c>
      <c r="L130" s="41">
        <v>1830.415</v>
      </c>
      <c r="M130" s="41">
        <v>3021.8409999999999</v>
      </c>
      <c r="N130" s="41">
        <v>3727.922</v>
      </c>
      <c r="O130" s="132">
        <v>3278.9659999999999</v>
      </c>
      <c r="P130" s="132">
        <v>2965.9810000000002</v>
      </c>
      <c r="Q130" s="41">
        <f>-Q14*Q155*2/365-P130</f>
        <v>3855.4401010975803</v>
      </c>
      <c r="R130" s="41">
        <f>-R14*R155*2/365-Q130</f>
        <v>3903.0969634090984</v>
      </c>
      <c r="S130" s="41">
        <f>-S14*S155*2/365-R130</f>
        <v>4861.1171542148168</v>
      </c>
      <c r="T130" s="41">
        <f>-T14*T155*2/365-S130</f>
        <v>4854.2915106388045</v>
      </c>
      <c r="U130" s="21"/>
      <c r="V130" s="44"/>
      <c r="W130" s="44"/>
      <c r="X130" s="44"/>
      <c r="Y130" s="44"/>
      <c r="Z130" s="44"/>
      <c r="AA130" s="44"/>
      <c r="AB130" s="44"/>
      <c r="AC130" s="44"/>
      <c r="AD130" s="44"/>
      <c r="AE130" s="44"/>
      <c r="AF130" s="44"/>
      <c r="AG130" s="44"/>
      <c r="AH130" s="44"/>
      <c r="AI130" s="44"/>
      <c r="AJ130" s="44"/>
      <c r="AK130" s="44"/>
      <c r="AL130" s="44"/>
      <c r="AM130" s="44"/>
      <c r="AN130" s="44"/>
      <c r="AO130" s="570"/>
      <c r="AP130" s="44"/>
      <c r="AQ130" s="44"/>
      <c r="AR130" s="44"/>
      <c r="AS130" s="607"/>
      <c r="AT130" s="41"/>
      <c r="AU130" s="41"/>
      <c r="AV130" s="41"/>
      <c r="AW130" s="607"/>
      <c r="AX130" s="41"/>
      <c r="AY130" s="41"/>
      <c r="AZ130" s="41"/>
      <c r="BA130" s="607"/>
      <c r="BB130" s="41"/>
      <c r="BC130" s="41"/>
      <c r="BD130" s="41"/>
      <c r="BE130" s="607"/>
      <c r="BF130" s="132">
        <v>3351346</v>
      </c>
      <c r="BG130" s="41"/>
      <c r="BH130" s="41"/>
      <c r="BI130" s="607"/>
      <c r="BJ130" s="41"/>
      <c r="BK130" s="41"/>
      <c r="BL130" s="41"/>
      <c r="BM130" s="607"/>
      <c r="BN130" s="132"/>
      <c r="BO130" s="41"/>
      <c r="BP130" s="41"/>
      <c r="BQ130" s="607"/>
      <c r="BR130" s="41"/>
      <c r="BS130" s="41"/>
      <c r="BT130" s="41"/>
      <c r="BU130" s="607"/>
      <c r="BV130" s="41"/>
      <c r="BW130" s="41"/>
      <c r="BX130" s="41"/>
      <c r="BY130" s="607"/>
      <c r="BZ130" s="41"/>
      <c r="CA130" s="41"/>
      <c r="CB130" s="41"/>
      <c r="CC130" s="607"/>
      <c r="CD130" s="41"/>
      <c r="CE130" s="41"/>
      <c r="CF130" s="41"/>
      <c r="CG130" s="607"/>
    </row>
    <row r="131" spans="1:85">
      <c r="A131" s="28"/>
      <c r="B131" s="21" t="s">
        <v>174</v>
      </c>
      <c r="C131" s="44"/>
      <c r="D131" s="44">
        <f>'Raw Data'!U154</f>
        <v>390.54700000000003</v>
      </c>
      <c r="E131" s="44">
        <f>'Raw Data'!V154</f>
        <v>162.054</v>
      </c>
      <c r="F131" s="44">
        <f>'Raw Data'!W154</f>
        <v>505.70000000000005</v>
      </c>
      <c r="G131" s="44">
        <f>'Raw Data'!X154</f>
        <v>687.06799999999998</v>
      </c>
      <c r="H131" s="44">
        <f>'Raw Data'!Y154</f>
        <v>440.60799999999995</v>
      </c>
      <c r="I131" s="44">
        <f>'Raw Data'!Z154</f>
        <v>1246.8029999999999</v>
      </c>
      <c r="J131" s="21">
        <f>562.833+286.512</f>
        <v>849.34500000000003</v>
      </c>
      <c r="K131" s="21">
        <v>1239.9960000000001</v>
      </c>
      <c r="L131" s="21">
        <v>789.31600000000003</v>
      </c>
      <c r="M131" s="21">
        <v>1268.2180000000001</v>
      </c>
      <c r="N131" s="21">
        <v>1216.2829999999999</v>
      </c>
      <c r="O131" s="102">
        <v>2926.3110000000001</v>
      </c>
      <c r="P131" s="102">
        <v>2593.0770000000002</v>
      </c>
      <c r="Q131" s="21">
        <f>P131+Q189</f>
        <v>2593.0770000000002</v>
      </c>
      <c r="R131" s="21">
        <f>Q131+R189</f>
        <v>2593.0770000000002</v>
      </c>
      <c r="S131" s="21">
        <f>R131+S189</f>
        <v>2593.0770000000002</v>
      </c>
      <c r="T131" s="21">
        <f>S131+T189</f>
        <v>2593.0770000000002</v>
      </c>
      <c r="U131" s="21"/>
      <c r="V131" s="44"/>
      <c r="W131" s="44"/>
      <c r="X131" s="44"/>
      <c r="Y131" s="44"/>
      <c r="Z131" s="44"/>
      <c r="AA131" s="44"/>
      <c r="AB131" s="44"/>
      <c r="AC131" s="44"/>
      <c r="AD131" s="44"/>
      <c r="AE131" s="44"/>
      <c r="AF131" s="44"/>
      <c r="AG131" s="44"/>
      <c r="AH131" s="44"/>
      <c r="AI131" s="44"/>
      <c r="AJ131" s="44"/>
      <c r="AK131" s="44"/>
      <c r="AL131" s="44">
        <v>292.07</v>
      </c>
      <c r="AM131" s="44">
        <v>305.89800000000002</v>
      </c>
      <c r="AN131" s="44">
        <v>437.375</v>
      </c>
      <c r="AO131" s="570">
        <v>440.608</v>
      </c>
      <c r="AP131" s="44">
        <v>523.43399999999997</v>
      </c>
      <c r="AQ131" s="44">
        <v>1007.13</v>
      </c>
      <c r="AR131" s="44">
        <v>945.65099999999995</v>
      </c>
      <c r="AS131" s="570">
        <v>1246.8030000000001</v>
      </c>
      <c r="AT131" s="44">
        <v>1230.01</v>
      </c>
      <c r="AU131" s="44">
        <v>1556.0550000000001</v>
      </c>
      <c r="AV131" s="44">
        <f>338+500+495</f>
        <v>1333</v>
      </c>
      <c r="AW131" s="575">
        <f>J131</f>
        <v>849.34500000000003</v>
      </c>
      <c r="AX131" s="21"/>
      <c r="AY131" s="21"/>
      <c r="AZ131" s="21"/>
      <c r="BA131" s="575"/>
      <c r="BB131" s="21"/>
      <c r="BC131" s="21"/>
      <c r="BD131" s="21"/>
      <c r="BE131" s="575"/>
      <c r="BF131" s="102">
        <v>1436334</v>
      </c>
      <c r="BG131" s="21"/>
      <c r="BH131" s="21"/>
      <c r="BI131" s="575"/>
      <c r="BJ131" s="21"/>
      <c r="BK131" s="21"/>
      <c r="BL131" s="21"/>
      <c r="BM131" s="575"/>
      <c r="BN131" s="102"/>
      <c r="BO131" s="21"/>
      <c r="BP131" s="21"/>
      <c r="BQ131" s="575"/>
      <c r="BR131" s="21"/>
      <c r="BS131" s="21"/>
      <c r="BT131" s="21"/>
      <c r="BU131" s="575"/>
      <c r="BV131" s="21"/>
      <c r="BW131" s="21"/>
      <c r="BX131" s="21"/>
      <c r="BY131" s="575"/>
      <c r="BZ131" s="21"/>
      <c r="CA131" s="21"/>
      <c r="CB131" s="21"/>
      <c r="CC131" s="575"/>
      <c r="CD131" s="21"/>
      <c r="CE131" s="21"/>
      <c r="CF131" s="21"/>
      <c r="CG131" s="575"/>
    </row>
    <row r="132" spans="1:85">
      <c r="A132" s="28"/>
      <c r="B132" s="21" t="s">
        <v>56</v>
      </c>
      <c r="C132" s="44"/>
      <c r="D132" s="159">
        <f>D133-SUM(D130:D131)</f>
        <v>262.02300000000002</v>
      </c>
      <c r="E132" s="159">
        <f t="shared" ref="E132:N132" si="292">E133-SUM(E130:E131)</f>
        <v>342.77300000000002</v>
      </c>
      <c r="F132" s="44">
        <f t="shared" si="292"/>
        <v>376.05300000000011</v>
      </c>
      <c r="G132" s="44">
        <f t="shared" si="292"/>
        <v>512.67100000000028</v>
      </c>
      <c r="H132" s="44">
        <f t="shared" si="292"/>
        <v>628.32799999999997</v>
      </c>
      <c r="I132" s="44">
        <f t="shared" si="292"/>
        <v>788.98199999999997</v>
      </c>
      <c r="J132" s="44">
        <f t="shared" si="292"/>
        <v>1321.7750000000001</v>
      </c>
      <c r="K132" s="44">
        <f t="shared" si="292"/>
        <v>984.09699999999975</v>
      </c>
      <c r="L132" s="44">
        <f t="shared" si="292"/>
        <v>1833.8890000000001</v>
      </c>
      <c r="M132" s="44">
        <f t="shared" si="292"/>
        <v>2734.87</v>
      </c>
      <c r="N132" s="44">
        <f t="shared" si="292"/>
        <v>2657.3770000000004</v>
      </c>
      <c r="O132" s="44">
        <f>O133-SUM(O130:O131)</f>
        <v>2554.41</v>
      </c>
      <c r="P132" s="44">
        <f>P133-SUM(P130:P131)</f>
        <v>1258.0059999999994</v>
      </c>
      <c r="Q132" s="21">
        <f>P132-Q50-Q59+P59+P50</f>
        <v>1258.0059999999994</v>
      </c>
      <c r="R132" s="21">
        <f t="shared" ref="R132:S132" si="293">Q132-R50-R59+Q59+Q50</f>
        <v>1258.0059999999994</v>
      </c>
      <c r="S132" s="21">
        <f t="shared" si="293"/>
        <v>1258.0059999999994</v>
      </c>
      <c r="T132" s="21">
        <f>S132-T50-T59+S59+S50</f>
        <v>1258.0059999999994</v>
      </c>
      <c r="U132" s="21"/>
      <c r="V132" s="44"/>
      <c r="W132" s="44"/>
      <c r="X132" s="44"/>
      <c r="Y132" s="44"/>
      <c r="Z132" s="44"/>
      <c r="AA132" s="44"/>
      <c r="AB132" s="44"/>
      <c r="AC132" s="44"/>
      <c r="AD132" s="44"/>
      <c r="AE132" s="44"/>
      <c r="AF132" s="44"/>
      <c r="AG132" s="44"/>
      <c r="AH132" s="44"/>
      <c r="AI132" s="44"/>
      <c r="AJ132" s="44"/>
      <c r="AK132" s="44"/>
      <c r="AL132" s="44"/>
      <c r="AM132" s="44"/>
      <c r="AN132" s="44"/>
      <c r="AO132" s="570"/>
      <c r="AP132" s="44"/>
      <c r="AQ132" s="44"/>
      <c r="AR132" s="44"/>
      <c r="AS132" s="608"/>
      <c r="AT132" s="147"/>
      <c r="AU132" s="147"/>
      <c r="AV132" s="147"/>
      <c r="AW132" s="608"/>
      <c r="AX132" s="147"/>
      <c r="AY132" s="147"/>
      <c r="AZ132" s="147"/>
      <c r="BA132" s="608"/>
      <c r="BB132" s="147"/>
      <c r="BC132" s="147"/>
      <c r="BD132" s="147"/>
      <c r="BE132" s="608"/>
      <c r="BF132" s="102"/>
      <c r="BG132" s="147"/>
      <c r="BH132" s="147"/>
      <c r="BI132" s="608"/>
      <c r="BJ132" s="147"/>
      <c r="BK132" s="147"/>
      <c r="BL132" s="147"/>
      <c r="BM132" s="608"/>
      <c r="BN132" s="102"/>
      <c r="BO132" s="147"/>
      <c r="BP132" s="147"/>
      <c r="BQ132" s="608"/>
      <c r="BR132" s="147"/>
      <c r="BS132" s="147"/>
      <c r="BT132" s="147"/>
      <c r="BU132" s="608"/>
      <c r="BV132" s="147"/>
      <c r="BW132" s="147"/>
      <c r="BX132" s="147"/>
      <c r="BY132" s="608"/>
      <c r="BZ132" s="147"/>
      <c r="CA132" s="147"/>
      <c r="CB132" s="147"/>
      <c r="CC132" s="608"/>
      <c r="CD132" s="147"/>
      <c r="CE132" s="147"/>
      <c r="CF132" s="147"/>
      <c r="CG132" s="608"/>
    </row>
    <row r="133" spans="1:85">
      <c r="A133" s="28"/>
      <c r="B133" s="25" t="s">
        <v>89</v>
      </c>
      <c r="C133" s="25"/>
      <c r="D133" s="25">
        <f>'Raw Data'!U165</f>
        <v>938.53700000000003</v>
      </c>
      <c r="E133" s="25">
        <f>'Raw Data'!V165</f>
        <v>1150.241</v>
      </c>
      <c r="F133" s="25">
        <f>'Raw Data'!W165</f>
        <v>1767.191</v>
      </c>
      <c r="G133" s="25">
        <f>'Raw Data'!X165</f>
        <v>1980.9</v>
      </c>
      <c r="H133" s="25">
        <f>'Raw Data'!Y165</f>
        <v>1906.779</v>
      </c>
      <c r="I133" s="25">
        <f>'Raw Data'!Z165</f>
        <v>2859.2280000000001</v>
      </c>
      <c r="J133" s="25">
        <v>3205.1990000000001</v>
      </c>
      <c r="K133" s="25">
        <v>3872.6489999999999</v>
      </c>
      <c r="L133" s="25">
        <v>4453.62</v>
      </c>
      <c r="M133" s="25">
        <v>7024.9290000000001</v>
      </c>
      <c r="N133" s="946">
        <v>7601.5820000000003</v>
      </c>
      <c r="O133" s="996">
        <v>8759.6869999999999</v>
      </c>
      <c r="P133" s="996">
        <v>6817.0640000000003</v>
      </c>
      <c r="Q133" s="25">
        <f>SUM(Q130+Q131+Q132)</f>
        <v>7706.5231010975804</v>
      </c>
      <c r="R133" s="25">
        <f t="shared" ref="R133:S133" si="294">SUM(R130+R131+R132)</f>
        <v>7754.1799634090985</v>
      </c>
      <c r="S133" s="25">
        <f t="shared" si="294"/>
        <v>8712.2001542148173</v>
      </c>
      <c r="T133" s="25">
        <f>SUM(T130+T131+T132)</f>
        <v>8705.3745106388051</v>
      </c>
      <c r="U133" s="21"/>
      <c r="V133" s="20"/>
      <c r="W133" s="20"/>
      <c r="X133" s="20"/>
      <c r="Y133" s="20"/>
      <c r="Z133" s="20"/>
      <c r="AA133" s="20"/>
      <c r="AB133" s="20"/>
      <c r="AC133" s="20"/>
      <c r="AD133" s="20"/>
      <c r="AE133" s="20"/>
      <c r="AF133" s="20"/>
      <c r="AG133" s="20"/>
      <c r="AH133" s="20"/>
      <c r="AI133" s="20"/>
      <c r="AJ133" s="20"/>
      <c r="AK133" s="20"/>
      <c r="AL133" s="20"/>
      <c r="AM133" s="20"/>
      <c r="AN133" s="20"/>
      <c r="AO133" s="571"/>
      <c r="AP133" s="20"/>
      <c r="AQ133" s="20"/>
      <c r="AR133" s="20"/>
      <c r="AS133" s="571"/>
      <c r="AT133" s="20"/>
      <c r="AU133" s="20"/>
      <c r="AV133" s="20"/>
      <c r="AW133" s="571"/>
      <c r="AX133" s="20"/>
      <c r="AY133" s="20"/>
      <c r="AZ133" s="20"/>
      <c r="BA133" s="571"/>
      <c r="BB133" s="20"/>
      <c r="BC133" s="20"/>
      <c r="BD133" s="20"/>
      <c r="BE133" s="571"/>
      <c r="BF133" s="101"/>
      <c r="BG133" s="20"/>
      <c r="BH133" s="20"/>
      <c r="BI133" s="571"/>
      <c r="BJ133" s="20"/>
      <c r="BK133" s="20"/>
      <c r="BL133" s="20"/>
      <c r="BM133" s="571"/>
      <c r="BN133" s="101"/>
      <c r="BO133" s="20"/>
      <c r="BP133" s="20"/>
      <c r="BQ133" s="571"/>
      <c r="BR133" s="20"/>
      <c r="BS133" s="20"/>
      <c r="BT133" s="20"/>
      <c r="BU133" s="571"/>
      <c r="BV133" s="20"/>
      <c r="BW133" s="20"/>
      <c r="BX133" s="20"/>
      <c r="BY133" s="571"/>
      <c r="BZ133" s="20"/>
      <c r="CA133" s="20"/>
      <c r="CB133" s="20"/>
      <c r="CC133" s="571"/>
      <c r="CD133" s="20"/>
      <c r="CE133" s="20"/>
      <c r="CF133" s="20"/>
      <c r="CG133" s="571"/>
    </row>
    <row r="134" spans="1:85">
      <c r="A134" s="28"/>
      <c r="B134" s="26" t="s">
        <v>35</v>
      </c>
      <c r="C134" s="21"/>
      <c r="D134" s="175"/>
      <c r="E134" s="175"/>
      <c r="F134" s="175"/>
      <c r="G134" s="175"/>
      <c r="H134" s="175"/>
      <c r="I134" s="175"/>
      <c r="J134" s="175"/>
      <c r="K134" s="175"/>
      <c r="L134" s="175"/>
      <c r="M134" s="175"/>
      <c r="N134" s="175"/>
      <c r="O134" s="175"/>
      <c r="P134" s="175"/>
      <c r="Q134" s="175"/>
      <c r="R134" s="175"/>
      <c r="S134" s="175"/>
      <c r="T134" s="175"/>
      <c r="U134" s="21"/>
      <c r="V134" s="21"/>
      <c r="W134" s="21"/>
      <c r="X134" s="21"/>
      <c r="Y134" s="21"/>
      <c r="Z134" s="21"/>
      <c r="AA134" s="21"/>
      <c r="AB134" s="21"/>
      <c r="AC134" s="21"/>
      <c r="AD134" s="21"/>
      <c r="AE134" s="21"/>
      <c r="AF134" s="21"/>
      <c r="AG134" s="21"/>
      <c r="AH134" s="21"/>
      <c r="AI134" s="21"/>
      <c r="AJ134" s="21"/>
      <c r="AK134" s="21"/>
      <c r="AL134" s="21"/>
      <c r="AM134" s="21"/>
      <c r="AN134" s="21"/>
      <c r="AO134" s="575"/>
      <c r="AP134" s="21"/>
      <c r="AQ134" s="21"/>
      <c r="AR134" s="21"/>
      <c r="AS134" s="575"/>
      <c r="AT134" s="21"/>
      <c r="AU134" s="21"/>
      <c r="AV134" s="21"/>
      <c r="AW134" s="575"/>
      <c r="AX134" s="21"/>
      <c r="AY134" s="21"/>
      <c r="AZ134" s="21"/>
      <c r="BA134" s="575"/>
      <c r="BB134" s="21"/>
      <c r="BC134" s="21"/>
      <c r="BD134" s="21"/>
      <c r="BE134" s="575"/>
      <c r="BF134" s="102"/>
      <c r="BG134" s="21"/>
      <c r="BH134" s="21"/>
      <c r="BI134" s="575"/>
      <c r="BJ134" s="21"/>
      <c r="BK134" s="21"/>
      <c r="BL134" s="21"/>
      <c r="BM134" s="575"/>
      <c r="BN134" s="102"/>
      <c r="BO134" s="21"/>
      <c r="BP134" s="21"/>
      <c r="BQ134" s="575"/>
      <c r="BR134" s="21"/>
      <c r="BS134" s="21"/>
      <c r="BT134" s="21"/>
      <c r="BU134" s="575"/>
      <c r="BV134" s="21"/>
      <c r="BW134" s="21"/>
      <c r="BX134" s="21"/>
      <c r="BY134" s="575"/>
      <c r="BZ134" s="21"/>
      <c r="CA134" s="21"/>
      <c r="CB134" s="21"/>
      <c r="CC134" s="575"/>
      <c r="CD134" s="21"/>
      <c r="CE134" s="21"/>
      <c r="CF134" s="21"/>
      <c r="CG134" s="575"/>
    </row>
    <row r="135" spans="1:85">
      <c r="A135" s="28"/>
      <c r="B135" s="21" t="s">
        <v>175</v>
      </c>
      <c r="C135" s="44"/>
      <c r="D135" s="44">
        <f>'Raw Data'!U171</f>
        <v>781.53800000000001</v>
      </c>
      <c r="E135" s="44">
        <f>'Raw Data'!V171</f>
        <v>1127.173</v>
      </c>
      <c r="F135" s="44">
        <f>'Raw Data'!W171</f>
        <v>909.24300000000005</v>
      </c>
      <c r="G135" s="44">
        <f>'Raw Data'!X171</f>
        <v>2338.2150000000001</v>
      </c>
      <c r="H135" s="44">
        <f>'Raw Data'!Y171</f>
        <v>2872.44</v>
      </c>
      <c r="I135" s="44">
        <f>'Raw Data'!Z171</f>
        <v>2179.355</v>
      </c>
      <c r="J135" s="21">
        <f>2003.836+214.193</f>
        <v>2218.029</v>
      </c>
      <c r="K135" s="21">
        <f>4050.837+229.217</f>
        <v>4280.0540000000001</v>
      </c>
      <c r="L135" s="21">
        <v>4937.6710000000003</v>
      </c>
      <c r="M135" s="21">
        <v>6718.3040000000001</v>
      </c>
      <c r="N135" s="21">
        <v>8334.6479999999992</v>
      </c>
      <c r="O135" s="102">
        <v>8038.1480000000001</v>
      </c>
      <c r="P135" s="102">
        <v>9994.7729999999992</v>
      </c>
      <c r="Q135" s="21">
        <f>P135+Q190</f>
        <v>10994.772999999999</v>
      </c>
      <c r="R135" s="21">
        <f>Q135+R190</f>
        <v>10994.772999999999</v>
      </c>
      <c r="S135" s="21">
        <f>R135+S190</f>
        <v>10994.772999999999</v>
      </c>
      <c r="T135" s="21">
        <f>S135+T190</f>
        <v>10994.772999999999</v>
      </c>
      <c r="U135" s="21"/>
      <c r="V135" s="44"/>
      <c r="W135" s="44"/>
      <c r="X135" s="44"/>
      <c r="Y135" s="44"/>
      <c r="Z135" s="44"/>
      <c r="AA135" s="44"/>
      <c r="AB135" s="44"/>
      <c r="AC135" s="44"/>
      <c r="AD135" s="44"/>
      <c r="AE135" s="44"/>
      <c r="AF135" s="44"/>
      <c r="AG135" s="44"/>
      <c r="AH135" s="44"/>
      <c r="AI135" s="44"/>
      <c r="AJ135" s="44"/>
      <c r="AK135" s="44"/>
      <c r="AL135" s="44">
        <v>2479.877</v>
      </c>
      <c r="AM135" s="44">
        <v>2573.8159999999998</v>
      </c>
      <c r="AN135" s="44">
        <v>2700.4960000000001</v>
      </c>
      <c r="AO135" s="570">
        <v>2872.44</v>
      </c>
      <c r="AP135" s="44">
        <v>2882.5439999999999</v>
      </c>
      <c r="AQ135" s="44">
        <v>2441.1669999999999</v>
      </c>
      <c r="AR135" s="44">
        <v>2378.3290000000002</v>
      </c>
      <c r="AS135" s="570">
        <v>2179.355</v>
      </c>
      <c r="AT135" s="44">
        <v>2722.8710000000001</v>
      </c>
      <c r="AU135" s="44">
        <v>2649.93</v>
      </c>
      <c r="AV135" s="44">
        <f>2179+430+211</f>
        <v>2820</v>
      </c>
      <c r="AW135" s="575">
        <f>J135</f>
        <v>2218.029</v>
      </c>
      <c r="AX135" s="21"/>
      <c r="AY135" s="21"/>
      <c r="AZ135" s="21"/>
      <c r="BA135" s="575"/>
      <c r="BB135" s="21"/>
      <c r="BC135" s="21"/>
      <c r="BD135" s="21"/>
      <c r="BE135" s="575"/>
      <c r="BF135" s="102">
        <v>8322826</v>
      </c>
      <c r="BG135" s="21"/>
      <c r="BH135" s="21"/>
      <c r="BI135" s="575"/>
      <c r="BJ135" s="21"/>
      <c r="BK135" s="21"/>
      <c r="BL135" s="21"/>
      <c r="BM135" s="575"/>
      <c r="BN135" s="102"/>
      <c r="BO135" s="21"/>
      <c r="BP135" s="21"/>
      <c r="BQ135" s="575"/>
      <c r="BR135" s="21"/>
      <c r="BS135" s="21"/>
      <c r="BT135" s="21"/>
      <c r="BU135" s="575"/>
      <c r="BV135" s="21"/>
      <c r="BW135" s="21"/>
      <c r="BX135" s="21"/>
      <c r="BY135" s="575"/>
      <c r="BZ135" s="21"/>
      <c r="CA135" s="21"/>
      <c r="CB135" s="21"/>
      <c r="CC135" s="575"/>
      <c r="CD135" s="21"/>
      <c r="CE135" s="21"/>
      <c r="CF135" s="21"/>
      <c r="CG135" s="575"/>
    </row>
    <row r="136" spans="1:85">
      <c r="A136" s="28"/>
      <c r="B136" s="21" t="s">
        <v>176</v>
      </c>
      <c r="C136" s="44"/>
      <c r="D136" s="159">
        <f>D137-D135</f>
        <v>210.13499999999999</v>
      </c>
      <c r="E136" s="159">
        <f t="shared" ref="E136:N136" si="295">E137-E135</f>
        <v>184.24300000000017</v>
      </c>
      <c r="F136" s="159">
        <f t="shared" si="295"/>
        <v>248.65800000000002</v>
      </c>
      <c r="G136" s="159">
        <f t="shared" si="295"/>
        <v>392.93600000000015</v>
      </c>
      <c r="H136" s="159">
        <f t="shared" si="295"/>
        <v>417.89699999999993</v>
      </c>
      <c r="I136" s="159">
        <f t="shared" si="295"/>
        <v>462.1569999999997</v>
      </c>
      <c r="J136" s="21">
        <f t="shared" si="295"/>
        <v>816.73</v>
      </c>
      <c r="K136" s="21">
        <f t="shared" si="295"/>
        <v>1486.134</v>
      </c>
      <c r="L136" s="21">
        <f t="shared" si="295"/>
        <v>1281.5069999999996</v>
      </c>
      <c r="M136" s="21">
        <f t="shared" si="295"/>
        <v>1103.1300000000001</v>
      </c>
      <c r="N136" s="21">
        <f t="shared" si="295"/>
        <v>1005.4660000000003</v>
      </c>
      <c r="O136" s="21">
        <f>O137-O135</f>
        <v>493.75500000000011</v>
      </c>
      <c r="P136" s="21">
        <f>P137-P135</f>
        <v>438.94800000000032</v>
      </c>
      <c r="Q136" s="105">
        <f>P136</f>
        <v>438.94800000000032</v>
      </c>
      <c r="R136" s="105">
        <f>Q136</f>
        <v>438.94800000000032</v>
      </c>
      <c r="S136" s="105">
        <f>R136</f>
        <v>438.94800000000032</v>
      </c>
      <c r="T136" s="105">
        <f>S136</f>
        <v>438.94800000000032</v>
      </c>
      <c r="U136" s="21"/>
      <c r="V136" s="44"/>
      <c r="W136" s="44"/>
      <c r="X136" s="44"/>
      <c r="Y136" s="44"/>
      <c r="Z136" s="44"/>
      <c r="AA136" s="44"/>
      <c r="AB136" s="44"/>
      <c r="AC136" s="44"/>
      <c r="AD136" s="44"/>
      <c r="AE136" s="44"/>
      <c r="AF136" s="44"/>
      <c r="AG136" s="44"/>
      <c r="AH136" s="44"/>
      <c r="AI136" s="44"/>
      <c r="AJ136" s="44"/>
      <c r="AK136" s="44"/>
      <c r="AL136" s="44"/>
      <c r="AM136" s="44"/>
      <c r="AN136" s="44"/>
      <c r="AO136" s="570"/>
      <c r="AP136" s="44"/>
      <c r="AQ136" s="44"/>
      <c r="AR136" s="44"/>
      <c r="AS136" s="608"/>
      <c r="AT136" s="147"/>
      <c r="AU136" s="147"/>
      <c r="AV136" s="147"/>
      <c r="AW136" s="608"/>
      <c r="AX136" s="147"/>
      <c r="AY136" s="147"/>
      <c r="AZ136" s="147"/>
      <c r="BA136" s="608"/>
      <c r="BB136" s="147"/>
      <c r="BC136" s="147"/>
      <c r="BD136" s="147"/>
      <c r="BE136" s="608"/>
      <c r="BF136" s="102"/>
      <c r="BG136" s="147"/>
      <c r="BH136" s="147"/>
      <c r="BI136" s="608"/>
      <c r="BJ136" s="147"/>
      <c r="BK136" s="147"/>
      <c r="BL136" s="147"/>
      <c r="BM136" s="608"/>
      <c r="BN136" s="102"/>
      <c r="BO136" s="147"/>
      <c r="BP136" s="147"/>
      <c r="BQ136" s="608"/>
      <c r="BR136" s="147"/>
      <c r="BS136" s="147"/>
      <c r="BT136" s="147"/>
      <c r="BU136" s="608"/>
      <c r="BV136" s="147"/>
      <c r="BW136" s="147"/>
      <c r="BX136" s="147"/>
      <c r="BY136" s="608"/>
      <c r="BZ136" s="147"/>
      <c r="CA136" s="147"/>
      <c r="CB136" s="147"/>
      <c r="CC136" s="608"/>
      <c r="CD136" s="147"/>
      <c r="CE136" s="147"/>
      <c r="CF136" s="147"/>
      <c r="CG136" s="608"/>
    </row>
    <row r="137" spans="1:85">
      <c r="A137" s="171"/>
      <c r="B137" s="25" t="s">
        <v>90</v>
      </c>
      <c r="C137" s="25"/>
      <c r="D137" s="160">
        <f t="shared" ref="D137:I137" si="296">D138-D133</f>
        <v>991.673</v>
      </c>
      <c r="E137" s="160">
        <f t="shared" si="296"/>
        <v>1311.4160000000002</v>
      </c>
      <c r="F137" s="160">
        <f t="shared" si="296"/>
        <v>1157.9010000000001</v>
      </c>
      <c r="G137" s="160">
        <f t="shared" si="296"/>
        <v>2731.1510000000003</v>
      </c>
      <c r="H137" s="160">
        <f t="shared" si="296"/>
        <v>3290.337</v>
      </c>
      <c r="I137" s="160">
        <f t="shared" si="296"/>
        <v>2641.5119999999997</v>
      </c>
      <c r="J137" s="25">
        <v>3034.759</v>
      </c>
      <c r="K137" s="25">
        <v>5766.1880000000001</v>
      </c>
      <c r="L137" s="25">
        <v>6219.1779999999999</v>
      </c>
      <c r="M137" s="25">
        <v>7821.4340000000002</v>
      </c>
      <c r="N137" s="946">
        <v>9340.1139999999996</v>
      </c>
      <c r="O137" s="996">
        <v>8531.9030000000002</v>
      </c>
      <c r="P137" s="996">
        <v>10433.721</v>
      </c>
      <c r="Q137" s="25">
        <f>SUM(Q135+Q136)</f>
        <v>11433.721</v>
      </c>
      <c r="R137" s="25">
        <f t="shared" ref="R137:S137" si="297">SUM(R135+R136)</f>
        <v>11433.721</v>
      </c>
      <c r="S137" s="25">
        <f t="shared" si="297"/>
        <v>11433.721</v>
      </c>
      <c r="T137" s="25">
        <f>SUM(T135+T136)</f>
        <v>11433.721</v>
      </c>
      <c r="U137" s="21"/>
      <c r="V137" s="20"/>
      <c r="W137" s="20"/>
      <c r="X137" s="20"/>
      <c r="Y137" s="20"/>
      <c r="Z137" s="20"/>
      <c r="AA137" s="20"/>
      <c r="AB137" s="20"/>
      <c r="AC137" s="20"/>
      <c r="AD137" s="20"/>
      <c r="AE137" s="20"/>
      <c r="AF137" s="20"/>
      <c r="AG137" s="20"/>
      <c r="AH137" s="20"/>
      <c r="AI137" s="20"/>
      <c r="AJ137" s="20"/>
      <c r="AK137" s="20"/>
      <c r="AL137" s="20"/>
      <c r="AM137" s="20"/>
      <c r="AN137" s="20"/>
      <c r="AO137" s="571"/>
      <c r="AP137" s="20"/>
      <c r="AQ137" s="20"/>
      <c r="AR137" s="20"/>
      <c r="AS137" s="571"/>
      <c r="AT137" s="20"/>
      <c r="AU137" s="20"/>
      <c r="AV137" s="20"/>
      <c r="AW137" s="571"/>
      <c r="AX137" s="20"/>
      <c r="AY137" s="20"/>
      <c r="AZ137" s="20"/>
      <c r="BA137" s="571"/>
      <c r="BB137" s="20"/>
      <c r="BC137" s="20"/>
      <c r="BD137" s="20"/>
      <c r="BE137" s="571"/>
      <c r="BF137" s="101"/>
      <c r="BG137" s="20"/>
      <c r="BH137" s="20"/>
      <c r="BI137" s="571"/>
      <c r="BJ137" s="20"/>
      <c r="BK137" s="20"/>
      <c r="BL137" s="20"/>
      <c r="BM137" s="571"/>
      <c r="BN137" s="101"/>
      <c r="BO137" s="20"/>
      <c r="BP137" s="20"/>
      <c r="BQ137" s="571"/>
      <c r="BR137" s="20"/>
      <c r="BS137" s="20"/>
      <c r="BT137" s="20"/>
      <c r="BU137" s="571"/>
      <c r="BV137" s="20"/>
      <c r="BW137" s="20"/>
      <c r="BX137" s="20"/>
      <c r="BY137" s="571"/>
      <c r="BZ137" s="20"/>
      <c r="CA137" s="20"/>
      <c r="CB137" s="20"/>
      <c r="CC137" s="571"/>
      <c r="CD137" s="20"/>
      <c r="CE137" s="20"/>
      <c r="CF137" s="20"/>
      <c r="CG137" s="571"/>
    </row>
    <row r="138" spans="1:85">
      <c r="A138" s="171"/>
      <c r="B138" s="25" t="s">
        <v>91</v>
      </c>
      <c r="C138" s="25"/>
      <c r="D138" s="160">
        <f>'Raw Data'!U184</f>
        <v>1930.21</v>
      </c>
      <c r="E138" s="160">
        <f>'Raw Data'!V184</f>
        <v>2461.6570000000002</v>
      </c>
      <c r="F138" s="160">
        <f>'Raw Data'!W184</f>
        <v>2925.0920000000001</v>
      </c>
      <c r="G138" s="160">
        <f>'Raw Data'!X184</f>
        <v>4712.0510000000004</v>
      </c>
      <c r="H138" s="160">
        <f>'Raw Data'!Y184</f>
        <v>5197.116</v>
      </c>
      <c r="I138" s="160">
        <f>'Raw Data'!Z184</f>
        <v>5500.74</v>
      </c>
      <c r="J138" s="25">
        <f t="shared" ref="J138:T138" si="298">+J137+J133</f>
        <v>6239.9580000000005</v>
      </c>
      <c r="K138" s="25">
        <f t="shared" si="298"/>
        <v>9638.8369999999995</v>
      </c>
      <c r="L138" s="25">
        <f t="shared" si="298"/>
        <v>10672.797999999999</v>
      </c>
      <c r="M138" s="25">
        <f t="shared" si="298"/>
        <v>14846.363000000001</v>
      </c>
      <c r="N138" s="946">
        <f t="shared" si="298"/>
        <v>16941.696</v>
      </c>
      <c r="O138" s="25">
        <f>+O137+O133</f>
        <v>17291.59</v>
      </c>
      <c r="P138" s="25">
        <f>+P137+P133</f>
        <v>17250.785</v>
      </c>
      <c r="Q138" s="25">
        <f t="shared" si="298"/>
        <v>19140.244101097582</v>
      </c>
      <c r="R138" s="25">
        <f t="shared" ref="R138:S138" si="299">+R137+R133</f>
        <v>19187.900963409098</v>
      </c>
      <c r="S138" s="25">
        <f t="shared" si="299"/>
        <v>20145.921154214819</v>
      </c>
      <c r="T138" s="25">
        <f t="shared" si="298"/>
        <v>20139.095510638806</v>
      </c>
      <c r="U138" s="21"/>
      <c r="V138" s="20"/>
      <c r="W138" s="20"/>
      <c r="X138" s="20"/>
      <c r="Y138" s="20"/>
      <c r="Z138" s="20"/>
      <c r="AA138" s="20"/>
      <c r="AB138" s="20"/>
      <c r="AC138" s="20"/>
      <c r="AD138" s="20"/>
      <c r="AE138" s="20"/>
      <c r="AF138" s="20"/>
      <c r="AG138" s="20"/>
      <c r="AH138" s="20"/>
      <c r="AI138" s="20"/>
      <c r="AJ138" s="20"/>
      <c r="AK138" s="20"/>
      <c r="AL138" s="20"/>
      <c r="AM138" s="20"/>
      <c r="AN138" s="20"/>
      <c r="AO138" s="571"/>
      <c r="AP138" s="20"/>
      <c r="AQ138" s="20"/>
      <c r="AR138" s="20"/>
      <c r="AS138" s="571"/>
      <c r="AT138" s="20"/>
      <c r="AU138" s="20"/>
      <c r="AV138" s="20"/>
      <c r="AW138" s="571"/>
      <c r="AX138" s="20"/>
      <c r="AY138" s="20"/>
      <c r="AZ138" s="20"/>
      <c r="BA138" s="571"/>
      <c r="BB138" s="20"/>
      <c r="BC138" s="20"/>
      <c r="BD138" s="20"/>
      <c r="BE138" s="571"/>
      <c r="BF138" s="20"/>
      <c r="BG138" s="20"/>
      <c r="BH138" s="20"/>
      <c r="BI138" s="571"/>
      <c r="BJ138" s="20"/>
      <c r="BK138" s="20"/>
      <c r="BL138" s="20"/>
      <c r="BM138" s="571"/>
      <c r="BN138" s="101"/>
      <c r="BO138" s="20"/>
      <c r="BP138" s="20"/>
      <c r="BQ138" s="571"/>
      <c r="BR138" s="20"/>
      <c r="BS138" s="20"/>
      <c r="BT138" s="20"/>
      <c r="BU138" s="571"/>
      <c r="BV138" s="20"/>
      <c r="BW138" s="20"/>
      <c r="BX138" s="20"/>
      <c r="BY138" s="571"/>
      <c r="BZ138" s="20"/>
      <c r="CA138" s="20"/>
      <c r="CB138" s="20"/>
      <c r="CC138" s="571"/>
      <c r="CD138" s="20"/>
      <c r="CE138" s="20"/>
      <c r="CF138" s="20"/>
      <c r="CG138" s="571"/>
    </row>
    <row r="139" spans="1:85">
      <c r="A139" s="171"/>
      <c r="B139" s="27" t="s">
        <v>35</v>
      </c>
      <c r="C139" s="20"/>
      <c r="D139" s="20"/>
      <c r="E139" s="20"/>
      <c r="F139" s="20"/>
      <c r="G139" s="20"/>
      <c r="H139" s="20"/>
      <c r="I139" s="20"/>
      <c r="J139" s="20"/>
      <c r="K139" s="20"/>
      <c r="L139" s="20"/>
      <c r="M139" s="20"/>
      <c r="N139" s="20"/>
      <c r="O139" s="20"/>
      <c r="P139" s="20"/>
      <c r="Q139" s="20"/>
      <c r="R139" s="20"/>
      <c r="S139" s="20"/>
      <c r="T139" s="20"/>
      <c r="U139" s="21"/>
      <c r="V139" s="20"/>
      <c r="W139" s="20"/>
      <c r="X139" s="20"/>
      <c r="Y139" s="20"/>
      <c r="Z139" s="20"/>
      <c r="AA139" s="20"/>
      <c r="AB139" s="20"/>
      <c r="AC139" s="20"/>
      <c r="AD139" s="20"/>
      <c r="AE139" s="20"/>
      <c r="AF139" s="20"/>
      <c r="AG139" s="20"/>
      <c r="AH139" s="20"/>
      <c r="AI139" s="20"/>
      <c r="AJ139" s="20"/>
      <c r="AK139" s="20"/>
      <c r="AL139" s="20"/>
      <c r="AM139" s="20"/>
      <c r="AN139" s="20"/>
      <c r="AO139" s="571"/>
      <c r="AP139" s="20"/>
      <c r="AQ139" s="20"/>
      <c r="AR139" s="20"/>
      <c r="AS139" s="571"/>
      <c r="AT139" s="20"/>
      <c r="AU139" s="20"/>
      <c r="AV139" s="20"/>
      <c r="AW139" s="571"/>
      <c r="AX139" s="20"/>
      <c r="AY139" s="20"/>
      <c r="AZ139" s="20"/>
      <c r="BA139" s="571"/>
      <c r="BB139" s="20"/>
      <c r="BC139" s="20"/>
      <c r="BD139" s="20"/>
      <c r="BE139" s="571"/>
      <c r="BF139" s="20"/>
      <c r="BG139" s="20"/>
      <c r="BH139" s="20"/>
      <c r="BI139" s="571"/>
      <c r="BJ139" s="20"/>
      <c r="BK139" s="20"/>
      <c r="BL139" s="20"/>
      <c r="BM139" s="571"/>
      <c r="BN139" s="101"/>
      <c r="BO139" s="20"/>
      <c r="BP139" s="20"/>
      <c r="BQ139" s="571"/>
      <c r="BR139" s="20"/>
      <c r="BS139" s="20"/>
      <c r="BT139" s="20"/>
      <c r="BU139" s="571"/>
      <c r="BV139" s="20"/>
      <c r="BW139" s="20"/>
      <c r="BX139" s="20"/>
      <c r="BY139" s="571"/>
      <c r="BZ139" s="20"/>
      <c r="CA139" s="20"/>
      <c r="CB139" s="20"/>
      <c r="CC139" s="571"/>
      <c r="CD139" s="20"/>
      <c r="CE139" s="20"/>
      <c r="CF139" s="20"/>
      <c r="CG139" s="571"/>
    </row>
    <row r="140" spans="1:85">
      <c r="A140" s="28"/>
      <c r="B140" s="21" t="s">
        <v>92</v>
      </c>
      <c r="C140" s="44"/>
      <c r="D140" s="44">
        <f>'Raw Data'!U195</f>
        <v>0</v>
      </c>
      <c r="E140" s="44">
        <f>'Raw Data'!V195</f>
        <v>0</v>
      </c>
      <c r="F140" s="44">
        <f>'Raw Data'!W195</f>
        <v>0</v>
      </c>
      <c r="G140" s="44">
        <f>'Raw Data'!X195</f>
        <v>0</v>
      </c>
      <c r="H140" s="44">
        <f>'Raw Data'!Y195</f>
        <v>0</v>
      </c>
      <c r="I140" s="21">
        <f>H140+I191</f>
        <v>0</v>
      </c>
      <c r="J140" s="21">
        <f>I140+J191</f>
        <v>0</v>
      </c>
      <c r="K140" s="21">
        <f>J140+K191</f>
        <v>0</v>
      </c>
      <c r="L140" s="21">
        <f>K140+L191</f>
        <v>0</v>
      </c>
      <c r="M140" s="21">
        <f>L140+M191</f>
        <v>0</v>
      </c>
      <c r="N140" s="21">
        <f>M140+N191</f>
        <v>0</v>
      </c>
      <c r="O140" s="21">
        <f>N140+O191</f>
        <v>0</v>
      </c>
      <c r="P140" s="21">
        <f>O140+P191</f>
        <v>0</v>
      </c>
      <c r="Q140" s="21">
        <f>P140+Q191</f>
        <v>0</v>
      </c>
      <c r="R140" s="21">
        <f>Q140+R191</f>
        <v>0</v>
      </c>
      <c r="S140" s="21">
        <f>R140+S191</f>
        <v>0</v>
      </c>
      <c r="T140" s="21">
        <f>S140+T191</f>
        <v>0</v>
      </c>
      <c r="U140" s="21"/>
      <c r="V140" s="44"/>
      <c r="W140" s="44"/>
      <c r="X140" s="44"/>
      <c r="Y140" s="44"/>
      <c r="Z140" s="44"/>
      <c r="AA140" s="44"/>
      <c r="AB140" s="44"/>
      <c r="AC140" s="44"/>
      <c r="AD140" s="44"/>
      <c r="AE140" s="44"/>
      <c r="AF140" s="44"/>
      <c r="AG140" s="44"/>
      <c r="AH140" s="44"/>
      <c r="AI140" s="44"/>
      <c r="AJ140" s="44"/>
      <c r="AK140" s="44"/>
      <c r="AL140" s="44"/>
      <c r="AM140" s="44"/>
      <c r="AN140" s="44"/>
      <c r="AO140" s="570"/>
      <c r="AP140" s="44"/>
      <c r="AQ140" s="44"/>
      <c r="AR140" s="44"/>
      <c r="AS140" s="575"/>
      <c r="AT140" s="21"/>
      <c r="AU140" s="21"/>
      <c r="AV140" s="21"/>
      <c r="AW140" s="575"/>
      <c r="AX140" s="21"/>
      <c r="AY140" s="21"/>
      <c r="AZ140" s="21"/>
      <c r="BA140" s="575"/>
      <c r="BB140" s="21"/>
      <c r="BC140" s="21"/>
      <c r="BD140" s="21"/>
      <c r="BE140" s="575"/>
      <c r="BF140" s="21"/>
      <c r="BG140" s="21"/>
      <c r="BH140" s="21"/>
      <c r="BI140" s="575"/>
      <c r="BJ140" s="21"/>
      <c r="BK140" s="21"/>
      <c r="BL140" s="21"/>
      <c r="BM140" s="575"/>
      <c r="BN140" s="102"/>
      <c r="BO140" s="21"/>
      <c r="BP140" s="21"/>
      <c r="BQ140" s="575"/>
      <c r="BR140" s="21"/>
      <c r="BS140" s="21"/>
      <c r="BT140" s="21"/>
      <c r="BU140" s="575"/>
      <c r="BV140" s="21"/>
      <c r="BW140" s="21"/>
      <c r="BX140" s="21"/>
      <c r="BY140" s="575"/>
      <c r="BZ140" s="21"/>
      <c r="CA140" s="21"/>
      <c r="CB140" s="21"/>
      <c r="CC140" s="575"/>
      <c r="CD140" s="21"/>
      <c r="CE140" s="21"/>
      <c r="CF140" s="21"/>
      <c r="CG140" s="575"/>
    </row>
    <row r="141" spans="1:85">
      <c r="A141" s="28"/>
      <c r="B141" s="21" t="s">
        <v>869</v>
      </c>
      <c r="C141" s="44"/>
      <c r="D141" s="158">
        <f>'Raw Data'!U194</f>
        <v>4102.6909999999998</v>
      </c>
      <c r="E141" s="158">
        <f>'Raw Data'!V194</f>
        <v>4390.9719999999998</v>
      </c>
      <c r="F141" s="158">
        <f>'Raw Data'!W194</f>
        <v>4920.6909999999998</v>
      </c>
      <c r="G141" s="158">
        <f>'Raw Data'!X194</f>
        <v>4967.96</v>
      </c>
      <c r="H141" s="158">
        <f>'Raw Data'!Y194</f>
        <v>4847.2829999999994</v>
      </c>
      <c r="I141" s="158">
        <f>'Raw Data'!Z194</f>
        <v>5013.3219999999992</v>
      </c>
      <c r="J141" s="21">
        <f>20.227+5011.915</f>
        <v>5032.1419999999998</v>
      </c>
      <c r="K141" s="21">
        <f>30.814+13512.397</f>
        <v>13543.211000000001</v>
      </c>
      <c r="L141" s="21">
        <f>31.615+13836.614</f>
        <v>13868.228999999999</v>
      </c>
      <c r="M141" s="21">
        <f>31.651+13868.089</f>
        <v>13899.74</v>
      </c>
      <c r="N141" s="21">
        <v>14117.072</v>
      </c>
      <c r="O141" s="102">
        <f>31.905+14266.359</f>
        <v>14298.264000000001</v>
      </c>
      <c r="P141" s="102">
        <f>32.002+14394.785</f>
        <v>14426.787</v>
      </c>
      <c r="Q141" s="21">
        <f>P141+Q188</f>
        <v>14426.787</v>
      </c>
      <c r="R141" s="21">
        <f>Q141+R188</f>
        <v>14426.787</v>
      </c>
      <c r="S141" s="21">
        <f>R141+S188</f>
        <v>14426.787</v>
      </c>
      <c r="T141" s="21">
        <f>S141+T188</f>
        <v>14426.787</v>
      </c>
      <c r="U141" s="21"/>
      <c r="V141" s="44"/>
      <c r="W141" s="44"/>
      <c r="X141" s="44"/>
      <c r="Y141" s="44"/>
      <c r="Z141" s="44"/>
      <c r="AA141" s="44"/>
      <c r="AB141" s="44"/>
      <c r="AC141" s="44"/>
      <c r="AD141" s="44"/>
      <c r="AE141" s="44"/>
      <c r="AF141" s="44"/>
      <c r="AG141" s="44"/>
      <c r="AH141" s="44"/>
      <c r="AI141" s="44"/>
      <c r="AJ141" s="44"/>
      <c r="AK141" s="44"/>
      <c r="AL141" s="44"/>
      <c r="AM141" s="44"/>
      <c r="AN141" s="44"/>
      <c r="AO141" s="570"/>
      <c r="AP141" s="44"/>
      <c r="AQ141" s="44"/>
      <c r="AR141" s="44"/>
      <c r="AS141" s="575"/>
      <c r="AT141" s="21"/>
      <c r="AU141" s="21"/>
      <c r="AV141" s="21"/>
      <c r="AW141" s="575"/>
      <c r="AX141" s="21"/>
      <c r="AY141" s="21"/>
      <c r="AZ141" s="21"/>
      <c r="BA141" s="575"/>
      <c r="BB141" s="21"/>
      <c r="BC141" s="21"/>
      <c r="BD141" s="21"/>
      <c r="BE141" s="575"/>
      <c r="BF141" s="21"/>
      <c r="BG141" s="21"/>
      <c r="BH141" s="21"/>
      <c r="BI141" s="575"/>
      <c r="BJ141" s="21"/>
      <c r="BK141" s="21"/>
      <c r="BL141" s="21"/>
      <c r="BM141" s="575"/>
      <c r="BN141" s="102"/>
      <c r="BO141" s="21"/>
      <c r="BP141" s="21"/>
      <c r="BQ141" s="575"/>
      <c r="BR141" s="21"/>
      <c r="BS141" s="21"/>
      <c r="BT141" s="21"/>
      <c r="BU141" s="575"/>
      <c r="BV141" s="21"/>
      <c r="BW141" s="21"/>
      <c r="BX141" s="21"/>
      <c r="BY141" s="575"/>
      <c r="BZ141" s="21"/>
      <c r="CA141" s="21"/>
      <c r="CB141" s="21"/>
      <c r="CC141" s="575"/>
      <c r="CD141" s="21"/>
      <c r="CE141" s="21"/>
      <c r="CF141" s="21"/>
      <c r="CG141" s="575"/>
    </row>
    <row r="142" spans="1:85">
      <c r="A142" s="28"/>
      <c r="B142" s="21" t="s">
        <v>93</v>
      </c>
      <c r="C142" s="44"/>
      <c r="D142" s="44">
        <f>'Raw Data'!U196</f>
        <v>0</v>
      </c>
      <c r="E142" s="44">
        <f>'Raw Data'!V196</f>
        <v>0</v>
      </c>
      <c r="F142" s="44">
        <f>'Raw Data'!W196</f>
        <v>0</v>
      </c>
      <c r="G142" s="44">
        <f>'Raw Data'!X196</f>
        <v>0</v>
      </c>
      <c r="H142" s="44">
        <f>'Raw Data'!Y196</f>
        <v>0</v>
      </c>
      <c r="I142" s="44">
        <f>'Raw Data'!Z196</f>
        <v>0</v>
      </c>
      <c r="J142" s="21">
        <v>0</v>
      </c>
      <c r="K142" s="21">
        <v>0</v>
      </c>
      <c r="L142" s="21">
        <v>0</v>
      </c>
      <c r="M142" s="21">
        <v>0</v>
      </c>
      <c r="N142" s="21">
        <v>0</v>
      </c>
      <c r="O142" s="21">
        <v>0</v>
      </c>
      <c r="P142" s="21">
        <v>0</v>
      </c>
      <c r="Q142" s="104">
        <f>P142</f>
        <v>0</v>
      </c>
      <c r="R142" s="104">
        <f t="shared" ref="R142:S142" si="300">Q142</f>
        <v>0</v>
      </c>
      <c r="S142" s="104">
        <f t="shared" si="300"/>
        <v>0</v>
      </c>
      <c r="T142" s="104">
        <f>S142</f>
        <v>0</v>
      </c>
      <c r="U142" s="21"/>
      <c r="V142" s="44"/>
      <c r="W142" s="44"/>
      <c r="X142" s="44"/>
      <c r="Y142" s="44"/>
      <c r="Z142" s="44"/>
      <c r="AA142" s="44"/>
      <c r="AB142" s="44"/>
      <c r="AC142" s="44"/>
      <c r="AD142" s="44"/>
      <c r="AE142" s="44"/>
      <c r="AF142" s="44"/>
      <c r="AG142" s="44"/>
      <c r="AH142" s="44"/>
      <c r="AI142" s="44"/>
      <c r="AJ142" s="44"/>
      <c r="AK142" s="44"/>
      <c r="AL142" s="44"/>
      <c r="AM142" s="44"/>
      <c r="AN142" s="44"/>
      <c r="AO142" s="570"/>
      <c r="AP142" s="44"/>
      <c r="AQ142" s="44"/>
      <c r="AR142" s="44"/>
      <c r="AS142" s="608"/>
      <c r="AT142" s="147"/>
      <c r="AU142" s="147"/>
      <c r="AV142" s="147"/>
      <c r="AW142" s="608"/>
      <c r="AX142" s="147"/>
      <c r="AY142" s="147"/>
      <c r="AZ142" s="147"/>
      <c r="BA142" s="608"/>
      <c r="BB142" s="147"/>
      <c r="BC142" s="147"/>
      <c r="BD142" s="147"/>
      <c r="BE142" s="608"/>
      <c r="BF142" s="147"/>
      <c r="BG142" s="147"/>
      <c r="BH142" s="147"/>
      <c r="BI142" s="608"/>
      <c r="BJ142" s="147"/>
      <c r="BK142" s="147"/>
      <c r="BL142" s="147"/>
      <c r="BM142" s="608"/>
      <c r="BN142" s="102"/>
      <c r="BO142" s="147"/>
      <c r="BP142" s="147"/>
      <c r="BQ142" s="608"/>
      <c r="BR142" s="147"/>
      <c r="BS142" s="147"/>
      <c r="BT142" s="147"/>
      <c r="BU142" s="608"/>
      <c r="BV142" s="147"/>
      <c r="BW142" s="147"/>
      <c r="BX142" s="147"/>
      <c r="BY142" s="608"/>
      <c r="BZ142" s="147"/>
      <c r="CA142" s="147"/>
      <c r="CB142" s="147"/>
      <c r="CC142" s="608"/>
      <c r="CD142" s="147"/>
      <c r="CE142" s="147"/>
      <c r="CF142" s="147"/>
      <c r="CG142" s="608"/>
    </row>
    <row r="143" spans="1:85">
      <c r="A143" s="28"/>
      <c r="B143" s="21" t="s">
        <v>854</v>
      </c>
      <c r="C143" s="44"/>
      <c r="D143" s="158">
        <f>'Raw Data'!U191</f>
        <v>-1693.8589999999999</v>
      </c>
      <c r="E143" s="158">
        <f>'Raw Data'!V191</f>
        <v>-1540.89</v>
      </c>
      <c r="F143" s="158">
        <f>'Raw Data'!W191</f>
        <v>-1287.479</v>
      </c>
      <c r="G143" s="158">
        <f>'Raw Data'!X191</f>
        <v>-910.84900000000005</v>
      </c>
      <c r="H143" s="158">
        <f>'Raw Data'!Y191</f>
        <v>187.00800000000001</v>
      </c>
      <c r="I143" s="158">
        <f>'Raw Data'!Z191</f>
        <v>331.298</v>
      </c>
      <c r="J143" s="21">
        <f>550.506+86.749</f>
        <v>637.255</v>
      </c>
      <c r="K143" s="21">
        <f>73.939+1258.056</f>
        <v>1331.9950000000001</v>
      </c>
      <c r="L143" s="21">
        <f>321.576+2959.859</f>
        <v>3281.4349999999999</v>
      </c>
      <c r="M143" s="21">
        <f>472.435+4777.801</f>
        <v>5250.2360000000008</v>
      </c>
      <c r="N143" s="21">
        <v>5680.3270000000002</v>
      </c>
      <c r="O143" s="102">
        <v>6173.0749999999998</v>
      </c>
      <c r="P143" s="102">
        <v>6858.2060000000001</v>
      </c>
      <c r="Q143" s="21">
        <f>P143+Q52+Q59</f>
        <v>8041.9447929376647</v>
      </c>
      <c r="R143" s="21">
        <f t="shared" ref="R143:S143" si="301">Q143+R52+R59</f>
        <v>9622.5950315984137</v>
      </c>
      <c r="S143" s="21">
        <f t="shared" si="301"/>
        <v>11900.917317118048</v>
      </c>
      <c r="T143" s="21">
        <f>S143+T52+T59</f>
        <v>14867.15111732289</v>
      </c>
      <c r="U143" s="21"/>
      <c r="V143" s="44"/>
      <c r="W143" s="44"/>
      <c r="X143" s="44"/>
      <c r="Y143" s="44"/>
      <c r="Z143" s="44"/>
      <c r="AA143" s="44"/>
      <c r="AB143" s="44"/>
      <c r="AC143" s="44"/>
      <c r="AD143" s="44"/>
      <c r="AE143" s="44"/>
      <c r="AF143" s="44"/>
      <c r="AG143" s="44"/>
      <c r="AH143" s="44"/>
      <c r="AI143" s="44"/>
      <c r="AJ143" s="44"/>
      <c r="AK143" s="44"/>
      <c r="AL143" s="624"/>
      <c r="AM143" s="44"/>
      <c r="AN143" s="44"/>
      <c r="AO143" s="570"/>
      <c r="AP143" s="44"/>
      <c r="AQ143" s="44"/>
      <c r="AR143" s="44"/>
      <c r="AS143" s="575"/>
      <c r="AT143" s="21"/>
      <c r="AU143" s="21"/>
      <c r="AV143" s="21"/>
      <c r="AW143" s="575"/>
      <c r="AX143" s="21"/>
      <c r="AY143" s="21"/>
      <c r="AZ143" s="21"/>
      <c r="BA143" s="575"/>
      <c r="BB143" s="21"/>
      <c r="BC143" s="21"/>
      <c r="BD143" s="21"/>
      <c r="BE143" s="575"/>
      <c r="BF143" s="21"/>
      <c r="BG143" s="21"/>
      <c r="BH143" s="21"/>
      <c r="BI143" s="575"/>
      <c r="BJ143" s="21"/>
      <c r="BK143" s="21"/>
      <c r="BL143" s="21"/>
      <c r="BM143" s="575"/>
      <c r="BN143" s="102"/>
      <c r="BO143" s="21"/>
      <c r="BP143" s="21"/>
      <c r="BQ143" s="575"/>
      <c r="BR143" s="21"/>
      <c r="BS143" s="21"/>
      <c r="BT143" s="21"/>
      <c r="BU143" s="575"/>
      <c r="BV143" s="21"/>
      <c r="BW143" s="21"/>
      <c r="BX143" s="21"/>
      <c r="BY143" s="575"/>
      <c r="BZ143" s="21"/>
      <c r="CA143" s="21"/>
      <c r="CB143" s="21"/>
      <c r="CC143" s="575"/>
      <c r="CD143" s="21"/>
      <c r="CE143" s="21"/>
      <c r="CF143" s="21"/>
      <c r="CG143" s="575"/>
    </row>
    <row r="144" spans="1:85">
      <c r="A144" s="28"/>
      <c r="B144" s="21" t="s">
        <v>52</v>
      </c>
      <c r="C144" s="44"/>
      <c r="D144" s="158">
        <f t="shared" ref="D144:N144" si="302">D145-SUM(D140:D143)</f>
        <v>74.940000000000055</v>
      </c>
      <c r="E144" s="158">
        <f t="shared" si="302"/>
        <v>98.333000000000538</v>
      </c>
      <c r="F144" s="158">
        <f t="shared" si="302"/>
        <v>96.644000000000688</v>
      </c>
      <c r="G144" s="158">
        <f t="shared" si="302"/>
        <v>93.563000000000102</v>
      </c>
      <c r="H144" s="158">
        <f t="shared" si="302"/>
        <v>198.7420000000011</v>
      </c>
      <c r="I144" s="158">
        <f t="shared" si="302"/>
        <v>673.19400000000132</v>
      </c>
      <c r="J144" s="21">
        <f t="shared" si="302"/>
        <v>563.84799999999905</v>
      </c>
      <c r="K144" s="21">
        <f t="shared" si="302"/>
        <v>299.38799999999901</v>
      </c>
      <c r="L144" s="21">
        <f t="shared" si="302"/>
        <v>0</v>
      </c>
      <c r="M144" s="21">
        <f t="shared" si="302"/>
        <v>0</v>
      </c>
      <c r="N144" s="21">
        <f t="shared" si="302"/>
        <v>318.6349999999984</v>
      </c>
      <c r="O144" s="21">
        <f>O145-SUM(O140:O143)</f>
        <v>142.47000000000116</v>
      </c>
      <c r="P144" s="21">
        <f>P145-SUM(P140:P143)</f>
        <v>154.67699999999604</v>
      </c>
      <c r="Q144" s="104">
        <f>P144</f>
        <v>154.67699999999604</v>
      </c>
      <c r="R144" s="104">
        <f>Q144</f>
        <v>154.67699999999604</v>
      </c>
      <c r="S144" s="104">
        <f>R144</f>
        <v>154.67699999999604</v>
      </c>
      <c r="T144" s="104">
        <f>S144</f>
        <v>154.67699999999604</v>
      </c>
      <c r="U144" s="21"/>
      <c r="V144" s="44"/>
      <c r="W144" s="44"/>
      <c r="X144" s="44"/>
      <c r="Y144" s="44"/>
      <c r="Z144" s="44"/>
      <c r="AA144" s="44"/>
      <c r="AB144" s="44"/>
      <c r="AC144" s="44"/>
      <c r="AD144" s="44"/>
      <c r="AE144" s="44"/>
      <c r="AF144" s="44"/>
      <c r="AG144" s="44"/>
      <c r="AH144" s="44"/>
      <c r="AI144" s="44"/>
      <c r="AJ144" s="44"/>
      <c r="AK144" s="44"/>
      <c r="AL144" s="44"/>
      <c r="AM144" s="518"/>
      <c r="AN144" s="44"/>
      <c r="AO144" s="570"/>
      <c r="AP144" s="44"/>
      <c r="AQ144" s="44"/>
      <c r="AR144" s="44"/>
      <c r="AS144" s="608"/>
      <c r="AT144" s="147"/>
      <c r="AU144" s="147"/>
      <c r="AV144" s="147"/>
      <c r="AW144" s="608"/>
      <c r="AX144" s="147"/>
      <c r="AY144" s="147"/>
      <c r="AZ144" s="147"/>
      <c r="BA144" s="608"/>
      <c r="BB144" s="147"/>
      <c r="BC144" s="147"/>
      <c r="BD144" s="147"/>
      <c r="BE144" s="608"/>
      <c r="BF144" s="147"/>
      <c r="BG144" s="147"/>
      <c r="BH144" s="147"/>
      <c r="BI144" s="608"/>
      <c r="BJ144" s="147"/>
      <c r="BK144" s="147"/>
      <c r="BL144" s="147"/>
      <c r="BM144" s="608"/>
      <c r="BN144" s="102"/>
      <c r="BO144" s="147"/>
      <c r="BP144" s="147"/>
      <c r="BQ144" s="608"/>
      <c r="BR144" s="147"/>
      <c r="BS144" s="147"/>
      <c r="BT144" s="147"/>
      <c r="BU144" s="608"/>
      <c r="BV144" s="147"/>
      <c r="BW144" s="147"/>
      <c r="BX144" s="147"/>
      <c r="BY144" s="608"/>
      <c r="BZ144" s="147"/>
      <c r="CA144" s="147"/>
      <c r="CB144" s="147"/>
      <c r="CC144" s="608"/>
      <c r="CD144" s="147"/>
      <c r="CE144" s="147"/>
      <c r="CF144" s="147"/>
      <c r="CG144" s="608"/>
    </row>
    <row r="145" spans="1:85">
      <c r="A145" s="28"/>
      <c r="B145" s="25" t="s">
        <v>95</v>
      </c>
      <c r="C145" s="25"/>
      <c r="D145" s="160">
        <f t="shared" ref="D145:L145" si="303">D147-D146</f>
        <v>2483.7719999999999</v>
      </c>
      <c r="E145" s="160">
        <f t="shared" si="303"/>
        <v>2948.415</v>
      </c>
      <c r="F145" s="160">
        <f t="shared" si="303"/>
        <v>3729.8560000000002</v>
      </c>
      <c r="G145" s="160">
        <f t="shared" si="303"/>
        <v>4150.674</v>
      </c>
      <c r="H145" s="160">
        <f t="shared" si="303"/>
        <v>5233.0330000000004</v>
      </c>
      <c r="I145" s="160">
        <f t="shared" si="303"/>
        <v>6017.8140000000003</v>
      </c>
      <c r="J145" s="25">
        <f t="shared" si="303"/>
        <v>6233.244999999999</v>
      </c>
      <c r="K145" s="25">
        <f t="shared" si="303"/>
        <v>15174.594000000001</v>
      </c>
      <c r="L145" s="25">
        <f t="shared" si="303"/>
        <v>17149.664000000001</v>
      </c>
      <c r="M145" s="25">
        <f>M147-M146</f>
        <v>19149.975999999999</v>
      </c>
      <c r="N145" s="946">
        <f>N147-N146</f>
        <v>20116.034</v>
      </c>
      <c r="O145" s="996">
        <v>20613.809000000001</v>
      </c>
      <c r="P145" s="996">
        <v>21439.67</v>
      </c>
      <c r="Q145" s="25">
        <f>Q141+Q143+Q144+Q142</f>
        <v>22623.408792937662</v>
      </c>
      <c r="R145" s="25">
        <f t="shared" ref="R145:S145" si="304">R141+R143+R144+R142</f>
        <v>24204.059031598408</v>
      </c>
      <c r="S145" s="25">
        <f t="shared" si="304"/>
        <v>26482.381317118045</v>
      </c>
      <c r="T145" s="25">
        <f>T141+T143+T144+T142</f>
        <v>29448.615117322886</v>
      </c>
      <c r="U145" s="21"/>
      <c r="V145" s="20"/>
      <c r="W145" s="20"/>
      <c r="X145" s="20"/>
      <c r="Y145" s="20"/>
      <c r="Z145" s="20"/>
      <c r="AA145" s="20"/>
      <c r="AB145" s="20"/>
      <c r="AC145" s="20"/>
      <c r="AD145" s="20"/>
      <c r="AE145" s="20"/>
      <c r="AF145" s="20"/>
      <c r="AG145" s="20"/>
      <c r="AH145" s="20"/>
      <c r="AI145" s="20"/>
      <c r="AJ145" s="20"/>
      <c r="AK145" s="20"/>
      <c r="AL145" s="20"/>
      <c r="AM145" s="20"/>
      <c r="AN145" s="20"/>
      <c r="AO145" s="571"/>
      <c r="AP145" s="20"/>
      <c r="AQ145" s="20"/>
      <c r="AR145" s="20"/>
      <c r="AS145" s="571">
        <f>I145</f>
        <v>6017.8140000000003</v>
      </c>
      <c r="AT145" s="20">
        <f>AS145+AT52</f>
        <v>6030.0860000000002</v>
      </c>
      <c r="AU145" s="20">
        <f t="shared" ref="AU145:BE145" si="305">AT145+AU52</f>
        <v>6048.625</v>
      </c>
      <c r="AV145" s="20">
        <f t="shared" si="305"/>
        <v>6163.76</v>
      </c>
      <c r="AW145" s="20">
        <f t="shared" si="305"/>
        <v>6252.4949999999999</v>
      </c>
      <c r="AX145" s="20">
        <f t="shared" si="305"/>
        <v>6316.6589999999997</v>
      </c>
      <c r="AY145" s="20">
        <f t="shared" si="305"/>
        <v>6454.6279999999997</v>
      </c>
      <c r="AZ145" s="20">
        <f t="shared" si="305"/>
        <v>6711.0069999999996</v>
      </c>
      <c r="BA145" s="20">
        <f t="shared" si="305"/>
        <v>6968.0450000000001</v>
      </c>
      <c r="BB145" s="20">
        <f t="shared" si="305"/>
        <v>7126.9210000000003</v>
      </c>
      <c r="BC145" s="20">
        <f t="shared" si="305"/>
        <v>7814.7240000000002</v>
      </c>
      <c r="BD145" s="20">
        <f t="shared" si="305"/>
        <v>8136.0749999999998</v>
      </c>
      <c r="BE145" s="20">
        <f t="shared" si="305"/>
        <v>8669.848</v>
      </c>
      <c r="BF145" s="20">
        <f t="shared" ref="BF145:CG145" si="306">BE145+BF52</f>
        <v>9117.0750000000007</v>
      </c>
      <c r="BG145" s="20">
        <f t="shared" si="306"/>
        <v>9631.4070000000011</v>
      </c>
      <c r="BH145" s="20">
        <f t="shared" si="306"/>
        <v>10102.256000000001</v>
      </c>
      <c r="BI145" s="571">
        <f t="shared" si="306"/>
        <v>10487.79</v>
      </c>
      <c r="BJ145" s="20">
        <f t="shared" si="306"/>
        <v>10718.892000000002</v>
      </c>
      <c r="BK145" s="20">
        <f t="shared" si="306"/>
        <v>11121.654000000002</v>
      </c>
      <c r="BL145" s="20">
        <f t="shared" si="306"/>
        <v>11215.638000000003</v>
      </c>
      <c r="BM145" s="571">
        <f t="shared" si="306"/>
        <v>11390.316000000003</v>
      </c>
      <c r="BN145" s="20"/>
      <c r="BO145" s="20"/>
      <c r="BP145" s="20"/>
      <c r="BQ145" s="571"/>
      <c r="BR145" s="20"/>
      <c r="BS145" s="20"/>
      <c r="BT145" s="20"/>
      <c r="BU145" s="571"/>
      <c r="BV145" s="20"/>
      <c r="BW145" s="20"/>
      <c r="BX145" s="20"/>
      <c r="BY145" s="571"/>
      <c r="BZ145" s="20"/>
      <c r="CA145" s="20"/>
      <c r="CB145" s="20"/>
      <c r="CC145" s="571"/>
      <c r="CD145" s="20"/>
      <c r="CE145" s="20"/>
      <c r="CF145" s="20"/>
      <c r="CG145" s="571"/>
    </row>
    <row r="146" spans="1:85">
      <c r="A146" s="28"/>
      <c r="B146" s="21" t="s">
        <v>165</v>
      </c>
      <c r="C146" s="44"/>
      <c r="D146" s="44">
        <f>'Raw Data'!U200</f>
        <v>109.41</v>
      </c>
      <c r="E146" s="44">
        <f>'Raw Data'!V200</f>
        <v>359.30700000000002</v>
      </c>
      <c r="F146" s="44">
        <f>'Raw Data'!W200</f>
        <v>460.399</v>
      </c>
      <c r="G146" s="44">
        <f>'Raw Data'!X200</f>
        <v>1252.5530000000001</v>
      </c>
      <c r="H146" s="44">
        <f>'Raw Data'!Y200</f>
        <v>1488.3019999999999</v>
      </c>
      <c r="I146" s="44">
        <f>'Raw Data'!Z200</f>
        <v>2905.7660000000001</v>
      </c>
      <c r="J146" s="81">
        <v>3964.6170000000002</v>
      </c>
      <c r="K146" s="21">
        <v>6507.1440000000002</v>
      </c>
      <c r="L146" s="21">
        <v>8288.4789999999994</v>
      </c>
      <c r="M146" s="21">
        <v>9811.4449999999997</v>
      </c>
      <c r="N146" s="21">
        <v>10729.582</v>
      </c>
      <c r="O146" s="102">
        <v>11255.849</v>
      </c>
      <c r="P146" s="102">
        <v>13580.852999999999</v>
      </c>
      <c r="Q146" s="21">
        <f>P146-Q49+Q192</f>
        <v>15446.996999999999</v>
      </c>
      <c r="R146" s="21">
        <f>Q146-R49+R192</f>
        <v>17286.3698</v>
      </c>
      <c r="S146" s="21">
        <f>R146-S49+S192</f>
        <v>18117.711240000001</v>
      </c>
      <c r="T146" s="21">
        <f>S146-T49+T192</f>
        <v>17915.320968</v>
      </c>
      <c r="U146" s="21"/>
      <c r="V146" s="44"/>
      <c r="W146" s="44"/>
      <c r="X146" s="44"/>
      <c r="Y146" s="44"/>
      <c r="Z146" s="44"/>
      <c r="AA146" s="44"/>
      <c r="AB146" s="44"/>
      <c r="AC146" s="44"/>
      <c r="AD146" s="44"/>
      <c r="AE146" s="44"/>
      <c r="AF146" s="44"/>
      <c r="AG146" s="44"/>
      <c r="AH146" s="44"/>
      <c r="AI146" s="44"/>
      <c r="AJ146" s="44"/>
      <c r="AK146" s="44"/>
      <c r="AL146" s="44"/>
      <c r="AM146" s="44"/>
      <c r="AN146" s="44"/>
      <c r="AO146" s="570"/>
      <c r="AP146" s="44"/>
      <c r="AQ146" s="44"/>
      <c r="AR146" s="44"/>
      <c r="AS146" s="575"/>
      <c r="AT146" s="21"/>
      <c r="AU146" s="21"/>
      <c r="AV146" s="21"/>
      <c r="AW146" s="575"/>
      <c r="AX146" s="21"/>
      <c r="AY146" s="21"/>
      <c r="AZ146" s="21"/>
      <c r="BA146" s="575"/>
      <c r="BB146" s="21"/>
      <c r="BC146" s="21"/>
      <c r="BD146" s="21"/>
      <c r="BE146" s="575"/>
      <c r="BF146" s="21"/>
      <c r="BG146" s="21"/>
      <c r="BH146" s="21"/>
      <c r="BI146" s="575"/>
      <c r="BJ146" s="21"/>
      <c r="BK146" s="21"/>
      <c r="BL146" s="21"/>
      <c r="BM146" s="575"/>
      <c r="BN146" s="21"/>
      <c r="BO146" s="21"/>
      <c r="BP146" s="21"/>
      <c r="BQ146" s="575"/>
      <c r="BR146" s="21"/>
      <c r="BS146" s="21"/>
      <c r="BT146" s="21"/>
      <c r="BU146" s="575"/>
      <c r="BV146" s="21"/>
      <c r="BW146" s="21"/>
      <c r="BX146" s="21"/>
      <c r="BY146" s="575"/>
      <c r="BZ146" s="21"/>
      <c r="CA146" s="21"/>
      <c r="CB146" s="21"/>
      <c r="CC146" s="575"/>
      <c r="CD146" s="21"/>
      <c r="CE146" s="21"/>
      <c r="CF146" s="21"/>
      <c r="CG146" s="575"/>
    </row>
    <row r="147" spans="1:85">
      <c r="A147" s="28"/>
      <c r="B147" s="25" t="s">
        <v>96</v>
      </c>
      <c r="C147" s="25"/>
      <c r="D147" s="160">
        <f>'Raw Data'!U202</f>
        <v>2593.1819999999998</v>
      </c>
      <c r="E147" s="160">
        <f>'Raw Data'!V202</f>
        <v>3307.7220000000002</v>
      </c>
      <c r="F147" s="160">
        <f>'Raw Data'!W202</f>
        <v>4190.2550000000001</v>
      </c>
      <c r="G147" s="160">
        <f>'Raw Data'!X202</f>
        <v>5403.2269999999999</v>
      </c>
      <c r="H147" s="160">
        <f>'Raw Data'!Y202</f>
        <v>6721.335</v>
      </c>
      <c r="I147" s="160">
        <f>'Raw Data'!Z202</f>
        <v>8923.58</v>
      </c>
      <c r="J147" s="25">
        <v>10197.861999999999</v>
      </c>
      <c r="K147" s="25">
        <v>21681.738000000001</v>
      </c>
      <c r="L147" s="25">
        <v>25438.143</v>
      </c>
      <c r="M147" s="25">
        <v>28961.420999999998</v>
      </c>
      <c r="N147" s="946">
        <v>30845.616000000002</v>
      </c>
      <c r="O147" s="25">
        <f t="shared" ref="O147:T147" si="307">O145+O140+O146</f>
        <v>31869.658000000003</v>
      </c>
      <c r="P147" s="25">
        <f t="shared" si="307"/>
        <v>35020.523000000001</v>
      </c>
      <c r="Q147" s="25">
        <f t="shared" si="307"/>
        <v>38070.405792937658</v>
      </c>
      <c r="R147" s="25">
        <f t="shared" ref="R147:S147" si="308">R145+R140+R146</f>
        <v>41490.428831598409</v>
      </c>
      <c r="S147" s="25">
        <f t="shared" si="308"/>
        <v>44600.092557118041</v>
      </c>
      <c r="T147" s="25">
        <f t="shared" si="307"/>
        <v>47363.936085322886</v>
      </c>
      <c r="U147" s="21"/>
      <c r="V147" s="20"/>
      <c r="W147" s="152"/>
      <c r="X147" s="20"/>
      <c r="Y147" s="20"/>
      <c r="Z147" s="20"/>
      <c r="AA147" s="20"/>
      <c r="AB147" s="20"/>
      <c r="AC147" s="20"/>
      <c r="AD147" s="20"/>
      <c r="AE147" s="20"/>
      <c r="AF147" s="20"/>
      <c r="AG147" s="20"/>
      <c r="AH147" s="20"/>
      <c r="AI147" s="20"/>
      <c r="AJ147" s="20"/>
      <c r="AK147" s="20"/>
      <c r="AL147" s="20"/>
      <c r="AM147" s="20"/>
      <c r="AN147" s="20"/>
      <c r="AO147" s="571"/>
      <c r="AP147" s="20"/>
      <c r="AQ147" s="20"/>
      <c r="AR147" s="20"/>
      <c r="AS147" s="571"/>
      <c r="AT147" s="20"/>
      <c r="AU147" s="20"/>
      <c r="AV147" s="20"/>
      <c r="AW147" s="571"/>
      <c r="AX147" s="20"/>
      <c r="AY147" s="20"/>
      <c r="AZ147" s="20"/>
      <c r="BA147" s="571"/>
      <c r="BB147" s="20"/>
      <c r="BC147" s="20"/>
      <c r="BD147" s="20"/>
      <c r="BE147" s="571"/>
      <c r="BF147" s="20"/>
      <c r="BG147" s="20"/>
      <c r="BH147" s="20"/>
      <c r="BI147" s="571"/>
      <c r="BJ147" s="20"/>
      <c r="BK147" s="20"/>
      <c r="BL147" s="20"/>
      <c r="BM147" s="571"/>
      <c r="BN147" s="20"/>
      <c r="BO147" s="20"/>
      <c r="BP147" s="20"/>
      <c r="BQ147" s="571"/>
      <c r="BR147" s="20"/>
      <c r="BS147" s="20"/>
      <c r="BT147" s="20"/>
      <c r="BU147" s="571"/>
      <c r="BV147" s="20"/>
      <c r="BW147" s="20"/>
      <c r="BX147" s="20"/>
      <c r="BY147" s="571"/>
      <c r="BZ147" s="20"/>
      <c r="CA147" s="20"/>
      <c r="CB147" s="20"/>
      <c r="CC147" s="571"/>
      <c r="CD147" s="20"/>
      <c r="CE147" s="20"/>
      <c r="CF147" s="20"/>
      <c r="CG147" s="571"/>
    </row>
    <row r="148" spans="1:85">
      <c r="A148" s="28"/>
      <c r="B148" s="25" t="s">
        <v>97</v>
      </c>
      <c r="C148" s="25"/>
      <c r="D148" s="25">
        <f t="shared" ref="D148:T148" si="309">D147+D138</f>
        <v>4523.3919999999998</v>
      </c>
      <c r="E148" s="25">
        <f t="shared" si="309"/>
        <v>5769.3790000000008</v>
      </c>
      <c r="F148" s="25">
        <f t="shared" si="309"/>
        <v>7115.3469999999998</v>
      </c>
      <c r="G148" s="25">
        <f t="shared" si="309"/>
        <v>10115.278</v>
      </c>
      <c r="H148" s="25">
        <f t="shared" si="309"/>
        <v>11918.451000000001</v>
      </c>
      <c r="I148" s="25">
        <f t="shared" si="309"/>
        <v>14424.32</v>
      </c>
      <c r="J148" s="25">
        <f t="shared" si="309"/>
        <v>16437.82</v>
      </c>
      <c r="K148" s="25">
        <f t="shared" si="309"/>
        <v>31320.575000000001</v>
      </c>
      <c r="L148" s="25">
        <f t="shared" si="309"/>
        <v>36110.940999999999</v>
      </c>
      <c r="M148" s="25">
        <f t="shared" si="309"/>
        <v>43807.784</v>
      </c>
      <c r="N148" s="946">
        <f t="shared" si="309"/>
        <v>47787.312000000005</v>
      </c>
      <c r="O148" s="25">
        <f t="shared" si="309"/>
        <v>49161.248000000007</v>
      </c>
      <c r="P148" s="25">
        <f t="shared" si="309"/>
        <v>52271.308000000005</v>
      </c>
      <c r="Q148" s="25">
        <f t="shared" si="309"/>
        <v>57210.649894035239</v>
      </c>
      <c r="R148" s="25">
        <f t="shared" ref="R148:S148" si="310">R147+R138</f>
        <v>60678.329795007507</v>
      </c>
      <c r="S148" s="25">
        <f t="shared" si="310"/>
        <v>64746.01371133286</v>
      </c>
      <c r="T148" s="25">
        <f t="shared" si="309"/>
        <v>67503.031595961686</v>
      </c>
      <c r="U148" s="21"/>
      <c r="V148" s="20"/>
      <c r="W148" s="20"/>
      <c r="X148" s="20"/>
      <c r="Y148" s="20"/>
      <c r="Z148" s="20"/>
      <c r="AA148" s="20"/>
      <c r="AB148" s="20"/>
      <c r="AC148" s="20"/>
      <c r="AD148" s="20"/>
      <c r="AE148" s="20"/>
      <c r="AF148" s="20"/>
      <c r="AG148" s="20"/>
      <c r="AH148" s="20"/>
      <c r="AI148" s="20"/>
      <c r="AJ148" s="20"/>
      <c r="AK148" s="20"/>
      <c r="AL148" s="20"/>
      <c r="AM148" s="20"/>
      <c r="AN148" s="20"/>
      <c r="AO148" s="571"/>
      <c r="AP148" s="20"/>
      <c r="AQ148" s="20"/>
      <c r="AR148" s="20"/>
      <c r="AS148" s="571"/>
      <c r="AT148" s="20"/>
      <c r="AU148" s="20"/>
      <c r="AV148" s="20"/>
      <c r="AW148" s="571"/>
      <c r="AX148" s="20"/>
      <c r="AY148" s="20"/>
      <c r="AZ148" s="20"/>
      <c r="BA148" s="571"/>
      <c r="BB148" s="20"/>
      <c r="BC148" s="20"/>
      <c r="BD148" s="20"/>
      <c r="BE148" s="571"/>
      <c r="BF148" s="20"/>
      <c r="BG148" s="20"/>
      <c r="BH148" s="20"/>
      <c r="BI148" s="571"/>
      <c r="BJ148" s="20"/>
      <c r="BK148" s="20"/>
      <c r="BL148" s="20"/>
      <c r="BM148" s="571"/>
      <c r="BN148" s="20"/>
      <c r="BO148" s="20"/>
      <c r="BP148" s="20"/>
      <c r="BQ148" s="571"/>
      <c r="BR148" s="20"/>
      <c r="BS148" s="20"/>
      <c r="BT148" s="20"/>
      <c r="BU148" s="571"/>
      <c r="BV148" s="20"/>
      <c r="BW148" s="20"/>
      <c r="BX148" s="20"/>
      <c r="BY148" s="571"/>
      <c r="BZ148" s="20"/>
      <c r="CA148" s="20"/>
      <c r="CB148" s="20"/>
      <c r="CC148" s="571"/>
      <c r="CD148" s="20"/>
      <c r="CE148" s="20"/>
      <c r="CF148" s="20"/>
      <c r="CG148" s="571"/>
    </row>
    <row r="149" spans="1:85">
      <c r="A149" s="28"/>
      <c r="B149" s="21"/>
      <c r="C149" s="176"/>
      <c r="D149" s="176"/>
      <c r="E149" s="176"/>
      <c r="F149" s="176"/>
      <c r="G149" s="478"/>
      <c r="H149" s="478"/>
      <c r="I149" s="478"/>
      <c r="J149" s="478"/>
      <c r="K149" s="478"/>
      <c r="L149" s="478"/>
      <c r="M149" s="478"/>
      <c r="N149" s="478"/>
      <c r="O149" s="478"/>
      <c r="P149" s="478"/>
      <c r="Q149" s="854"/>
      <c r="R149" s="854"/>
      <c r="S149" s="854"/>
      <c r="T149" s="854"/>
      <c r="U149" s="21"/>
      <c r="V149" s="82"/>
      <c r="W149" s="82"/>
      <c r="X149" s="82"/>
      <c r="Y149" s="82"/>
      <c r="Z149" s="82"/>
      <c r="AA149" s="82"/>
      <c r="AB149" s="82"/>
      <c r="AC149" s="82"/>
      <c r="AD149" s="82"/>
      <c r="AE149" s="82"/>
      <c r="AF149" s="82"/>
      <c r="AG149" s="82"/>
      <c r="AH149" s="82"/>
      <c r="AI149" s="82"/>
      <c r="AJ149" s="82"/>
      <c r="AK149" s="82"/>
      <c r="AL149" s="82"/>
      <c r="AM149" s="82"/>
      <c r="AN149" s="82"/>
      <c r="AO149" s="593"/>
      <c r="AP149" s="82"/>
      <c r="AQ149" s="82"/>
      <c r="AR149" s="82"/>
      <c r="AS149" s="605"/>
      <c r="AT149" s="7"/>
    </row>
    <row r="150" spans="1:85">
      <c r="B150" s="7" t="s">
        <v>888</v>
      </c>
      <c r="D150" s="478"/>
      <c r="E150" s="478">
        <f>E159/E147</f>
        <v>0.207451230786626</v>
      </c>
      <c r="F150" s="478">
        <f>F159/F147</f>
        <v>9.778450237515382E-2</v>
      </c>
      <c r="G150" s="478">
        <f>G159/G147</f>
        <v>0.16643239308657592</v>
      </c>
      <c r="H150" s="478">
        <f>H159/H147</f>
        <v>0.21941295888391218</v>
      </c>
      <c r="I150" s="478">
        <f>I159/I147</f>
        <v>0.18375338149038836</v>
      </c>
      <c r="J150" s="478">
        <f>J159/J147</f>
        <v>8.1245853297485265E-2</v>
      </c>
      <c r="K150" s="478">
        <f>K159/K147</f>
        <v>-0.19862277645823412</v>
      </c>
      <c r="L150" s="478">
        <f>L159/L147</f>
        <v>-0.11222356128747288</v>
      </c>
      <c r="M150" s="478">
        <f>M159/M147</f>
        <v>3.6390997527365784E-2</v>
      </c>
      <c r="N150" s="478">
        <f>N159/N147</f>
        <v>0.10814739443037864</v>
      </c>
      <c r="O150" s="478">
        <f>O159/O147</f>
        <v>0.14434638740083122</v>
      </c>
      <c r="P150" s="478">
        <f>P159/P147</f>
        <v>0.19175470337778788</v>
      </c>
      <c r="Q150" s="478">
        <f>Q159/Q147</f>
        <v>0.1610430110015264</v>
      </c>
      <c r="R150" s="478">
        <f>R159/R147</f>
        <v>0.17641958566729293</v>
      </c>
      <c r="S150" s="478">
        <f>S159/S147</f>
        <v>0.16444735228753501</v>
      </c>
      <c r="T150" s="478">
        <f>T159/T147</f>
        <v>0.14306178173997267</v>
      </c>
    </row>
    <row r="151" spans="1:85" s="7" customFormat="1" ht="15.75">
      <c r="A151" s="16"/>
      <c r="B151" s="134" t="s">
        <v>10</v>
      </c>
      <c r="C151" s="135"/>
      <c r="D151" s="135"/>
      <c r="E151" s="135"/>
      <c r="F151" s="135"/>
      <c r="G151" s="135"/>
      <c r="H151" s="135"/>
      <c r="I151" s="136"/>
      <c r="J151" s="136"/>
      <c r="K151" s="136"/>
      <c r="L151" s="136"/>
      <c r="M151" s="136"/>
      <c r="N151" s="136"/>
      <c r="O151" s="136"/>
      <c r="P151" s="136"/>
      <c r="Q151" s="136"/>
      <c r="R151" s="136"/>
      <c r="S151" s="136"/>
      <c r="T151" s="136"/>
      <c r="U151" s="139"/>
      <c r="V151" s="145"/>
      <c r="W151" s="145"/>
      <c r="X151" s="145"/>
      <c r="Y151" s="145"/>
      <c r="Z151" s="145"/>
      <c r="AA151" s="145"/>
      <c r="AB151" s="145"/>
      <c r="AC151" s="145"/>
      <c r="AD151" s="145"/>
      <c r="AE151" s="145"/>
      <c r="AF151" s="145"/>
      <c r="AG151" s="145"/>
      <c r="AH151" s="145"/>
      <c r="AI151" s="145"/>
      <c r="AJ151" s="145"/>
      <c r="AK151" s="145"/>
      <c r="AL151" s="69"/>
      <c r="AM151" s="69"/>
      <c r="AN151" s="69"/>
      <c r="AO151" s="594"/>
      <c r="AP151" s="145"/>
      <c r="AQ151" s="145"/>
      <c r="AR151" s="145"/>
      <c r="AS151" s="606"/>
      <c r="AT151" s="146"/>
      <c r="AU151" s="146"/>
      <c r="AV151" s="146"/>
      <c r="AW151" s="606"/>
      <c r="AX151" s="146"/>
      <c r="AY151" s="146"/>
      <c r="AZ151" s="146"/>
      <c r="BA151" s="606"/>
      <c r="BB151" s="146"/>
      <c r="BC151" s="146"/>
      <c r="BD151" s="146"/>
      <c r="BE151" s="606"/>
      <c r="BF151" s="146"/>
      <c r="BG151" s="146"/>
      <c r="BH151" s="146"/>
      <c r="BI151" s="606"/>
      <c r="BJ151" s="146"/>
      <c r="BK151" s="146"/>
      <c r="BL151" s="146"/>
      <c r="BM151" s="606"/>
      <c r="BN151" s="146"/>
      <c r="BO151" s="146"/>
      <c r="BP151" s="146"/>
      <c r="BQ151" s="606"/>
      <c r="BR151" s="146"/>
      <c r="BS151" s="146"/>
      <c r="BT151" s="146"/>
      <c r="BU151" s="606"/>
      <c r="BV151" s="146"/>
      <c r="BW151" s="146"/>
      <c r="BX151" s="146"/>
      <c r="BY151" s="606"/>
      <c r="BZ151" s="146"/>
      <c r="CA151" s="146"/>
      <c r="CB151" s="146"/>
      <c r="CC151" s="606"/>
      <c r="CD151" s="146"/>
      <c r="CE151" s="146"/>
      <c r="CF151" s="146"/>
      <c r="CG151" s="606"/>
    </row>
    <row r="152" spans="1:85">
      <c r="A152" s="17"/>
      <c r="B152" s="50"/>
      <c r="C152" s="21"/>
      <c r="D152" s="21"/>
      <c r="E152" s="21"/>
      <c r="F152" s="21"/>
      <c r="G152" s="21"/>
      <c r="H152" s="21"/>
      <c r="I152" s="45"/>
      <c r="J152" s="45"/>
      <c r="K152" s="45"/>
      <c r="L152" s="45"/>
      <c r="M152" s="45"/>
      <c r="N152" s="45"/>
      <c r="O152" s="45"/>
      <c r="P152" s="45"/>
      <c r="Q152" s="45"/>
      <c r="R152" s="45"/>
      <c r="S152" s="45"/>
      <c r="T152" s="45"/>
      <c r="U152" s="45"/>
      <c r="V152" s="7"/>
      <c r="W152" s="7"/>
      <c r="X152" s="7"/>
      <c r="Y152" s="7"/>
      <c r="Z152" s="7"/>
      <c r="AA152" s="7"/>
      <c r="AB152" s="7"/>
      <c r="AC152" s="7"/>
      <c r="AD152" s="7"/>
      <c r="AE152" s="7"/>
      <c r="AF152" s="7"/>
      <c r="AG152" s="7"/>
      <c r="AH152" s="7"/>
      <c r="AI152" s="7"/>
      <c r="AJ152" s="7"/>
      <c r="AK152" s="7"/>
      <c r="AL152" s="21"/>
      <c r="AM152" s="21"/>
      <c r="AN152" s="21"/>
      <c r="AO152" s="575"/>
      <c r="AP152" s="7"/>
      <c r="AQ152" s="7"/>
      <c r="AR152" s="7"/>
      <c r="AS152" s="605"/>
      <c r="AT152" s="7"/>
    </row>
    <row r="153" spans="1:85">
      <c r="A153" s="28"/>
      <c r="B153" s="30" t="s">
        <v>98</v>
      </c>
      <c r="C153" s="21"/>
      <c r="D153" s="21">
        <f ca="1">IF(ISERROR(AVERAGE(C115,D115)/D9*365)," ",AVERAGE(C115,D115)/D9*365)</f>
        <v>54.376772626299925</v>
      </c>
      <c r="E153" s="21">
        <f ca="1">IF(ISERROR(AVERAGE(D115,E115)/E9*365)," ",AVERAGE(D115,E115)/E9*365)</f>
        <v>64.003576711476242</v>
      </c>
      <c r="F153" s="21">
        <f ca="1">IF(ISERROR(AVERAGE(E115,F115)/F9*365)," ",AVERAGE(E115,F115)/F9*365)</f>
        <v>60.376297556580504</v>
      </c>
      <c r="G153" s="21">
        <f ca="1">IF(ISERROR(AVERAGE(F115,G115)/G9*365)," ",AVERAGE(F115,G115)/G9*365)</f>
        <v>53.027629556170176</v>
      </c>
      <c r="H153" s="21">
        <f ca="1">IF(ISERROR(AVERAGE(G115,H115)/H9*365)," ",AVERAGE(G115,H115)/H9*365)</f>
        <v>52.738229058340778</v>
      </c>
      <c r="I153" s="21">
        <f ca="1">IF(ISERROR(AVERAGE(H115,I115)/I9*365)," ",AVERAGE(H115,I115)/I9*365)</f>
        <v>44.350861492197588</v>
      </c>
      <c r="J153" s="21">
        <f>IF(ISERROR(AVERAGE(I115,J115)/J9*365)," ",AVERAGE(I115,J115)/J9*365)</f>
        <v>51.745778278329681</v>
      </c>
      <c r="K153" s="21">
        <f>IF(ISERROR(AVERAGE(J115,K115)/K9*365)," ",AVERAGE(J115,K115)/K9*365)</f>
        <v>42.951301838378789</v>
      </c>
      <c r="L153" s="21">
        <f>IF(ISERROR(AVERAGE(K115,L115)/L9*365)," ",AVERAGE(K115,L115)/L9*365)</f>
        <v>55.706551233926476</v>
      </c>
      <c r="M153" s="21">
        <f>IF(ISERROR(AVERAGE(L115,M115)/M9*365)," ",AVERAGE(L115,M115)/M9*365)</f>
        <v>63.184111537511804</v>
      </c>
      <c r="N153" s="21">
        <f>IF(ISERROR(AVERAGE(M115,N115)/N9*365)," ",AVERAGE(M115,N115)/N9*365)</f>
        <v>71.384061054549832</v>
      </c>
      <c r="O153" s="21">
        <f>IF(ISERROR(AVERAGE(N115,O115)/O9*365)," ",AVERAGE(N115,O115)/O9*365)</f>
        <v>45.685926735767382</v>
      </c>
      <c r="P153" s="21">
        <f>IF(ISERROR(AVERAGE(O115,P115)/P9*365)," ",AVERAGE(O115,P115)/P9*365)</f>
        <v>44.473216641636647</v>
      </c>
      <c r="Q153" s="104">
        <v>47</v>
      </c>
      <c r="R153" s="104">
        <v>45</v>
      </c>
      <c r="S153" s="104">
        <f>R153-2</f>
        <v>43</v>
      </c>
      <c r="T153" s="104">
        <f>S153-2</f>
        <v>41</v>
      </c>
      <c r="U153" s="141"/>
      <c r="V153" s="21"/>
      <c r="W153" s="21"/>
      <c r="X153" s="21"/>
      <c r="Y153" s="21"/>
      <c r="Z153" s="21"/>
      <c r="AA153" s="21"/>
      <c r="AB153" s="21"/>
      <c r="AC153" s="21"/>
      <c r="AD153" s="21"/>
      <c r="AE153" s="21"/>
      <c r="AF153" s="21"/>
      <c r="AG153" s="21"/>
      <c r="AH153" s="21"/>
      <c r="AI153" s="21"/>
      <c r="AJ153" s="21"/>
      <c r="AK153" s="21"/>
      <c r="AL153" s="177"/>
      <c r="AM153" s="177"/>
      <c r="AN153" s="177"/>
      <c r="AO153" s="595"/>
      <c r="AP153" s="21"/>
      <c r="AQ153" s="21"/>
      <c r="AR153" s="21"/>
      <c r="AS153" s="608"/>
      <c r="AT153" s="147"/>
      <c r="AU153" s="147"/>
      <c r="AV153" s="147"/>
      <c r="AW153" s="608"/>
      <c r="AX153" s="147"/>
      <c r="AY153" s="147"/>
      <c r="AZ153" s="147"/>
      <c r="BA153" s="608"/>
      <c r="BB153" s="147"/>
      <c r="BC153" s="147"/>
      <c r="BD153" s="147"/>
      <c r="BE153" s="608"/>
      <c r="BF153" s="147"/>
      <c r="BG153" s="147"/>
      <c r="BH153" s="147"/>
      <c r="BI153" s="608"/>
      <c r="BJ153" s="147"/>
      <c r="BK153" s="147"/>
      <c r="BL153" s="147"/>
      <c r="BM153" s="608"/>
      <c r="BN153" s="147"/>
      <c r="BO153" s="147"/>
      <c r="BP153" s="147"/>
      <c r="BQ153" s="608"/>
      <c r="BR153" s="147"/>
      <c r="BS153" s="147"/>
      <c r="BT153" s="147"/>
      <c r="BU153" s="608"/>
      <c r="BV153" s="147"/>
      <c r="BW153" s="147"/>
      <c r="BX153" s="147"/>
      <c r="BY153" s="608"/>
      <c r="BZ153" s="147"/>
      <c r="CA153" s="147"/>
      <c r="CB153" s="147"/>
      <c r="CC153" s="608"/>
      <c r="CD153" s="147"/>
      <c r="CE153" s="147"/>
      <c r="CF153" s="147"/>
      <c r="CG153" s="608"/>
    </row>
    <row r="154" spans="1:85">
      <c r="A154" s="28"/>
      <c r="B154" s="30" t="s">
        <v>134</v>
      </c>
      <c r="C154" s="21"/>
      <c r="D154" s="21">
        <f ca="1">-IF(ISERROR(AVERAGE(C116,D116)/D14*365)," ",AVERAGE(C116,D116)/D14*365)</f>
        <v>64.078393624641834</v>
      </c>
      <c r="E154" s="21">
        <f ca="1">-IF(ISERROR(AVERAGE(D116,E116)/E14*365)," ",AVERAGE(D116,E116)/E14*365)</f>
        <v>73.943662824568065</v>
      </c>
      <c r="F154" s="21">
        <f ca="1">-IF(ISERROR(AVERAGE(E116,F116)/F14*365)," ",AVERAGE(E116,F116)/F14*365)</f>
        <v>82.61352205406763</v>
      </c>
      <c r="G154" s="21">
        <f ca="1">-IF(ISERROR(AVERAGE(F116,G116)/G14*365)," ",AVERAGE(F116,G116)/G14*365)</f>
        <v>75.275606817925322</v>
      </c>
      <c r="H154" s="21">
        <f ca="1">-IF(ISERROR(AVERAGE(G116,H116)/H14*365)," ",AVERAGE(G116,H116)/H14*365)</f>
        <v>84.034795975819677</v>
      </c>
      <c r="I154" s="21">
        <f ca="1">-IF(ISERROR(AVERAGE(H116,I116)/I14*365)," ",AVERAGE(H116,I116)/I14*365)</f>
        <v>84.897434553230838</v>
      </c>
      <c r="J154" s="21">
        <f>-IF(ISERROR(AVERAGE(I116,J116)/J14*365)," ",AVERAGE(I116,J116)/J14*365)</f>
        <v>90.164355031289261</v>
      </c>
      <c r="K154" s="21">
        <f>-IF(ISERROR(AVERAGE(J116,K116)/K14*365)," ",AVERAGE(J116,K116)/K14*365)</f>
        <v>87.254763129499651</v>
      </c>
      <c r="L154" s="21">
        <f>-IF(ISERROR(AVERAGE(K116,L116)/L14*365)," ",AVERAGE(K116,L116)/L14*365)</f>
        <v>96.526178801924544</v>
      </c>
      <c r="M154" s="21">
        <f>-IF(ISERROR(AVERAGE(L116,M116)/M14*365)," ",AVERAGE(L116,M116)/M14*365)</f>
        <v>125.61228011302332</v>
      </c>
      <c r="N154" s="21">
        <f>-IF(ISERROR(AVERAGE(M116,N116)/N14*365)," ",AVERAGE(M116,N116)/N14*365)</f>
        <v>166.17996416798724</v>
      </c>
      <c r="O154" s="21">
        <f>-IF(ISERROR(AVERAGE(N116,O116)/O14*365)," ",AVERAGE(N116,O116)/O14*365)</f>
        <v>157.88694594142498</v>
      </c>
      <c r="P154" s="21">
        <f>-IF(ISERROR(AVERAGE(O116,P116)/P14*365)," ",AVERAGE(O116,P116)/P14*365)</f>
        <v>163.13502211608912</v>
      </c>
      <c r="Q154" s="104">
        <v>150</v>
      </c>
      <c r="R154" s="104">
        <v>138</v>
      </c>
      <c r="S154" s="104">
        <v>130</v>
      </c>
      <c r="T154" s="104">
        <v>120</v>
      </c>
      <c r="U154" s="141"/>
      <c r="V154" s="21"/>
      <c r="W154" s="21"/>
      <c r="X154" s="21"/>
      <c r="Y154" s="21"/>
      <c r="Z154" s="21"/>
      <c r="AA154" s="21"/>
      <c r="AB154" s="21"/>
      <c r="AC154" s="21"/>
      <c r="AD154" s="21"/>
      <c r="AE154" s="21"/>
      <c r="AF154" s="21"/>
      <c r="AG154" s="21"/>
      <c r="AH154" s="21"/>
      <c r="AI154" s="21"/>
      <c r="AJ154" s="21"/>
      <c r="AK154" s="21"/>
      <c r="AL154" s="69"/>
      <c r="AM154" s="69"/>
      <c r="AN154" s="69"/>
      <c r="AO154" s="594"/>
      <c r="AP154" s="21"/>
      <c r="AQ154" s="21"/>
      <c r="AR154" s="21"/>
      <c r="AS154" s="608"/>
      <c r="AT154" s="147"/>
      <c r="AU154" s="147"/>
      <c r="AV154" s="147"/>
      <c r="AW154" s="608"/>
      <c r="AX154" s="147"/>
      <c r="AY154" s="147"/>
      <c r="AZ154" s="147"/>
      <c r="BA154" s="608"/>
      <c r="BB154" s="147"/>
      <c r="BC154" s="147"/>
      <c r="BD154" s="147"/>
      <c r="BE154" s="608"/>
      <c r="BF154" s="147"/>
      <c r="BG154" s="147"/>
      <c r="BH154" s="147"/>
      <c r="BI154" s="608"/>
      <c r="BJ154" s="147"/>
      <c r="BK154" s="147"/>
      <c r="BL154" s="147"/>
      <c r="BM154" s="608"/>
      <c r="BN154" s="147"/>
      <c r="BO154" s="147"/>
      <c r="BP154" s="147"/>
      <c r="BQ154" s="608"/>
      <c r="BR154" s="147"/>
      <c r="BS154" s="147"/>
      <c r="BT154" s="147"/>
      <c r="BU154" s="608"/>
      <c r="BV154" s="147"/>
      <c r="BW154" s="147"/>
      <c r="BX154" s="147"/>
      <c r="BY154" s="608"/>
      <c r="BZ154" s="147"/>
      <c r="CA154" s="147"/>
      <c r="CB154" s="147"/>
      <c r="CC154" s="608"/>
      <c r="CD154" s="147"/>
      <c r="CE154" s="147"/>
      <c r="CF154" s="147"/>
      <c r="CG154" s="608"/>
    </row>
    <row r="155" spans="1:85">
      <c r="A155" s="28"/>
      <c r="B155" s="30" t="s">
        <v>99</v>
      </c>
      <c r="C155" s="21"/>
      <c r="D155" s="21">
        <f ca="1">-IF(ISERROR(AVERAGE(C130,D130)/D14*365)," ",AVERAGE(C130,D130)/D14*365)</f>
        <v>64.014819126074485</v>
      </c>
      <c r="E155" s="21">
        <f ca="1">-IF(ISERROR(AVERAGE(D130,E130)/E14*365)," ",AVERAGE(D130,E130)/E14*365)</f>
        <v>114.34606905821269</v>
      </c>
      <c r="F155" s="21">
        <f ca="1">-IF(ISERROR(AVERAGE(E130,F130)/F14*365)," ",AVERAGE(E130,F130)/F14*365)</f>
        <v>179.80524457859627</v>
      </c>
      <c r="G155" s="21">
        <f ca="1">-IF(ISERROR(AVERAGE(F130,G130)/G14*365)," ",AVERAGE(F130,G130)/G14*365)</f>
        <v>147.32596988421889</v>
      </c>
      <c r="H155" s="21">
        <f ca="1">-IF(ISERROR(AVERAGE(G130,H130)/H14*365)," ",AVERAGE(G130,H130)/H14*365)</f>
        <v>125.17554209379558</v>
      </c>
      <c r="I155" s="21">
        <f ca="1">-IF(ISERROR(AVERAGE(H130,I130)/I14*365)," ",AVERAGE(H130,I130)/I14*365)</f>
        <v>116.01572069412434</v>
      </c>
      <c r="J155" s="21">
        <f>-IF(ISERROR(AVERAGE(I130,J130)/J14*365)," ",AVERAGE(I130,J130)/J14*365)</f>
        <v>137.06775963089311</v>
      </c>
      <c r="K155" s="21">
        <f>-IF(ISERROR(AVERAGE(J130,K130)/K14*365)," ",AVERAGE(J130,K130)/K14*365)</f>
        <v>163.9553657961556</v>
      </c>
      <c r="L155" s="21">
        <f>-IF(ISERROR(AVERAGE(K130,L130)/L14*365)," ",AVERAGE(K130,L130)/L14*365)</f>
        <v>168.53054686832257</v>
      </c>
      <c r="M155" s="21">
        <f>-IF(ISERROR(AVERAGE(L130,M130)/M14*365)," ",AVERAGE(L130,M130)/M14*365)</f>
        <v>196.27840543873666</v>
      </c>
      <c r="N155" s="21">
        <f>-IF(ISERROR(AVERAGE(M130,N130)/N14*365)," ",AVERAGE(M130,N130)/N14*365)</f>
        <v>241.35504640057556</v>
      </c>
      <c r="O155" s="21">
        <f>-IF(ISERROR(AVERAGE(N130,O130)/O14*365)," ",AVERAGE(N130,O130)/O14*365)</f>
        <v>194.28231407911909</v>
      </c>
      <c r="P155" s="21">
        <f>-IF(ISERROR(AVERAGE(O130,P130)/P14*365)," ",AVERAGE(O130,P130)/P14*365)</f>
        <v>154.63662146210413</v>
      </c>
      <c r="Q155" s="104">
        <v>138</v>
      </c>
      <c r="R155" s="104">
        <v>135</v>
      </c>
      <c r="S155" s="104">
        <v>130</v>
      </c>
      <c r="T155" s="104">
        <v>125</v>
      </c>
      <c r="U155" s="141"/>
      <c r="V155" s="21"/>
      <c r="W155" s="21"/>
      <c r="X155" s="21"/>
      <c r="Y155" s="21"/>
      <c r="Z155" s="21"/>
      <c r="AA155" s="21"/>
      <c r="AB155" s="21"/>
      <c r="AC155" s="21"/>
      <c r="AD155" s="21"/>
      <c r="AE155" s="21"/>
      <c r="AF155" s="21"/>
      <c r="AG155" s="21"/>
      <c r="AH155" s="21"/>
      <c r="AI155" s="21"/>
      <c r="AJ155" s="21"/>
      <c r="AK155" s="21"/>
      <c r="AL155" s="21"/>
      <c r="AM155" s="21"/>
      <c r="AN155" s="21"/>
      <c r="AO155" s="575"/>
      <c r="AP155" s="21"/>
      <c r="AQ155" s="21"/>
      <c r="AR155" s="21"/>
      <c r="AS155" s="608"/>
      <c r="AT155" s="147"/>
      <c r="AU155" s="147"/>
      <c r="AV155" s="147"/>
      <c r="AW155" s="608"/>
      <c r="AX155" s="147"/>
      <c r="AY155" s="147"/>
      <c r="AZ155" s="147"/>
      <c r="BA155" s="608"/>
      <c r="BB155" s="147"/>
      <c r="BC155" s="147"/>
      <c r="BD155" s="147"/>
      <c r="BE155" s="608"/>
      <c r="BF155" s="147"/>
      <c r="BG155" s="147"/>
      <c r="BH155" s="147"/>
      <c r="BI155" s="608"/>
      <c r="BJ155" s="147"/>
      <c r="BK155" s="147"/>
      <c r="BL155" s="147"/>
      <c r="BM155" s="608"/>
      <c r="BN155" s="147"/>
      <c r="BO155" s="147"/>
      <c r="BP155" s="147"/>
      <c r="BQ155" s="608"/>
      <c r="BR155" s="147"/>
      <c r="BS155" s="147"/>
      <c r="BT155" s="147"/>
      <c r="BU155" s="608"/>
      <c r="BV155" s="147"/>
      <c r="BW155" s="147"/>
      <c r="BX155" s="147"/>
      <c r="BY155" s="608"/>
      <c r="BZ155" s="147"/>
      <c r="CA155" s="147"/>
      <c r="CB155" s="147"/>
      <c r="CC155" s="608"/>
      <c r="CD155" s="147"/>
      <c r="CE155" s="147"/>
      <c r="CF155" s="147"/>
      <c r="CG155" s="608"/>
    </row>
    <row r="156" spans="1:85">
      <c r="A156" s="17"/>
      <c r="B156" s="177" t="s">
        <v>231</v>
      </c>
      <c r="C156" s="177"/>
      <c r="D156" s="177">
        <f t="shared" ref="D156:T156" ca="1" si="311">IF(ISERROR(D153+D154-D155)," ",D153+D154-D155)</f>
        <v>54.440347124867273</v>
      </c>
      <c r="E156" s="177">
        <f t="shared" ca="1" si="311"/>
        <v>23.60117047783163</v>
      </c>
      <c r="F156" s="177">
        <f t="shared" ca="1" si="311"/>
        <v>-36.815424967948132</v>
      </c>
      <c r="G156" s="177">
        <f t="shared" ca="1" si="311"/>
        <v>-19.022733510123402</v>
      </c>
      <c r="H156" s="177">
        <f t="shared" ca="1" si="311"/>
        <v>11.597482940364884</v>
      </c>
      <c r="I156" s="177">
        <f t="shared" ca="1" si="311"/>
        <v>13.232575351304078</v>
      </c>
      <c r="J156" s="177">
        <f t="shared" si="311"/>
        <v>4.8423736787258349</v>
      </c>
      <c r="K156" s="177">
        <f t="shared" si="311"/>
        <v>-33.749300828277171</v>
      </c>
      <c r="L156" s="177">
        <f t="shared" si="311"/>
        <v>-16.29781683247154</v>
      </c>
      <c r="M156" s="177">
        <f t="shared" si="311"/>
        <v>-7.4820137882015274</v>
      </c>
      <c r="N156" s="177">
        <f>IF(ISERROR(N153+N154-N155)," ",N153+N154-N155)</f>
        <v>-3.7910211780385055</v>
      </c>
      <c r="O156" s="177">
        <f>IF(ISERROR(O153+O154-O155)," ",O153+O154-O155)</f>
        <v>9.2905585980732894</v>
      </c>
      <c r="P156" s="177">
        <f t="shared" si="311"/>
        <v>52.971617295621627</v>
      </c>
      <c r="Q156" s="177">
        <f t="shared" si="311"/>
        <v>59</v>
      </c>
      <c r="R156" s="177">
        <f t="shared" si="311"/>
        <v>48</v>
      </c>
      <c r="S156" s="177">
        <f t="shared" si="311"/>
        <v>43</v>
      </c>
      <c r="T156" s="177">
        <f t="shared" si="311"/>
        <v>36</v>
      </c>
      <c r="U156" s="177"/>
      <c r="V156" s="177"/>
      <c r="W156" s="177"/>
      <c r="X156" s="177"/>
      <c r="Y156" s="177"/>
      <c r="Z156" s="177"/>
      <c r="AA156" s="177"/>
      <c r="AB156" s="177"/>
      <c r="AC156" s="177"/>
      <c r="AD156" s="177"/>
      <c r="AE156" s="177"/>
      <c r="AF156" s="177"/>
      <c r="AG156" s="177"/>
      <c r="AH156" s="177"/>
      <c r="AI156" s="177"/>
      <c r="AJ156" s="177"/>
      <c r="AK156" s="177"/>
      <c r="AL156" s="177"/>
      <c r="AM156" s="177"/>
      <c r="AN156" s="177"/>
      <c r="AO156" s="595"/>
      <c r="AP156" s="177"/>
      <c r="AQ156" s="177"/>
      <c r="AR156" s="177"/>
      <c r="AS156" s="595"/>
      <c r="AT156" s="177"/>
      <c r="AU156" s="177"/>
      <c r="AV156" s="177"/>
      <c r="AW156" s="595"/>
      <c r="AX156" s="177"/>
      <c r="AY156" s="177"/>
      <c r="AZ156" s="177"/>
      <c r="BA156" s="595"/>
      <c r="BB156" s="177"/>
      <c r="BC156" s="177"/>
      <c r="BD156" s="177"/>
      <c r="BE156" s="595"/>
      <c r="BF156" s="177"/>
      <c r="BG156" s="177"/>
      <c r="BH156" s="177"/>
      <c r="BI156" s="595"/>
      <c r="BJ156" s="177"/>
      <c r="BK156" s="177"/>
      <c r="BL156" s="177"/>
      <c r="BM156" s="595"/>
      <c r="BN156" s="177"/>
      <c r="BO156" s="177"/>
      <c r="BP156" s="177"/>
      <c r="BQ156" s="595"/>
      <c r="BR156" s="177"/>
      <c r="BS156" s="177"/>
      <c r="BT156" s="177"/>
      <c r="BU156" s="595"/>
      <c r="BV156" s="177"/>
      <c r="BW156" s="177"/>
      <c r="BX156" s="177"/>
      <c r="BY156" s="595"/>
      <c r="BZ156" s="177"/>
      <c r="CA156" s="177"/>
      <c r="CB156" s="177"/>
      <c r="CC156" s="595"/>
      <c r="CD156" s="177"/>
      <c r="CE156" s="177"/>
      <c r="CF156" s="177"/>
      <c r="CG156" s="595"/>
    </row>
    <row r="157" spans="1:85">
      <c r="A157" s="17"/>
      <c r="B157" s="2" t="s">
        <v>100</v>
      </c>
      <c r="C157" s="69"/>
      <c r="D157" s="36">
        <f>IF(ISNUMBER(D63),D145/D63," ")</f>
        <v>0.77359590666661682</v>
      </c>
      <c r="E157" s="36">
        <f>IF(ISNUMBER(E63),E145/E63," ")</f>
        <v>0.82229219336764647</v>
      </c>
      <c r="F157" s="36">
        <f>IF(ISNUMBER(F63),F145/F63," ")</f>
        <v>0.88652157099588746</v>
      </c>
      <c r="G157" s="36">
        <f>IF(ISNUMBER(G63),G145/G63," ")</f>
        <v>0.97643595702591546</v>
      </c>
      <c r="H157" s="36">
        <f>IF(ISNUMBER(H63),H145/H63," ")</f>
        <v>1.0648435363407869</v>
      </c>
      <c r="I157" s="36">
        <f>IF(ISNUMBER(I63),I145/I63," ")</f>
        <v>1.1940540698203923</v>
      </c>
      <c r="J157" s="36">
        <f>IF(ISNUMBER(J63),J145/J63," ")</f>
        <v>1.2331484903278902</v>
      </c>
      <c r="K157" s="36">
        <f>IF(ISNUMBER(K63),K145/K63," ")</f>
        <v>1.9707264935064936</v>
      </c>
      <c r="L157" s="36">
        <f>IF(ISNUMBER(L63),L145/L63," ")</f>
        <v>2.1698451776630949</v>
      </c>
      <c r="M157" s="36">
        <f>IF(ISNUMBER(M63),M145/M63," ")</f>
        <v>2.4194605925823565</v>
      </c>
      <c r="N157" s="36">
        <f>IF(ISNUMBER(N63),N145/N63," ")</f>
        <v>2.5315924993707526</v>
      </c>
      <c r="O157" s="36">
        <f>IF(ISNUMBER(O63),O145/O63," ")</f>
        <v>2.5848036363636364</v>
      </c>
      <c r="P157" s="36">
        <f>IF(ISNUMBER(P63),P145/P63," ")</f>
        <v>2.6799587499999999</v>
      </c>
      <c r="Q157" s="36">
        <f>IF(ISNUMBER(Q63),Q145/Q63," ")</f>
        <v>2.8275726525356406</v>
      </c>
      <c r="R157" s="36">
        <f>IF(ISNUMBER(R63),R145/R63," ")</f>
        <v>3.0251292377950767</v>
      </c>
      <c r="S157" s="36">
        <f>IF(ISNUMBER(S63),S145/S63," ")</f>
        <v>3.309883929148612</v>
      </c>
      <c r="T157" s="36">
        <f>IF(ISNUMBER(T63),T145/T63," ")</f>
        <v>3.6806168125637901</v>
      </c>
      <c r="U157" s="69"/>
      <c r="V157" s="69"/>
      <c r="W157" s="69"/>
      <c r="X157" s="69"/>
      <c r="Y157" s="69"/>
      <c r="Z157" s="69"/>
      <c r="AA157" s="69"/>
      <c r="AB157" s="69"/>
      <c r="AC157" s="69"/>
      <c r="AD157" s="69"/>
      <c r="AE157" s="69"/>
      <c r="AF157" s="69"/>
      <c r="AG157" s="69"/>
      <c r="AH157" s="69"/>
      <c r="AI157" s="69"/>
      <c r="AJ157" s="69"/>
      <c r="AK157" s="69"/>
      <c r="AL157" s="69"/>
      <c r="AM157" s="69"/>
      <c r="AN157" s="69"/>
      <c r="AO157" s="594"/>
      <c r="AP157" s="69"/>
      <c r="AQ157" s="69"/>
      <c r="AR157" s="69"/>
      <c r="AS157" s="36">
        <f>IF(ISNUMBER(AS63),AS145/AS63," ")</f>
        <v>1.1940540698203923</v>
      </c>
      <c r="AT157" s="36">
        <f>IF(ISNUMBER(AT63),AT145/AT63," ")</f>
        <v>1.1962082920055546</v>
      </c>
      <c r="AU157" s="36">
        <f>IF(ISNUMBER(AU63),AU145/AU63," ")</f>
        <v>1.1977475247524751</v>
      </c>
      <c r="AV157" s="36">
        <f>IF(ISNUMBER(AV63),AV145/AV63," ")</f>
        <v>1.2200391206247896</v>
      </c>
      <c r="AW157" s="36">
        <f>IF(ISNUMBER(AW63),AW145/AW63," ")</f>
        <v>1.2369567969865909</v>
      </c>
      <c r="AX157" s="36">
        <f>IF(ISNUMBER(AX63),AX145/AX63," ")</f>
        <v>1.239776054955839</v>
      </c>
      <c r="AY157" s="36">
        <f>IF(ISNUMBER(AY63),AY145/AY63," ")</f>
        <v>1.209411279745175</v>
      </c>
      <c r="AZ157" s="36">
        <f>IF(ISNUMBER(AZ63),AZ145/AZ63," ")</f>
        <v>0.92489071113561183</v>
      </c>
      <c r="BA157" s="36">
        <f>IF(ISNUMBER(BA63),BA145/BA63," ")</f>
        <v>0.90494090909090907</v>
      </c>
      <c r="BB157" s="36">
        <f>IF(ISNUMBER(BB63),BB145/BB63," ")</f>
        <v>0.90392308489399309</v>
      </c>
      <c r="BC157" s="36">
        <f>IF(ISNUMBER(BC63),BC145/BC63," ")</f>
        <v>0.98918061096567289</v>
      </c>
      <c r="BD157" s="36">
        <f>IF(ISNUMBER(BD63),BD145/BD63," ")</f>
        <v>1.0297198764960809</v>
      </c>
      <c r="BE157" s="36">
        <f>IF(ISNUMBER(BE63),BE145/BE63," ")</f>
        <v>1.0969443992530714</v>
      </c>
      <c r="BF157" s="36">
        <f>IF(ISNUMBER(BF63),BF145/BF63," ")</f>
        <v>1.1534786248632258</v>
      </c>
      <c r="BG157" s="36">
        <f>IF(ISNUMBER(BG63),BG145/BG63," ")</f>
        <v>1.2183492731731975</v>
      </c>
      <c r="BH157" s="36">
        <f>IF(ISNUMBER(BH63),BH145/BH63," ")</f>
        <v>1.2776321836599498</v>
      </c>
      <c r="BI157" s="580">
        <f>IF(ISNUMBER(BI63),BI145/BI63," ")</f>
        <v>1.32505620938007</v>
      </c>
      <c r="BJ157" s="36">
        <f>IF(ISNUMBER(BJ63),BJ145/BJ63," ")</f>
        <v>1.3545926955642615</v>
      </c>
      <c r="BK157" s="36">
        <f>IF(ISNUMBER(BK63),BK145/BK63," ")</f>
        <v>1.4035403836446243</v>
      </c>
      <c r="BL157" s="36">
        <f>IF(ISNUMBER(BL63),BL145/BL63," ")</f>
        <v>1.4139735249621788</v>
      </c>
      <c r="BM157" s="580">
        <f>IF(ISNUMBER(BM63),BM145/BM63," ")</f>
        <v>1.4334653913918955</v>
      </c>
      <c r="BN157" s="36"/>
      <c r="BO157" s="36"/>
      <c r="BP157" s="36"/>
      <c r="BQ157" s="580"/>
      <c r="BR157" s="36"/>
      <c r="BS157" s="36"/>
      <c r="BT157" s="36"/>
      <c r="BU157" s="580"/>
      <c r="BV157" s="36"/>
      <c r="BW157" s="36"/>
      <c r="BX157" s="36"/>
      <c r="BY157" s="580"/>
      <c r="BZ157" s="36"/>
      <c r="CA157" s="36"/>
      <c r="CB157" s="36"/>
      <c r="CC157" s="580"/>
      <c r="CD157" s="36"/>
      <c r="CE157" s="36"/>
      <c r="CF157" s="36"/>
      <c r="CG157" s="580"/>
    </row>
    <row r="158" spans="1:85">
      <c r="A158" s="17"/>
      <c r="B158" s="2" t="s">
        <v>101</v>
      </c>
      <c r="C158" s="21"/>
      <c r="D158" s="21">
        <f>D118-D133</f>
        <v>624.70399999999995</v>
      </c>
      <c r="E158" s="21">
        <f>E118-E133</f>
        <v>1148.018</v>
      </c>
      <c r="F158" s="21">
        <f>F118-F133</f>
        <v>822.85900000000015</v>
      </c>
      <c r="G158" s="21">
        <f>G118-G133</f>
        <v>1702.8530000000001</v>
      </c>
      <c r="H158" s="21">
        <f>H118-H133</f>
        <v>2262.2050000000004</v>
      </c>
      <c r="I158" s="21">
        <f>I118-I133</f>
        <v>3290.3630000000003</v>
      </c>
      <c r="J158" s="21">
        <f>J118-J133</f>
        <v>3668.6420000000003</v>
      </c>
      <c r="K158" s="21">
        <f>K118-K133</f>
        <v>11298.706</v>
      </c>
      <c r="L158" s="21">
        <f>L118-L133</f>
        <v>10764.244999999999</v>
      </c>
      <c r="M158" s="21">
        <f>M118-M133</f>
        <v>9609.0260000000017</v>
      </c>
      <c r="N158" s="21">
        <f>N118-N133</f>
        <v>6033.5810000000001</v>
      </c>
      <c r="O158" s="21">
        <f>O118-O133</f>
        <v>6024.0280000000002</v>
      </c>
      <c r="P158" s="21">
        <f>P118-P133</f>
        <v>8807.9650000000001</v>
      </c>
      <c r="Q158" s="21">
        <f>Q118-Q133</f>
        <v>8774.3572736090937</v>
      </c>
      <c r="R158" s="21">
        <f>R118-R133</f>
        <v>8220.7772600491135</v>
      </c>
      <c r="S158" s="21">
        <f>S118-S133</f>
        <v>7926.0382018259043</v>
      </c>
      <c r="T158" s="21">
        <f>T118-T133</f>
        <v>8914.2736326426639</v>
      </c>
      <c r="U158" s="21"/>
      <c r="V158" s="21"/>
      <c r="W158" s="21"/>
      <c r="X158" s="21"/>
      <c r="Y158" s="21"/>
      <c r="Z158" s="21"/>
      <c r="AA158" s="21"/>
      <c r="AB158" s="21"/>
      <c r="AC158" s="21"/>
      <c r="AD158" s="21"/>
      <c r="AE158" s="21"/>
      <c r="AF158" s="21"/>
      <c r="AG158" s="21"/>
      <c r="AH158" s="21"/>
      <c r="AI158" s="21"/>
      <c r="AJ158" s="21"/>
      <c r="AK158" s="21"/>
      <c r="AL158" s="21"/>
      <c r="AM158" s="21"/>
      <c r="AN158" s="21"/>
      <c r="AO158" s="575"/>
      <c r="AP158" s="21"/>
      <c r="AQ158" s="21"/>
      <c r="AR158" s="21"/>
      <c r="AS158" s="575"/>
      <c r="AT158" s="21"/>
      <c r="AU158" s="21"/>
      <c r="AV158" s="21"/>
      <c r="AW158" s="575"/>
      <c r="AX158" s="21"/>
      <c r="AY158" s="21"/>
      <c r="AZ158" s="21"/>
      <c r="BA158" s="575"/>
      <c r="BB158" s="21"/>
      <c r="BC158" s="21"/>
      <c r="BD158" s="21"/>
      <c r="BE158" s="575"/>
      <c r="BF158" s="21"/>
      <c r="BG158" s="21"/>
      <c r="BH158" s="21"/>
      <c r="BI158" s="575"/>
      <c r="BJ158" s="21"/>
      <c r="BK158" s="21"/>
      <c r="BL158" s="21"/>
      <c r="BM158" s="575"/>
      <c r="BN158" s="21"/>
      <c r="BO158" s="21"/>
      <c r="BP158" s="21"/>
      <c r="BQ158" s="575"/>
      <c r="BR158" s="21"/>
      <c r="BS158" s="21"/>
      <c r="BT158" s="21"/>
      <c r="BU158" s="575"/>
      <c r="BV158" s="21"/>
      <c r="BW158" s="21"/>
      <c r="BX158" s="21"/>
      <c r="BY158" s="575"/>
      <c r="BZ158" s="21"/>
      <c r="CA158" s="21"/>
      <c r="CB158" s="21"/>
      <c r="CC158" s="575"/>
      <c r="CD158" s="21"/>
      <c r="CE158" s="21"/>
      <c r="CF158" s="21"/>
      <c r="CG158" s="575"/>
    </row>
    <row r="159" spans="1:85" s="524" customFormat="1">
      <c r="A159" s="522"/>
      <c r="B159" s="523" t="s">
        <v>34</v>
      </c>
      <c r="C159" s="510"/>
      <c r="D159" s="510">
        <f>+D135+D131-D114</f>
        <v>709.60200000000009</v>
      </c>
      <c r="E159" s="510">
        <f>+E135+E131-E114</f>
        <v>686.19100000000014</v>
      </c>
      <c r="F159" s="510">
        <f>+F135+F131-F114</f>
        <v>409.74200000000019</v>
      </c>
      <c r="G159" s="510">
        <f>+G135+G131-G114</f>
        <v>899.27200000000039</v>
      </c>
      <c r="H159" s="510">
        <f>+H135+H131-H114</f>
        <v>1474.7479999999998</v>
      </c>
      <c r="I159" s="510">
        <f>+I135+I131-I114</f>
        <v>1639.7379999999998</v>
      </c>
      <c r="J159" s="510">
        <f>+J135+J131-J114</f>
        <v>828.53399999999965</v>
      </c>
      <c r="K159" s="510">
        <f>+K135+K131-K114</f>
        <v>-4306.4870000000001</v>
      </c>
      <c r="L159" s="510">
        <f>+L135+L131-L114</f>
        <v>-2854.7589999999991</v>
      </c>
      <c r="M159" s="510">
        <f>+M135+M131-M114</f>
        <v>1053.9349999999995</v>
      </c>
      <c r="N159" s="510">
        <f>+N135+N131-N114</f>
        <v>3335.8729999999987</v>
      </c>
      <c r="O159" s="510">
        <f>+O135+O131-O114</f>
        <v>4600.2700000000004</v>
      </c>
      <c r="P159" s="510">
        <f>+P135+P131-P114</f>
        <v>6715.3499999999985</v>
      </c>
      <c r="Q159" s="510">
        <f>+Q135+Q131-Q114</f>
        <v>6130.9727789446333</v>
      </c>
      <c r="R159" s="510">
        <f>+R135+R131-R114</f>
        <v>7319.7242636288956</v>
      </c>
      <c r="S159" s="510">
        <f>+S135+S131-S114</f>
        <v>7334.3671327970587</v>
      </c>
      <c r="T159" s="510">
        <f>+T135+T131-T114</f>
        <v>6775.9690865844786</v>
      </c>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96"/>
      <c r="AP159" s="510"/>
      <c r="AQ159" s="510"/>
      <c r="AR159" s="510"/>
      <c r="AS159" s="596"/>
      <c r="AT159" s="510"/>
      <c r="AU159" s="510"/>
      <c r="AV159" s="510"/>
      <c r="AW159" s="596"/>
      <c r="AX159" s="510"/>
      <c r="AY159" s="510"/>
      <c r="AZ159" s="510"/>
      <c r="BA159" s="596"/>
      <c r="BB159" s="510"/>
      <c r="BC159" s="510"/>
      <c r="BD159" s="510"/>
      <c r="BE159" s="596"/>
      <c r="BF159" s="510"/>
      <c r="BG159" s="510"/>
      <c r="BH159" s="510"/>
      <c r="BI159" s="596"/>
      <c r="BJ159" s="510"/>
      <c r="BK159" s="510"/>
      <c r="BL159" s="510"/>
      <c r="BM159" s="596"/>
      <c r="BN159" s="510"/>
      <c r="BO159" s="510"/>
      <c r="BP159" s="510"/>
      <c r="BQ159" s="596"/>
      <c r="BR159" s="510"/>
      <c r="BS159" s="510"/>
      <c r="BT159" s="510"/>
      <c r="BU159" s="596"/>
      <c r="BV159" s="510"/>
      <c r="BW159" s="510"/>
      <c r="BX159" s="510"/>
      <c r="BY159" s="596"/>
      <c r="BZ159" s="510"/>
      <c r="CA159" s="510"/>
      <c r="CB159" s="510"/>
      <c r="CC159" s="596"/>
      <c r="CD159" s="510"/>
      <c r="CE159" s="510"/>
      <c r="CF159" s="510"/>
      <c r="CG159" s="596"/>
    </row>
    <row r="160" spans="1:85">
      <c r="A160" s="17"/>
      <c r="B160" s="156" t="s">
        <v>866</v>
      </c>
      <c r="C160" s="21"/>
      <c r="D160" s="157">
        <f>D159-D226</f>
        <v>469.29100000000005</v>
      </c>
      <c r="E160" s="157">
        <f>E159-E226</f>
        <v>42.120000000000118</v>
      </c>
      <c r="F160" s="157">
        <f>F159-F226</f>
        <v>127.03400000000016</v>
      </c>
      <c r="G160" s="157">
        <f>G159-G226</f>
        <v>867.72900000000038</v>
      </c>
      <c r="H160" s="157">
        <f>H159-H226</f>
        <v>797.78599999999983</v>
      </c>
      <c r="I160" s="157">
        <f>I159-I226</f>
        <v>1639.7379999999998</v>
      </c>
      <c r="J160" s="720"/>
      <c r="K160" s="149"/>
      <c r="L160" s="149"/>
      <c r="M160" s="149"/>
      <c r="N160" s="149"/>
      <c r="O160" s="149"/>
      <c r="P160" s="149"/>
      <c r="Q160" s="149"/>
      <c r="R160" s="149"/>
      <c r="S160" s="149"/>
      <c r="T160" s="149"/>
      <c r="U160" s="21"/>
      <c r="V160" s="7"/>
      <c r="W160" s="7"/>
      <c r="X160" s="7"/>
      <c r="Y160" s="7"/>
      <c r="Z160" s="7"/>
      <c r="AA160" s="7"/>
      <c r="AB160" s="7"/>
      <c r="AC160" s="7"/>
      <c r="AD160" s="7"/>
      <c r="AE160" s="7"/>
      <c r="AF160" s="7"/>
      <c r="AG160" s="7"/>
      <c r="AH160" s="7"/>
      <c r="AI160" s="7"/>
      <c r="AJ160" s="7"/>
      <c r="AK160" s="7"/>
      <c r="AP160" s="7"/>
      <c r="AQ160" s="7"/>
      <c r="AR160" s="7"/>
      <c r="AS160" s="605"/>
      <c r="AT160" s="7"/>
    </row>
    <row r="161" spans="1:85">
      <c r="A161" s="17"/>
      <c r="B161" s="12" t="s">
        <v>102</v>
      </c>
      <c r="C161" s="65"/>
      <c r="D161" s="65"/>
      <c r="E161" s="65"/>
      <c r="F161" s="65"/>
      <c r="G161" s="65"/>
      <c r="H161" s="65"/>
      <c r="I161" s="65"/>
      <c r="J161" s="65"/>
      <c r="K161" s="65"/>
      <c r="L161" s="65"/>
      <c r="M161" s="65"/>
      <c r="N161" s="65"/>
      <c r="O161" s="65"/>
      <c r="P161" s="65"/>
      <c r="Q161" s="65"/>
      <c r="R161" s="65"/>
      <c r="S161" s="65"/>
      <c r="T161" s="65"/>
      <c r="U161" s="65"/>
      <c r="V161" s="7"/>
      <c r="W161" s="7"/>
      <c r="X161" s="7"/>
      <c r="Y161" s="7"/>
      <c r="Z161" s="7"/>
      <c r="AA161" s="7"/>
      <c r="AB161" s="7"/>
      <c r="AC161" s="7"/>
      <c r="AD161" s="7"/>
      <c r="AE161" s="7"/>
      <c r="AF161" s="7"/>
      <c r="AG161" s="7"/>
      <c r="AH161" s="7"/>
      <c r="AI161" s="7"/>
      <c r="AJ161" s="7"/>
      <c r="AK161" s="7"/>
      <c r="AP161" s="7"/>
      <c r="AQ161" s="7"/>
      <c r="AR161" s="7"/>
      <c r="AS161" s="605"/>
      <c r="AT161" s="7"/>
    </row>
    <row r="162" spans="1:85">
      <c r="A162" s="17"/>
      <c r="B162" s="3" t="s">
        <v>72</v>
      </c>
      <c r="C162" s="21"/>
      <c r="D162" s="21">
        <f ca="1">D52</f>
        <v>173.17700000000002</v>
      </c>
      <c r="E162" s="21">
        <f ca="1">E52</f>
        <v>152.96899999999999</v>
      </c>
      <c r="F162" s="21">
        <f ca="1">F52</f>
        <v>253.411</v>
      </c>
      <c r="G162" s="21">
        <f ca="1">G52</f>
        <v>376.63</v>
      </c>
      <c r="H162" s="21">
        <f ca="1">H52</f>
        <v>179.679</v>
      </c>
      <c r="I162" s="21">
        <f ca="1">I52</f>
        <v>134.05499999999964</v>
      </c>
      <c r="J162" s="21">
        <f>J52</f>
        <v>234.68100000000041</v>
      </c>
      <c r="K162" s="21">
        <f>K52</f>
        <v>715.55000000000018</v>
      </c>
      <c r="L162" s="21">
        <f>L52</f>
        <v>1701.8030000000003</v>
      </c>
      <c r="M162" s="21">
        <f>M52</f>
        <v>1817.9419999999998</v>
      </c>
      <c r="N162" s="21">
        <f>N52</f>
        <v>902.52600000000041</v>
      </c>
      <c r="O162" s="21">
        <f>O52</f>
        <v>492.74800000000096</v>
      </c>
      <c r="P162" s="21">
        <f>P52</f>
        <v>685.13099999999827</v>
      </c>
      <c r="Q162" s="21">
        <f>Q52</f>
        <v>1183.7387929376646</v>
      </c>
      <c r="R162" s="21">
        <f>R52</f>
        <v>1580.6502386607494</v>
      </c>
      <c r="S162" s="21">
        <f>S52</f>
        <v>2278.322285519635</v>
      </c>
      <c r="T162" s="21">
        <f>T52</f>
        <v>2966.2338002048423</v>
      </c>
      <c r="U162" s="21"/>
      <c r="V162" s="7"/>
      <c r="W162" s="7"/>
      <c r="X162" s="7"/>
      <c r="Y162" s="7"/>
      <c r="Z162" s="7"/>
      <c r="AA162" s="7"/>
      <c r="AB162" s="7"/>
      <c r="AC162" s="7"/>
      <c r="AD162" s="7"/>
      <c r="AE162" s="7"/>
      <c r="AF162" s="7"/>
      <c r="AG162" s="7"/>
      <c r="AH162" s="7"/>
      <c r="AI162" s="7"/>
      <c r="AJ162" s="7"/>
      <c r="AK162" s="7"/>
      <c r="AP162" s="7"/>
      <c r="AQ162" s="7"/>
      <c r="AR162" s="7"/>
      <c r="AS162" s="605"/>
      <c r="AT162" s="7"/>
    </row>
    <row r="163" spans="1:85" s="168" customFormat="1">
      <c r="A163" s="17"/>
      <c r="B163" s="3" t="s">
        <v>103</v>
      </c>
      <c r="C163" s="38"/>
      <c r="D163" s="38">
        <f ca="1">-D59/D52</f>
        <v>0</v>
      </c>
      <c r="E163" s="38">
        <f ca="1">-E59/E52</f>
        <v>0</v>
      </c>
      <c r="F163" s="38">
        <f ca="1">-F59/F52</f>
        <v>0</v>
      </c>
      <c r="G163" s="38">
        <f ca="1">-G59/G52</f>
        <v>0</v>
      </c>
      <c r="H163" s="38">
        <f ca="1">-H59/H52</f>
        <v>0</v>
      </c>
      <c r="I163" s="38">
        <f ca="1">H163</f>
        <v>0</v>
      </c>
      <c r="J163" s="38">
        <v>0</v>
      </c>
      <c r="K163" s="38">
        <v>0</v>
      </c>
      <c r="L163" s="38">
        <v>0</v>
      </c>
      <c r="M163" s="38">
        <v>0</v>
      </c>
      <c r="N163" s="38">
        <v>0</v>
      </c>
      <c r="O163" s="38">
        <v>0</v>
      </c>
      <c r="P163" s="38">
        <v>0</v>
      </c>
      <c r="Q163" s="89">
        <f>P163</f>
        <v>0</v>
      </c>
      <c r="R163" s="89">
        <f>Q163</f>
        <v>0</v>
      </c>
      <c r="S163" s="89">
        <f>R163</f>
        <v>0</v>
      </c>
      <c r="T163" s="89">
        <f>S163</f>
        <v>0</v>
      </c>
      <c r="U163" s="142"/>
      <c r="V163" s="7"/>
      <c r="W163" s="7"/>
      <c r="X163" s="7"/>
      <c r="Y163" s="7"/>
      <c r="Z163" s="7"/>
      <c r="AA163" s="7"/>
      <c r="AB163" s="7"/>
      <c r="AC163" s="7"/>
      <c r="AD163" s="7"/>
      <c r="AE163" s="7"/>
      <c r="AF163" s="7"/>
      <c r="AG163" s="7"/>
      <c r="AH163" s="7"/>
      <c r="AI163" s="7"/>
      <c r="AJ163" s="7"/>
      <c r="AK163" s="7"/>
      <c r="AO163" s="585"/>
      <c r="AP163" s="7"/>
      <c r="AQ163" s="7"/>
      <c r="AR163" s="7"/>
      <c r="AS163" s="605"/>
      <c r="AT163" s="7"/>
      <c r="AW163" s="585"/>
      <c r="BA163" s="585"/>
      <c r="BE163" s="585"/>
      <c r="BI163" s="585"/>
      <c r="BM163" s="585"/>
      <c r="BQ163" s="585"/>
      <c r="BU163" s="585"/>
      <c r="BY163" s="585"/>
      <c r="CC163" s="585"/>
      <c r="CG163" s="585"/>
    </row>
    <row r="164" spans="1:85" s="168" customFormat="1">
      <c r="A164" s="17"/>
      <c r="B164" s="3" t="s">
        <v>104</v>
      </c>
      <c r="C164" s="39"/>
      <c r="D164" s="39"/>
      <c r="E164" s="39"/>
      <c r="F164" s="65"/>
      <c r="G164" s="39"/>
      <c r="H164" s="39"/>
      <c r="I164" s="49"/>
      <c r="J164" s="49"/>
      <c r="K164" s="49"/>
      <c r="L164" s="49"/>
      <c r="M164" s="49"/>
      <c r="N164" s="49"/>
      <c r="O164" s="49"/>
      <c r="P164" s="49"/>
      <c r="Q164" s="49"/>
      <c r="R164" s="49"/>
      <c r="S164" s="49"/>
      <c r="T164" s="49"/>
      <c r="U164" s="49"/>
      <c r="V164" s="7"/>
      <c r="W164" s="7"/>
      <c r="X164" s="7"/>
      <c r="Y164" s="7"/>
      <c r="Z164" s="7"/>
      <c r="AA164" s="7"/>
      <c r="AB164" s="7"/>
      <c r="AC164" s="7"/>
      <c r="AD164" s="7"/>
      <c r="AE164" s="7"/>
      <c r="AF164" s="7"/>
      <c r="AG164" s="7"/>
      <c r="AH164" s="7"/>
      <c r="AI164" s="7"/>
      <c r="AJ164" s="7"/>
      <c r="AK164" s="7"/>
      <c r="AO164" s="585"/>
      <c r="AP164" s="7"/>
      <c r="AQ164" s="7"/>
      <c r="AR164" s="7"/>
      <c r="AS164" s="605"/>
      <c r="AT164" s="7"/>
      <c r="AW164" s="585"/>
      <c r="BA164" s="585"/>
      <c r="BE164" s="585"/>
      <c r="BI164" s="585"/>
      <c r="BM164" s="585"/>
      <c r="BQ164" s="585"/>
      <c r="BU164" s="585"/>
      <c r="BY164" s="585"/>
      <c r="CC164" s="585"/>
      <c r="CG164" s="585"/>
    </row>
    <row r="165" spans="1:85">
      <c r="A165" s="17"/>
      <c r="B165" s="3"/>
      <c r="C165" s="21"/>
      <c r="D165" s="21"/>
      <c r="E165" s="21"/>
      <c r="F165" s="21"/>
      <c r="G165" s="21"/>
      <c r="H165" s="21"/>
      <c r="I165" s="21"/>
      <c r="J165" s="21"/>
      <c r="K165" s="21"/>
      <c r="L165" s="21"/>
      <c r="M165" s="21"/>
      <c r="N165" s="21"/>
      <c r="O165" s="21"/>
      <c r="P165" s="21"/>
      <c r="Q165" s="21"/>
      <c r="R165" s="21"/>
      <c r="S165" s="21"/>
      <c r="T165" s="21"/>
      <c r="U165" s="21"/>
      <c r="V165" s="7"/>
      <c r="W165" s="7"/>
      <c r="X165" s="7"/>
      <c r="Y165" s="7"/>
      <c r="Z165" s="7"/>
      <c r="AA165" s="7"/>
      <c r="AB165" s="7"/>
      <c r="AC165" s="7"/>
      <c r="AD165" s="7"/>
      <c r="AE165" s="7"/>
      <c r="AF165" s="7"/>
      <c r="AG165" s="7"/>
      <c r="AH165" s="7"/>
      <c r="AI165" s="7"/>
      <c r="AJ165" s="7"/>
      <c r="AK165" s="7"/>
      <c r="AP165" s="7"/>
      <c r="AQ165" s="7"/>
      <c r="AR165" s="7"/>
      <c r="AS165" s="605"/>
      <c r="AT165" s="7"/>
    </row>
    <row r="166" spans="1:85">
      <c r="A166" s="17"/>
      <c r="B166" s="1"/>
      <c r="C166" s="21"/>
      <c r="D166" s="21"/>
      <c r="E166" s="21"/>
      <c r="F166" s="21"/>
      <c r="G166" s="21"/>
      <c r="H166" s="21"/>
      <c r="I166" s="21"/>
      <c r="J166" s="21"/>
      <c r="K166" s="21"/>
      <c r="L166" s="21"/>
      <c r="M166" s="21"/>
      <c r="N166" s="21"/>
      <c r="O166" s="21"/>
      <c r="P166" s="21"/>
      <c r="Q166" s="21"/>
      <c r="R166" s="21"/>
      <c r="S166" s="21"/>
      <c r="T166" s="21"/>
      <c r="U166" s="21"/>
      <c r="V166" s="7"/>
      <c r="W166" s="7"/>
      <c r="X166" s="7"/>
      <c r="Y166" s="7"/>
      <c r="Z166" s="7"/>
      <c r="AA166" s="7"/>
      <c r="AB166" s="7"/>
      <c r="AC166" s="7"/>
      <c r="AD166" s="7"/>
      <c r="AE166" s="7"/>
      <c r="AF166" s="7"/>
      <c r="AG166" s="7"/>
      <c r="AH166" s="7"/>
      <c r="AI166" s="7"/>
      <c r="AJ166" s="7"/>
      <c r="AK166" s="7"/>
      <c r="AP166" s="7"/>
      <c r="AQ166" s="7"/>
      <c r="AR166" s="7"/>
      <c r="AS166" s="605"/>
      <c r="AT166" s="7"/>
    </row>
    <row r="167" spans="1:85" s="7" customFormat="1" ht="15.75">
      <c r="A167" s="16"/>
      <c r="B167" s="134" t="s">
        <v>170</v>
      </c>
      <c r="C167" s="135"/>
      <c r="D167" s="135">
        <f>D5</f>
        <v>2013</v>
      </c>
      <c r="E167" s="135">
        <f>E5</f>
        <v>2014</v>
      </c>
      <c r="F167" s="135">
        <f>F5</f>
        <v>2015</v>
      </c>
      <c r="G167" s="135">
        <f>G5</f>
        <v>2016</v>
      </c>
      <c r="H167" s="135">
        <f>H5</f>
        <v>2017</v>
      </c>
      <c r="I167" s="135">
        <f>I5</f>
        <v>2018</v>
      </c>
      <c r="J167" s="135">
        <f>J5</f>
        <v>2019</v>
      </c>
      <c r="K167" s="135">
        <f>K5</f>
        <v>2020</v>
      </c>
      <c r="L167" s="135">
        <f>L5</f>
        <v>2021</v>
      </c>
      <c r="M167" s="135">
        <f>M5</f>
        <v>2022</v>
      </c>
      <c r="N167" s="135">
        <f>N5</f>
        <v>2023</v>
      </c>
      <c r="O167" s="135">
        <f>O5</f>
        <v>2024</v>
      </c>
      <c r="P167" s="135">
        <f>P5</f>
        <v>2025</v>
      </c>
      <c r="Q167" s="136">
        <f>Q5</f>
        <v>2026</v>
      </c>
      <c r="R167" s="136">
        <f>R5</f>
        <v>2027</v>
      </c>
      <c r="S167" s="136">
        <f>S5</f>
        <v>2028</v>
      </c>
      <c r="T167" s="136">
        <f>T5</f>
        <v>2029</v>
      </c>
      <c r="U167" s="139"/>
      <c r="V167" s="145"/>
      <c r="W167" s="145"/>
      <c r="X167" s="145"/>
      <c r="Y167" s="145"/>
      <c r="Z167" s="145"/>
      <c r="AA167" s="145"/>
      <c r="AB167" s="145"/>
      <c r="AC167" s="145"/>
      <c r="AD167" s="145"/>
      <c r="AE167" s="145"/>
      <c r="AF167" s="145"/>
      <c r="AG167" s="145"/>
      <c r="AH167" s="145"/>
      <c r="AI167" s="145"/>
      <c r="AJ167" s="145"/>
      <c r="AK167" s="145"/>
      <c r="AL167" s="145"/>
      <c r="AM167" s="145"/>
      <c r="AN167" s="145"/>
      <c r="AO167" s="588"/>
      <c r="AP167" s="145"/>
      <c r="AQ167" s="145"/>
      <c r="AR167" s="145"/>
      <c r="AS167" s="606"/>
      <c r="AT167" s="146"/>
      <c r="AU167" s="146"/>
      <c r="AV167" s="146"/>
      <c r="AW167" s="606"/>
      <c r="AX167" s="146"/>
      <c r="AY167" s="146"/>
      <c r="AZ167" s="146"/>
      <c r="BA167" s="606"/>
      <c r="BB167" s="146"/>
      <c r="BC167" s="146"/>
      <c r="BD167" s="146"/>
      <c r="BE167" s="606"/>
      <c r="BF167" s="146"/>
      <c r="BG167" s="146"/>
      <c r="BH167" s="146"/>
      <c r="BI167" s="606"/>
      <c r="BJ167" s="146"/>
      <c r="BK167" s="146"/>
      <c r="BL167" s="146"/>
      <c r="BM167" s="606"/>
      <c r="BN167" s="146"/>
      <c r="BO167" s="146"/>
      <c r="BP167" s="146"/>
      <c r="BQ167" s="606"/>
      <c r="BR167" s="146"/>
      <c r="BS167" s="146"/>
      <c r="BT167" s="146"/>
      <c r="BU167" s="606"/>
      <c r="BV167" s="146"/>
      <c r="BW167" s="146"/>
      <c r="BX167" s="146"/>
      <c r="BY167" s="606"/>
      <c r="BZ167" s="146"/>
      <c r="CA167" s="146"/>
      <c r="CB167" s="146"/>
      <c r="CC167" s="606"/>
      <c r="CD167" s="146"/>
      <c r="CE167" s="146"/>
      <c r="CF167" s="146"/>
      <c r="CG167" s="606"/>
    </row>
    <row r="168" spans="1:85">
      <c r="A168" s="17"/>
      <c r="B168" s="2"/>
      <c r="C168" s="21"/>
      <c r="D168" s="21"/>
      <c r="E168" s="21"/>
      <c r="F168" s="21"/>
      <c r="G168" s="21"/>
      <c r="H168" s="21"/>
      <c r="I168" s="21"/>
      <c r="J168" s="21"/>
      <c r="K168" s="21"/>
      <c r="L168" s="21"/>
      <c r="M168" s="21"/>
      <c r="N168" s="21"/>
      <c r="O168" s="21"/>
      <c r="P168" s="21"/>
      <c r="Q168" s="21"/>
      <c r="R168" s="21"/>
      <c r="S168" s="21"/>
      <c r="T168" s="21"/>
      <c r="U168" s="21"/>
      <c r="V168" s="7"/>
      <c r="W168" s="7"/>
      <c r="X168" s="7"/>
      <c r="Y168" s="7"/>
      <c r="Z168" s="7"/>
      <c r="AA168" s="7"/>
      <c r="AB168" s="7"/>
      <c r="AC168" s="7"/>
      <c r="AD168" s="7"/>
      <c r="AE168" s="7"/>
      <c r="AF168" s="7"/>
      <c r="AG168" s="7"/>
      <c r="AH168" s="7"/>
      <c r="AI168" s="7"/>
      <c r="AJ168" s="7"/>
      <c r="AK168" s="7"/>
      <c r="AP168" s="7"/>
      <c r="AQ168" s="7"/>
      <c r="AR168" s="7"/>
      <c r="AS168" s="605"/>
      <c r="AT168" s="7"/>
    </row>
    <row r="169" spans="1:85">
      <c r="A169" s="171"/>
      <c r="B169" s="20" t="s">
        <v>28</v>
      </c>
      <c r="C169" s="20"/>
      <c r="D169" s="20">
        <f ca="1">+D52-D50</f>
        <v>173.17700000000002</v>
      </c>
      <c r="E169" s="20">
        <f ca="1">+E52-E50</f>
        <v>152.96899999999999</v>
      </c>
      <c r="F169" s="20">
        <f ca="1">+F52-F50</f>
        <v>253.411</v>
      </c>
      <c r="G169" s="20">
        <f ca="1">+G52-G50</f>
        <v>376.63</v>
      </c>
      <c r="H169" s="20">
        <f ca="1">+H52-H50</f>
        <v>179.679</v>
      </c>
      <c r="I169" s="20">
        <f ca="1">+I52-I50</f>
        <v>134.05499999999964</v>
      </c>
      <c r="J169" s="20">
        <f>+J52-J50</f>
        <v>234.68100000000041</v>
      </c>
      <c r="K169" s="20">
        <f>+K52-K50</f>
        <v>715.55000000000018</v>
      </c>
      <c r="L169" s="20">
        <f>+L52-L50</f>
        <v>1701.8030000000003</v>
      </c>
      <c r="M169" s="20">
        <f>+M52-M50</f>
        <v>1817.9419999999998</v>
      </c>
      <c r="N169" s="20">
        <f>+N52-N50</f>
        <v>902.52600000000041</v>
      </c>
      <c r="O169" s="20">
        <f>+O52-O50</f>
        <v>492.74800000000096</v>
      </c>
      <c r="P169" s="20">
        <f>+P52-P50</f>
        <v>685.13099999999827</v>
      </c>
      <c r="Q169" s="20">
        <f>+Q52-Q50</f>
        <v>1183.7387929376646</v>
      </c>
      <c r="R169" s="20">
        <f>+R52-R50</f>
        <v>1580.6502386607494</v>
      </c>
      <c r="S169" s="20">
        <f>+S52-S50</f>
        <v>2278.322285519635</v>
      </c>
      <c r="T169" s="20">
        <f>+T52-T50</f>
        <v>2966.2338002048423</v>
      </c>
      <c r="U169" s="20"/>
      <c r="V169" s="20"/>
      <c r="W169" s="20"/>
      <c r="X169" s="20"/>
      <c r="Y169" s="20"/>
      <c r="Z169" s="20"/>
      <c r="AA169" s="20"/>
      <c r="AB169" s="20"/>
      <c r="AC169" s="20"/>
      <c r="AD169" s="20"/>
      <c r="AE169" s="20"/>
      <c r="AF169" s="20"/>
      <c r="AG169" s="20"/>
      <c r="AH169" s="20"/>
      <c r="AI169" s="20"/>
      <c r="AJ169" s="20"/>
      <c r="AK169" s="20"/>
      <c r="AL169" s="20"/>
      <c r="AM169" s="20"/>
      <c r="AN169" s="20"/>
      <c r="AO169" s="571"/>
      <c r="AP169" s="20"/>
      <c r="AQ169" s="20"/>
      <c r="AR169" s="20"/>
      <c r="AS169" s="571"/>
      <c r="AT169" s="20"/>
      <c r="AU169" s="20"/>
      <c r="AV169" s="20"/>
      <c r="AW169" s="571"/>
      <c r="AX169" s="20"/>
      <c r="AY169" s="20"/>
      <c r="AZ169" s="20"/>
      <c r="BA169" s="571"/>
      <c r="BB169" s="20"/>
      <c r="BC169" s="20"/>
      <c r="BD169" s="20"/>
      <c r="BE169" s="571"/>
      <c r="BF169" s="20"/>
      <c r="BG169" s="20"/>
      <c r="BH169" s="20"/>
      <c r="BI169" s="571"/>
      <c r="BJ169" s="20"/>
      <c r="BK169" s="20"/>
      <c r="BL169" s="20"/>
      <c r="BM169" s="571"/>
      <c r="BN169" s="20"/>
      <c r="BO169" s="20"/>
      <c r="BP169" s="20"/>
      <c r="BQ169" s="571"/>
      <c r="BR169" s="20"/>
      <c r="BS169" s="20"/>
      <c r="BT169" s="20"/>
      <c r="BU169" s="571"/>
      <c r="BV169" s="20"/>
      <c r="BW169" s="20"/>
      <c r="BX169" s="20"/>
      <c r="BY169" s="571"/>
      <c r="BZ169" s="20"/>
      <c r="CA169" s="20"/>
      <c r="CB169" s="20"/>
      <c r="CC169" s="571"/>
      <c r="CD169" s="20"/>
      <c r="CE169" s="20"/>
      <c r="CF169" s="20"/>
      <c r="CG169" s="571"/>
    </row>
    <row r="170" spans="1:85">
      <c r="A170" s="171"/>
      <c r="B170" s="21" t="s">
        <v>105</v>
      </c>
      <c r="C170" s="21"/>
      <c r="D170" s="21">
        <f ca="1">-D49</f>
        <v>-1.29</v>
      </c>
      <c r="E170" s="21">
        <f ca="1">-E49</f>
        <v>26.707999999999998</v>
      </c>
      <c r="F170" s="21">
        <f ca="1">-F49</f>
        <v>31.087999999999997</v>
      </c>
      <c r="G170" s="21">
        <f ca="1">-G49</f>
        <v>60.195999999999998</v>
      </c>
      <c r="H170" s="21">
        <f ca="1">-H49</f>
        <v>53.256</v>
      </c>
      <c r="I170" s="21">
        <f ca="1">-I49</f>
        <v>56.843999999999994</v>
      </c>
      <c r="J170" s="21">
        <f>-J49</f>
        <v>75.820999999999998</v>
      </c>
      <c r="K170" s="21">
        <f>-K49</f>
        <v>46.451999999999998</v>
      </c>
      <c r="L170" s="21">
        <f>-L49</f>
        <v>-73.35499999999999</v>
      </c>
      <c r="M170" s="21">
        <f>-M49</f>
        <v>-380.14000000000004</v>
      </c>
      <c r="N170" s="21">
        <f>-N49</f>
        <v>-222.40899999999999</v>
      </c>
      <c r="O170" s="21">
        <f>-O49</f>
        <v>-237.245</v>
      </c>
      <c r="P170" s="21">
        <f>-P49</f>
        <v>-303.81299999999999</v>
      </c>
      <c r="Q170" s="21">
        <f>-Q49</f>
        <v>-133.85599999999999</v>
      </c>
      <c r="R170" s="21">
        <f>-R49</f>
        <v>-160.62719999999999</v>
      </c>
      <c r="S170" s="21">
        <f>-S49</f>
        <v>-168.65855999999999</v>
      </c>
      <c r="T170" s="21">
        <f>-T49</f>
        <v>-202.39027199999998</v>
      </c>
      <c r="U170" s="21"/>
      <c r="V170" s="21"/>
      <c r="W170" s="21"/>
      <c r="X170" s="21"/>
      <c r="Y170" s="21"/>
      <c r="Z170" s="21"/>
      <c r="AA170" s="21"/>
      <c r="AB170" s="21"/>
      <c r="AC170" s="21"/>
      <c r="AD170" s="21"/>
      <c r="AE170" s="21"/>
      <c r="AF170" s="21"/>
      <c r="AG170" s="21"/>
      <c r="AH170" s="21"/>
      <c r="AI170" s="21"/>
      <c r="AJ170" s="21"/>
      <c r="AK170" s="21"/>
      <c r="AL170" s="21"/>
      <c r="AM170" s="21"/>
      <c r="AN170" s="21"/>
      <c r="AO170" s="575"/>
      <c r="AP170" s="21"/>
      <c r="AQ170" s="21"/>
      <c r="AR170" s="21"/>
      <c r="AS170" s="575"/>
      <c r="AT170" s="21"/>
      <c r="AU170" s="21"/>
      <c r="AV170" s="21"/>
      <c r="AW170" s="575"/>
      <c r="AX170" s="21"/>
      <c r="AY170" s="21"/>
      <c r="AZ170" s="21"/>
      <c r="BA170" s="575"/>
      <c r="BB170" s="21"/>
      <c r="BC170" s="21"/>
      <c r="BD170" s="21"/>
      <c r="BE170" s="575"/>
      <c r="BF170" s="21"/>
      <c r="BG170" s="21"/>
      <c r="BH170" s="21"/>
      <c r="BI170" s="575"/>
      <c r="BJ170" s="21"/>
      <c r="BK170" s="21"/>
      <c r="BL170" s="21"/>
      <c r="BM170" s="575"/>
      <c r="BN170" s="21"/>
      <c r="BO170" s="21"/>
      <c r="BP170" s="21"/>
      <c r="BQ170" s="575"/>
      <c r="BR170" s="21"/>
      <c r="BS170" s="21"/>
      <c r="BT170" s="21"/>
      <c r="BU170" s="575"/>
      <c r="BV170" s="21"/>
      <c r="BW170" s="21"/>
      <c r="BX170" s="21"/>
      <c r="BY170" s="575"/>
      <c r="BZ170" s="21"/>
      <c r="CA170" s="21"/>
      <c r="CB170" s="21"/>
      <c r="CC170" s="575"/>
      <c r="CD170" s="21"/>
      <c r="CE170" s="21"/>
      <c r="CF170" s="21"/>
      <c r="CG170" s="575"/>
    </row>
    <row r="171" spans="1:85">
      <c r="A171" s="28"/>
      <c r="B171" s="21" t="s">
        <v>106</v>
      </c>
      <c r="C171" s="21"/>
      <c r="D171" s="21">
        <f>-D31-D32</f>
        <v>546.91</v>
      </c>
      <c r="E171" s="21">
        <f>-E31-E32</f>
        <v>549.46800000000007</v>
      </c>
      <c r="F171" s="21">
        <f>-F31-F32</f>
        <v>523.54899999999998</v>
      </c>
      <c r="G171" s="21">
        <f>-G31-G32</f>
        <v>729.86599999999999</v>
      </c>
      <c r="H171" s="21">
        <f>-H31-H32</f>
        <v>971.38199999999995</v>
      </c>
      <c r="I171" s="21">
        <f>-I31-I32</f>
        <v>1048.4100000000001</v>
      </c>
      <c r="J171" s="21">
        <f>-J31-J32</f>
        <v>1127.7560000000003</v>
      </c>
      <c r="K171" s="21">
        <f>-K31-K32</f>
        <v>1312.691</v>
      </c>
      <c r="L171" s="21">
        <f>-L31-L32</f>
        <v>1869.3020000000001</v>
      </c>
      <c r="M171" s="21">
        <f>-M31-M32</f>
        <v>2271.3609999999999</v>
      </c>
      <c r="N171" s="21">
        <f>-N31-N32</f>
        <v>2667.2910000000002</v>
      </c>
      <c r="O171" s="21">
        <f>-O31-O32</f>
        <v>3223.0630000000001</v>
      </c>
      <c r="P171" s="21">
        <f>-P31-P32</f>
        <v>3810.01</v>
      </c>
      <c r="Q171" s="21">
        <f>-Q31-Q32</f>
        <v>4968.255330671429</v>
      </c>
      <c r="R171" s="21">
        <f>-R31-R32</f>
        <v>5684.3568567292714</v>
      </c>
      <c r="S171" s="21">
        <f>-S31-S32</f>
        <v>6253.5571252071586</v>
      </c>
      <c r="T171" s="21">
        <f>-T31-T32</f>
        <v>7927.3872108813475</v>
      </c>
      <c r="U171" s="21"/>
      <c r="V171" s="21"/>
      <c r="W171" s="21"/>
      <c r="X171" s="21"/>
      <c r="Y171" s="21"/>
      <c r="Z171" s="21"/>
      <c r="AA171" s="21"/>
      <c r="AB171" s="21"/>
      <c r="AC171" s="21"/>
      <c r="AD171" s="21"/>
      <c r="AE171" s="21"/>
      <c r="AF171" s="21"/>
      <c r="AG171" s="21"/>
      <c r="AH171" s="21"/>
      <c r="AI171" s="21"/>
      <c r="AJ171" s="21"/>
      <c r="AK171" s="21"/>
      <c r="AL171" s="21"/>
      <c r="AM171" s="21"/>
      <c r="AN171" s="21"/>
      <c r="AO171" s="575"/>
      <c r="AP171" s="21"/>
      <c r="AQ171" s="21"/>
      <c r="AR171" s="21"/>
      <c r="AS171" s="575"/>
      <c r="AT171" s="21"/>
      <c r="AU171" s="21"/>
      <c r="AV171" s="21"/>
      <c r="AW171" s="575"/>
      <c r="AX171" s="21"/>
      <c r="AY171" s="21"/>
      <c r="AZ171" s="21"/>
      <c r="BA171" s="575"/>
      <c r="BB171" s="21"/>
      <c r="BC171" s="21"/>
      <c r="BD171" s="21"/>
      <c r="BE171" s="575"/>
      <c r="BF171" s="21"/>
      <c r="BG171" s="21"/>
      <c r="BH171" s="21"/>
      <c r="BI171" s="575"/>
      <c r="BJ171" s="21"/>
      <c r="BK171" s="21"/>
      <c r="BL171" s="21"/>
      <c r="BM171" s="575"/>
      <c r="BN171" s="21"/>
      <c r="BO171" s="21"/>
      <c r="BP171" s="21"/>
      <c r="BQ171" s="575"/>
      <c r="BR171" s="21"/>
      <c r="BS171" s="21"/>
      <c r="BT171" s="21"/>
      <c r="BU171" s="575"/>
      <c r="BV171" s="21"/>
      <c r="BW171" s="21"/>
      <c r="BX171" s="21"/>
      <c r="BY171" s="575"/>
      <c r="BZ171" s="21"/>
      <c r="CA171" s="21"/>
      <c r="CB171" s="21"/>
      <c r="CC171" s="575"/>
      <c r="CD171" s="21"/>
      <c r="CE171" s="21"/>
      <c r="CF171" s="21"/>
      <c r="CG171" s="575"/>
    </row>
    <row r="172" spans="1:85">
      <c r="A172" s="28"/>
      <c r="B172" s="21" t="s">
        <v>161</v>
      </c>
      <c r="C172" s="21"/>
      <c r="D172" s="21">
        <f ca="1">-D42</f>
        <v>0</v>
      </c>
      <c r="E172" s="21">
        <f ca="1">-E42</f>
        <v>0</v>
      </c>
      <c r="F172" s="21">
        <f ca="1">-F42</f>
        <v>0</v>
      </c>
      <c r="G172" s="21">
        <f ca="1">-G42</f>
        <v>0</v>
      </c>
      <c r="H172" s="21">
        <f ca="1">-H42</f>
        <v>0</v>
      </c>
      <c r="I172" s="21">
        <f ca="1">-I42</f>
        <v>0</v>
      </c>
      <c r="J172" s="21">
        <f>-J42</f>
        <v>0</v>
      </c>
      <c r="K172" s="21">
        <f>-K42</f>
        <v>0</v>
      </c>
      <c r="L172" s="21">
        <f>-L42</f>
        <v>0</v>
      </c>
      <c r="M172" s="21">
        <f>-M42</f>
        <v>0</v>
      </c>
      <c r="N172" s="21">
        <f>-N42</f>
        <v>0</v>
      </c>
      <c r="O172" s="21">
        <f>-O42</f>
        <v>0</v>
      </c>
      <c r="P172" s="21">
        <f>-P42</f>
        <v>0</v>
      </c>
      <c r="Q172" s="21">
        <f>-Q42</f>
        <v>0</v>
      </c>
      <c r="R172" s="21">
        <f>-R42</f>
        <v>0</v>
      </c>
      <c r="S172" s="21">
        <f>-S42</f>
        <v>0</v>
      </c>
      <c r="T172" s="21">
        <f>-T42</f>
        <v>0</v>
      </c>
      <c r="U172" s="21"/>
      <c r="V172" s="21"/>
      <c r="W172" s="21"/>
      <c r="X172" s="21"/>
      <c r="Y172" s="21"/>
      <c r="Z172" s="21"/>
      <c r="AA172" s="21"/>
      <c r="AB172" s="21"/>
      <c r="AC172" s="21"/>
      <c r="AD172" s="21"/>
      <c r="AE172" s="21"/>
      <c r="AF172" s="21"/>
      <c r="AG172" s="21"/>
      <c r="AH172" s="21"/>
      <c r="AI172" s="21"/>
      <c r="AJ172" s="21"/>
      <c r="AK172" s="21"/>
      <c r="AL172" s="21"/>
      <c r="AM172" s="21"/>
      <c r="AN172" s="21"/>
      <c r="AO172" s="575"/>
      <c r="AP172" s="21"/>
      <c r="AQ172" s="21"/>
      <c r="AR172" s="21"/>
      <c r="AS172" s="575"/>
      <c r="AT172" s="21"/>
      <c r="AU172" s="21"/>
      <c r="AV172" s="21"/>
      <c r="AW172" s="575"/>
      <c r="AX172" s="21"/>
      <c r="AY172" s="21"/>
      <c r="AZ172" s="21"/>
      <c r="BA172" s="575"/>
      <c r="BB172" s="21"/>
      <c r="BC172" s="21"/>
      <c r="BD172" s="21"/>
      <c r="BE172" s="575"/>
      <c r="BF172" s="21"/>
      <c r="BG172" s="21"/>
      <c r="BH172" s="21"/>
      <c r="BI172" s="575"/>
      <c r="BJ172" s="21"/>
      <c r="BK172" s="21"/>
      <c r="BL172" s="21"/>
      <c r="BM172" s="575"/>
      <c r="BN172" s="21"/>
      <c r="BO172" s="21"/>
      <c r="BP172" s="21"/>
      <c r="BQ172" s="575"/>
      <c r="BR172" s="21"/>
      <c r="BS172" s="21"/>
      <c r="BT172" s="21"/>
      <c r="BU172" s="575"/>
      <c r="BV172" s="21"/>
      <c r="BW172" s="21"/>
      <c r="BX172" s="21"/>
      <c r="BY172" s="575"/>
      <c r="BZ172" s="21"/>
      <c r="CA172" s="21"/>
      <c r="CB172" s="21"/>
      <c r="CC172" s="575"/>
      <c r="CD172" s="21"/>
      <c r="CE172" s="21"/>
      <c r="CF172" s="21"/>
      <c r="CG172" s="575"/>
    </row>
    <row r="173" spans="1:85">
      <c r="A173" s="28"/>
      <c r="B173" s="21" t="s">
        <v>27</v>
      </c>
      <c r="C173" s="21"/>
      <c r="D173" s="21">
        <f ca="1">-D40</f>
        <v>0</v>
      </c>
      <c r="E173" s="21">
        <f ca="1">-E40</f>
        <v>0</v>
      </c>
      <c r="F173" s="21">
        <f ca="1">-F40</f>
        <v>0</v>
      </c>
      <c r="G173" s="21">
        <f ca="1">-G40</f>
        <v>0</v>
      </c>
      <c r="H173" s="21">
        <f ca="1">-H40</f>
        <v>0</v>
      </c>
      <c r="I173" s="21">
        <f ca="1">-I40</f>
        <v>0</v>
      </c>
      <c r="J173" s="21">
        <f>-J40</f>
        <v>0</v>
      </c>
      <c r="K173" s="21">
        <f>-K40</f>
        <v>0</v>
      </c>
      <c r="L173" s="21">
        <f>-L40</f>
        <v>0</v>
      </c>
      <c r="M173" s="21">
        <f>-M40</f>
        <v>0</v>
      </c>
      <c r="N173" s="21">
        <f>-N40</f>
        <v>0</v>
      </c>
      <c r="O173" s="21">
        <f>-O40</f>
        <v>0</v>
      </c>
      <c r="P173" s="21">
        <f>-P40</f>
        <v>0</v>
      </c>
      <c r="Q173" s="21">
        <f>-Q40</f>
        <v>0</v>
      </c>
      <c r="R173" s="21">
        <f>-R40</f>
        <v>0</v>
      </c>
      <c r="S173" s="21">
        <f>-S40</f>
        <v>0</v>
      </c>
      <c r="T173" s="21">
        <f>-T40</f>
        <v>0</v>
      </c>
      <c r="U173" s="21"/>
      <c r="V173" s="21"/>
      <c r="W173" s="21"/>
      <c r="X173" s="21"/>
      <c r="Y173" s="21"/>
      <c r="Z173" s="21"/>
      <c r="AA173" s="21"/>
      <c r="AB173" s="21"/>
      <c r="AC173" s="21"/>
      <c r="AD173" s="21"/>
      <c r="AE173" s="21"/>
      <c r="AF173" s="21"/>
      <c r="AG173" s="21"/>
      <c r="AH173" s="21"/>
      <c r="AI173" s="21"/>
      <c r="AJ173" s="21"/>
      <c r="AK173" s="21"/>
      <c r="AL173" s="21"/>
      <c r="AM173" s="21"/>
      <c r="AN173" s="21"/>
      <c r="AO173" s="575"/>
      <c r="AP173" s="21"/>
      <c r="AQ173" s="21"/>
      <c r="AR173" s="21"/>
      <c r="AS173" s="575"/>
      <c r="AT173" s="21"/>
      <c r="AU173" s="21"/>
      <c r="AV173" s="21"/>
      <c r="AW173" s="575"/>
      <c r="AX173" s="21"/>
      <c r="AY173" s="21"/>
      <c r="AZ173" s="21"/>
      <c r="BA173" s="575"/>
      <c r="BB173" s="21"/>
      <c r="BC173" s="21"/>
      <c r="BD173" s="21"/>
      <c r="BE173" s="575"/>
      <c r="BF173" s="21"/>
      <c r="BG173" s="21"/>
      <c r="BH173" s="21"/>
      <c r="BI173" s="575"/>
      <c r="BJ173" s="21"/>
      <c r="BK173" s="21"/>
      <c r="BL173" s="21"/>
      <c r="BM173" s="575"/>
      <c r="BN173" s="21"/>
      <c r="BO173" s="21"/>
      <c r="BP173" s="21"/>
      <c r="BQ173" s="575"/>
      <c r="BR173" s="21"/>
      <c r="BS173" s="21"/>
      <c r="BT173" s="21"/>
      <c r="BU173" s="575"/>
      <c r="BV173" s="21"/>
      <c r="BW173" s="21"/>
      <c r="BX173" s="21"/>
      <c r="BY173" s="575"/>
      <c r="BZ173" s="21"/>
      <c r="CA173" s="21"/>
      <c r="CB173" s="21"/>
      <c r="CC173" s="575"/>
      <c r="CD173" s="21"/>
      <c r="CE173" s="21"/>
      <c r="CF173" s="21"/>
      <c r="CG173" s="575"/>
    </row>
    <row r="174" spans="1:85">
      <c r="A174" s="28"/>
      <c r="B174" s="20" t="s">
        <v>16</v>
      </c>
      <c r="C174" s="21"/>
      <c r="D174" s="21">
        <f t="shared" ref="D174:T174" si="312">D175+D176+D177</f>
        <v>-308.51300000000003</v>
      </c>
      <c r="E174" s="21">
        <f t="shared" si="312"/>
        <v>255.23899999999998</v>
      </c>
      <c r="F174" s="21">
        <f t="shared" si="312"/>
        <v>194.16199999999998</v>
      </c>
      <c r="G174" s="21">
        <f t="shared" si="312"/>
        <v>-313.47000000000003</v>
      </c>
      <c r="H174" s="21">
        <f t="shared" si="312"/>
        <v>-18.893999999999949</v>
      </c>
      <c r="I174" s="21">
        <f t="shared" si="312"/>
        <v>12.011999999999944</v>
      </c>
      <c r="J174" s="21">
        <f t="shared" si="312"/>
        <v>111.14300000000003</v>
      </c>
      <c r="K174" s="21">
        <f t="shared" si="312"/>
        <v>472.1110000000001</v>
      </c>
      <c r="L174" s="21">
        <f>L175+L176+L177</f>
        <v>-982.65900000000011</v>
      </c>
      <c r="M174" s="21">
        <f t="shared" si="312"/>
        <v>386.58099999999968</v>
      </c>
      <c r="N174" s="21">
        <f>N175+N176+N177</f>
        <v>14.281000000000404</v>
      </c>
      <c r="O174" s="21">
        <f>O175+O176+O177</f>
        <v>-341.5300000000002</v>
      </c>
      <c r="P174" s="21">
        <f>P175+P176+P177</f>
        <v>-1576.9679999999998</v>
      </c>
      <c r="Q174" s="21">
        <f t="shared" si="312"/>
        <v>617.98494744627124</v>
      </c>
      <c r="R174" s="21">
        <f t="shared" ref="R174:S174" si="313">R175+R176+R177</f>
        <v>-635.17147112428211</v>
      </c>
      <c r="S174" s="21">
        <f t="shared" si="313"/>
        <v>280.09618905504453</v>
      </c>
      <c r="T174" s="21">
        <f t="shared" si="312"/>
        <v>-429.83738460418044</v>
      </c>
      <c r="U174" s="21"/>
      <c r="V174" s="21"/>
      <c r="W174" s="21"/>
      <c r="X174" s="21"/>
      <c r="Y174" s="21"/>
      <c r="Z174" s="21"/>
      <c r="AA174" s="21"/>
      <c r="AB174" s="21"/>
      <c r="AC174" s="21"/>
      <c r="AD174" s="21"/>
      <c r="AE174" s="21"/>
      <c r="AF174" s="21"/>
      <c r="AG174" s="21"/>
      <c r="AH174" s="21"/>
      <c r="AI174" s="21"/>
      <c r="AJ174" s="21"/>
      <c r="AK174" s="21"/>
      <c r="AL174" s="21"/>
      <c r="AM174" s="21"/>
      <c r="AN174" s="21"/>
      <c r="AO174" s="575"/>
      <c r="AP174" s="21"/>
      <c r="AQ174" s="21"/>
      <c r="AR174" s="21"/>
      <c r="AS174" s="575"/>
      <c r="AT174" s="21"/>
      <c r="AU174" s="21"/>
      <c r="AV174" s="21"/>
      <c r="AW174" s="575"/>
      <c r="AX174" s="21"/>
      <c r="AY174" s="21"/>
      <c r="AZ174" s="21"/>
      <c r="BA174" s="575"/>
      <c r="BB174" s="21"/>
      <c r="BC174" s="21"/>
      <c r="BD174" s="21"/>
      <c r="BE174" s="575"/>
      <c r="BF174" s="21"/>
      <c r="BG174" s="21"/>
      <c r="BH174" s="21"/>
      <c r="BI174" s="575"/>
      <c r="BJ174" s="21"/>
      <c r="BK174" s="21"/>
      <c r="BL174" s="21"/>
      <c r="BM174" s="575"/>
      <c r="BN174" s="21"/>
      <c r="BO174" s="21"/>
      <c r="BP174" s="21"/>
      <c r="BQ174" s="575"/>
      <c r="BR174" s="21"/>
      <c r="BS174" s="21"/>
      <c r="BT174" s="21"/>
      <c r="BU174" s="575"/>
      <c r="BV174" s="21"/>
      <c r="BW174" s="21"/>
      <c r="BX174" s="21"/>
      <c r="BY174" s="575"/>
      <c r="BZ174" s="21"/>
      <c r="CA174" s="21"/>
      <c r="CB174" s="21"/>
      <c r="CC174" s="575"/>
      <c r="CD174" s="21"/>
      <c r="CE174" s="21"/>
      <c r="CF174" s="21"/>
      <c r="CG174" s="575"/>
    </row>
    <row r="175" spans="1:85">
      <c r="A175" s="28"/>
      <c r="B175" s="22" t="s">
        <v>108</v>
      </c>
      <c r="C175" s="55"/>
      <c r="D175" s="55">
        <f>C115-D115</f>
        <v>-308.22899999999998</v>
      </c>
      <c r="E175" s="55">
        <f>D115-E115</f>
        <v>-74.418000000000006</v>
      </c>
      <c r="F175" s="55">
        <f>E115-F115</f>
        <v>25.423000000000002</v>
      </c>
      <c r="G175" s="55">
        <f>F115-G115</f>
        <v>-132.303</v>
      </c>
      <c r="H175" s="55">
        <f>G115-H115</f>
        <v>82.887</v>
      </c>
      <c r="I175" s="55">
        <f>H115-I115</f>
        <v>-3.2580000000000382</v>
      </c>
      <c r="J175" s="55">
        <f>I115-J115</f>
        <v>-63.616999999999962</v>
      </c>
      <c r="K175" s="55">
        <f>J115-K115</f>
        <v>27.524999999999977</v>
      </c>
      <c r="L175" s="55">
        <f>K115-L115</f>
        <v>-769.48299999999995</v>
      </c>
      <c r="M175" s="55">
        <f>L115-M115</f>
        <v>-87.169000000000096</v>
      </c>
      <c r="N175" s="55">
        <f>M115-N115</f>
        <v>132.63400000000001</v>
      </c>
      <c r="O175" s="55">
        <f>N115-O115</f>
        <v>329.85500000000002</v>
      </c>
      <c r="P175" s="55">
        <f>O115-P115</f>
        <v>-592.53099999999995</v>
      </c>
      <c r="Q175" s="55">
        <f>P115-Q115</f>
        <v>-116.49000028437285</v>
      </c>
      <c r="R175" s="55">
        <f>Q115-R115</f>
        <v>-321.45164089617856</v>
      </c>
      <c r="S175" s="55">
        <f>R115-S115</f>
        <v>-206.03557593987466</v>
      </c>
      <c r="T175" s="55">
        <f>S115-T115</f>
        <v>-332.3219662034071</v>
      </c>
      <c r="U175" s="55"/>
      <c r="V175" s="21"/>
      <c r="W175" s="21"/>
      <c r="X175" s="21"/>
      <c r="Y175" s="21"/>
      <c r="Z175" s="21"/>
      <c r="AA175" s="21"/>
      <c r="AB175" s="21"/>
      <c r="AC175" s="21"/>
      <c r="AD175" s="21"/>
      <c r="AE175" s="21"/>
      <c r="AF175" s="21"/>
      <c r="AG175" s="21"/>
      <c r="AH175" s="21"/>
      <c r="AI175" s="21"/>
      <c r="AJ175" s="21"/>
      <c r="AK175" s="21"/>
      <c r="AL175" s="21"/>
      <c r="AM175" s="21"/>
      <c r="AN175" s="21"/>
      <c r="AO175" s="575"/>
      <c r="AP175" s="21"/>
      <c r="AQ175" s="21"/>
      <c r="AR175" s="21"/>
      <c r="AS175" s="575"/>
      <c r="AT175" s="21"/>
      <c r="AU175" s="21"/>
      <c r="AV175" s="21"/>
      <c r="AW175" s="575"/>
      <c r="AX175" s="21"/>
      <c r="AY175" s="21"/>
      <c r="AZ175" s="21"/>
      <c r="BA175" s="575"/>
      <c r="BB175" s="21"/>
      <c r="BC175" s="21"/>
      <c r="BD175" s="21"/>
      <c r="BE175" s="575"/>
      <c r="BF175" s="21"/>
      <c r="BG175" s="21"/>
      <c r="BH175" s="21"/>
      <c r="BI175" s="575"/>
      <c r="BJ175" s="21"/>
      <c r="BK175" s="21"/>
      <c r="BL175" s="21"/>
      <c r="BM175" s="575"/>
      <c r="BN175" s="21"/>
      <c r="BO175" s="21"/>
      <c r="BP175" s="21"/>
      <c r="BQ175" s="575"/>
      <c r="BR175" s="21"/>
      <c r="BS175" s="21"/>
      <c r="BT175" s="21"/>
      <c r="BU175" s="575"/>
      <c r="BV175" s="21"/>
      <c r="BW175" s="21"/>
      <c r="BX175" s="21"/>
      <c r="BY175" s="575"/>
      <c r="BZ175" s="21"/>
      <c r="CA175" s="21"/>
      <c r="CB175" s="21"/>
      <c r="CC175" s="575"/>
      <c r="CD175" s="21"/>
      <c r="CE175" s="21"/>
      <c r="CF175" s="21"/>
      <c r="CG175" s="575"/>
    </row>
    <row r="176" spans="1:85">
      <c r="A176" s="28"/>
      <c r="B176" s="23" t="s">
        <v>135</v>
      </c>
      <c r="C176" s="21"/>
      <c r="D176" s="21">
        <f>C116-D116</f>
        <v>-286.25099999999998</v>
      </c>
      <c r="E176" s="21">
        <f>D116-E116</f>
        <v>-29.79000000000002</v>
      </c>
      <c r="F176" s="21">
        <f>E116-F116</f>
        <v>-71.285000000000025</v>
      </c>
      <c r="G176" s="21">
        <f>F116-G116</f>
        <v>-76.889999999999986</v>
      </c>
      <c r="H176" s="21">
        <f>G116-H116</f>
        <v>-158.46299999999997</v>
      </c>
      <c r="I176" s="21">
        <f>H116-I116</f>
        <v>29.669999999999959</v>
      </c>
      <c r="J176" s="21">
        <f>I116-J116</f>
        <v>-35.875999999999976</v>
      </c>
      <c r="K176" s="21">
        <f>J116-K116</f>
        <v>-169.89099999999996</v>
      </c>
      <c r="L176" s="21">
        <f>K116-L116</f>
        <v>-395.03499999999997</v>
      </c>
      <c r="M176" s="21">
        <f>L116-M116</f>
        <v>-717.67600000000016</v>
      </c>
      <c r="N176" s="21">
        <f>M116-N116</f>
        <v>-824.43399999999974</v>
      </c>
      <c r="O176" s="21">
        <f>N116-O116</f>
        <v>-222.42900000000009</v>
      </c>
      <c r="P176" s="21">
        <f>O116-P116</f>
        <v>-671.45200000000023</v>
      </c>
      <c r="Q176" s="21">
        <f>P116-Q116</f>
        <v>-154.98415336693597</v>
      </c>
      <c r="R176" s="21">
        <f>Q116-R116</f>
        <v>-361.37669253962167</v>
      </c>
      <c r="S176" s="21">
        <f>R116-S116</f>
        <v>-471.88842581079916</v>
      </c>
      <c r="T176" s="21">
        <f>S116-T116</f>
        <v>-90.689774824761116</v>
      </c>
      <c r="U176" s="21"/>
      <c r="V176" s="21"/>
      <c r="W176" s="21"/>
      <c r="X176" s="21"/>
      <c r="Y176" s="21"/>
      <c r="Z176" s="21"/>
      <c r="AA176" s="21"/>
      <c r="AB176" s="21"/>
      <c r="AC176" s="21"/>
      <c r="AD176" s="21"/>
      <c r="AE176" s="21"/>
      <c r="AF176" s="21"/>
      <c r="AG176" s="21"/>
      <c r="AH176" s="21"/>
      <c r="AI176" s="21"/>
      <c r="AJ176" s="21"/>
      <c r="AK176" s="21"/>
      <c r="AL176" s="21"/>
      <c r="AM176" s="21"/>
      <c r="AN176" s="21"/>
      <c r="AO176" s="575"/>
      <c r="AP176" s="21"/>
      <c r="AQ176" s="21"/>
      <c r="AR176" s="21"/>
      <c r="AS176" s="575"/>
      <c r="AT176" s="21"/>
      <c r="AU176" s="21"/>
      <c r="AV176" s="21"/>
      <c r="AW176" s="575"/>
      <c r="AX176" s="21"/>
      <c r="AY176" s="21"/>
      <c r="AZ176" s="21"/>
      <c r="BA176" s="575"/>
      <c r="BB176" s="21"/>
      <c r="BC176" s="21"/>
      <c r="BD176" s="21"/>
      <c r="BE176" s="575"/>
      <c r="BF176" s="21"/>
      <c r="BG176" s="21"/>
      <c r="BH176" s="21"/>
      <c r="BI176" s="575"/>
      <c r="BJ176" s="21"/>
      <c r="BK176" s="21"/>
      <c r="BL176" s="21"/>
      <c r="BM176" s="575"/>
      <c r="BN176" s="21"/>
      <c r="BO176" s="21"/>
      <c r="BP176" s="21"/>
      <c r="BQ176" s="575"/>
      <c r="BR176" s="21"/>
      <c r="BS176" s="21"/>
      <c r="BT176" s="21"/>
      <c r="BU176" s="575"/>
      <c r="BV176" s="21"/>
      <c r="BW176" s="21"/>
      <c r="BX176" s="21"/>
      <c r="BY176" s="575"/>
      <c r="BZ176" s="21"/>
      <c r="CA176" s="21"/>
      <c r="CB176" s="21"/>
      <c r="CC176" s="575"/>
      <c r="CD176" s="21"/>
      <c r="CE176" s="21"/>
      <c r="CF176" s="21"/>
      <c r="CG176" s="575"/>
    </row>
    <row r="177" spans="1:85">
      <c r="A177" s="28"/>
      <c r="B177" s="24" t="s">
        <v>147</v>
      </c>
      <c r="C177" s="21"/>
      <c r="D177" s="21">
        <f>D130-C130</f>
        <v>285.96699999999998</v>
      </c>
      <c r="E177" s="21">
        <f>E130-D130</f>
        <v>359.447</v>
      </c>
      <c r="F177" s="21">
        <f>F130-E130</f>
        <v>240.024</v>
      </c>
      <c r="G177" s="21">
        <f>G130-F130</f>
        <v>-104.27700000000004</v>
      </c>
      <c r="H177" s="21">
        <f>H130-G130</f>
        <v>56.682000000000016</v>
      </c>
      <c r="I177" s="21">
        <f>I130-H130</f>
        <v>-14.399999999999977</v>
      </c>
      <c r="J177" s="21">
        <f>J130-I130</f>
        <v>210.63599999999997</v>
      </c>
      <c r="K177" s="21">
        <f>K130-J130</f>
        <v>614.47700000000009</v>
      </c>
      <c r="L177" s="21">
        <f>L130-K130</f>
        <v>181.85899999999992</v>
      </c>
      <c r="M177" s="21">
        <f>M130-L130</f>
        <v>1191.4259999999999</v>
      </c>
      <c r="N177" s="21">
        <f>N130-M130</f>
        <v>706.08100000000013</v>
      </c>
      <c r="O177" s="21">
        <f>O130-N130</f>
        <v>-448.95600000000013</v>
      </c>
      <c r="P177" s="21">
        <f>P130-O130</f>
        <v>-312.98499999999967</v>
      </c>
      <c r="Q177" s="21">
        <f>Q130-P130</f>
        <v>889.45910109758006</v>
      </c>
      <c r="R177" s="21">
        <f>R130-Q130</f>
        <v>47.656862311518125</v>
      </c>
      <c r="S177" s="21">
        <f>S130-R130</f>
        <v>958.02019080571836</v>
      </c>
      <c r="T177" s="21">
        <f>T130-S130</f>
        <v>-6.8256435760122258</v>
      </c>
      <c r="U177" s="21"/>
      <c r="V177" s="21"/>
      <c r="W177" s="21"/>
      <c r="X177" s="21"/>
      <c r="Y177" s="21"/>
      <c r="Z177" s="21"/>
      <c r="AA177" s="21"/>
      <c r="AB177" s="21"/>
      <c r="AC177" s="21"/>
      <c r="AD177" s="21"/>
      <c r="AE177" s="21"/>
      <c r="AF177" s="21"/>
      <c r="AG177" s="21"/>
      <c r="AH177" s="21"/>
      <c r="AI177" s="21"/>
      <c r="AJ177" s="21"/>
      <c r="AK177" s="21"/>
      <c r="AL177" s="21"/>
      <c r="AM177" s="21"/>
      <c r="AN177" s="21"/>
      <c r="AO177" s="575"/>
      <c r="AP177" s="21"/>
      <c r="AQ177" s="21"/>
      <c r="AR177" s="21"/>
      <c r="AS177" s="575"/>
      <c r="AT177" s="21"/>
      <c r="AU177" s="21"/>
      <c r="AV177" s="21"/>
      <c r="AW177" s="575"/>
      <c r="AX177" s="21"/>
      <c r="AY177" s="21"/>
      <c r="AZ177" s="21"/>
      <c r="BA177" s="575"/>
      <c r="BB177" s="21"/>
      <c r="BC177" s="21"/>
      <c r="BD177" s="21"/>
      <c r="BE177" s="575"/>
      <c r="BF177" s="21"/>
      <c r="BG177" s="21"/>
      <c r="BH177" s="21"/>
      <c r="BI177" s="575"/>
      <c r="BJ177" s="21"/>
      <c r="BK177" s="21"/>
      <c r="BL177" s="21"/>
      <c r="BM177" s="575"/>
      <c r="BN177" s="21"/>
      <c r="BO177" s="21"/>
      <c r="BP177" s="21"/>
      <c r="BQ177" s="575"/>
      <c r="BR177" s="21"/>
      <c r="BS177" s="21"/>
      <c r="BT177" s="21"/>
      <c r="BU177" s="575"/>
      <c r="BV177" s="21"/>
      <c r="BW177" s="21"/>
      <c r="BX177" s="21"/>
      <c r="BY177" s="575"/>
      <c r="BZ177" s="21"/>
      <c r="CA177" s="21"/>
      <c r="CB177" s="21"/>
      <c r="CC177" s="575"/>
      <c r="CD177" s="21"/>
      <c r="CE177" s="21"/>
      <c r="CF177" s="21"/>
      <c r="CG177" s="575"/>
    </row>
    <row r="178" spans="1:85">
      <c r="A178" s="28"/>
      <c r="B178" s="21" t="s">
        <v>109</v>
      </c>
      <c r="C178" s="56"/>
      <c r="D178" s="56">
        <f t="shared" ref="D178:K178" ca="1" si="314">D179-SUM(D169:D174)</f>
        <v>327.73199999999997</v>
      </c>
      <c r="E178" s="56">
        <f t="shared" ca="1" si="314"/>
        <v>-376.28200000000004</v>
      </c>
      <c r="F178" s="56">
        <f t="shared" ca="1" si="314"/>
        <v>-333.01300000000003</v>
      </c>
      <c r="G178" s="56">
        <f t="shared" ca="1" si="314"/>
        <v>123.98000000000002</v>
      </c>
      <c r="H178" s="56">
        <f t="shared" ca="1" si="314"/>
        <v>-104.73700000000008</v>
      </c>
      <c r="I178" s="56">
        <f t="shared" ca="1" si="314"/>
        <v>-451.89499999999964</v>
      </c>
      <c r="J178" s="56">
        <f t="shared" si="314"/>
        <v>-530.39100000000087</v>
      </c>
      <c r="K178" s="56">
        <f t="shared" si="314"/>
        <v>-886.39400000000001</v>
      </c>
      <c r="L178" s="56">
        <f>L179-SUM(L169:L174)</f>
        <v>496.80399999999963</v>
      </c>
      <c r="M178" s="56">
        <f>M179-SUM(M169:M174)</f>
        <v>1252.1720000000009</v>
      </c>
      <c r="N178" s="56">
        <f>N179-SUM(N169:N174)</f>
        <v>-3.3950000000008913</v>
      </c>
      <c r="O178" s="56">
        <f>O179-SUM(O169:O174)</f>
        <v>38.518999999998869</v>
      </c>
      <c r="P178" s="56">
        <f>P179-SUM(P169:P174)</f>
        <v>579.94300000000112</v>
      </c>
      <c r="Q178" s="105">
        <v>0</v>
      </c>
      <c r="R178" s="105">
        <v>0</v>
      </c>
      <c r="S178" s="105">
        <v>0</v>
      </c>
      <c r="T178" s="105">
        <v>0</v>
      </c>
      <c r="U178" s="91"/>
      <c r="V178" s="21"/>
      <c r="W178" s="21"/>
      <c r="X178" s="21"/>
      <c r="Y178" s="21"/>
      <c r="Z178" s="21"/>
      <c r="AA178" s="21"/>
      <c r="AB178" s="21"/>
      <c r="AC178" s="21"/>
      <c r="AD178" s="21"/>
      <c r="AE178" s="21"/>
      <c r="AF178" s="21"/>
      <c r="AG178" s="21"/>
      <c r="AH178" s="21"/>
      <c r="AI178" s="21"/>
      <c r="AJ178" s="21"/>
      <c r="AK178" s="21"/>
      <c r="AL178" s="21"/>
      <c r="AM178" s="21"/>
      <c r="AN178" s="21"/>
      <c r="AO178" s="575"/>
      <c r="AP178" s="21"/>
      <c r="AQ178" s="21"/>
      <c r="AR178" s="21"/>
      <c r="AS178" s="575"/>
      <c r="AT178" s="21"/>
      <c r="AU178" s="21"/>
      <c r="AV178" s="21"/>
      <c r="AW178" s="575"/>
      <c r="AX178" s="21"/>
      <c r="AY178" s="21"/>
      <c r="AZ178" s="21"/>
      <c r="BA178" s="575"/>
      <c r="BB178" s="21"/>
      <c r="BC178" s="21"/>
      <c r="BD178" s="21"/>
      <c r="BE178" s="575"/>
      <c r="BF178" s="21"/>
      <c r="BG178" s="21"/>
      <c r="BH178" s="21"/>
      <c r="BI178" s="575"/>
      <c r="BJ178" s="21"/>
      <c r="BK178" s="21"/>
      <c r="BL178" s="21"/>
      <c r="BM178" s="575"/>
      <c r="BN178" s="21"/>
      <c r="BO178" s="21"/>
      <c r="BP178" s="21"/>
      <c r="BQ178" s="575"/>
      <c r="BR178" s="21"/>
      <c r="BS178" s="21"/>
      <c r="BT178" s="21"/>
      <c r="BU178" s="575"/>
      <c r="BV178" s="21"/>
      <c r="BW178" s="21"/>
      <c r="BX178" s="21"/>
      <c r="BY178" s="575"/>
      <c r="BZ178" s="21"/>
      <c r="CA178" s="21"/>
      <c r="CB178" s="21"/>
      <c r="CC178" s="575"/>
      <c r="CD178" s="21"/>
      <c r="CE178" s="21"/>
      <c r="CF178" s="21"/>
      <c r="CG178" s="575"/>
    </row>
    <row r="179" spans="1:85">
      <c r="A179" s="171"/>
      <c r="B179" s="25" t="s">
        <v>110</v>
      </c>
      <c r="C179" s="43"/>
      <c r="D179" s="43">
        <f>'Raw Data'!U246</f>
        <v>738.01599999999996</v>
      </c>
      <c r="E179" s="43">
        <f>'Raw Data'!V246</f>
        <v>608.10199999999998</v>
      </c>
      <c r="F179" s="43">
        <f>'Raw Data'!W246</f>
        <v>669.197</v>
      </c>
      <c r="G179" s="43">
        <f>'Raw Data'!X246</f>
        <v>977.202</v>
      </c>
      <c r="H179" s="43">
        <f>'Raw Data'!Y246</f>
        <v>1080.6859999999999</v>
      </c>
      <c r="I179" s="43">
        <f>'Raw Data'!Z246</f>
        <v>799.42600000000004</v>
      </c>
      <c r="J179" s="20">
        <v>1019.0099999999999</v>
      </c>
      <c r="K179" s="20">
        <v>1660.41</v>
      </c>
      <c r="L179" s="20">
        <v>3011.895</v>
      </c>
      <c r="M179" s="20">
        <v>5347.9160000000002</v>
      </c>
      <c r="N179" s="20">
        <f>801.52+796.185+800.701+959.888</f>
        <v>3358.2939999999999</v>
      </c>
      <c r="O179" s="101">
        <f>1449.842+1236.416+19.275+470.022</f>
        <v>3175.5549999999998</v>
      </c>
      <c r="P179" s="101">
        <v>3194.3029999999999</v>
      </c>
      <c r="Q179" s="20">
        <f>SUM(Q169:Q174)+Q178</f>
        <v>6636.1230710553646</v>
      </c>
      <c r="R179" s="20">
        <f>SUM(R169:R174)+R178</f>
        <v>6469.2084242657384</v>
      </c>
      <c r="S179" s="20">
        <f>SUM(S169:S174)+S178</f>
        <v>8643.3170397818376</v>
      </c>
      <c r="T179" s="20">
        <f>SUM(T169:T174)+T178</f>
        <v>10261.39335448201</v>
      </c>
      <c r="U179" s="20"/>
      <c r="V179" s="525">
        <f>(Q179/M179)^(1/4)-1</f>
        <v>5.543736125616805E-2</v>
      </c>
      <c r="W179" s="43"/>
      <c r="X179" s="43"/>
      <c r="Y179" s="43"/>
      <c r="Z179" s="43"/>
      <c r="AA179" s="43"/>
      <c r="AB179" s="43"/>
      <c r="AC179" s="43"/>
      <c r="AD179" s="43"/>
      <c r="AE179" s="43"/>
      <c r="AF179" s="43"/>
      <c r="AG179" s="43"/>
      <c r="AH179" s="43"/>
      <c r="AI179" s="43"/>
      <c r="AJ179" s="43"/>
      <c r="AK179" s="43"/>
      <c r="AL179" s="43"/>
      <c r="AM179" s="43"/>
      <c r="AN179" s="43"/>
      <c r="AO179" s="568"/>
      <c r="AP179" s="43"/>
      <c r="AQ179" s="43"/>
      <c r="AR179" s="43"/>
      <c r="AS179" s="571"/>
      <c r="AT179" s="20"/>
      <c r="AU179" s="20"/>
      <c r="AV179" s="20"/>
      <c r="AW179" s="571"/>
      <c r="AX179" s="20"/>
      <c r="AY179" s="20"/>
      <c r="AZ179" s="20"/>
      <c r="BA179" s="571"/>
      <c r="BB179" s="20"/>
      <c r="BC179" s="20"/>
      <c r="BD179" s="20"/>
      <c r="BE179" s="571"/>
      <c r="BF179" s="20"/>
      <c r="BG179" s="20"/>
      <c r="BH179" s="20"/>
      <c r="BI179" s="571"/>
      <c r="BJ179" s="20"/>
      <c r="BK179" s="20"/>
      <c r="BL179" s="20"/>
      <c r="BM179" s="571"/>
      <c r="BN179" s="20"/>
      <c r="BO179" s="20"/>
      <c r="BP179" s="20"/>
      <c r="BQ179" s="571"/>
      <c r="BR179" s="20"/>
      <c r="BS179" s="20"/>
      <c r="BT179" s="20"/>
      <c r="BU179" s="571"/>
      <c r="BV179" s="20"/>
      <c r="BW179" s="20"/>
      <c r="BX179" s="20"/>
      <c r="BY179" s="571"/>
      <c r="BZ179" s="20"/>
      <c r="CA179" s="20"/>
      <c r="CB179" s="20"/>
      <c r="CC179" s="571"/>
      <c r="CD179" s="20"/>
      <c r="CE179" s="20"/>
      <c r="CF179" s="20"/>
      <c r="CG179" s="571"/>
    </row>
    <row r="180" spans="1:85">
      <c r="A180" s="28"/>
      <c r="B180" s="26" t="s">
        <v>35</v>
      </c>
      <c r="C180" s="178"/>
      <c r="D180" s="178"/>
      <c r="E180" s="178"/>
      <c r="F180" s="178"/>
      <c r="G180" s="178"/>
      <c r="H180" s="178"/>
      <c r="I180" s="178"/>
      <c r="J180" s="46"/>
      <c r="K180" s="786"/>
      <c r="L180" s="837"/>
      <c r="M180" s="837"/>
      <c r="N180" s="837"/>
      <c r="O180" s="837"/>
      <c r="P180" s="837"/>
      <c r="Q180" s="837"/>
      <c r="R180" s="837"/>
      <c r="S180" s="837"/>
      <c r="T180" s="178"/>
      <c r="U180" s="178"/>
      <c r="V180" s="166"/>
      <c r="W180" s="166"/>
      <c r="X180" s="166"/>
      <c r="Y180" s="166"/>
      <c r="Z180" s="166"/>
      <c r="AA180" s="166"/>
      <c r="AB180" s="166"/>
      <c r="AC180" s="166"/>
      <c r="AD180" s="166"/>
      <c r="AE180" s="166"/>
      <c r="AF180" s="166"/>
      <c r="AG180" s="166"/>
      <c r="AH180" s="166"/>
      <c r="AI180" s="166"/>
      <c r="AJ180" s="166"/>
      <c r="AK180" s="166"/>
      <c r="AL180" s="166"/>
      <c r="AM180" s="166"/>
      <c r="AN180" s="166"/>
      <c r="AO180" s="597"/>
      <c r="AP180" s="166"/>
      <c r="AQ180" s="166"/>
      <c r="AR180" s="166"/>
      <c r="AS180" s="592"/>
      <c r="AT180" s="42"/>
      <c r="AU180" s="42"/>
      <c r="AV180" s="42"/>
      <c r="AW180" s="592"/>
      <c r="AX180" s="42"/>
      <c r="AY180" s="42"/>
      <c r="AZ180" s="42"/>
      <c r="BA180" s="592"/>
      <c r="BB180" s="42"/>
      <c r="BC180" s="42"/>
      <c r="BD180" s="42"/>
      <c r="BE180" s="592"/>
      <c r="BF180" s="42"/>
      <c r="BG180" s="42"/>
      <c r="BH180" s="42"/>
      <c r="BI180" s="592"/>
      <c r="BJ180" s="42"/>
      <c r="BK180" s="42"/>
      <c r="BL180" s="42"/>
      <c r="BM180" s="592"/>
      <c r="BN180" s="42"/>
      <c r="BO180" s="42"/>
      <c r="BP180" s="42"/>
      <c r="BQ180" s="592"/>
      <c r="BR180" s="42"/>
      <c r="BS180" s="42"/>
      <c r="BT180" s="42"/>
      <c r="BU180" s="592"/>
      <c r="BV180" s="42"/>
      <c r="BW180" s="42"/>
      <c r="BX180" s="42"/>
      <c r="BY180" s="592"/>
      <c r="BZ180" s="42"/>
      <c r="CA180" s="42"/>
      <c r="CB180" s="42"/>
      <c r="CC180" s="592"/>
      <c r="CD180" s="42"/>
      <c r="CE180" s="42"/>
      <c r="CF180" s="42"/>
      <c r="CG180" s="592"/>
    </row>
    <row r="181" spans="1:85">
      <c r="A181" s="28"/>
      <c r="B181" s="21" t="s">
        <v>402</v>
      </c>
      <c r="C181" s="44"/>
      <c r="D181" s="44">
        <f>'Raw Data'!U253</f>
        <v>-650.16</v>
      </c>
      <c r="E181" s="44">
        <f>'Raw Data'!V253</f>
        <v>-653.13400000000001</v>
      </c>
      <c r="F181" s="44">
        <f>'Raw Data'!W253</f>
        <v>-1230.8119999999999</v>
      </c>
      <c r="G181" s="44">
        <f>'Raw Data'!X253</f>
        <v>-2757.2020000000002</v>
      </c>
      <c r="H181" s="44">
        <f>'Raw Data'!Y253</f>
        <v>-2287.2049999999999</v>
      </c>
      <c r="I181" s="44">
        <f>'Raw Data'!Z253</f>
        <v>-1808.2529999999999</v>
      </c>
      <c r="J181" s="21">
        <f>-Depreciation!CL3</f>
        <v>-2029.3000000000002</v>
      </c>
      <c r="K181" s="21">
        <f>-Depreciation!CM3</f>
        <v>-5732.7999999999993</v>
      </c>
      <c r="L181" s="21">
        <f>-Depreciation!CN3</f>
        <v>-4515.8</v>
      </c>
      <c r="M181" s="21">
        <f>-Depreciation!CO3</f>
        <v>-6350.7000000000007</v>
      </c>
      <c r="N181" s="21">
        <f>-Depreciation!CP3</f>
        <v>-7465.6999999999989</v>
      </c>
      <c r="O181" s="21">
        <f>-Depreciation!CQ3</f>
        <v>-7325.7999999999993</v>
      </c>
      <c r="P181" s="21">
        <f>-Depreciation!CR3</f>
        <v>-8102.2999999999993</v>
      </c>
      <c r="Q181" s="104">
        <f>-Depreciation!CS3</f>
        <v>-8991.7458499999993</v>
      </c>
      <c r="R181" s="104">
        <f>-Depreciation!CT3</f>
        <v>-9597.9599089500007</v>
      </c>
      <c r="S181" s="104">
        <f>-Depreciation!CU3</f>
        <v>-9597.9599089500007</v>
      </c>
      <c r="T181" s="104">
        <f>-'10y capex'!N62</f>
        <v>-9642.9953082694301</v>
      </c>
      <c r="U181" s="141"/>
      <c r="V181" s="44"/>
      <c r="W181" s="44"/>
      <c r="X181" s="44"/>
      <c r="Y181" s="44"/>
      <c r="Z181" s="44"/>
      <c r="AA181" s="44"/>
      <c r="AB181" s="44"/>
      <c r="AC181" s="44"/>
      <c r="AD181" s="44"/>
      <c r="AE181" s="44"/>
      <c r="AF181" s="44"/>
      <c r="AG181" s="44"/>
      <c r="AH181" s="44"/>
      <c r="AI181" s="44"/>
      <c r="AJ181" s="44"/>
      <c r="AK181" s="44"/>
      <c r="AL181" s="44"/>
      <c r="AM181" s="44"/>
      <c r="AN181" s="44"/>
      <c r="AO181" s="570"/>
      <c r="AP181" s="44"/>
      <c r="AQ181" s="44"/>
      <c r="AR181" s="44"/>
      <c r="AS181" s="608"/>
      <c r="AT181" s="147"/>
      <c r="AU181" s="147"/>
      <c r="AV181" s="147"/>
      <c r="AW181" s="608"/>
      <c r="AX181" s="147"/>
      <c r="AY181" s="147"/>
      <c r="AZ181" s="147"/>
      <c r="BA181" s="608"/>
      <c r="BB181" s="147"/>
      <c r="BC181" s="147"/>
      <c r="BD181" s="147"/>
      <c r="BE181" s="608"/>
      <c r="BF181" s="147"/>
      <c r="BG181" s="147"/>
      <c r="BH181" s="147"/>
      <c r="BI181" s="608"/>
      <c r="BJ181" s="147"/>
      <c r="BK181" s="147"/>
      <c r="BL181" s="147"/>
      <c r="BM181" s="608"/>
      <c r="BN181" s="147"/>
      <c r="BO181" s="147"/>
      <c r="BP181" s="147"/>
      <c r="BQ181" s="608"/>
      <c r="BR181" s="147"/>
      <c r="BS181" s="147"/>
      <c r="BT181" s="147"/>
      <c r="BU181" s="608"/>
      <c r="BV181" s="147"/>
      <c r="BW181" s="147"/>
      <c r="BX181" s="147"/>
      <c r="BY181" s="608"/>
      <c r="BZ181" s="147"/>
      <c r="CA181" s="147"/>
      <c r="CB181" s="147"/>
      <c r="CC181" s="608"/>
      <c r="CD181" s="147"/>
      <c r="CE181" s="147"/>
      <c r="CF181" s="147"/>
      <c r="CG181" s="608"/>
    </row>
    <row r="182" spans="1:85">
      <c r="A182" s="28"/>
      <c r="B182" s="544" t="s">
        <v>191</v>
      </c>
      <c r="C182" s="44"/>
      <c r="D182" s="559">
        <f>'Basic Data TR'!E247</f>
        <v>-7.3609999999999998</v>
      </c>
      <c r="E182" s="559">
        <f>'Basic Data TR'!F247</f>
        <v>-49.97</v>
      </c>
      <c r="F182" s="559">
        <f>'Basic Data TR'!G247</f>
        <v>-161.07400000000001</v>
      </c>
      <c r="G182" s="559">
        <f>'Basic Data TR'!H247</f>
        <v>-87.644999999999996</v>
      </c>
      <c r="H182" s="559">
        <f>'Basic Data TR'!I247</f>
        <v>-467.88499999999999</v>
      </c>
      <c r="I182" s="559">
        <f>'Basic Data TR'!J247</f>
        <v>-427.197</v>
      </c>
      <c r="J182" s="21">
        <v>-19.206</v>
      </c>
      <c r="K182" s="21">
        <v>-118.77200000000001</v>
      </c>
      <c r="L182" s="21">
        <v>-185.297</v>
      </c>
      <c r="M182" s="21">
        <v>-100.697</v>
      </c>
      <c r="N182" s="104"/>
      <c r="O182" s="104"/>
      <c r="P182" s="104"/>
      <c r="Q182" s="104"/>
      <c r="R182" s="104"/>
      <c r="S182" s="104"/>
      <c r="T182" s="104"/>
      <c r="U182" s="141"/>
      <c r="V182" s="44"/>
      <c r="W182" s="44"/>
      <c r="X182" s="44"/>
      <c r="Y182" s="44"/>
      <c r="Z182" s="44"/>
      <c r="AA182" s="44"/>
      <c r="AB182" s="44"/>
      <c r="AC182" s="44"/>
      <c r="AD182" s="44"/>
      <c r="AE182" s="44"/>
      <c r="AF182" s="44"/>
      <c r="AG182" s="44"/>
      <c r="AH182" s="44"/>
      <c r="AI182" s="44"/>
      <c r="AJ182" s="44"/>
      <c r="AK182" s="44"/>
      <c r="AL182" s="44"/>
      <c r="AM182" s="44"/>
      <c r="AN182" s="44"/>
      <c r="AO182" s="570"/>
      <c r="AP182" s="44"/>
      <c r="AQ182" s="44"/>
      <c r="AR182" s="44"/>
      <c r="AS182" s="608"/>
      <c r="AT182" s="147"/>
      <c r="AU182" s="147"/>
      <c r="AV182" s="147"/>
      <c r="AW182" s="608"/>
      <c r="AX182" s="147"/>
      <c r="AY182" s="147"/>
      <c r="AZ182" s="147"/>
      <c r="BA182" s="608"/>
      <c r="BB182" s="147"/>
      <c r="BC182" s="147"/>
      <c r="BD182" s="147"/>
      <c r="BE182" s="608"/>
      <c r="BF182" s="147"/>
      <c r="BG182" s="147"/>
      <c r="BH182" s="147"/>
      <c r="BI182" s="608"/>
      <c r="BJ182" s="147"/>
      <c r="BK182" s="147"/>
      <c r="BL182" s="147"/>
      <c r="BM182" s="608"/>
      <c r="BN182" s="147"/>
      <c r="BO182" s="147"/>
      <c r="BP182" s="147"/>
      <c r="BQ182" s="608"/>
      <c r="BR182" s="147"/>
      <c r="BS182" s="147"/>
      <c r="BT182" s="147"/>
      <c r="BU182" s="608"/>
      <c r="BV182" s="147"/>
      <c r="BW182" s="147"/>
      <c r="BX182" s="147"/>
      <c r="BY182" s="608"/>
      <c r="BZ182" s="147"/>
      <c r="CA182" s="147"/>
      <c r="CB182" s="147"/>
      <c r="CC182" s="608"/>
      <c r="CD182" s="147"/>
      <c r="CE182" s="147"/>
      <c r="CF182" s="147"/>
      <c r="CG182" s="608"/>
    </row>
    <row r="183" spans="1:85">
      <c r="A183" s="28"/>
      <c r="B183" s="21" t="s">
        <v>192</v>
      </c>
      <c r="C183" s="44"/>
      <c r="D183" s="559">
        <f>'Basic Data TR'!E248</f>
        <v>57.743000000000002</v>
      </c>
      <c r="E183" s="559">
        <f>'Basic Data TR'!F248</f>
        <v>0</v>
      </c>
      <c r="F183" s="559">
        <f>'Basic Data TR'!G248</f>
        <v>1.204</v>
      </c>
      <c r="G183" s="559">
        <f>'Basic Data TR'!H248</f>
        <v>5.5229999999999997</v>
      </c>
      <c r="H183" s="559">
        <f>'Basic Data TR'!I248</f>
        <v>1.028</v>
      </c>
      <c r="I183" s="559">
        <f>'Basic Data TR'!J248</f>
        <v>9.2509999999999994</v>
      </c>
      <c r="J183" s="21">
        <f>76.716+86.049</f>
        <v>162.76499999999999</v>
      </c>
      <c r="K183" s="21">
        <v>70.061000000000007</v>
      </c>
      <c r="L183" s="104"/>
      <c r="M183" s="104"/>
      <c r="N183" s="104"/>
      <c r="O183" s="104"/>
      <c r="P183" s="104"/>
      <c r="Q183" s="104"/>
      <c r="R183" s="104"/>
      <c r="S183" s="104"/>
      <c r="T183" s="104"/>
      <c r="U183" s="141"/>
      <c r="V183" s="44"/>
      <c r="W183" s="44"/>
      <c r="X183" s="44"/>
      <c r="Y183" s="44"/>
      <c r="Z183" s="44"/>
      <c r="AA183" s="44"/>
      <c r="AB183" s="44"/>
      <c r="AC183" s="44"/>
      <c r="AD183" s="44"/>
      <c r="AE183" s="44"/>
      <c r="AF183" s="44"/>
      <c r="AG183" s="44"/>
      <c r="AH183" s="44"/>
      <c r="AI183" s="44"/>
      <c r="AJ183" s="44"/>
      <c r="AK183" s="44"/>
      <c r="AL183" s="44"/>
      <c r="AM183" s="44"/>
      <c r="AN183" s="44"/>
      <c r="AO183" s="570"/>
      <c r="AP183" s="44"/>
      <c r="AQ183" s="44"/>
      <c r="AR183" s="44"/>
      <c r="AS183" s="608"/>
      <c r="AT183" s="147"/>
      <c r="AU183" s="147"/>
      <c r="AV183" s="147"/>
      <c r="AW183" s="608"/>
      <c r="AX183" s="147"/>
      <c r="AY183" s="147"/>
      <c r="AZ183" s="147"/>
      <c r="BA183" s="608"/>
      <c r="BB183" s="147"/>
      <c r="BC183" s="147"/>
      <c r="BD183" s="147"/>
      <c r="BE183" s="608"/>
      <c r="BF183" s="147"/>
      <c r="BG183" s="147"/>
      <c r="BH183" s="147"/>
      <c r="BI183" s="608"/>
      <c r="BJ183" s="147"/>
      <c r="BK183" s="147"/>
      <c r="BL183" s="147"/>
      <c r="BM183" s="608"/>
      <c r="BN183" s="147"/>
      <c r="BO183" s="147"/>
      <c r="BP183" s="147"/>
      <c r="BQ183" s="608"/>
      <c r="BR183" s="147"/>
      <c r="BS183" s="147"/>
      <c r="BT183" s="147"/>
      <c r="BU183" s="608"/>
      <c r="BV183" s="147"/>
      <c r="BW183" s="147"/>
      <c r="BX183" s="147"/>
      <c r="BY183" s="608"/>
      <c r="BZ183" s="147"/>
      <c r="CA183" s="147"/>
      <c r="CB183" s="147"/>
      <c r="CC183" s="608"/>
      <c r="CD183" s="147"/>
      <c r="CE183" s="147"/>
      <c r="CF183" s="147"/>
      <c r="CG183" s="608"/>
    </row>
    <row r="184" spans="1:85">
      <c r="A184" s="28"/>
      <c r="B184" s="21" t="s">
        <v>111</v>
      </c>
      <c r="C184" s="56"/>
      <c r="D184" s="56">
        <f t="shared" ref="D184:P184" si="315">D185-SUM(D181:D183)</f>
        <v>-207.68900000000008</v>
      </c>
      <c r="E184" s="56">
        <f t="shared" si="315"/>
        <v>-441.01900000000001</v>
      </c>
      <c r="F184" s="56">
        <f t="shared" si="315"/>
        <v>601.12599999999998</v>
      </c>
      <c r="G184" s="56">
        <f t="shared" si="315"/>
        <v>395.99099999999999</v>
      </c>
      <c r="H184" s="56">
        <f t="shared" si="315"/>
        <v>91.923000000000229</v>
      </c>
      <c r="I184" s="56">
        <f t="shared" si="315"/>
        <v>-971.06200000000035</v>
      </c>
      <c r="J184" s="56">
        <f t="shared" si="315"/>
        <v>-52.448999999999614</v>
      </c>
      <c r="K184" s="56">
        <f t="shared" si="315"/>
        <v>-1289.8720000000003</v>
      </c>
      <c r="L184" s="56">
        <f t="shared" si="315"/>
        <v>-1954.3380000000006</v>
      </c>
      <c r="M184" s="56">
        <f t="shared" si="315"/>
        <v>-3940.1079999999984</v>
      </c>
      <c r="N184" s="56">
        <f t="shared" si="315"/>
        <v>1258.1279999999988</v>
      </c>
      <c r="O184" s="56">
        <f t="shared" si="315"/>
        <v>2807.3229999999994</v>
      </c>
      <c r="P184" s="56">
        <f t="shared" si="315"/>
        <v>1606.9479999999994</v>
      </c>
      <c r="Q184" s="105">
        <f>P117-Q117+P123-Q123</f>
        <v>940</v>
      </c>
      <c r="R184" s="105">
        <f>Q117-R117+Q123-R123</f>
        <v>-60</v>
      </c>
      <c r="S184" s="105">
        <f>R117-S117+R123-S123</f>
        <v>-60</v>
      </c>
      <c r="T184" s="105">
        <f>S117-T117+S123-T123</f>
        <v>-60</v>
      </c>
      <c r="U184" s="143"/>
      <c r="V184" s="21"/>
      <c r="W184" s="21"/>
      <c r="X184" s="21"/>
      <c r="Y184" s="21"/>
      <c r="Z184" s="21"/>
      <c r="AA184" s="21"/>
      <c r="AB184" s="21"/>
      <c r="AC184" s="21"/>
      <c r="AD184" s="21"/>
      <c r="AE184" s="21"/>
      <c r="AF184" s="21"/>
      <c r="AG184" s="21"/>
      <c r="AH184" s="21"/>
      <c r="AI184" s="21"/>
      <c r="AJ184" s="21"/>
      <c r="AK184" s="21"/>
      <c r="AL184" s="21"/>
      <c r="AM184" s="21"/>
      <c r="AN184" s="21"/>
      <c r="AO184" s="575"/>
      <c r="AP184" s="21"/>
      <c r="AQ184" s="21"/>
      <c r="AR184" s="21"/>
      <c r="AS184" s="608"/>
      <c r="AT184" s="147"/>
      <c r="AU184" s="147"/>
      <c r="AV184" s="147"/>
      <c r="AW184" s="608"/>
      <c r="AX184" s="147"/>
      <c r="AY184" s="147"/>
      <c r="AZ184" s="147"/>
      <c r="BA184" s="608"/>
      <c r="BB184" s="147"/>
      <c r="BC184" s="147"/>
      <c r="BD184" s="147"/>
      <c r="BE184" s="608"/>
      <c r="BF184" s="147"/>
      <c r="BG184" s="147"/>
      <c r="BH184" s="147"/>
      <c r="BI184" s="608"/>
      <c r="BJ184" s="147"/>
      <c r="BK184" s="147"/>
      <c r="BL184" s="147"/>
      <c r="BM184" s="608"/>
      <c r="BN184" s="147"/>
      <c r="BO184" s="147"/>
      <c r="BP184" s="147"/>
      <c r="BQ184" s="608"/>
      <c r="BR184" s="147"/>
      <c r="BS184" s="147"/>
      <c r="BT184" s="147"/>
      <c r="BU184" s="608"/>
      <c r="BV184" s="147"/>
      <c r="BW184" s="147"/>
      <c r="BX184" s="147"/>
      <c r="BY184" s="608"/>
      <c r="BZ184" s="147"/>
      <c r="CA184" s="147"/>
      <c r="CB184" s="147"/>
      <c r="CC184" s="608"/>
      <c r="CD184" s="147"/>
      <c r="CE184" s="147"/>
      <c r="CF184" s="147"/>
      <c r="CG184" s="608"/>
    </row>
    <row r="185" spans="1:85">
      <c r="A185" s="28"/>
      <c r="B185" s="25" t="s">
        <v>112</v>
      </c>
      <c r="C185" s="43"/>
      <c r="D185" s="43">
        <f>'Raw Data'!U272</f>
        <v>-807.46699999999998</v>
      </c>
      <c r="E185" s="43">
        <f>'Raw Data'!V272</f>
        <v>-1144.123</v>
      </c>
      <c r="F185" s="43">
        <f>'Raw Data'!W272</f>
        <v>-789.55600000000004</v>
      </c>
      <c r="G185" s="43">
        <f>'Raw Data'!X272</f>
        <v>-2443.3330000000001</v>
      </c>
      <c r="H185" s="43">
        <f>'Raw Data'!Y272</f>
        <v>-2662.1390000000001</v>
      </c>
      <c r="I185" s="43">
        <f>'Raw Data'!Z272</f>
        <v>-3197.261</v>
      </c>
      <c r="J185" s="20">
        <v>-1938.19</v>
      </c>
      <c r="K185" s="20">
        <v>-7071.3829999999998</v>
      </c>
      <c r="L185" s="20">
        <v>-6655.4350000000004</v>
      </c>
      <c r="M185" s="20">
        <v>-10391.504999999999</v>
      </c>
      <c r="N185" s="20">
        <f>22.611-2348.079-1710.713-2171.391</f>
        <v>-6207.5720000000001</v>
      </c>
      <c r="O185" s="101">
        <f>-1328.356-1637.666-1345.155-207.3</f>
        <v>-4518.4769999999999</v>
      </c>
      <c r="P185" s="101">
        <v>-6495.3519999999999</v>
      </c>
      <c r="Q185" s="20">
        <f>SUM(Q181:Q184)</f>
        <v>-8051.7458499999993</v>
      </c>
      <c r="R185" s="20">
        <f>SUM(R181:R184)</f>
        <v>-9657.9599089500007</v>
      </c>
      <c r="S185" s="20">
        <f>SUM(S181:S184)</f>
        <v>-9657.9599089500007</v>
      </c>
      <c r="T185" s="20">
        <f>SUM(T181:T184)</f>
        <v>-9702.9953082694301</v>
      </c>
      <c r="U185" s="20"/>
      <c r="V185" s="43"/>
      <c r="W185" s="43"/>
      <c r="X185" s="43"/>
      <c r="Y185" s="43"/>
      <c r="Z185" s="43"/>
      <c r="AA185" s="43"/>
      <c r="AB185" s="43"/>
      <c r="AC185" s="43"/>
      <c r="AD185" s="43"/>
      <c r="AE185" s="43"/>
      <c r="AF185" s="43"/>
      <c r="AG185" s="43"/>
      <c r="AH185" s="43"/>
      <c r="AI185" s="43"/>
      <c r="AJ185" s="43"/>
      <c r="AK185" s="43"/>
      <c r="AL185" s="43"/>
      <c r="AM185" s="43"/>
      <c r="AN185" s="43"/>
      <c r="AO185" s="568"/>
      <c r="AP185" s="43"/>
      <c r="AQ185" s="43"/>
      <c r="AR185" s="43"/>
      <c r="AS185" s="571"/>
      <c r="AT185" s="20"/>
      <c r="AU185" s="20"/>
      <c r="AV185" s="20"/>
      <c r="AW185" s="571"/>
      <c r="AX185" s="20"/>
      <c r="AY185" s="20"/>
      <c r="AZ185" s="20"/>
      <c r="BA185" s="571"/>
      <c r="BB185" s="20"/>
      <c r="BC185" s="20"/>
      <c r="BD185" s="20"/>
      <c r="BE185" s="571"/>
      <c r="BF185" s="20"/>
      <c r="BG185" s="20"/>
      <c r="BH185" s="20"/>
      <c r="BI185" s="571"/>
      <c r="BJ185" s="20"/>
      <c r="BK185" s="20"/>
      <c r="BL185" s="20"/>
      <c r="BM185" s="571"/>
      <c r="BN185" s="20"/>
      <c r="BO185" s="20"/>
      <c r="BP185" s="20"/>
      <c r="BQ185" s="571"/>
      <c r="BR185" s="20"/>
      <c r="BS185" s="20"/>
      <c r="BT185" s="20"/>
      <c r="BU185" s="571"/>
      <c r="BV185" s="20"/>
      <c r="BW185" s="20"/>
      <c r="BX185" s="20"/>
      <c r="BY185" s="571"/>
      <c r="BZ185" s="20"/>
      <c r="CA185" s="20"/>
      <c r="CB185" s="20"/>
      <c r="CC185" s="571"/>
      <c r="CD185" s="20"/>
      <c r="CE185" s="20"/>
      <c r="CF185" s="20"/>
      <c r="CG185" s="571"/>
    </row>
    <row r="186" spans="1:85">
      <c r="A186" s="28"/>
      <c r="B186" s="26"/>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575"/>
      <c r="AP186" s="21"/>
      <c r="AQ186" s="21"/>
      <c r="AR186" s="21"/>
      <c r="AS186" s="575"/>
      <c r="AT186" s="21"/>
      <c r="AU186" s="21"/>
      <c r="AW186" s="575"/>
      <c r="AX186" s="21"/>
      <c r="AY186" s="21"/>
      <c r="AZ186" s="21"/>
      <c r="BA186" s="575"/>
      <c r="BB186" s="21"/>
      <c r="BC186" s="21"/>
      <c r="BD186" s="21"/>
      <c r="BE186" s="575"/>
      <c r="BF186" s="21"/>
      <c r="BG186" s="21"/>
      <c r="BH186" s="21"/>
      <c r="BI186" s="575"/>
      <c r="BJ186" s="21"/>
      <c r="BK186" s="21"/>
      <c r="BL186" s="21"/>
      <c r="BM186" s="575"/>
      <c r="BN186" s="21"/>
      <c r="BO186" s="21"/>
      <c r="BP186" s="21"/>
      <c r="BQ186" s="575"/>
      <c r="BR186" s="21"/>
      <c r="BS186" s="21"/>
      <c r="BT186" s="21"/>
      <c r="BU186" s="575"/>
      <c r="BV186" s="21"/>
      <c r="BW186" s="21"/>
      <c r="BX186" s="21"/>
      <c r="BY186" s="575"/>
      <c r="BZ186" s="21"/>
      <c r="CA186" s="21"/>
      <c r="CB186" s="21"/>
      <c r="CC186" s="575"/>
      <c r="CD186" s="21"/>
      <c r="CE186" s="21"/>
      <c r="CF186" s="21"/>
      <c r="CG186" s="575"/>
    </row>
    <row r="187" spans="1:85">
      <c r="A187" s="171"/>
      <c r="B187" s="21" t="s">
        <v>237</v>
      </c>
      <c r="C187" s="21"/>
      <c r="D187" s="21">
        <f>C59-C50</f>
        <v>0</v>
      </c>
      <c r="E187" s="21">
        <f ca="1">D59-D50</f>
        <v>0</v>
      </c>
      <c r="F187" s="21">
        <f ca="1">E59-E50</f>
        <v>0</v>
      </c>
      <c r="G187" s="21">
        <f ca="1">F59-F50</f>
        <v>0</v>
      </c>
      <c r="H187" s="21">
        <f ca="1">G59-G50</f>
        <v>0</v>
      </c>
      <c r="I187" s="21">
        <f ca="1">H50+H59</f>
        <v>0</v>
      </c>
      <c r="J187" s="21">
        <f ca="1">I50+I59</f>
        <v>0</v>
      </c>
      <c r="K187" s="21">
        <f>J50+J59</f>
        <v>0</v>
      </c>
      <c r="L187" s="21">
        <f>K50+K59</f>
        <v>0</v>
      </c>
      <c r="M187" s="21">
        <f>L50+L59</f>
        <v>0</v>
      </c>
      <c r="N187" s="21">
        <f>M50+M59</f>
        <v>0</v>
      </c>
      <c r="O187" s="21">
        <f>N50+N59</f>
        <v>0</v>
      </c>
      <c r="P187" s="21">
        <f>O50+O59</f>
        <v>0</v>
      </c>
      <c r="Q187" s="21">
        <f>P50+P59</f>
        <v>0</v>
      </c>
      <c r="R187" s="21">
        <f>Q50+Q59</f>
        <v>0</v>
      </c>
      <c r="S187" s="21">
        <f>R50+R59</f>
        <v>0</v>
      </c>
      <c r="T187" s="21">
        <f>S50+S59</f>
        <v>0</v>
      </c>
      <c r="U187" s="21"/>
      <c r="V187" s="44"/>
      <c r="W187" s="44"/>
      <c r="X187" s="44"/>
      <c r="Y187" s="44"/>
      <c r="Z187" s="44"/>
      <c r="AA187" s="44"/>
      <c r="AB187" s="44"/>
      <c r="AC187" s="44"/>
      <c r="AD187" s="44"/>
      <c r="AE187" s="44"/>
      <c r="AF187" s="44"/>
      <c r="AG187" s="44"/>
      <c r="AH187" s="44"/>
      <c r="AI187" s="44"/>
      <c r="AJ187" s="44"/>
      <c r="AK187" s="44"/>
      <c r="AL187" s="44"/>
      <c r="AM187" s="44"/>
      <c r="AN187" s="44"/>
      <c r="AO187" s="570"/>
      <c r="AP187" s="44"/>
      <c r="AQ187" s="44"/>
      <c r="AR187" s="44"/>
      <c r="AS187" s="575"/>
      <c r="AT187" s="21"/>
      <c r="AU187" s="21"/>
      <c r="AV187" s="179"/>
      <c r="AW187" s="619"/>
      <c r="AX187" s="21"/>
      <c r="AY187" s="21"/>
      <c r="AZ187" s="21"/>
      <c r="BA187" s="575"/>
      <c r="BB187" s="21"/>
      <c r="BC187" s="21"/>
      <c r="BD187" s="21"/>
      <c r="BE187" s="575"/>
      <c r="BF187" s="21"/>
      <c r="BG187" s="21"/>
      <c r="BH187" s="21"/>
      <c r="BI187" s="575"/>
      <c r="BJ187" s="21"/>
      <c r="BK187" s="21"/>
      <c r="BL187" s="21"/>
      <c r="BM187" s="575"/>
      <c r="BN187" s="21"/>
      <c r="BO187" s="21"/>
      <c r="BP187" s="21"/>
      <c r="BQ187" s="575"/>
      <c r="BR187" s="21"/>
      <c r="BS187" s="21"/>
      <c r="BT187" s="21"/>
      <c r="BU187" s="575"/>
      <c r="BV187" s="21"/>
      <c r="BW187" s="21"/>
      <c r="BX187" s="21"/>
      <c r="BY187" s="575"/>
      <c r="BZ187" s="21"/>
      <c r="CA187" s="21"/>
      <c r="CB187" s="21"/>
      <c r="CC187" s="575"/>
      <c r="CD187" s="21"/>
      <c r="CE187" s="21"/>
      <c r="CF187" s="21"/>
      <c r="CG187" s="575"/>
    </row>
    <row r="188" spans="1:85">
      <c r="A188" s="28"/>
      <c r="B188" s="21" t="s">
        <v>120</v>
      </c>
      <c r="C188" s="44"/>
      <c r="D188" s="44">
        <f>'Raw Data'!U279</f>
        <v>3.2290000000000001</v>
      </c>
      <c r="E188" s="44">
        <f>'Raw Data'!V279</f>
        <v>279.66300000000001</v>
      </c>
      <c r="F188" s="44">
        <f>'Raw Data'!W279</f>
        <v>517.54999999999995</v>
      </c>
      <c r="G188" s="44">
        <f>'Raw Data'!X279</f>
        <v>17.61</v>
      </c>
      <c r="H188" s="44">
        <f>'Raw Data'!Y279</f>
        <v>343.45600000000002</v>
      </c>
      <c r="I188" s="44">
        <f>'Raw Data'!Z279</f>
        <v>168.95399999999998</v>
      </c>
      <c r="J188" s="21">
        <f>2.795+1.532+1.77+0.933</f>
        <v>7.0299999999999994</v>
      </c>
      <c r="K188" s="21">
        <v>7513.8850000000002</v>
      </c>
      <c r="L188" s="21">
        <v>0</v>
      </c>
      <c r="M188" s="104">
        <f>L141-M141</f>
        <v>-31.511000000000422</v>
      </c>
      <c r="N188" s="104">
        <f>M141-N141</f>
        <v>-217.33200000000033</v>
      </c>
      <c r="O188" s="104">
        <f>N141-O141</f>
        <v>-181.19200000000092</v>
      </c>
      <c r="P188" s="104">
        <f>O141-P141</f>
        <v>-128.52299999999923</v>
      </c>
      <c r="Q188" s="104">
        <v>0</v>
      </c>
      <c r="R188" s="104">
        <v>0</v>
      </c>
      <c r="S188" s="104">
        <v>0</v>
      </c>
      <c r="T188" s="104">
        <v>0</v>
      </c>
      <c r="U188" s="141"/>
      <c r="V188" s="44"/>
      <c r="W188" s="44"/>
      <c r="X188" s="44"/>
      <c r="Y188" s="44"/>
      <c r="Z188" s="44"/>
      <c r="AA188" s="44"/>
      <c r="AB188" s="44"/>
      <c r="AC188" s="44"/>
      <c r="AD188" s="44"/>
      <c r="AE188" s="44"/>
      <c r="AF188" s="44"/>
      <c r="AG188" s="44"/>
      <c r="AH188" s="44"/>
      <c r="AI188" s="44"/>
      <c r="AJ188" s="44"/>
      <c r="AK188" s="44"/>
      <c r="AL188" s="44"/>
      <c r="AM188" s="44"/>
      <c r="AN188" s="44"/>
      <c r="AO188" s="570"/>
      <c r="AP188" s="44"/>
      <c r="AQ188" s="44"/>
      <c r="AR188" s="44"/>
      <c r="AS188" s="609"/>
      <c r="AT188" s="32"/>
      <c r="AU188" s="32"/>
      <c r="AW188" s="609"/>
      <c r="AX188" s="32"/>
      <c r="AY188" s="32"/>
      <c r="AZ188" s="32"/>
      <c r="BA188" s="609"/>
      <c r="BB188" s="32"/>
      <c r="BC188" s="32"/>
      <c r="BD188" s="32"/>
      <c r="BE188" s="609"/>
      <c r="BF188" s="32"/>
      <c r="BG188" s="32"/>
      <c r="BH188" s="32"/>
      <c r="BI188" s="609"/>
      <c r="BJ188" s="32"/>
      <c r="BK188" s="32"/>
      <c r="BL188" s="32"/>
      <c r="BM188" s="609"/>
      <c r="BN188" s="32"/>
      <c r="BO188" s="32"/>
      <c r="BP188" s="32"/>
      <c r="BQ188" s="609"/>
      <c r="BR188" s="32"/>
      <c r="BS188" s="32"/>
      <c r="BT188" s="32"/>
      <c r="BU188" s="609"/>
      <c r="BV188" s="32"/>
      <c r="BW188" s="32"/>
      <c r="BX188" s="32"/>
      <c r="BY188" s="609"/>
      <c r="BZ188" s="32"/>
      <c r="CA188" s="32"/>
      <c r="CB188" s="32"/>
      <c r="CC188" s="609"/>
      <c r="CD188" s="32"/>
      <c r="CE188" s="32"/>
      <c r="CF188" s="32"/>
      <c r="CG188" s="609"/>
    </row>
    <row r="189" spans="1:85">
      <c r="A189" s="28"/>
      <c r="B189" s="21" t="s">
        <v>179</v>
      </c>
      <c r="C189" s="44"/>
      <c r="D189" s="44">
        <f>'Raw Data'!U287</f>
        <v>0</v>
      </c>
      <c r="E189" s="159">
        <f>E131-D131</f>
        <v>-228.49300000000002</v>
      </c>
      <c r="F189" s="159">
        <f>F131-E131</f>
        <v>343.64600000000007</v>
      </c>
      <c r="G189" s="159">
        <f>G131-F131</f>
        <v>181.36799999999994</v>
      </c>
      <c r="H189" s="159">
        <f>H131-G131</f>
        <v>-246.46000000000004</v>
      </c>
      <c r="I189" s="159">
        <f>I131-H131</f>
        <v>806.19499999999994</v>
      </c>
      <c r="J189" s="159">
        <f>J131-I131</f>
        <v>-397.45799999999986</v>
      </c>
      <c r="K189" s="159">
        <f>K131-J131</f>
        <v>390.65100000000007</v>
      </c>
      <c r="L189" s="159">
        <f>L131-K131</f>
        <v>-450.68000000000006</v>
      </c>
      <c r="M189" s="159">
        <f>M131-L131</f>
        <v>478.90200000000004</v>
      </c>
      <c r="N189" s="159">
        <f>N131-M131</f>
        <v>-51.935000000000173</v>
      </c>
      <c r="O189" s="159">
        <f>O131-N131</f>
        <v>1710.0280000000002</v>
      </c>
      <c r="P189" s="159">
        <f>P131-O131</f>
        <v>-333.23399999999992</v>
      </c>
      <c r="Q189" s="104"/>
      <c r="R189" s="104"/>
      <c r="S189" s="104"/>
      <c r="T189" s="104"/>
      <c r="U189" s="141"/>
      <c r="V189" s="44"/>
      <c r="W189" s="44"/>
      <c r="X189" s="44"/>
      <c r="Y189" s="44"/>
      <c r="Z189" s="44"/>
      <c r="AA189" s="44"/>
      <c r="AB189" s="44"/>
      <c r="AC189" s="44"/>
      <c r="AD189" s="44"/>
      <c r="AE189" s="44"/>
      <c r="AF189" s="44"/>
      <c r="AG189" s="44"/>
      <c r="AH189" s="44"/>
      <c r="AI189" s="44"/>
      <c r="AJ189" s="44"/>
      <c r="AK189" s="44"/>
      <c r="AL189" s="44"/>
      <c r="AM189" s="44"/>
      <c r="AN189" s="44"/>
      <c r="AO189" s="570"/>
      <c r="AP189" s="44"/>
      <c r="AQ189" s="44"/>
      <c r="AR189" s="44"/>
      <c r="AS189" s="575"/>
      <c r="AT189" s="21"/>
      <c r="AU189" s="21"/>
      <c r="AW189" s="575"/>
      <c r="AX189" s="21"/>
      <c r="AY189" s="21"/>
      <c r="AZ189" s="21"/>
      <c r="BA189" s="575"/>
      <c r="BB189" s="21"/>
      <c r="BC189" s="21"/>
      <c r="BD189" s="21"/>
      <c r="BE189" s="575"/>
      <c r="BF189" s="21"/>
      <c r="BG189" s="21"/>
      <c r="BH189" s="21"/>
      <c r="BI189" s="575"/>
      <c r="BJ189" s="21"/>
      <c r="BK189" s="21"/>
      <c r="BL189" s="21"/>
      <c r="BM189" s="575"/>
      <c r="BN189" s="21"/>
      <c r="BO189" s="21"/>
      <c r="BP189" s="21"/>
      <c r="BQ189" s="575"/>
      <c r="BR189" s="21"/>
      <c r="BS189" s="21"/>
      <c r="BT189" s="21"/>
      <c r="BU189" s="575"/>
      <c r="BV189" s="21"/>
      <c r="BW189" s="21"/>
      <c r="BX189" s="21"/>
      <c r="BY189" s="575"/>
      <c r="BZ189" s="21"/>
      <c r="CA189" s="21"/>
      <c r="CB189" s="21"/>
      <c r="CC189" s="575"/>
      <c r="CD189" s="21"/>
      <c r="CE189" s="21"/>
      <c r="CF189" s="21"/>
      <c r="CG189" s="575"/>
    </row>
    <row r="190" spans="1:85">
      <c r="A190" s="28"/>
      <c r="B190" s="21" t="s">
        <v>180</v>
      </c>
      <c r="C190" s="44"/>
      <c r="D190" s="44">
        <f>'Raw Data'!U291</f>
        <v>195.8</v>
      </c>
      <c r="E190" s="159">
        <f>E135-D135</f>
        <v>345.63499999999999</v>
      </c>
      <c r="F190" s="159">
        <f>F135-E135</f>
        <v>-217.92999999999995</v>
      </c>
      <c r="G190" s="159">
        <f>G135-F135</f>
        <v>1428.9720000000002</v>
      </c>
      <c r="H190" s="159">
        <f>H135-G135</f>
        <v>534.22499999999991</v>
      </c>
      <c r="I190" s="159">
        <f>I135-H135</f>
        <v>-693.08500000000004</v>
      </c>
      <c r="J190" s="159">
        <f>J135-I135</f>
        <v>38.673999999999978</v>
      </c>
      <c r="K190" s="159">
        <f>K135-J135</f>
        <v>2062.0250000000001</v>
      </c>
      <c r="L190" s="159">
        <f>L135-K135</f>
        <v>657.61700000000019</v>
      </c>
      <c r="M190" s="159">
        <f>M135-L135</f>
        <v>1780.6329999999998</v>
      </c>
      <c r="N190" s="159">
        <f>N135-M135</f>
        <v>1616.3439999999991</v>
      </c>
      <c r="O190" s="159">
        <f>O135-N135</f>
        <v>-296.49999999999909</v>
      </c>
      <c r="P190" s="159">
        <f>P135-O135</f>
        <v>1956.6249999999991</v>
      </c>
      <c r="Q190" s="104">
        <v>1000</v>
      </c>
      <c r="R190" s="104"/>
      <c r="S190" s="104"/>
      <c r="T190" s="104">
        <v>0</v>
      </c>
      <c r="U190" s="141"/>
      <c r="V190" s="44"/>
      <c r="W190" s="44"/>
      <c r="X190" s="44"/>
      <c r="Y190" s="44"/>
      <c r="Z190" s="44"/>
      <c r="AA190" s="44"/>
      <c r="AB190" s="44"/>
      <c r="AC190" s="44"/>
      <c r="AD190" s="44"/>
      <c r="AE190" s="44"/>
      <c r="AF190" s="44"/>
      <c r="AG190" s="44"/>
      <c r="AH190" s="44"/>
      <c r="AI190" s="44"/>
      <c r="AJ190" s="44"/>
      <c r="AK190" s="44"/>
      <c r="AL190" s="44"/>
      <c r="AM190" s="44"/>
      <c r="AN190" s="44"/>
      <c r="AO190" s="570"/>
      <c r="AP190" s="44"/>
      <c r="AQ190" s="44"/>
      <c r="AR190" s="44"/>
      <c r="AS190" s="575"/>
      <c r="AT190" s="21"/>
      <c r="AU190" s="21"/>
      <c r="AW190" s="575"/>
      <c r="AX190" s="21"/>
      <c r="AY190" s="21"/>
      <c r="AZ190" s="21"/>
      <c r="BA190" s="575"/>
      <c r="BB190" s="21"/>
      <c r="BC190" s="21"/>
      <c r="BD190" s="21"/>
      <c r="BE190" s="575"/>
      <c r="BF190" s="21"/>
      <c r="BG190" s="21"/>
      <c r="BH190" s="21"/>
      <c r="BI190" s="575"/>
      <c r="BJ190" s="21"/>
      <c r="BK190" s="21"/>
      <c r="BL190" s="21"/>
      <c r="BM190" s="575"/>
      <c r="BN190" s="21"/>
      <c r="BO190" s="21"/>
      <c r="BP190" s="21"/>
      <c r="BQ190" s="575"/>
      <c r="BR190" s="21"/>
      <c r="BS190" s="21"/>
      <c r="BT190" s="21"/>
      <c r="BU190" s="575"/>
      <c r="BV190" s="21"/>
      <c r="BW190" s="21"/>
      <c r="BX190" s="21"/>
      <c r="BY190" s="575"/>
      <c r="BZ190" s="21"/>
      <c r="CA190" s="21"/>
      <c r="CB190" s="21"/>
      <c r="CC190" s="575"/>
      <c r="CD190" s="21"/>
      <c r="CE190" s="21"/>
      <c r="CF190" s="21"/>
      <c r="CG190" s="575"/>
    </row>
    <row r="191" spans="1:85">
      <c r="A191" s="28"/>
      <c r="B191" s="21" t="s">
        <v>181</v>
      </c>
      <c r="C191" s="44"/>
      <c r="D191" s="44">
        <f>'Raw Data'!U295</f>
        <v>0</v>
      </c>
      <c r="E191" s="44">
        <f>'Raw Data'!V295</f>
        <v>0</v>
      </c>
      <c r="F191" s="44">
        <f>'Raw Data'!W295</f>
        <v>0</v>
      </c>
      <c r="G191" s="44">
        <f>'Raw Data'!X295</f>
        <v>0</v>
      </c>
      <c r="H191" s="44">
        <f>'Raw Data'!Y295</f>
        <v>0</v>
      </c>
      <c r="I191" s="44">
        <f>'Raw Data'!Z295</f>
        <v>0</v>
      </c>
      <c r="J191" s="21">
        <v>0</v>
      </c>
      <c r="K191" s="104">
        <v>0</v>
      </c>
      <c r="L191" s="104">
        <v>0</v>
      </c>
      <c r="M191" s="104">
        <v>0</v>
      </c>
      <c r="N191" s="104">
        <v>0</v>
      </c>
      <c r="O191" s="104">
        <v>0</v>
      </c>
      <c r="P191" s="104">
        <v>0</v>
      </c>
      <c r="Q191" s="104">
        <v>0</v>
      </c>
      <c r="R191" s="104">
        <v>0</v>
      </c>
      <c r="S191" s="104">
        <v>0</v>
      </c>
      <c r="T191" s="104">
        <v>0</v>
      </c>
      <c r="U191" s="141"/>
      <c r="V191" s="44"/>
      <c r="W191" s="44"/>
      <c r="X191" s="44"/>
      <c r="Y191" s="44"/>
      <c r="Z191" s="44"/>
      <c r="AA191" s="44"/>
      <c r="AB191" s="44"/>
      <c r="AC191" s="44"/>
      <c r="AD191" s="44"/>
      <c r="AE191" s="44"/>
      <c r="AF191" s="44"/>
      <c r="AG191" s="44"/>
      <c r="AH191" s="44"/>
      <c r="AI191" s="44"/>
      <c r="AJ191" s="44"/>
      <c r="AK191" s="44"/>
      <c r="AL191" s="44"/>
      <c r="AM191" s="44"/>
      <c r="AN191" s="44"/>
      <c r="AO191" s="570"/>
      <c r="AP191" s="44"/>
      <c r="AQ191" s="44"/>
      <c r="AR191" s="44"/>
      <c r="AS191" s="609"/>
      <c r="AT191" s="32"/>
      <c r="AU191" s="32"/>
      <c r="AW191" s="609"/>
      <c r="AX191" s="32"/>
      <c r="AY191" s="32"/>
      <c r="AZ191" s="32"/>
      <c r="BA191" s="609"/>
      <c r="BB191" s="32"/>
      <c r="BC191" s="32"/>
      <c r="BD191" s="32"/>
      <c r="BE191" s="609"/>
      <c r="BF191" s="32"/>
      <c r="BG191" s="32"/>
      <c r="BH191" s="32"/>
      <c r="BI191" s="609"/>
      <c r="BJ191" s="32"/>
      <c r="BK191" s="32"/>
      <c r="BL191" s="32"/>
      <c r="BM191" s="609"/>
      <c r="BN191" s="32"/>
      <c r="BO191" s="32"/>
      <c r="BP191" s="32"/>
      <c r="BQ191" s="609"/>
      <c r="BR191" s="32"/>
      <c r="BS191" s="32"/>
      <c r="BT191" s="32"/>
      <c r="BU191" s="609"/>
      <c r="BV191" s="32"/>
      <c r="BW191" s="32"/>
      <c r="BX191" s="32"/>
      <c r="BY191" s="609"/>
      <c r="BZ191" s="32"/>
      <c r="CA191" s="32"/>
      <c r="CB191" s="32"/>
      <c r="CC191" s="609"/>
      <c r="CD191" s="32"/>
      <c r="CE191" s="32"/>
      <c r="CF191" s="32"/>
      <c r="CG191" s="609"/>
    </row>
    <row r="192" spans="1:85">
      <c r="A192" s="28"/>
      <c r="B192" s="21" t="s">
        <v>166</v>
      </c>
      <c r="C192" s="44"/>
      <c r="D192" s="44">
        <f>'Raw Data'!U299</f>
        <v>0</v>
      </c>
      <c r="E192" s="159">
        <f>E146-D146</f>
        <v>249.89700000000002</v>
      </c>
      <c r="F192" s="159">
        <f>F146-E146</f>
        <v>101.09199999999998</v>
      </c>
      <c r="G192" s="159">
        <f>G146-F146</f>
        <v>792.15400000000011</v>
      </c>
      <c r="H192" s="159">
        <f>H146-G146</f>
        <v>235.7489999999998</v>
      </c>
      <c r="I192" s="159">
        <f>I146-H146</f>
        <v>1417.4640000000002</v>
      </c>
      <c r="J192" s="159">
        <f>J146-I146</f>
        <v>1058.8510000000001</v>
      </c>
      <c r="K192" s="159">
        <f>K146-J146</f>
        <v>2542.527</v>
      </c>
      <c r="L192" s="159">
        <f>L146-K146</f>
        <v>1781.3349999999991</v>
      </c>
      <c r="M192" s="159">
        <f>M146-L146</f>
        <v>1522.9660000000003</v>
      </c>
      <c r="N192" s="159">
        <f>N146-M146</f>
        <v>918.13700000000063</v>
      </c>
      <c r="O192" s="159">
        <f>O146-N146</f>
        <v>526.26699999999983</v>
      </c>
      <c r="P192" s="159">
        <f>P146-O146</f>
        <v>2325.003999999999</v>
      </c>
      <c r="Q192" s="104">
        <v>2000</v>
      </c>
      <c r="R192" s="104">
        <v>2000</v>
      </c>
      <c r="S192" s="104">
        <v>1000</v>
      </c>
      <c r="T192" s="104"/>
      <c r="U192" s="141"/>
      <c r="V192" s="44"/>
      <c r="W192" s="44"/>
      <c r="X192" s="44"/>
      <c r="Y192" s="44"/>
      <c r="Z192" s="44"/>
      <c r="AA192" s="44"/>
      <c r="AB192" s="44"/>
      <c r="AC192" s="44"/>
      <c r="AD192" s="44"/>
      <c r="AE192" s="44"/>
      <c r="AF192" s="44"/>
      <c r="AG192" s="44"/>
      <c r="AH192" s="44"/>
      <c r="AI192" s="44"/>
      <c r="AJ192" s="44"/>
      <c r="AK192" s="44"/>
      <c r="AL192" s="44"/>
      <c r="AM192" s="44"/>
      <c r="AN192" s="44"/>
      <c r="AO192" s="570"/>
      <c r="AP192" s="44"/>
      <c r="AQ192" s="44"/>
      <c r="AR192" s="44"/>
      <c r="AS192" s="575"/>
      <c r="AT192" s="21"/>
      <c r="AU192" s="21"/>
      <c r="AV192" s="21"/>
      <c r="AW192" s="575"/>
      <c r="AX192" s="21"/>
      <c r="AY192" s="21"/>
      <c r="AZ192" s="21"/>
      <c r="BA192" s="575"/>
      <c r="BB192" s="21"/>
      <c r="BC192" s="21"/>
      <c r="BD192" s="21"/>
      <c r="BE192" s="575"/>
      <c r="BF192" s="21"/>
      <c r="BG192" s="21"/>
      <c r="BH192" s="21"/>
      <c r="BI192" s="575"/>
      <c r="BJ192" s="21"/>
      <c r="BK192" s="21"/>
      <c r="BL192" s="21"/>
      <c r="BM192" s="575"/>
      <c r="BN192" s="21"/>
      <c r="BO192" s="21"/>
      <c r="BP192" s="21"/>
      <c r="BQ192" s="575"/>
      <c r="BR192" s="21"/>
      <c r="BS192" s="21"/>
      <c r="BT192" s="21"/>
      <c r="BU192" s="575"/>
      <c r="BV192" s="21"/>
      <c r="BW192" s="21"/>
      <c r="BX192" s="21"/>
      <c r="BY192" s="575"/>
      <c r="BZ192" s="21"/>
      <c r="CA192" s="21"/>
      <c r="CB192" s="21"/>
      <c r="CC192" s="575"/>
      <c r="CD192" s="21"/>
      <c r="CE192" s="21"/>
      <c r="CF192" s="21"/>
      <c r="CG192" s="575"/>
    </row>
    <row r="193" spans="1:85">
      <c r="A193" s="28"/>
      <c r="B193" s="21" t="s">
        <v>114</v>
      </c>
      <c r="C193" s="56"/>
      <c r="D193" s="56">
        <f t="shared" ref="D193:M193" si="316">D194-SUM(D187:D192)</f>
        <v>-25.571000000000026</v>
      </c>
      <c r="E193" s="56">
        <f t="shared" ca="1" si="316"/>
        <v>29.980999999999995</v>
      </c>
      <c r="F193" s="56">
        <f t="shared" ca="1" si="316"/>
        <v>-207.28000000000009</v>
      </c>
      <c r="G193" s="56">
        <f t="shared" ca="1" si="316"/>
        <v>194.67399999999952</v>
      </c>
      <c r="H193" s="56">
        <f t="shared" ca="1" si="316"/>
        <v>404.62100000000021</v>
      </c>
      <c r="I193" s="56">
        <f t="shared" ca="1" si="316"/>
        <v>677.39400000000001</v>
      </c>
      <c r="J193" s="56">
        <f t="shared" ca="1" si="316"/>
        <v>681.3779999999997</v>
      </c>
      <c r="K193" s="56">
        <f t="shared" si="316"/>
        <v>195.12700000000041</v>
      </c>
      <c r="L193" s="56">
        <f t="shared" si="316"/>
        <v>369.05300000000057</v>
      </c>
      <c r="M193" s="56">
        <f t="shared" si="316"/>
        <v>-136.69999999999982</v>
      </c>
      <c r="N193" s="56">
        <f>N142+N144-M142-M144</f>
        <v>318.6349999999984</v>
      </c>
      <c r="O193" s="56">
        <f>O142+O144-N142-N144</f>
        <v>-176.16499999999724</v>
      </c>
      <c r="P193" s="56">
        <f>P142+P144-O142-O144</f>
        <v>12.206999999994878</v>
      </c>
      <c r="Q193" s="56">
        <f>Q142+Q144-P142-P144</f>
        <v>0</v>
      </c>
      <c r="R193" s="56">
        <f>R142+R144-Q142-Q144</f>
        <v>0</v>
      </c>
      <c r="S193" s="56">
        <f>S142+S144-R142-R144</f>
        <v>0</v>
      </c>
      <c r="T193" s="56">
        <f>T142+T144-S142-S144</f>
        <v>0</v>
      </c>
      <c r="U193" s="91"/>
      <c r="V193" s="21"/>
      <c r="W193" s="21"/>
      <c r="X193" s="21"/>
      <c r="Y193" s="21"/>
      <c r="Z193" s="21"/>
      <c r="AA193" s="21"/>
      <c r="AB193" s="21"/>
      <c r="AC193" s="21"/>
      <c r="AD193" s="21"/>
      <c r="AE193" s="21"/>
      <c r="AF193" s="21"/>
      <c r="AG193" s="21"/>
      <c r="AH193" s="21"/>
      <c r="AI193" s="21"/>
      <c r="AJ193" s="21"/>
      <c r="AK193" s="21"/>
      <c r="AL193" s="21"/>
      <c r="AM193" s="21"/>
      <c r="AN193" s="21"/>
      <c r="AO193" s="575"/>
      <c r="AP193" s="21"/>
      <c r="AQ193" s="21"/>
      <c r="AR193" s="21"/>
      <c r="AS193" s="575"/>
      <c r="AT193" s="21"/>
      <c r="AU193" s="21"/>
      <c r="AV193" s="21"/>
      <c r="AW193" s="575"/>
      <c r="AX193" s="21"/>
      <c r="AY193" s="21"/>
      <c r="AZ193" s="21"/>
      <c r="BA193" s="575"/>
      <c r="BB193" s="21"/>
      <c r="BC193" s="21"/>
      <c r="BD193" s="21"/>
      <c r="BE193" s="575"/>
      <c r="BF193" s="21"/>
      <c r="BG193" s="21"/>
      <c r="BH193" s="21"/>
      <c r="BI193" s="575"/>
      <c r="BJ193" s="21"/>
      <c r="BK193" s="21"/>
      <c r="BL193" s="21"/>
      <c r="BM193" s="575"/>
      <c r="BN193" s="21"/>
      <c r="BO193" s="21"/>
      <c r="BP193" s="21"/>
      <c r="BQ193" s="575"/>
      <c r="BR193" s="21"/>
      <c r="BS193" s="21"/>
      <c r="BT193" s="21"/>
      <c r="BU193" s="575"/>
      <c r="BV193" s="21"/>
      <c r="BW193" s="21"/>
      <c r="BX193" s="21"/>
      <c r="BY193" s="575"/>
      <c r="BZ193" s="21"/>
      <c r="CA193" s="21"/>
      <c r="CB193" s="21"/>
      <c r="CC193" s="575"/>
      <c r="CD193" s="21"/>
      <c r="CE193" s="21"/>
      <c r="CF193" s="21"/>
      <c r="CG193" s="575"/>
    </row>
    <row r="194" spans="1:85">
      <c r="A194" s="28"/>
      <c r="B194" s="25" t="s">
        <v>115</v>
      </c>
      <c r="C194" s="43"/>
      <c r="D194" s="43">
        <f>'Raw Data'!U303</f>
        <v>173.458</v>
      </c>
      <c r="E194" s="43">
        <f>'Raw Data'!V303</f>
        <v>676.68299999999999</v>
      </c>
      <c r="F194" s="43">
        <f>'Raw Data'!W303</f>
        <v>537.07799999999997</v>
      </c>
      <c r="G194" s="43">
        <f>'Raw Data'!X303</f>
        <v>2614.7779999999998</v>
      </c>
      <c r="H194" s="43">
        <f>'Raw Data'!Y303</f>
        <v>1271.5909999999999</v>
      </c>
      <c r="I194" s="43">
        <f>'Raw Data'!Z303</f>
        <v>2376.922</v>
      </c>
      <c r="J194" s="20">
        <f>974.01+216.59+462.11-264.235</f>
        <v>1388.4749999999999</v>
      </c>
      <c r="K194" s="20">
        <v>12704.215</v>
      </c>
      <c r="L194" s="20">
        <v>2357.3249999999998</v>
      </c>
      <c r="M194" s="20">
        <v>3614.29</v>
      </c>
      <c r="N194" s="20">
        <f>920.864+703.926+358.107+483.441</f>
        <v>2466.3379999999997</v>
      </c>
      <c r="O194" s="101">
        <f>1614.792-97.009+46.379+44.174</f>
        <v>1608.3359999999998</v>
      </c>
      <c r="P194" s="101">
        <v>2676.4549999999999</v>
      </c>
      <c r="Q194" s="20">
        <f>SUM(Q187:Q193)</f>
        <v>3000</v>
      </c>
      <c r="R194" s="20">
        <f>SUM(R187:R193)</f>
        <v>2000</v>
      </c>
      <c r="S194" s="20">
        <f>SUM(S187:S193)</f>
        <v>1000</v>
      </c>
      <c r="T194" s="20">
        <f>SUM(T187:T193)</f>
        <v>0</v>
      </c>
      <c r="U194" s="20"/>
      <c r="V194" s="43"/>
      <c r="W194" s="43"/>
      <c r="X194" s="43"/>
      <c r="Y194" s="43"/>
      <c r="Z194" s="43"/>
      <c r="AA194" s="43"/>
      <c r="AB194" s="43"/>
      <c r="AC194" s="43"/>
      <c r="AD194" s="43"/>
      <c r="AE194" s="43"/>
      <c r="AF194" s="43"/>
      <c r="AG194" s="43"/>
      <c r="AH194" s="43"/>
      <c r="AI194" s="43"/>
      <c r="AJ194" s="43"/>
      <c r="AK194" s="43"/>
      <c r="AL194" s="43"/>
      <c r="AM194" s="43"/>
      <c r="AN194" s="43"/>
      <c r="AO194" s="568"/>
      <c r="AP194" s="43"/>
      <c r="AQ194" s="43"/>
      <c r="AR194" s="43"/>
      <c r="AS194" s="571"/>
      <c r="AT194" s="20"/>
      <c r="AU194" s="20"/>
      <c r="AV194" s="20"/>
      <c r="AW194" s="571"/>
      <c r="AX194" s="20"/>
      <c r="AY194" s="20"/>
      <c r="AZ194" s="20"/>
      <c r="BA194" s="571"/>
      <c r="BB194" s="20"/>
      <c r="BC194" s="20"/>
      <c r="BD194" s="20"/>
      <c r="BE194" s="571"/>
      <c r="BF194" s="20"/>
      <c r="BG194" s="20"/>
      <c r="BH194" s="20"/>
      <c r="BI194" s="571"/>
      <c r="BJ194" s="20"/>
      <c r="BK194" s="20"/>
      <c r="BL194" s="20"/>
      <c r="BM194" s="571"/>
      <c r="BN194" s="20"/>
      <c r="BO194" s="20"/>
      <c r="BP194" s="20"/>
      <c r="BQ194" s="571"/>
      <c r="BR194" s="20"/>
      <c r="BS194" s="20"/>
      <c r="BT194" s="20"/>
      <c r="BU194" s="571"/>
      <c r="BV194" s="20"/>
      <c r="BW194" s="20"/>
      <c r="BX194" s="20"/>
      <c r="BY194" s="571"/>
      <c r="BZ194" s="20"/>
      <c r="CA194" s="20"/>
      <c r="CB194" s="20"/>
      <c r="CC194" s="571"/>
      <c r="CD194" s="20"/>
      <c r="CE194" s="20"/>
      <c r="CF194" s="20"/>
      <c r="CG194" s="571"/>
    </row>
    <row r="195" spans="1:85">
      <c r="A195" s="28"/>
      <c r="B195" s="26" t="s">
        <v>35</v>
      </c>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575"/>
      <c r="AP195" s="21"/>
      <c r="AQ195" s="21"/>
      <c r="AR195" s="21"/>
      <c r="AS195" s="575"/>
      <c r="AT195" s="21"/>
      <c r="AU195" s="21"/>
      <c r="AV195" s="21"/>
      <c r="AW195" s="575"/>
      <c r="AX195" s="21"/>
      <c r="AY195" s="21"/>
      <c r="AZ195" s="21"/>
      <c r="BA195" s="575"/>
      <c r="BB195" s="21"/>
      <c r="BC195" s="21"/>
      <c r="BD195" s="21"/>
      <c r="BE195" s="575"/>
      <c r="BF195" s="21"/>
      <c r="BG195" s="81"/>
      <c r="BH195" s="21"/>
      <c r="BI195" s="575"/>
      <c r="BJ195" s="21"/>
      <c r="BK195" s="21"/>
      <c r="BL195" s="21"/>
      <c r="BM195" s="575"/>
      <c r="BN195" s="21"/>
      <c r="BO195" s="21"/>
      <c r="BP195" s="21"/>
      <c r="BQ195" s="575"/>
      <c r="BR195" s="21"/>
      <c r="BS195" s="21"/>
      <c r="BT195" s="21"/>
      <c r="BU195" s="575"/>
      <c r="BV195" s="21"/>
      <c r="BW195" s="21"/>
      <c r="BX195" s="21"/>
      <c r="BY195" s="575"/>
      <c r="BZ195" s="21"/>
      <c r="CA195" s="21"/>
      <c r="CB195" s="21"/>
      <c r="CC195" s="575"/>
      <c r="CD195" s="21"/>
      <c r="CE195" s="21"/>
      <c r="CF195" s="21"/>
      <c r="CG195" s="575"/>
    </row>
    <row r="196" spans="1:85" s="27" customFormat="1">
      <c r="A196" s="33"/>
      <c r="B196" s="27" t="s">
        <v>67</v>
      </c>
      <c r="C196" s="43"/>
      <c r="D196" s="43">
        <f>'Raw Data'!U306</f>
        <v>-1.4E-2</v>
      </c>
      <c r="E196" s="43">
        <f>'Raw Data'!V306</f>
        <v>-0.109</v>
      </c>
      <c r="F196" s="43">
        <f>'Raw Data'!W306</f>
        <v>-14.554</v>
      </c>
      <c r="G196" s="43">
        <f>'Raw Data'!X306</f>
        <v>-27.837</v>
      </c>
      <c r="H196" s="43">
        <f>'Raw Data'!Y306</f>
        <v>22.151</v>
      </c>
      <c r="I196" s="43">
        <f>'Raw Data'!Z306</f>
        <v>-30.966999999999999</v>
      </c>
      <c r="J196" s="20">
        <f>13.316-28.362-12.516+18.645</f>
        <v>-8.916999999999998</v>
      </c>
      <c r="K196" s="20">
        <v>294.45499999999998</v>
      </c>
      <c r="L196" s="20"/>
      <c r="M196" s="20">
        <v>-219.86</v>
      </c>
      <c r="N196" s="20">
        <f>25.883-296.229-53.75-10.493</f>
        <v>-334.589</v>
      </c>
      <c r="O196" s="101">
        <f>-82.429-52.18-144.53+162.816</f>
        <v>-116.32300000000001</v>
      </c>
      <c r="P196" s="101">
        <v>132.905</v>
      </c>
      <c r="Q196" s="20"/>
      <c r="R196" s="20"/>
      <c r="S196" s="20"/>
      <c r="T196" s="20"/>
      <c r="U196" s="20"/>
      <c r="V196" s="43"/>
      <c r="W196" s="43"/>
      <c r="X196" s="43"/>
      <c r="Y196" s="43"/>
      <c r="Z196" s="43"/>
      <c r="AA196" s="43"/>
      <c r="AB196" s="43"/>
      <c r="AC196" s="43"/>
      <c r="AD196" s="43"/>
      <c r="AE196" s="43"/>
      <c r="AF196" s="43"/>
      <c r="AG196" s="43"/>
      <c r="AH196" s="43"/>
      <c r="AI196" s="43"/>
      <c r="AJ196" s="43"/>
      <c r="AK196" s="43"/>
      <c r="AL196" s="43"/>
      <c r="AM196" s="43"/>
      <c r="AN196" s="43"/>
      <c r="AO196" s="568"/>
      <c r="AP196" s="43"/>
      <c r="AQ196" s="43"/>
      <c r="AR196" s="43"/>
      <c r="AS196" s="575"/>
      <c r="AT196" s="21"/>
      <c r="AU196" s="21"/>
      <c r="AV196" s="21"/>
      <c r="AW196" s="575"/>
      <c r="AX196" s="21"/>
      <c r="AY196" s="21"/>
      <c r="AZ196" s="21"/>
      <c r="BA196" s="575"/>
      <c r="BB196" s="21"/>
      <c r="BC196" s="21"/>
      <c r="BD196" s="21"/>
      <c r="BE196" s="575"/>
      <c r="BF196" s="21"/>
      <c r="BG196" s="81"/>
      <c r="BH196" s="21"/>
      <c r="BI196" s="575"/>
      <c r="BJ196" s="21"/>
      <c r="BK196" s="21"/>
      <c r="BL196" s="21"/>
      <c r="BM196" s="575"/>
      <c r="BN196" s="21"/>
      <c r="BO196" s="21"/>
      <c r="BP196" s="21"/>
      <c r="BQ196" s="575"/>
      <c r="BR196" s="21"/>
      <c r="BS196" s="21"/>
      <c r="BT196" s="21"/>
      <c r="BU196" s="575"/>
      <c r="BV196" s="21"/>
      <c r="BW196" s="21"/>
      <c r="BX196" s="21"/>
      <c r="BY196" s="575"/>
      <c r="BZ196" s="21"/>
      <c r="CA196" s="21"/>
      <c r="CB196" s="21"/>
      <c r="CC196" s="575"/>
      <c r="CD196" s="21"/>
      <c r="CE196" s="21"/>
      <c r="CF196" s="21"/>
      <c r="CG196" s="575"/>
    </row>
    <row r="197" spans="1:85">
      <c r="A197" s="28"/>
      <c r="B197" s="835" t="s">
        <v>1068</v>
      </c>
      <c r="C197" s="92"/>
      <c r="D197" s="92">
        <v>358.49</v>
      </c>
      <c r="E197" s="92"/>
      <c r="F197" s="92"/>
      <c r="G197" s="92"/>
      <c r="H197" s="92"/>
      <c r="I197" s="92">
        <v>1.2789769243681803E-13</v>
      </c>
      <c r="J197" s="92">
        <v>-7.9579999999996858</v>
      </c>
      <c r="K197" s="92"/>
      <c r="L197" s="92">
        <v>41.423999999999523</v>
      </c>
      <c r="M197" s="92"/>
      <c r="N197" s="92">
        <v>0</v>
      </c>
      <c r="O197" s="92">
        <v>4.0000000000560476E-2</v>
      </c>
      <c r="P197" s="92"/>
      <c r="Q197" s="92"/>
      <c r="R197" s="92"/>
      <c r="S197" s="92"/>
      <c r="T197" s="9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598"/>
      <c r="AP197" s="102"/>
      <c r="AQ197" s="102"/>
      <c r="AR197" s="102"/>
      <c r="AS197" s="598"/>
      <c r="AT197" s="102"/>
      <c r="AU197" s="102"/>
      <c r="AV197" s="102"/>
      <c r="AW197" s="598"/>
      <c r="AX197" s="102"/>
      <c r="AY197" s="102"/>
      <c r="AZ197" s="102"/>
      <c r="BA197" s="598"/>
      <c r="BB197" s="102"/>
      <c r="BC197" s="102"/>
      <c r="BD197" s="102"/>
      <c r="BE197" s="598"/>
      <c r="BF197" s="102"/>
      <c r="BG197" s="81"/>
      <c r="BH197" s="102"/>
      <c r="BI197" s="598"/>
      <c r="BJ197" s="102"/>
      <c r="BK197" s="102"/>
      <c r="BL197" s="102"/>
      <c r="BM197" s="598"/>
      <c r="BN197" s="102"/>
      <c r="BO197" s="102"/>
      <c r="BP197" s="102"/>
      <c r="BQ197" s="598"/>
      <c r="BR197" s="102"/>
      <c r="BS197" s="102"/>
      <c r="BT197" s="102"/>
      <c r="BU197" s="598"/>
      <c r="BV197" s="102"/>
      <c r="BW197" s="102"/>
      <c r="BX197" s="102"/>
      <c r="BY197" s="598"/>
      <c r="BZ197" s="102"/>
      <c r="CA197" s="102"/>
      <c r="CB197" s="102"/>
      <c r="CC197" s="598"/>
      <c r="CD197" s="102"/>
      <c r="CE197" s="102"/>
      <c r="CF197" s="102"/>
      <c r="CG197" s="598"/>
    </row>
    <row r="198" spans="1:85">
      <c r="A198" s="171"/>
      <c r="B198" s="25" t="s">
        <v>116</v>
      </c>
      <c r="C198" s="25"/>
      <c r="D198" s="25">
        <f t="shared" ref="D198:L198" si="317">D179+D185+D194+D196+D197</f>
        <v>462.483</v>
      </c>
      <c r="E198" s="25">
        <f t="shared" si="317"/>
        <v>140.55299999999991</v>
      </c>
      <c r="F198" s="25">
        <f t="shared" si="317"/>
        <v>402.16499999999996</v>
      </c>
      <c r="G198" s="25">
        <f t="shared" si="317"/>
        <v>1120.8099999999997</v>
      </c>
      <c r="H198" s="25">
        <f t="shared" si="317"/>
        <v>-287.7110000000003</v>
      </c>
      <c r="I198" s="25">
        <f>I179+I185+I194+I196+I197</f>
        <v>-51.879999999999882</v>
      </c>
      <c r="J198" s="25">
        <f t="shared" si="317"/>
        <v>452.42000000000007</v>
      </c>
      <c r="K198" s="25">
        <f t="shared" si="317"/>
        <v>7587.6970000000001</v>
      </c>
      <c r="L198" s="25">
        <f t="shared" si="317"/>
        <v>-1244.7910000000011</v>
      </c>
      <c r="M198" s="25">
        <f t="shared" ref="M198:T198" si="318">M179+M185+M194+M196+M197</f>
        <v>-1649.1589999999992</v>
      </c>
      <c r="N198" s="25">
        <f t="shared" si="318"/>
        <v>-717.52900000000045</v>
      </c>
      <c r="O198" s="25">
        <f t="shared" si="318"/>
        <v>149.13100000000031</v>
      </c>
      <c r="P198" s="25">
        <f t="shared" si="318"/>
        <v>-491.68900000000008</v>
      </c>
      <c r="Q198" s="25">
        <f t="shared" si="318"/>
        <v>1584.3772210553652</v>
      </c>
      <c r="R198" s="25">
        <f t="shared" ref="R198:S198" si="319">R179+R185+R194+R196+R197</f>
        <v>-1188.7514846842623</v>
      </c>
      <c r="S198" s="25">
        <f t="shared" si="319"/>
        <v>-14.642869168163088</v>
      </c>
      <c r="T198" s="25">
        <f t="shared" si="318"/>
        <v>558.39804621258008</v>
      </c>
      <c r="U198" s="25"/>
      <c r="V198" s="20"/>
      <c r="W198" s="20"/>
      <c r="X198" s="20"/>
      <c r="Y198" s="20"/>
      <c r="Z198" s="20"/>
      <c r="AA198" s="20"/>
      <c r="AB198" s="20"/>
      <c r="AC198" s="20"/>
      <c r="AD198" s="20"/>
      <c r="AE198" s="20"/>
      <c r="AF198" s="20"/>
      <c r="AG198" s="20"/>
      <c r="AH198" s="20"/>
      <c r="AI198" s="20"/>
      <c r="AJ198" s="20"/>
      <c r="AK198" s="20"/>
      <c r="AL198" s="20"/>
      <c r="AM198" s="20"/>
      <c r="AN198" s="20"/>
      <c r="AO198" s="571"/>
      <c r="AP198" s="20"/>
      <c r="AQ198" s="20"/>
      <c r="AR198" s="20"/>
      <c r="AS198" s="571"/>
      <c r="AT198" s="20"/>
      <c r="AU198" s="20"/>
      <c r="AV198" s="20"/>
      <c r="AW198" s="571"/>
      <c r="AX198" s="20"/>
      <c r="AY198" s="20"/>
      <c r="AZ198" s="20"/>
      <c r="BA198" s="571"/>
      <c r="BB198" s="20"/>
      <c r="BC198" s="20"/>
      <c r="BD198" s="20"/>
      <c r="BE198" s="571"/>
      <c r="BF198" s="20"/>
      <c r="BG198" s="81"/>
      <c r="BH198" s="20"/>
      <c r="BI198" s="571"/>
      <c r="BJ198" s="20"/>
      <c r="BK198" s="20"/>
      <c r="BL198" s="20"/>
      <c r="BM198" s="571"/>
      <c r="BN198" s="20"/>
      <c r="BO198" s="20"/>
      <c r="BP198" s="20"/>
      <c r="BQ198" s="571"/>
      <c r="BR198" s="20"/>
      <c r="BS198" s="20"/>
      <c r="BT198" s="20"/>
      <c r="BU198" s="571"/>
      <c r="BV198" s="20"/>
      <c r="BW198" s="20"/>
      <c r="BX198" s="20"/>
      <c r="BY198" s="571"/>
      <c r="BZ198" s="20"/>
      <c r="CA198" s="20"/>
      <c r="CB198" s="20"/>
      <c r="CC198" s="571"/>
      <c r="CD198" s="20"/>
      <c r="CE198" s="20"/>
      <c r="CF198" s="20"/>
      <c r="CG198" s="571"/>
    </row>
    <row r="199" spans="1:85">
      <c r="A199" s="28"/>
      <c r="B199" s="21"/>
      <c r="C199" s="21"/>
      <c r="D199" s="21"/>
      <c r="E199" s="36"/>
      <c r="F199" s="36"/>
      <c r="G199" s="36"/>
      <c r="H199" s="36"/>
      <c r="I199" s="36"/>
      <c r="J199" s="36"/>
      <c r="K199" s="36"/>
      <c r="L199" s="36"/>
      <c r="M199" s="36"/>
      <c r="N199" s="36"/>
      <c r="O199" s="36"/>
      <c r="P199" s="36"/>
      <c r="Q199" s="36"/>
      <c r="R199" s="36"/>
      <c r="S199" s="36"/>
      <c r="T199" s="36"/>
      <c r="U199" s="36"/>
      <c r="V199" s="7"/>
      <c r="W199" s="7"/>
      <c r="X199" s="7"/>
      <c r="Y199" s="7"/>
      <c r="Z199" s="7"/>
      <c r="AA199" s="7"/>
      <c r="AB199" s="7"/>
      <c r="AC199" s="7"/>
      <c r="AD199" s="7"/>
      <c r="AE199" s="7"/>
      <c r="AF199" s="7"/>
      <c r="AG199" s="7"/>
      <c r="AH199" s="7"/>
      <c r="AI199" s="7"/>
      <c r="AJ199" s="7"/>
      <c r="AK199" s="7"/>
      <c r="AS199" s="605"/>
      <c r="AT199" s="7"/>
    </row>
    <row r="200" spans="1:85">
      <c r="A200" s="17"/>
      <c r="B200" s="2"/>
      <c r="C200" s="21"/>
      <c r="D200" s="21"/>
      <c r="E200" s="21"/>
      <c r="F200" s="21"/>
      <c r="G200" s="21"/>
      <c r="H200" s="21"/>
      <c r="I200" s="21"/>
      <c r="J200" s="21"/>
      <c r="K200" s="21"/>
      <c r="L200" s="21"/>
      <c r="M200" s="21"/>
      <c r="N200" s="21"/>
      <c r="O200" s="21"/>
      <c r="P200" s="21"/>
      <c r="Q200" s="21"/>
      <c r="R200" s="21"/>
      <c r="S200" s="21"/>
      <c r="T200" s="21"/>
      <c r="U200" s="21"/>
      <c r="V200" s="7"/>
      <c r="W200" s="7"/>
      <c r="X200" s="7"/>
      <c r="Y200" s="7"/>
      <c r="Z200" s="7"/>
      <c r="AA200" s="7"/>
      <c r="AB200" s="7"/>
      <c r="AC200" s="7"/>
      <c r="AD200" s="7"/>
      <c r="AE200" s="7"/>
      <c r="AF200" s="7"/>
      <c r="AG200" s="7"/>
      <c r="AH200" s="7"/>
      <c r="AI200" s="7"/>
      <c r="AJ200" s="7"/>
      <c r="AK200" s="7"/>
      <c r="AP200" s="7"/>
      <c r="AQ200" s="7"/>
      <c r="AS200" s="605"/>
      <c r="AT200" s="7"/>
    </row>
    <row r="201" spans="1:85" s="7" customFormat="1" ht="15.75">
      <c r="A201" s="16"/>
      <c r="B201" s="134" t="s">
        <v>0</v>
      </c>
      <c r="C201" s="135"/>
      <c r="D201" s="135"/>
      <c r="E201" s="135"/>
      <c r="F201" s="135"/>
      <c r="G201" s="135"/>
      <c r="H201" s="135"/>
      <c r="I201" s="136"/>
      <c r="J201" s="136"/>
      <c r="K201" s="136"/>
      <c r="L201" s="136"/>
      <c r="M201" s="136"/>
      <c r="N201" s="136"/>
      <c r="O201" s="136"/>
      <c r="P201" s="136"/>
      <c r="Q201" s="136"/>
      <c r="R201" s="136"/>
      <c r="S201" s="136"/>
      <c r="T201" s="136"/>
      <c r="U201" s="139"/>
      <c r="V201" s="145"/>
      <c r="W201" s="145"/>
      <c r="X201" s="145"/>
      <c r="Y201" s="145"/>
      <c r="Z201" s="145"/>
      <c r="AA201" s="145"/>
      <c r="AB201" s="145"/>
      <c r="AC201" s="145"/>
      <c r="AD201" s="145"/>
      <c r="AE201" s="145"/>
      <c r="AF201" s="145"/>
      <c r="AG201" s="145"/>
      <c r="AH201" s="145"/>
      <c r="AI201" s="145"/>
      <c r="AJ201" s="145"/>
      <c r="AK201" s="145"/>
      <c r="AL201" s="145"/>
      <c r="AM201" s="145"/>
      <c r="AN201" s="145"/>
      <c r="AO201" s="588"/>
      <c r="AP201" s="145"/>
      <c r="AQ201" s="145"/>
      <c r="AR201" s="146"/>
      <c r="AS201" s="606"/>
      <c r="AT201" s="146"/>
      <c r="AU201" s="146"/>
      <c r="AV201" s="146"/>
      <c r="AW201" s="606"/>
      <c r="AX201" s="146"/>
      <c r="AY201" s="146"/>
      <c r="AZ201" s="146"/>
      <c r="BA201" s="606"/>
      <c r="BB201" s="146"/>
      <c r="BC201" s="146"/>
      <c r="BD201" s="146"/>
      <c r="BE201" s="606"/>
      <c r="BF201" s="146"/>
      <c r="BG201" s="146"/>
      <c r="BH201" s="146"/>
      <c r="BI201" s="606"/>
      <c r="BJ201" s="146"/>
      <c r="BK201" s="146"/>
      <c r="BL201" s="146"/>
      <c r="BM201" s="606"/>
      <c r="BN201" s="146"/>
      <c r="BO201" s="146"/>
      <c r="BP201" s="146"/>
      <c r="BQ201" s="606"/>
      <c r="BR201" s="146"/>
      <c r="BS201" s="146"/>
      <c r="BT201" s="146"/>
      <c r="BU201" s="606"/>
      <c r="BV201" s="146"/>
      <c r="BW201" s="146"/>
      <c r="BX201" s="146"/>
      <c r="BY201" s="606"/>
      <c r="BZ201" s="146"/>
      <c r="CA201" s="146"/>
      <c r="CB201" s="146"/>
      <c r="CC201" s="606"/>
      <c r="CD201" s="146"/>
      <c r="CE201" s="146"/>
      <c r="CF201" s="146"/>
      <c r="CG201" s="606"/>
    </row>
    <row r="202" spans="1:85">
      <c r="A202" s="17"/>
      <c r="B202" s="2" t="s">
        <v>818</v>
      </c>
      <c r="C202" s="21"/>
      <c r="D202" s="21"/>
      <c r="E202" s="21"/>
      <c r="F202" s="21">
        <f>-F181</f>
        <v>1230.8119999999999</v>
      </c>
      <c r="G202" s="21">
        <f>-G181</f>
        <v>2757.2020000000002</v>
      </c>
      <c r="H202" s="21">
        <f>-H181</f>
        <v>2287.2049999999999</v>
      </c>
      <c r="I202" s="21">
        <f>-I181</f>
        <v>1808.2529999999999</v>
      </c>
      <c r="J202" s="21">
        <f>-J181</f>
        <v>2029.3000000000002</v>
      </c>
      <c r="K202" s="21">
        <f>-K181</f>
        <v>5732.7999999999993</v>
      </c>
      <c r="L202" s="21">
        <f>-L181</f>
        <v>4515.8</v>
      </c>
      <c r="M202" s="21">
        <f>-M181</f>
        <v>6350.7000000000007</v>
      </c>
      <c r="N202" s="21">
        <f>-N181</f>
        <v>7465.6999999999989</v>
      </c>
      <c r="O202" s="21">
        <f>-O181</f>
        <v>7325.7999999999993</v>
      </c>
      <c r="P202" s="21">
        <f>-P181</f>
        <v>8102.2999999999993</v>
      </c>
      <c r="Q202" s="21">
        <f>-Q181</f>
        <v>8991.7458499999993</v>
      </c>
      <c r="R202" s="21">
        <f>-R181</f>
        <v>9597.9599089500007</v>
      </c>
      <c r="S202" s="21">
        <f>-S181</f>
        <v>9597.9599089500007</v>
      </c>
      <c r="T202" s="21">
        <f>-T181</f>
        <v>9642.9953082694301</v>
      </c>
      <c r="U202" s="21"/>
      <c r="V202" s="7"/>
      <c r="W202" s="7"/>
      <c r="X202" s="7"/>
      <c r="Y202" s="7"/>
      <c r="Z202" s="7"/>
      <c r="AA202" s="7"/>
      <c r="AB202" s="7"/>
      <c r="AC202" s="7"/>
      <c r="AD202" s="7"/>
      <c r="AE202" s="7"/>
      <c r="AF202" s="7"/>
      <c r="AG202" s="7"/>
      <c r="AH202" s="7"/>
      <c r="AI202" s="7"/>
      <c r="AJ202" s="7"/>
      <c r="AK202" s="7"/>
      <c r="AP202" s="7"/>
      <c r="AQ202" s="7"/>
      <c r="AS202" s="605"/>
      <c r="AT202" s="7"/>
    </row>
    <row r="203" spans="1:85">
      <c r="A203" s="17"/>
      <c r="B203" s="2" t="s">
        <v>1092</v>
      </c>
      <c r="C203" s="21"/>
      <c r="D203" s="21"/>
      <c r="E203" s="21"/>
      <c r="F203" s="21"/>
      <c r="G203" s="21"/>
      <c r="H203" s="21"/>
      <c r="I203" s="21"/>
      <c r="J203" s="478">
        <f t="shared" ref="J203:Q203" si="320">J202/I202-1</f>
        <v>0.1222434028866537</v>
      </c>
      <c r="K203" s="478">
        <f t="shared" si="320"/>
        <v>1.82501355147095</v>
      </c>
      <c r="L203" s="478">
        <f t="shared" si="320"/>
        <v>-0.21228718950600045</v>
      </c>
      <c r="M203" s="478">
        <f t="shared" si="320"/>
        <v>0.40632888967624803</v>
      </c>
      <c r="N203" s="478">
        <f t="shared" si="320"/>
        <v>0.17557119687593459</v>
      </c>
      <c r="O203" s="478">
        <f t="shared" si="320"/>
        <v>-1.8739033178402531E-2</v>
      </c>
      <c r="P203" s="478">
        <f t="shared" si="320"/>
        <v>0.10599524966556562</v>
      </c>
      <c r="Q203" s="977">
        <f t="shared" si="320"/>
        <v>0.10977695839453006</v>
      </c>
      <c r="R203" s="21"/>
      <c r="S203" s="21"/>
      <c r="T203" s="21"/>
      <c r="U203" s="21"/>
      <c r="V203" s="7"/>
      <c r="W203" s="7"/>
      <c r="X203" s="7"/>
      <c r="Y203" s="7"/>
      <c r="Z203" s="7"/>
      <c r="AA203" s="7"/>
      <c r="AB203" s="7"/>
      <c r="AC203" s="7"/>
      <c r="AD203" s="7"/>
      <c r="AE203" s="7"/>
      <c r="AF203" s="7"/>
      <c r="AG203" s="7"/>
      <c r="AH203" s="7"/>
      <c r="AI203" s="7"/>
      <c r="AJ203" s="7"/>
      <c r="AK203" s="7"/>
      <c r="AP203" s="7"/>
      <c r="AQ203" s="7"/>
      <c r="AS203" s="605"/>
      <c r="AT203" s="7"/>
    </row>
    <row r="204" spans="1:85">
      <c r="A204" s="17"/>
      <c r="B204" s="13" t="s">
        <v>19</v>
      </c>
      <c r="C204" s="21"/>
      <c r="D204" s="21"/>
      <c r="E204" s="21"/>
      <c r="F204" s="21"/>
      <c r="G204" s="21"/>
      <c r="H204" s="21"/>
      <c r="I204" s="21"/>
      <c r="J204" s="21"/>
      <c r="K204" s="167"/>
      <c r="L204" s="167"/>
      <c r="M204" s="167"/>
      <c r="N204" s="167"/>
      <c r="O204" s="167"/>
      <c r="P204" s="167"/>
      <c r="Q204" s="167"/>
      <c r="R204" s="167"/>
      <c r="S204" s="167"/>
      <c r="T204" s="21"/>
      <c r="U204" s="21"/>
      <c r="V204" s="7"/>
      <c r="W204" s="7"/>
      <c r="X204" s="7"/>
      <c r="Y204" s="7"/>
      <c r="Z204" s="7"/>
      <c r="AA204" s="7"/>
      <c r="AB204" s="7"/>
      <c r="AC204" s="7"/>
      <c r="AD204" s="7"/>
      <c r="AE204" s="7"/>
      <c r="AF204" s="7"/>
      <c r="AG204" s="7"/>
      <c r="AH204" s="7"/>
      <c r="AI204" s="7"/>
      <c r="AJ204" s="7"/>
      <c r="AK204" s="7"/>
      <c r="AP204" s="7"/>
      <c r="AQ204" s="7"/>
      <c r="AS204" s="605"/>
      <c r="AT204" s="7"/>
    </row>
    <row r="205" spans="1:85">
      <c r="A205" s="28"/>
      <c r="B205" s="21" t="s">
        <v>138</v>
      </c>
      <c r="C205" s="90"/>
      <c r="D205" s="90">
        <f>-D31</f>
        <v>501.92299999999994</v>
      </c>
      <c r="E205" s="90">
        <f>-E31</f>
        <v>506.3660000000001</v>
      </c>
      <c r="F205" s="90">
        <f>-F31</f>
        <v>473.00799999999998</v>
      </c>
      <c r="G205" s="90">
        <f>-G31</f>
        <v>673.16099999999994</v>
      </c>
      <c r="H205" s="90">
        <f>-H31</f>
        <v>906.03399999999999</v>
      </c>
      <c r="I205" s="90">
        <f>-I31</f>
        <v>994.64200000000005</v>
      </c>
      <c r="J205" s="90">
        <f>-J31</f>
        <v>1095.5300000000002</v>
      </c>
      <c r="K205" s="90">
        <f>-K31</f>
        <v>1283.3340000000001</v>
      </c>
      <c r="L205" s="90">
        <f>-L31</f>
        <v>1839.9450000000002</v>
      </c>
      <c r="M205" s="90">
        <f>-M31</f>
        <v>2242.0039999999999</v>
      </c>
      <c r="N205" s="90">
        <f>-N31</f>
        <v>2637.9340000000002</v>
      </c>
      <c r="O205" s="90">
        <f>-O31</f>
        <v>3193.7060000000001</v>
      </c>
      <c r="P205" s="90">
        <f>-P31</f>
        <v>3780.6530000000002</v>
      </c>
      <c r="Q205" s="90">
        <f>-Q31</f>
        <v>4938.898330671429</v>
      </c>
      <c r="R205" s="90">
        <f>-R31</f>
        <v>5654.9998567292714</v>
      </c>
      <c r="S205" s="90">
        <f>-S31</f>
        <v>6224.2001252071586</v>
      </c>
      <c r="T205" s="90">
        <f>-T31</f>
        <v>7898.0302108813476</v>
      </c>
      <c r="U205" s="90"/>
      <c r="V205" s="90"/>
      <c r="W205" s="90"/>
      <c r="X205" s="90"/>
      <c r="Y205" s="90"/>
      <c r="Z205" s="90"/>
      <c r="AA205" s="90"/>
      <c r="AB205" s="90"/>
      <c r="AC205" s="90"/>
      <c r="AD205" s="90"/>
      <c r="AE205" s="90"/>
      <c r="AF205" s="90"/>
      <c r="AG205" s="90"/>
      <c r="AH205" s="90"/>
      <c r="AI205" s="90"/>
      <c r="AJ205" s="90"/>
      <c r="AK205" s="90"/>
      <c r="AL205" s="90"/>
      <c r="AM205" s="90"/>
      <c r="AN205" s="90"/>
      <c r="AO205" s="599"/>
      <c r="AP205" s="90"/>
      <c r="AQ205" s="90"/>
      <c r="AR205" s="90"/>
    </row>
    <row r="206" spans="1:85">
      <c r="A206" s="28"/>
      <c r="B206" s="21" t="s">
        <v>230</v>
      </c>
      <c r="C206" s="21"/>
      <c r="D206" s="21">
        <f>C122-D181</f>
        <v>650.16</v>
      </c>
      <c r="E206" s="21">
        <f>D122-E181</f>
        <v>3181.9679999999998</v>
      </c>
      <c r="F206" s="21">
        <f>E122-F181</f>
        <v>4225.8979999999992</v>
      </c>
      <c r="G206" s="21">
        <f>F122-G181</f>
        <v>6661.02</v>
      </c>
      <c r="H206" s="21">
        <f>G122-H181</f>
        <v>7974.5619999999999</v>
      </c>
      <c r="I206" s="21">
        <f>H122-I181</f>
        <v>8331.6560000000009</v>
      </c>
      <c r="J206" s="21">
        <f>I122-J181</f>
        <v>8807.27</v>
      </c>
      <c r="K206" s="21">
        <f>J122-K181</f>
        <v>13490.046999999999</v>
      </c>
      <c r="L206" s="21">
        <f>K122-L181</f>
        <v>16653.821</v>
      </c>
      <c r="M206" s="21">
        <f>L122-M181</f>
        <v>20611.483</v>
      </c>
      <c r="N206" s="21">
        <f>M122-N181</f>
        <v>26321.231999999996</v>
      </c>
      <c r="O206" s="21">
        <f>N122-O181</f>
        <v>31270.760999999999</v>
      </c>
      <c r="P206" s="21">
        <f>O122-P181</f>
        <v>36194.337</v>
      </c>
      <c r="Q206" s="21">
        <f>P122-Q181</f>
        <v>41549.523849999998</v>
      </c>
      <c r="R206" s="21">
        <f>Q122-R181</f>
        <v>46208.585428278559</v>
      </c>
      <c r="S206" s="21">
        <f>R122-S181</f>
        <v>50151.545480499291</v>
      </c>
      <c r="T206" s="21">
        <f>S122-T181</f>
        <v>53570.340663561554</v>
      </c>
      <c r="U206" s="21"/>
      <c r="V206" s="21"/>
      <c r="W206" s="21"/>
      <c r="X206" s="21"/>
      <c r="Y206" s="21"/>
      <c r="Z206" s="21"/>
      <c r="AA206" s="21"/>
      <c r="AB206" s="21"/>
      <c r="AC206" s="21"/>
      <c r="AD206" s="21"/>
      <c r="AE206" s="21"/>
      <c r="AF206" s="21"/>
      <c r="AG206" s="21"/>
      <c r="AH206" s="21"/>
      <c r="AI206" s="21"/>
      <c r="AJ206" s="21"/>
      <c r="AK206" s="21"/>
      <c r="AL206" s="21"/>
      <c r="AM206" s="21"/>
      <c r="AN206" s="21"/>
      <c r="AO206" s="575"/>
      <c r="AP206" s="21"/>
      <c r="AQ206" s="21"/>
      <c r="AR206" s="21"/>
      <c r="AS206" s="575"/>
      <c r="AT206" s="21"/>
      <c r="AU206" s="21"/>
      <c r="AV206" s="21"/>
      <c r="AW206" s="575"/>
      <c r="AX206" s="21"/>
      <c r="AY206" s="21"/>
      <c r="AZ206" s="21"/>
      <c r="BA206" s="575"/>
      <c r="BB206" s="21"/>
      <c r="BC206" s="21"/>
      <c r="BD206" s="21"/>
      <c r="BE206" s="575"/>
      <c r="BF206" s="21"/>
      <c r="BG206" s="21"/>
      <c r="BH206" s="21"/>
      <c r="BI206" s="575"/>
      <c r="BJ206" s="21"/>
      <c r="BK206" s="21"/>
      <c r="BL206" s="21"/>
      <c r="BM206" s="575"/>
      <c r="BN206" s="21"/>
      <c r="BO206" s="21"/>
      <c r="BP206" s="21"/>
      <c r="BQ206" s="575"/>
      <c r="BR206" s="21"/>
      <c r="BS206" s="21"/>
      <c r="BT206" s="21"/>
      <c r="BU206" s="575"/>
      <c r="BV206" s="21"/>
      <c r="BW206" s="21"/>
      <c r="BX206" s="21"/>
      <c r="BY206" s="575"/>
      <c r="BZ206" s="21"/>
      <c r="CA206" s="21"/>
      <c r="CB206" s="21"/>
      <c r="CC206" s="575"/>
      <c r="CD206" s="21"/>
      <c r="CE206" s="21"/>
      <c r="CF206" s="21"/>
      <c r="CG206" s="575"/>
    </row>
    <row r="207" spans="1:85">
      <c r="A207" s="29"/>
      <c r="B207" s="24" t="s">
        <v>18</v>
      </c>
      <c r="C207" s="21"/>
      <c r="D207" s="21">
        <f t="shared" ref="D207:L207" si="321">D206/D205</f>
        <v>1.2953381295537365</v>
      </c>
      <c r="E207" s="21">
        <f t="shared" si="321"/>
        <v>6.2839290157711991</v>
      </c>
      <c r="F207" s="69">
        <f t="shared" si="321"/>
        <v>8.9340941379426972</v>
      </c>
      <c r="G207" s="69">
        <f t="shared" si="321"/>
        <v>9.8951365275171934</v>
      </c>
      <c r="H207" s="69">
        <f t="shared" si="321"/>
        <v>8.8016145089477877</v>
      </c>
      <c r="I207" s="69">
        <f t="shared" si="321"/>
        <v>8.3765374878599541</v>
      </c>
      <c r="J207" s="69">
        <f t="shared" si="321"/>
        <v>8.0392777924840022</v>
      </c>
      <c r="K207" s="69">
        <f t="shared" si="321"/>
        <v>10.511719474431441</v>
      </c>
      <c r="L207" s="69">
        <f t="shared" si="321"/>
        <v>9.051260227887246</v>
      </c>
      <c r="M207" s="69">
        <f t="shared" ref="M207:T207" si="322">M206/M205</f>
        <v>9.1933301635501099</v>
      </c>
      <c r="N207" s="69">
        <f>N206/N205</f>
        <v>9.9779721554822807</v>
      </c>
      <c r="O207" s="69">
        <f t="shared" si="322"/>
        <v>9.7913712157599964</v>
      </c>
      <c r="P207" s="69">
        <f t="shared" ref="P207" si="323">P206/P205</f>
        <v>9.5735675821081703</v>
      </c>
      <c r="Q207" s="69">
        <f t="shared" si="322"/>
        <v>8.412710905986895</v>
      </c>
      <c r="R207" s="69">
        <f t="shared" si="322"/>
        <v>8.1712796815179054</v>
      </c>
      <c r="S207" s="69">
        <f t="shared" si="322"/>
        <v>8.0575085105943813</v>
      </c>
      <c r="T207" s="69">
        <f t="shared" si="322"/>
        <v>6.7827469930105009</v>
      </c>
      <c r="U207" s="21"/>
      <c r="V207" s="21"/>
      <c r="W207" s="21"/>
      <c r="X207" s="21"/>
      <c r="Y207" s="21"/>
      <c r="Z207" s="21"/>
      <c r="AA207" s="21"/>
      <c r="AB207" s="21"/>
      <c r="AC207" s="21"/>
      <c r="AD207" s="21"/>
      <c r="AE207" s="21"/>
      <c r="AF207" s="21"/>
      <c r="AG207" s="21"/>
      <c r="AH207" s="21"/>
      <c r="AI207" s="21"/>
      <c r="AJ207" s="21"/>
      <c r="AK207" s="21"/>
      <c r="AL207" s="21"/>
      <c r="AM207" s="21"/>
      <c r="AN207" s="21"/>
      <c r="AO207" s="575"/>
      <c r="AP207" s="21"/>
      <c r="AQ207" s="21"/>
      <c r="AR207" s="21"/>
      <c r="AS207" s="608"/>
      <c r="AT207" s="147"/>
      <c r="AU207" s="147"/>
      <c r="AV207" s="147"/>
      <c r="AW207" s="608"/>
      <c r="AX207" s="147"/>
      <c r="AY207" s="147"/>
      <c r="AZ207" s="147"/>
      <c r="BA207" s="608"/>
      <c r="BB207" s="147"/>
      <c r="BC207" s="147"/>
      <c r="BD207" s="147"/>
      <c r="BE207" s="608"/>
      <c r="BF207" s="147"/>
      <c r="BG207" s="147"/>
      <c r="BH207" s="147"/>
      <c r="BI207" s="608"/>
      <c r="BJ207" s="147"/>
      <c r="BK207" s="147"/>
      <c r="BL207" s="147"/>
      <c r="BM207" s="608"/>
      <c r="BN207" s="147"/>
      <c r="BO207" s="147"/>
      <c r="BP207" s="147"/>
      <c r="BQ207" s="608"/>
      <c r="BR207" s="147"/>
      <c r="BS207" s="147"/>
      <c r="BT207" s="147"/>
      <c r="BU207" s="608"/>
      <c r="BV207" s="147"/>
      <c r="BW207" s="147"/>
      <c r="BX207" s="147"/>
      <c r="BY207" s="608"/>
      <c r="BZ207" s="147"/>
      <c r="CA207" s="147"/>
      <c r="CB207" s="147"/>
      <c r="CC207" s="608"/>
      <c r="CD207" s="147"/>
      <c r="CE207" s="147"/>
      <c r="CF207" s="147"/>
      <c r="CG207" s="608"/>
    </row>
    <row r="208" spans="1:85">
      <c r="A208" s="29"/>
      <c r="B208" s="21" t="s">
        <v>1059</v>
      </c>
      <c r="C208" s="21"/>
      <c r="D208" s="21"/>
      <c r="E208" s="21"/>
      <c r="F208" s="167">
        <f>F205/F122</f>
        <v>0.12116548466142632</v>
      </c>
      <c r="G208" s="167">
        <f>G205/G122</f>
        <v>0.11836095395453458</v>
      </c>
      <c r="H208" s="167">
        <f>H205/H122</f>
        <v>0.13888977884702203</v>
      </c>
      <c r="I208" s="167">
        <f>I205/I122</f>
        <v>0.1467462971951779</v>
      </c>
      <c r="J208" s="167">
        <f>J205/J122</f>
        <v>0.14122664909342195</v>
      </c>
      <c r="K208" s="167">
        <f>K205/K122</f>
        <v>0.10572843793893584</v>
      </c>
      <c r="L208" s="167">
        <f>L205/L122</f>
        <v>0.12902131671171213</v>
      </c>
      <c r="M208" s="167">
        <f>M205/M122</f>
        <v>0.11890430882565392</v>
      </c>
      <c r="N208" s="167">
        <f>N205/N122</f>
        <v>0.11016656072231649</v>
      </c>
      <c r="O208" s="167">
        <f>O205/O122</f>
        <v>0.11368723457113487</v>
      </c>
      <c r="P208" s="167">
        <f>P205/P122</f>
        <v>0.11612134587317355</v>
      </c>
      <c r="Q208" s="167">
        <f>Q205/Q122</f>
        <v>0.13490341289208346</v>
      </c>
      <c r="R208" s="167">
        <f>R205/R122</f>
        <v>0.13944512617144722</v>
      </c>
      <c r="S208" s="167">
        <f>S205/S122</f>
        <v>0.14169306328130526</v>
      </c>
      <c r="T208" s="69"/>
      <c r="U208" s="21"/>
      <c r="V208" s="21"/>
      <c r="W208" s="21"/>
      <c r="X208" s="21"/>
      <c r="Y208" s="21"/>
      <c r="Z208" s="21"/>
      <c r="AA208" s="21"/>
      <c r="AB208" s="21"/>
      <c r="AC208" s="21"/>
      <c r="AD208" s="21"/>
      <c r="AE208" s="21"/>
      <c r="AF208" s="21"/>
      <c r="AG208" s="21"/>
      <c r="AH208" s="21"/>
      <c r="AI208" s="21"/>
      <c r="AJ208" s="21"/>
      <c r="AK208" s="21"/>
      <c r="AL208" s="21"/>
      <c r="AM208" s="21"/>
      <c r="AN208" s="21"/>
      <c r="AO208" s="575"/>
      <c r="AP208" s="21"/>
      <c r="AQ208" s="21"/>
      <c r="AR208" s="21"/>
      <c r="AS208" s="608"/>
      <c r="AT208" s="147"/>
      <c r="AU208" s="147"/>
      <c r="AV208" s="147"/>
      <c r="AW208" s="608"/>
      <c r="AX208" s="147"/>
      <c r="AY208" s="147"/>
      <c r="AZ208" s="147"/>
      <c r="BA208" s="608"/>
      <c r="BB208" s="147"/>
      <c r="BC208" s="147"/>
      <c r="BD208" s="147"/>
      <c r="BE208" s="608"/>
      <c r="BF208" s="147"/>
      <c r="BG208" s="147"/>
      <c r="BH208" s="147"/>
      <c r="BI208" s="608"/>
      <c r="BJ208" s="147"/>
      <c r="BK208" s="147"/>
      <c r="BL208" s="147"/>
      <c r="BM208" s="608"/>
      <c r="BN208" s="147"/>
      <c r="BO208" s="147"/>
      <c r="BP208" s="147"/>
      <c r="BQ208" s="608"/>
      <c r="BR208" s="147"/>
      <c r="BS208" s="147"/>
      <c r="BT208" s="147"/>
      <c r="BU208" s="608"/>
      <c r="BV208" s="147"/>
      <c r="BW208" s="147"/>
      <c r="BX208" s="147"/>
      <c r="BY208" s="608"/>
      <c r="BZ208" s="147"/>
      <c r="CA208" s="147"/>
      <c r="CB208" s="147"/>
      <c r="CC208" s="608"/>
      <c r="CD208" s="147"/>
      <c r="CE208" s="147"/>
      <c r="CF208" s="147"/>
      <c r="CG208" s="608"/>
    </row>
    <row r="209" spans="1:85">
      <c r="A209" s="29"/>
      <c r="B209" s="21"/>
      <c r="C209" s="21"/>
      <c r="D209" s="21"/>
      <c r="E209" s="21"/>
      <c r="F209" s="21"/>
      <c r="G209" s="21"/>
      <c r="H209" s="21"/>
      <c r="I209" s="21"/>
      <c r="J209" s="21"/>
      <c r="K209" s="21"/>
      <c r="L209" s="21"/>
      <c r="M209" s="21"/>
      <c r="N209" s="21"/>
      <c r="O209" s="21"/>
      <c r="P209" s="21"/>
      <c r="Q209" s="167"/>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575"/>
      <c r="AP209" s="21"/>
      <c r="AQ209" s="21"/>
      <c r="AR209" s="21"/>
      <c r="AS209" s="605"/>
      <c r="AT209" s="7"/>
    </row>
    <row r="210" spans="1:85">
      <c r="A210" s="29"/>
      <c r="B210" s="51" t="s">
        <v>20</v>
      </c>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575"/>
      <c r="AP210" s="21"/>
      <c r="AQ210" s="21"/>
      <c r="AR210" s="21"/>
      <c r="AS210" s="605"/>
      <c r="AT210" s="7"/>
    </row>
    <row r="211" spans="1:85">
      <c r="A211" s="29"/>
      <c r="B211" s="21" t="s">
        <v>139</v>
      </c>
      <c r="C211" s="21"/>
      <c r="D211" s="21">
        <f>-D32</f>
        <v>44.987000000000002</v>
      </c>
      <c r="E211" s="21">
        <f>-E32</f>
        <v>43.101999999999997</v>
      </c>
      <c r="F211" s="21">
        <f>-F32</f>
        <v>50.540999999999997</v>
      </c>
      <c r="G211" s="21">
        <f>-G32</f>
        <v>56.704999999999998</v>
      </c>
      <c r="H211" s="21">
        <f>-H32</f>
        <v>65.347999999999999</v>
      </c>
      <c r="I211" s="21">
        <f>-I32</f>
        <v>53.768000000000001</v>
      </c>
      <c r="J211" s="21">
        <f>-J32</f>
        <v>32.225999999999999</v>
      </c>
      <c r="K211" s="21">
        <f>-K32</f>
        <v>29.356999999999999</v>
      </c>
      <c r="L211" s="21">
        <f>-L32</f>
        <v>29.356999999999999</v>
      </c>
      <c r="M211" s="21">
        <f>-M32</f>
        <v>29.356999999999999</v>
      </c>
      <c r="N211" s="21">
        <f>-N32</f>
        <v>29.356999999999999</v>
      </c>
      <c r="O211" s="21">
        <f>-O32</f>
        <v>29.356999999999999</v>
      </c>
      <c r="P211" s="21">
        <f>-P32</f>
        <v>29.356999999999999</v>
      </c>
      <c r="Q211" s="21">
        <f>-Q32</f>
        <v>29.356999999999999</v>
      </c>
      <c r="R211" s="21">
        <f>-R32</f>
        <v>29.356999999999999</v>
      </c>
      <c r="S211" s="21">
        <f>-S32</f>
        <v>29.356999999999999</v>
      </c>
      <c r="T211" s="21">
        <f>-T32</f>
        <v>29.356999999999999</v>
      </c>
      <c r="U211" s="21"/>
      <c r="V211" s="21"/>
      <c r="W211" s="21"/>
      <c r="X211" s="21"/>
      <c r="Y211" s="21"/>
      <c r="Z211" s="21"/>
      <c r="AA211" s="21"/>
      <c r="AB211" s="21"/>
      <c r="AC211" s="21"/>
      <c r="AD211" s="21"/>
      <c r="AE211" s="21"/>
      <c r="AF211" s="21"/>
      <c r="AG211" s="21"/>
      <c r="AH211" s="21"/>
      <c r="AI211" s="21"/>
      <c r="AJ211" s="21"/>
      <c r="AK211" s="21"/>
      <c r="AL211" s="21"/>
      <c r="AM211" s="21"/>
      <c r="AN211" s="21"/>
      <c r="AO211" s="575"/>
      <c r="AP211" s="21"/>
      <c r="AQ211" s="21"/>
      <c r="AR211" s="21"/>
    </row>
    <row r="212" spans="1:85">
      <c r="A212" s="29"/>
      <c r="B212" s="21" t="s">
        <v>86</v>
      </c>
      <c r="C212" s="21"/>
      <c r="D212" s="21">
        <f>C125</f>
        <v>0</v>
      </c>
      <c r="E212" s="21">
        <f>D125</f>
        <v>215.26499999999999</v>
      </c>
      <c r="F212" s="21">
        <f>E125</f>
        <v>207.822</v>
      </c>
      <c r="G212" s="21">
        <f>F125</f>
        <v>224.279</v>
      </c>
      <c r="H212" s="21">
        <f>G125</f>
        <v>248.58099999999999</v>
      </c>
      <c r="I212" s="21">
        <f>H125</f>
        <v>219.94399999999999</v>
      </c>
      <c r="J212" s="21">
        <f>I125</f>
        <v>122.854</v>
      </c>
      <c r="K212" s="21">
        <f>J125</f>
        <v>96.942999999999998</v>
      </c>
      <c r="L212" s="21">
        <f>K125</f>
        <v>81.953000000000003</v>
      </c>
      <c r="M212" s="21">
        <f>L125</f>
        <v>67.616</v>
      </c>
      <c r="N212" s="21">
        <f>M125</f>
        <v>45.331000000000003</v>
      </c>
      <c r="O212" s="21">
        <f>N125</f>
        <v>33.661999999999999</v>
      </c>
      <c r="P212" s="21">
        <f>O125</f>
        <v>24.268000000000001</v>
      </c>
      <c r="Q212" s="21">
        <f>P125</f>
        <v>20.396999999999998</v>
      </c>
      <c r="R212" s="21">
        <f>Q125</f>
        <v>51.040000000000077</v>
      </c>
      <c r="S212" s="21">
        <f>R125</f>
        <v>81.683000000000106</v>
      </c>
      <c r="T212" s="21">
        <f>S125</f>
        <v>112.32600000000014</v>
      </c>
      <c r="U212" s="21"/>
      <c r="V212" s="21"/>
      <c r="W212" s="21"/>
      <c r="X212" s="21"/>
      <c r="Y212" s="21"/>
      <c r="Z212" s="21"/>
      <c r="AA212" s="21"/>
      <c r="AB212" s="21"/>
      <c r="AC212" s="21"/>
      <c r="AD212" s="21"/>
      <c r="AE212" s="21"/>
      <c r="AF212" s="21"/>
      <c r="AG212" s="21"/>
      <c r="AH212" s="21"/>
      <c r="AI212" s="21"/>
      <c r="AJ212" s="21"/>
      <c r="AK212" s="21"/>
      <c r="AL212" s="21"/>
      <c r="AM212" s="21"/>
      <c r="AN212" s="21"/>
      <c r="AO212" s="575"/>
      <c r="AP212" s="21"/>
      <c r="AQ212" s="21"/>
      <c r="AR212" s="21"/>
      <c r="AS212" s="575"/>
      <c r="AT212" s="21"/>
      <c r="AU212" s="21"/>
      <c r="AV212" s="21"/>
      <c r="AW212" s="575"/>
      <c r="AX212" s="21"/>
      <c r="AY212" s="21"/>
      <c r="AZ212" s="21"/>
      <c r="BA212" s="575"/>
      <c r="BB212" s="21"/>
      <c r="BC212" s="21"/>
      <c r="BD212" s="21"/>
      <c r="BE212" s="575"/>
      <c r="BF212" s="21"/>
      <c r="BG212" s="21"/>
      <c r="BH212" s="21"/>
      <c r="BI212" s="575"/>
      <c r="BJ212" s="21"/>
      <c r="BK212" s="21"/>
      <c r="BL212" s="21"/>
      <c r="BM212" s="575"/>
      <c r="BN212" s="21"/>
      <c r="BO212" s="21"/>
      <c r="BP212" s="21"/>
      <c r="BQ212" s="575"/>
      <c r="BR212" s="21"/>
      <c r="BS212" s="21"/>
      <c r="BT212" s="21"/>
      <c r="BU212" s="575"/>
      <c r="BV212" s="21"/>
      <c r="BW212" s="21"/>
      <c r="BX212" s="21"/>
      <c r="BY212" s="575"/>
      <c r="BZ212" s="21"/>
      <c r="CA212" s="21"/>
      <c r="CB212" s="21"/>
      <c r="CC212" s="575"/>
      <c r="CD212" s="21"/>
      <c r="CE212" s="21"/>
      <c r="CF212" s="21"/>
      <c r="CG212" s="575"/>
    </row>
    <row r="213" spans="1:85">
      <c r="A213" s="29"/>
      <c r="B213" s="24" t="s">
        <v>18</v>
      </c>
      <c r="C213" s="21"/>
      <c r="D213" s="21">
        <f t="shared" ref="D213:I213" si="324">D212/D211</f>
        <v>0</v>
      </c>
      <c r="E213" s="69">
        <f t="shared" si="324"/>
        <v>4.9943158090111828</v>
      </c>
      <c r="F213" s="69">
        <f t="shared" si="324"/>
        <v>4.1119487149047309</v>
      </c>
      <c r="G213" s="69">
        <f t="shared" si="324"/>
        <v>3.9551891367604268</v>
      </c>
      <c r="H213" s="69">
        <f t="shared" si="324"/>
        <v>3.8039572748974719</v>
      </c>
      <c r="I213" s="69">
        <f t="shared" si="324"/>
        <v>4.0906115161434311</v>
      </c>
      <c r="J213" s="69">
        <f t="shared" ref="J213:T213" si="325">J212/J211</f>
        <v>3.8122633898094707</v>
      </c>
      <c r="K213" s="69">
        <f t="shared" si="325"/>
        <v>3.302210716353851</v>
      </c>
      <c r="L213" s="69">
        <f t="shared" si="325"/>
        <v>2.7915999591238889</v>
      </c>
      <c r="M213" s="69">
        <f t="shared" si="325"/>
        <v>2.3032326191368329</v>
      </c>
      <c r="N213" s="69">
        <f>N212/N211</f>
        <v>1.5441291685117691</v>
      </c>
      <c r="O213" s="69">
        <f t="shared" si="325"/>
        <v>1.1466430493579045</v>
      </c>
      <c r="P213" s="69">
        <f t="shared" ref="P213" si="326">P212/P211</f>
        <v>0.82665122458016826</v>
      </c>
      <c r="Q213" s="69">
        <f t="shared" si="325"/>
        <v>0.69479170214940211</v>
      </c>
      <c r="R213" s="69">
        <f t="shared" si="325"/>
        <v>1.7385972681132296</v>
      </c>
      <c r="S213" s="69">
        <f t="shared" si="325"/>
        <v>2.7824028340770552</v>
      </c>
      <c r="T213" s="69">
        <f t="shared" si="325"/>
        <v>3.8262084000408807</v>
      </c>
      <c r="U213" s="21"/>
      <c r="V213" s="21"/>
      <c r="W213" s="21"/>
      <c r="X213" s="21"/>
      <c r="Y213" s="21"/>
      <c r="Z213" s="21"/>
      <c r="AA213" s="21"/>
      <c r="AB213" s="21"/>
      <c r="AC213" s="21"/>
      <c r="AD213" s="21"/>
      <c r="AE213" s="21"/>
      <c r="AF213" s="21"/>
      <c r="AG213" s="21"/>
      <c r="AH213" s="21"/>
      <c r="AI213" s="21"/>
      <c r="AJ213" s="21"/>
      <c r="AK213" s="21"/>
      <c r="AL213" s="21"/>
      <c r="AM213" s="21"/>
      <c r="AN213" s="21"/>
      <c r="AO213" s="575"/>
      <c r="AP213" s="21"/>
      <c r="AQ213" s="21"/>
      <c r="AR213" s="21"/>
      <c r="AS213" s="608"/>
      <c r="AT213" s="147"/>
      <c r="AU213" s="147"/>
      <c r="AV213" s="147"/>
      <c r="AW213" s="608"/>
      <c r="AX213" s="147"/>
      <c r="AY213" s="147"/>
      <c r="AZ213" s="147"/>
      <c r="BA213" s="608"/>
      <c r="BB213" s="147"/>
      <c r="BC213" s="147"/>
      <c r="BD213" s="147"/>
      <c r="BE213" s="608"/>
      <c r="BF213" s="147"/>
      <c r="BG213" s="147"/>
      <c r="BH213" s="147"/>
      <c r="BI213" s="608"/>
      <c r="BJ213" s="147"/>
      <c r="BK213" s="147"/>
      <c r="BL213" s="147"/>
      <c r="BM213" s="608"/>
      <c r="BN213" s="147"/>
      <c r="BO213" s="147"/>
      <c r="BP213" s="147"/>
      <c r="BQ213" s="608"/>
      <c r="BR213" s="147"/>
      <c r="BS213" s="147"/>
      <c r="BT213" s="147"/>
      <c r="BU213" s="608"/>
      <c r="BV213" s="147"/>
      <c r="BW213" s="147"/>
      <c r="BX213" s="147"/>
      <c r="BY213" s="608"/>
      <c r="BZ213" s="147"/>
      <c r="CA213" s="147"/>
      <c r="CB213" s="147"/>
      <c r="CC213" s="608"/>
      <c r="CD213" s="147"/>
      <c r="CE213" s="147"/>
      <c r="CF213" s="147"/>
      <c r="CG213" s="608"/>
    </row>
    <row r="214" spans="1:85">
      <c r="A214" s="29"/>
      <c r="B214" s="21"/>
      <c r="C214" s="21"/>
      <c r="D214" s="21"/>
      <c r="E214" s="21"/>
      <c r="F214" s="21"/>
      <c r="G214" s="21"/>
      <c r="H214" s="21"/>
      <c r="I214" s="21"/>
      <c r="J214" s="21"/>
      <c r="K214" s="21"/>
      <c r="L214" s="21"/>
      <c r="M214" s="21"/>
      <c r="N214" s="21"/>
      <c r="O214" s="21"/>
      <c r="P214" s="21"/>
      <c r="Q214" s="21"/>
      <c r="R214" s="21"/>
      <c r="S214" s="21"/>
      <c r="T214" s="21"/>
      <c r="U214" s="21"/>
      <c r="V214" s="7"/>
      <c r="W214" s="7"/>
      <c r="X214" s="7"/>
      <c r="Y214" s="7"/>
      <c r="Z214" s="7"/>
      <c r="AA214" s="7"/>
      <c r="AB214" s="7"/>
      <c r="AC214" s="7"/>
      <c r="AD214" s="7"/>
      <c r="AE214" s="7"/>
      <c r="AF214" s="7"/>
      <c r="AG214" s="7"/>
      <c r="AH214" s="7"/>
      <c r="AI214" s="7"/>
      <c r="AJ214" s="7"/>
      <c r="AK214" s="7"/>
      <c r="AP214" s="7"/>
      <c r="AQ214" s="7"/>
      <c r="AS214" s="605"/>
      <c r="AT214" s="7"/>
    </row>
    <row r="215" spans="1:85">
      <c r="A215" s="16"/>
      <c r="B215" s="13" t="s">
        <v>162</v>
      </c>
      <c r="C215" s="21"/>
      <c r="D215" s="21"/>
      <c r="E215" s="21"/>
      <c r="F215" s="21"/>
      <c r="G215" s="21"/>
      <c r="H215" s="21"/>
      <c r="I215" s="21"/>
      <c r="J215" s="21"/>
      <c r="K215" s="21"/>
      <c r="L215" s="21"/>
      <c r="M215" s="21"/>
      <c r="N215" s="21"/>
      <c r="O215" s="21"/>
      <c r="P215" s="21"/>
      <c r="Q215" s="21"/>
      <c r="R215" s="21"/>
      <c r="S215" s="21"/>
      <c r="T215" s="21"/>
      <c r="U215" s="21"/>
      <c r="V215" s="7"/>
      <c r="W215" s="7"/>
      <c r="X215" s="7"/>
      <c r="Y215" s="7"/>
      <c r="Z215" s="7"/>
      <c r="AA215" s="7"/>
      <c r="AB215" s="7"/>
      <c r="AC215" s="7"/>
      <c r="AD215" s="7"/>
      <c r="AE215" s="7"/>
      <c r="AF215" s="7"/>
      <c r="AG215" s="7"/>
      <c r="AH215" s="7"/>
      <c r="AI215" s="7"/>
      <c r="AJ215" s="7"/>
      <c r="AK215" s="7"/>
      <c r="AP215" s="7"/>
      <c r="AQ215" s="7"/>
      <c r="AS215" s="605"/>
      <c r="AT215" s="7"/>
    </row>
    <row r="216" spans="1:85" s="168" customFormat="1">
      <c r="A216" s="17"/>
      <c r="B216" s="52" t="s">
        <v>1</v>
      </c>
      <c r="C216" s="38"/>
      <c r="D216" s="48">
        <f ca="1">-D181/D9</f>
        <v>0.31424423044576899</v>
      </c>
      <c r="E216" s="48">
        <f ca="1">-E181/E9</f>
        <v>0.33154582363350438</v>
      </c>
      <c r="F216" s="48">
        <f ca="1">-F181/F9</f>
        <v>0.5503504492681367</v>
      </c>
      <c r="G216" s="48">
        <f ca="1">-G181/G9</f>
        <v>0.94613304600264925</v>
      </c>
      <c r="H216" s="48">
        <f ca="1">-H181/H9</f>
        <v>0.73752851741678549</v>
      </c>
      <c r="I216" s="48">
        <f ca="1">-I181/I9</f>
        <v>0.53817309844332595</v>
      </c>
      <c r="J216" s="48">
        <f>-J181/J9</f>
        <v>0.65132016463863984</v>
      </c>
      <c r="K216" s="48">
        <f>-K181/K9</f>
        <v>1.4673244645793737</v>
      </c>
      <c r="L216" s="48">
        <f>-L181/L9</f>
        <v>0.82963569369875179</v>
      </c>
      <c r="M216" s="48">
        <f>-M181/M9</f>
        <v>0.87315441002991234</v>
      </c>
      <c r="N216" s="48">
        <f>-N181/N9</f>
        <v>1.1809901353463383</v>
      </c>
      <c r="O216" s="48">
        <f>-O181/O9</f>
        <v>0.9123128359544258</v>
      </c>
      <c r="P216" s="48">
        <f>-P181/P9</f>
        <v>0.86871176273874884</v>
      </c>
      <c r="Q216" s="48">
        <f>-Q181/Q9</f>
        <v>0.77659046562776324</v>
      </c>
      <c r="R216" s="48">
        <f>-R181/R9</f>
        <v>0.69203476801001684</v>
      </c>
      <c r="S216" s="48">
        <f>-S181/S9</f>
        <v>0.57290924384589592</v>
      </c>
      <c r="T216" s="48">
        <f>-T181/T9</f>
        <v>0.48295659559918463</v>
      </c>
      <c r="U216" s="48"/>
      <c r="V216" s="48"/>
      <c r="W216" s="48"/>
      <c r="X216" s="48"/>
      <c r="Y216" s="48"/>
      <c r="Z216" s="48"/>
      <c r="AA216" s="48"/>
      <c r="AB216" s="48"/>
      <c r="AC216" s="48"/>
      <c r="AD216" s="48"/>
      <c r="AE216" s="48"/>
      <c r="AF216" s="48"/>
      <c r="AG216" s="48"/>
      <c r="AH216" s="48"/>
      <c r="AI216" s="48"/>
      <c r="AJ216" s="48"/>
      <c r="AK216" s="48"/>
      <c r="AL216" s="48"/>
      <c r="AM216" s="48"/>
      <c r="AN216" s="48"/>
      <c r="AO216" s="583"/>
      <c r="AP216" s="48"/>
      <c r="AQ216" s="48"/>
      <c r="AR216" s="48"/>
      <c r="AS216" s="583"/>
      <c r="AT216" s="48"/>
      <c r="AU216" s="48"/>
      <c r="AV216" s="48"/>
      <c r="AW216" s="583"/>
      <c r="AX216" s="48"/>
      <c r="AY216" s="48"/>
      <c r="AZ216" s="48"/>
      <c r="BA216" s="583"/>
      <c r="BB216" s="48"/>
      <c r="BC216" s="48"/>
      <c r="BD216" s="48"/>
      <c r="BE216" s="583"/>
      <c r="BF216" s="48"/>
      <c r="BG216" s="48"/>
      <c r="BH216" s="48"/>
      <c r="BI216" s="583"/>
      <c r="BJ216" s="48"/>
      <c r="BK216" s="48"/>
      <c r="BL216" s="48"/>
      <c r="BM216" s="583"/>
      <c r="BN216" s="48"/>
      <c r="BO216" s="48"/>
      <c r="BP216" s="48"/>
      <c r="BQ216" s="583"/>
      <c r="BR216" s="48"/>
      <c r="BS216" s="48"/>
      <c r="BT216" s="48"/>
      <c r="BU216" s="583"/>
      <c r="BV216" s="48"/>
      <c r="BW216" s="48"/>
      <c r="BX216" s="48"/>
      <c r="BY216" s="583"/>
      <c r="BZ216" s="48"/>
      <c r="CA216" s="48"/>
      <c r="CB216" s="48"/>
      <c r="CC216" s="583"/>
      <c r="CD216" s="48"/>
      <c r="CE216" s="48"/>
      <c r="CF216" s="48"/>
      <c r="CG216" s="583"/>
    </row>
    <row r="217" spans="1:85">
      <c r="A217" s="17"/>
      <c r="B217" s="52"/>
      <c r="C217" s="66"/>
      <c r="D217" s="66"/>
      <c r="E217" s="66"/>
      <c r="F217" s="66"/>
      <c r="G217" s="66"/>
      <c r="H217" s="66"/>
      <c r="I217" s="66"/>
      <c r="J217" s="66"/>
      <c r="K217" s="66"/>
      <c r="L217" s="66"/>
      <c r="M217" s="66"/>
      <c r="N217" s="66"/>
      <c r="O217" s="66"/>
      <c r="P217" s="66"/>
      <c r="Q217" s="66"/>
      <c r="R217" s="66"/>
      <c r="S217" s="66"/>
      <c r="T217" s="66"/>
      <c r="U217" s="66"/>
      <c r="V217" s="7"/>
      <c r="W217" s="7"/>
      <c r="X217" s="7"/>
      <c r="Y217" s="7"/>
      <c r="Z217" s="7"/>
      <c r="AA217" s="7"/>
      <c r="AB217" s="7"/>
      <c r="AC217" s="7"/>
      <c r="AD217" s="7"/>
      <c r="AE217" s="7"/>
      <c r="AF217" s="7"/>
      <c r="AG217" s="7"/>
      <c r="AH217" s="7"/>
      <c r="AI217" s="7"/>
      <c r="AJ217" s="7"/>
      <c r="AK217" s="7"/>
      <c r="AP217" s="7"/>
      <c r="AQ217" s="7"/>
      <c r="AT217" s="7"/>
    </row>
    <row r="218" spans="1:85">
      <c r="B218" s="181" t="s">
        <v>185</v>
      </c>
    </row>
    <row r="220" spans="1:85">
      <c r="B220" s="99"/>
      <c r="C220" s="196"/>
      <c r="D220" s="196"/>
      <c r="E220" s="196"/>
      <c r="F220" s="196"/>
      <c r="G220" s="196"/>
      <c r="H220" s="196"/>
      <c r="I220" s="196"/>
      <c r="J220" s="196"/>
      <c r="K220" s="196"/>
      <c r="L220" s="196"/>
      <c r="M220" s="196"/>
      <c r="N220" s="196"/>
      <c r="O220" s="196"/>
      <c r="P220" s="196"/>
      <c r="Q220" s="196"/>
      <c r="R220" s="196"/>
      <c r="S220" s="196"/>
      <c r="T220" s="196"/>
    </row>
    <row r="221" spans="1:85">
      <c r="B221" s="99" t="s">
        <v>879</v>
      </c>
      <c r="C221" s="196"/>
      <c r="D221" s="197">
        <f ca="1">D9/AVERAGE(C128:D128)</f>
        <v>0.45739215173038289</v>
      </c>
      <c r="E221" s="197">
        <f ca="1">E9/AVERAGE(D128:E128)</f>
        <v>0.38278632644212135</v>
      </c>
      <c r="F221" s="197">
        <f ca="1">F9/AVERAGE(E128:F128)</f>
        <v>0.34714203468509924</v>
      </c>
      <c r="G221" s="197">
        <f ca="1">G9/AVERAGE(F128:G128)</f>
        <v>0.33825586709710181</v>
      </c>
      <c r="H221" s="197">
        <f ca="1">H9/AVERAGE(G128:H128)</f>
        <v>0.28149343218299544</v>
      </c>
      <c r="I221" s="197">
        <f ca="1">I9/AVERAGE(H128:I128)</f>
        <v>0.25509723331687467</v>
      </c>
      <c r="J221" s="197">
        <f>J9/AVERAGE(I128:J128)</f>
        <v>0.20190900566195347</v>
      </c>
      <c r="K221" s="197">
        <f>K9/AVERAGE(J128:K128)</f>
        <v>0.16361416668210899</v>
      </c>
      <c r="L221" s="197">
        <f>L9/AVERAGE(K128:L128)</f>
        <v>0.16144118723357784</v>
      </c>
      <c r="M221" s="197">
        <f>M9/AVERAGE(L128:M128)</f>
        <v>0.18201701791413713</v>
      </c>
      <c r="N221" s="197">
        <f>N9/AVERAGE(M128:N128)</f>
        <v>0.13803271738478229</v>
      </c>
      <c r="O221" s="197">
        <f>O9/AVERAGE(N128:O128)</f>
        <v>0.16565322888756678</v>
      </c>
      <c r="P221" s="197">
        <f>P9/AVERAGE(O128:P128)</f>
        <v>0.18390148819674818</v>
      </c>
      <c r="Q221" s="197">
        <f>Q9/AVERAGE(P128:Q128)</f>
        <v>0.21151414158163856</v>
      </c>
      <c r="R221" s="197">
        <f>R9/AVERAGE(Q128:R128)</f>
        <v>0.23529234829944079</v>
      </c>
      <c r="S221" s="197">
        <f>S9/AVERAGE(R128:S128)</f>
        <v>0.26714143900992943</v>
      </c>
      <c r="T221" s="197">
        <f>T9/AVERAGE(S128:T128)</f>
        <v>0.30195435942288756</v>
      </c>
    </row>
    <row r="222" spans="1:85">
      <c r="B222" s="99" t="s">
        <v>880</v>
      </c>
      <c r="C222" s="196"/>
      <c r="D222" s="197">
        <f>AVERAGE(C128:D128)/AVERAGE(C145:D145)</f>
        <v>1.8211784334471923</v>
      </c>
      <c r="E222" s="197">
        <f>AVERAGE(D128:E128)/AVERAGE(D145:E145)</f>
        <v>1.8947747932830739</v>
      </c>
      <c r="F222" s="197">
        <f>AVERAGE(E128:F128)/AVERAGE(E145:F145)</f>
        <v>1.9293505759200245</v>
      </c>
      <c r="G222" s="197">
        <f>AVERAGE(F128:G128)/AVERAGE(F145:G145)</f>
        <v>2.1864804778358815</v>
      </c>
      <c r="H222" s="197">
        <f>AVERAGE(G128:H128)/AVERAGE(G145:H145)</f>
        <v>2.3480836518020007</v>
      </c>
      <c r="I222" s="197">
        <f>AVERAGE(H128:I128)/AVERAGE(H145:I145)</f>
        <v>2.3414033627868194</v>
      </c>
      <c r="J222" s="197">
        <f>AVERAGE(I128:J128)/AVERAGE(I145:J145)</f>
        <v>2.5191405902134667</v>
      </c>
      <c r="K222" s="197">
        <f>AVERAGE(J128:K128)/AVERAGE(J145:K145)</f>
        <v>2.2308835095405941</v>
      </c>
      <c r="L222" s="197">
        <f>AVERAGE(K128:L128)/AVERAGE(K145:L145)</f>
        <v>2.0860963305020026</v>
      </c>
      <c r="M222" s="197">
        <f>AVERAGE(L128:M128)/AVERAGE(L145:M145)</f>
        <v>2.2016396030373855</v>
      </c>
      <c r="N222" s="197">
        <f>AVERAGE(M128:N128)/AVERAGE(M145:N145)</f>
        <v>2.3326815227724946</v>
      </c>
      <c r="O222" s="197">
        <f>AVERAGE(N128:O128)/AVERAGE(N145:O145)</f>
        <v>2.3802831746736661</v>
      </c>
      <c r="P222" s="197">
        <f>AVERAGE(O128:P128)/AVERAGE(O145:P145)</f>
        <v>2.4119896477530434</v>
      </c>
      <c r="Q222" s="197">
        <f>AVERAGE(P128:Q128)/AVERAGE(P145:Q145)</f>
        <v>2.4846642788742845</v>
      </c>
      <c r="R222" s="197">
        <f>AVERAGE(Q128:R128)/AVERAGE(Q145:R145)</f>
        <v>2.5175177126975194</v>
      </c>
      <c r="S222" s="197">
        <f>AVERAGE(R128:S128)/AVERAGE(R145:S145)</f>
        <v>2.4745147349751995</v>
      </c>
      <c r="T222" s="197">
        <f>AVERAGE(S128:T128)/AVERAGE(S145:T145)</f>
        <v>2.3645036516077296</v>
      </c>
    </row>
    <row r="223" spans="1:85">
      <c r="B223" s="202" t="s">
        <v>842</v>
      </c>
      <c r="C223" s="196"/>
      <c r="D223" s="198">
        <f ca="1">D78</f>
        <v>8.3702278048337242E-2</v>
      </c>
      <c r="E223" s="198">
        <f ca="1">E78</f>
        <v>7.7650578740952894E-2</v>
      </c>
      <c r="F223" s="199">
        <f ca="1">F78</f>
        <v>0.11331125931457266</v>
      </c>
      <c r="G223" s="199">
        <f ca="1">G78</f>
        <v>0.12924047244851039</v>
      </c>
      <c r="H223" s="199">
        <f ca="1">H78</f>
        <v>5.7939006989286314E-2</v>
      </c>
      <c r="I223" s="199">
        <f ca="1">I78</f>
        <v>3.9897511416720925E-2</v>
      </c>
      <c r="J223" s="199">
        <f>J78</f>
        <v>7.5322755411994721E-2</v>
      </c>
      <c r="K223" s="199">
        <f>K78</f>
        <v>0.18314680795244406</v>
      </c>
      <c r="L223" s="199">
        <f>L78</f>
        <v>0.31265257815749525</v>
      </c>
      <c r="M223" s="199">
        <f>M78</f>
        <v>0.2499478914889065</v>
      </c>
      <c r="N223" s="199">
        <f>N78</f>
        <v>0.14276950626111282</v>
      </c>
      <c r="O223" s="199">
        <f>O78</f>
        <v>6.1363991003149466E-2</v>
      </c>
      <c r="P223" s="199">
        <f>P78</f>
        <v>7.3458321552764064E-2</v>
      </c>
      <c r="Q223" s="199">
        <f>Q78</f>
        <v>0.1022360146432639</v>
      </c>
      <c r="R223" s="199">
        <f>R78</f>
        <v>0.11396848201007295</v>
      </c>
      <c r="S223" s="199">
        <f>S78</f>
        <v>0.13599472285950626</v>
      </c>
      <c r="T223" s="199">
        <f>T78</f>
        <v>0.14855987502862905</v>
      </c>
    </row>
    <row r="224" spans="1:85">
      <c r="B224" s="99" t="s">
        <v>839</v>
      </c>
      <c r="C224" s="196"/>
      <c r="D224" s="199">
        <f ca="1">D52/AVERAGE(C145:D145)</f>
        <v>6.9723388459166147E-2</v>
      </c>
      <c r="E224" s="199">
        <f ca="1">E52/AVERAGE(D145:E145)</f>
        <v>5.6319489737742826E-2</v>
      </c>
      <c r="F224" s="199">
        <f ca="1">F52/AVERAGE(E145:F145)</f>
        <v>7.5891199982750013E-2</v>
      </c>
      <c r="G224" s="199">
        <f ca="1">G52/AVERAGE(F145:G145)</f>
        <v>9.5584941621946737E-2</v>
      </c>
      <c r="H224" s="199">
        <f ca="1">H52/AVERAGE(G145:H145)</f>
        <v>3.8295952761525906E-2</v>
      </c>
      <c r="I224" s="199">
        <f ca="1">I52/AVERAGE(H145:I145)</f>
        <v>2.3830205850279472E-2</v>
      </c>
      <c r="J224" s="199">
        <f>J52/AVERAGE(I145:J145)</f>
        <v>3.8311953276855562E-2</v>
      </c>
      <c r="K224" s="199">
        <f>K52/AVERAGE(J145:K145)</f>
        <v>6.6849344298600163E-2</v>
      </c>
      <c r="L224" s="199">
        <f>L52/AVERAGE(K145:L145)</f>
        <v>0.10529571939439415</v>
      </c>
      <c r="M224" s="199">
        <f>M52/AVERAGE(L145:M145)</f>
        <v>0.10016308701684093</v>
      </c>
      <c r="N224" s="199">
        <f>N52/AVERAGE(M145:N145)</f>
        <v>4.5969834979413517E-2</v>
      </c>
      <c r="O224" s="199">
        <f>O52/AVERAGE(N145:O145)</f>
        <v>2.4195919439218116E-2</v>
      </c>
      <c r="P224" s="199">
        <f>P52/AVERAGE(O145:P145)</f>
        <v>3.2583796455936419E-2</v>
      </c>
      <c r="Q224" s="199">
        <f>Q52/AVERAGE(P145:Q145)</f>
        <v>5.3729281991406912E-2</v>
      </c>
      <c r="R224" s="199">
        <f>R52/AVERAGE(Q145:R145)</f>
        <v>6.7509532848690143E-2</v>
      </c>
      <c r="S224" s="199">
        <f>S52/AVERAGE(R145:S145)</f>
        <v>8.989868966315484E-2</v>
      </c>
      <c r="T224" s="199">
        <f>T52/AVERAGE(S145:T145)</f>
        <v>0.10606761864797776</v>
      </c>
    </row>
    <row r="225" spans="2:53">
      <c r="B225" s="99"/>
      <c r="C225" s="196"/>
      <c r="D225" s="200"/>
      <c r="E225" s="200"/>
      <c r="F225" s="200"/>
      <c r="G225" s="200"/>
      <c r="H225" s="200"/>
      <c r="I225" s="200"/>
      <c r="J225" s="200"/>
      <c r="K225" s="479"/>
      <c r="L225" s="200"/>
      <c r="M225" s="200"/>
      <c r="N225" s="200"/>
      <c r="O225" s="200"/>
      <c r="P225" s="200"/>
      <c r="Q225" s="200"/>
      <c r="R225" s="200"/>
      <c r="S225" s="200"/>
      <c r="T225" s="200"/>
    </row>
    <row r="226" spans="2:53">
      <c r="B226" s="99" t="s">
        <v>865</v>
      </c>
      <c r="C226" s="196"/>
      <c r="D226" s="201">
        <v>240.31100000000001</v>
      </c>
      <c r="E226" s="201">
        <v>644.07100000000003</v>
      </c>
      <c r="F226" s="201">
        <v>282.70800000000003</v>
      </c>
      <c r="G226" s="201">
        <v>31.542999999999999</v>
      </c>
      <c r="H226" s="201">
        <v>676.96199999999999</v>
      </c>
      <c r="I226" s="201">
        <v>0</v>
      </c>
      <c r="J226" s="196"/>
      <c r="K226" s="196"/>
      <c r="L226" s="196"/>
      <c r="M226" s="196"/>
      <c r="N226" s="196"/>
      <c r="O226" s="196"/>
      <c r="P226" s="196"/>
      <c r="Q226" s="196"/>
      <c r="R226" s="196"/>
      <c r="S226" s="196"/>
      <c r="T226" s="196"/>
    </row>
    <row r="227" spans="2:53">
      <c r="B227" s="99"/>
      <c r="C227" s="196"/>
      <c r="D227" s="196"/>
      <c r="E227" s="196"/>
      <c r="F227" s="196"/>
      <c r="G227" s="196"/>
      <c r="H227" s="196"/>
      <c r="I227" s="196"/>
      <c r="J227" s="196"/>
      <c r="K227" s="196"/>
      <c r="L227" s="196"/>
      <c r="M227" s="196"/>
      <c r="N227" s="196"/>
      <c r="O227" s="196"/>
      <c r="P227" s="196"/>
      <c r="Q227" s="196"/>
      <c r="R227" s="196"/>
      <c r="S227" s="196"/>
      <c r="T227" s="196"/>
    </row>
    <row r="228" spans="2:53">
      <c r="B228" s="99" t="s">
        <v>876</v>
      </c>
      <c r="C228" s="196"/>
      <c r="D228" s="196">
        <f>D179+D181</f>
        <v>87.855999999999995</v>
      </c>
      <c r="E228" s="196">
        <f>E179+E181</f>
        <v>-45.032000000000039</v>
      </c>
      <c r="F228" s="196">
        <f>F179+F181</f>
        <v>-561.6149999999999</v>
      </c>
      <c r="G228" s="196">
        <f>G179+G181</f>
        <v>-1780.0000000000002</v>
      </c>
      <c r="H228" s="196">
        <f>H179+H181</f>
        <v>-1206.519</v>
      </c>
      <c r="I228" s="196">
        <f>I179+I181</f>
        <v>-1008.8269999999999</v>
      </c>
      <c r="J228" s="196">
        <f>J179+J181</f>
        <v>-1010.2900000000003</v>
      </c>
      <c r="K228" s="196">
        <f>K179+K181</f>
        <v>-4072.3899999999994</v>
      </c>
      <c r="L228" s="196">
        <f>L179+L181</f>
        <v>-1503.9050000000002</v>
      </c>
      <c r="M228" s="196">
        <f>M179+M181</f>
        <v>-1002.7840000000006</v>
      </c>
      <c r="N228" s="196">
        <f>N179+N181</f>
        <v>-4107.405999999999</v>
      </c>
      <c r="O228" s="196">
        <f>O179+O181</f>
        <v>-4150.244999999999</v>
      </c>
      <c r="P228" s="196">
        <f>P179+P181</f>
        <v>-4907.9969999999994</v>
      </c>
      <c r="Q228" s="196">
        <f>Q179+Q181</f>
        <v>-2355.6227789446348</v>
      </c>
      <c r="R228" s="196">
        <f>R179+R181</f>
        <v>-3128.7514846842623</v>
      </c>
      <c r="S228" s="196">
        <f>S179+S181</f>
        <v>-954.64286916816309</v>
      </c>
      <c r="T228" s="196">
        <f>T179+T181</f>
        <v>618.39804621258008</v>
      </c>
    </row>
    <row r="229" spans="2:53" ht="15">
      <c r="V229" s="95">
        <f t="shared" ref="V229:AA229" si="327">W229-1</f>
        <v>2007</v>
      </c>
      <c r="W229" s="95">
        <f t="shared" si="327"/>
        <v>2008</v>
      </c>
      <c r="X229" s="95">
        <f t="shared" si="327"/>
        <v>2009</v>
      </c>
      <c r="Y229" s="95">
        <f t="shared" si="327"/>
        <v>2010</v>
      </c>
      <c r="Z229" s="95">
        <f t="shared" si="327"/>
        <v>2011</v>
      </c>
      <c r="AA229" s="95">
        <f t="shared" si="327"/>
        <v>2012</v>
      </c>
      <c r="AB229" s="95">
        <v>2013</v>
      </c>
      <c r="AC229" s="95">
        <v>2014</v>
      </c>
      <c r="AD229" s="95">
        <v>2015</v>
      </c>
      <c r="AE229" s="95">
        <v>2016</v>
      </c>
      <c r="AF229" s="95">
        <v>2017</v>
      </c>
      <c r="AG229" s="95">
        <v>2018</v>
      </c>
      <c r="AH229" s="97">
        <v>2019</v>
      </c>
      <c r="AI229" s="97">
        <v>2020</v>
      </c>
      <c r="AJ229" s="97">
        <v>2021</v>
      </c>
      <c r="AK229" s="97">
        <v>2022</v>
      </c>
      <c r="AL229" s="97">
        <v>2023</v>
      </c>
      <c r="AM229" s="97">
        <v>2024</v>
      </c>
      <c r="AN229" s="97">
        <v>2025</v>
      </c>
      <c r="AO229" s="600">
        <v>2026</v>
      </c>
    </row>
    <row r="230" spans="2:53">
      <c r="B230" s="7" t="s">
        <v>888</v>
      </c>
      <c r="D230" s="478">
        <f>D159/D147</f>
        <v>0.27364141814959386</v>
      </c>
      <c r="E230" s="478">
        <f>E159/E147</f>
        <v>0.207451230786626</v>
      </c>
      <c r="F230" s="478">
        <f>F159/F147</f>
        <v>9.778450237515382E-2</v>
      </c>
      <c r="G230" s="478">
        <f>G159/G147</f>
        <v>0.16643239308657592</v>
      </c>
      <c r="H230" s="478">
        <f>H159/H147</f>
        <v>0.21941295888391218</v>
      </c>
      <c r="I230" s="478">
        <f>I159/I147</f>
        <v>0.18375338149038836</v>
      </c>
      <c r="J230" s="478">
        <f>J159/J147</f>
        <v>8.1245853297485265E-2</v>
      </c>
      <c r="K230" s="478">
        <f>K159/K147</f>
        <v>-0.19862277645823412</v>
      </c>
      <c r="L230" s="478">
        <f>L159/L147</f>
        <v>-0.11222356128747288</v>
      </c>
      <c r="M230" s="478">
        <f>M159/M147</f>
        <v>3.6390997527365784E-2</v>
      </c>
      <c r="N230" s="478">
        <f>N159/N147</f>
        <v>0.10814739443037864</v>
      </c>
      <c r="O230" s="478">
        <f>O159/O147</f>
        <v>0.14434638740083122</v>
      </c>
      <c r="P230" s="478">
        <f>P159/P147</f>
        <v>0.19175470337778788</v>
      </c>
      <c r="Q230" s="478">
        <f>Q159/Q147</f>
        <v>0.1610430110015264</v>
      </c>
      <c r="R230" s="478">
        <f>R159/R147</f>
        <v>0.17641958566729293</v>
      </c>
      <c r="S230" s="478">
        <f>S159/S147</f>
        <v>0.16444735228753501</v>
      </c>
      <c r="T230" s="478">
        <f>T159/T147</f>
        <v>0.14306178173997267</v>
      </c>
      <c r="W230" s="478">
        <v>0.24399999999999999</v>
      </c>
      <c r="X230" s="478">
        <v>0.41599999999999998</v>
      </c>
      <c r="Y230" s="478">
        <v>0.20399999999999999</v>
      </c>
      <c r="Z230" s="478">
        <v>0.3</v>
      </c>
      <c r="AA230" s="478">
        <v>0.33</v>
      </c>
      <c r="AB230" s="478">
        <v>0.27364141814959386</v>
      </c>
      <c r="AC230" s="478">
        <v>0.207451230786626</v>
      </c>
      <c r="AD230" s="478">
        <v>9.778450237515382E-2</v>
      </c>
      <c r="AE230" s="478">
        <v>0.16643239308657592</v>
      </c>
      <c r="AF230" s="478">
        <v>0.21941295888391218</v>
      </c>
      <c r="AG230" s="478">
        <v>0.18375338149038836</v>
      </c>
      <c r="AH230" s="478">
        <v>0.20851568031947054</v>
      </c>
      <c r="AI230" s="478">
        <v>0.21902884823511984</v>
      </c>
      <c r="AJ230" s="478">
        <v>0.21478257843629003</v>
      </c>
      <c r="AK230" s="478">
        <v>0.21777986761358881</v>
      </c>
      <c r="AL230" s="478">
        <v>0.23848567654021183</v>
      </c>
      <c r="AM230" s="478">
        <v>0.24145512018451989</v>
      </c>
      <c r="AN230" s="478">
        <v>0.21526561045079531</v>
      </c>
      <c r="AO230" s="601">
        <v>0.17870889355932665</v>
      </c>
    </row>
    <row r="231" spans="2:53">
      <c r="AE231" s="26">
        <f>-G181</f>
        <v>2757.2020000000002</v>
      </c>
      <c r="AF231" s="26">
        <f t="shared" ref="AF231:AO231" si="328">-H181</f>
        <v>2287.2049999999999</v>
      </c>
      <c r="AG231" s="26">
        <f t="shared" si="328"/>
        <v>1808.2529999999999</v>
      </c>
      <c r="AH231" s="26">
        <f t="shared" si="328"/>
        <v>2029.3000000000002</v>
      </c>
      <c r="AI231" s="26">
        <f t="shared" si="328"/>
        <v>5732.7999999999993</v>
      </c>
      <c r="AJ231" s="26">
        <f t="shared" si="328"/>
        <v>4515.8</v>
      </c>
      <c r="AK231" s="26">
        <f t="shared" si="328"/>
        <v>6350.7000000000007</v>
      </c>
      <c r="AL231" s="26">
        <f t="shared" si="328"/>
        <v>7465.6999999999989</v>
      </c>
      <c r="AM231" s="26">
        <f t="shared" si="328"/>
        <v>7325.7999999999993</v>
      </c>
      <c r="AN231" s="26">
        <f t="shared" si="328"/>
        <v>8102.2999999999993</v>
      </c>
      <c r="AO231" s="584">
        <f t="shared" si="328"/>
        <v>8991.7458499999993</v>
      </c>
    </row>
    <row r="232" spans="2:53">
      <c r="B232" s="7" t="s">
        <v>1039</v>
      </c>
      <c r="F232" s="478"/>
      <c r="G232" s="478"/>
      <c r="H232" s="478">
        <f ca="1">Assumption!AZ292/H27</f>
        <v>0.1101400467217683</v>
      </c>
      <c r="I232" s="478">
        <f ca="1">Assumption!BA292/I27</f>
        <v>0.1313334274022859</v>
      </c>
      <c r="J232" s="478">
        <f>Assumption!BB292/J27</f>
        <v>0.24942252091927514</v>
      </c>
      <c r="K232" s="478">
        <f>Assumption!BC292/K27</f>
        <v>0.22311630228783413</v>
      </c>
      <c r="L232" s="478">
        <f>Assumption!BD292/L27</f>
        <v>0.11598245665668463</v>
      </c>
      <c r="M232" s="478">
        <f>Assumption!BE292/M27</f>
        <v>7.0246211383380733E-2</v>
      </c>
      <c r="N232" s="478">
        <f>Assumption!BF292/N27</f>
        <v>0.10269854461332387</v>
      </c>
    </row>
    <row r="235" spans="2:53">
      <c r="B235" s="7" t="s">
        <v>1060</v>
      </c>
      <c r="F235" s="26">
        <f t="shared" ref="F235:S235" ca="1" si="329">F45+F39-(F31+F32)</f>
        <v>747.39400000000001</v>
      </c>
      <c r="G235" s="26">
        <f t="shared" ca="1" si="329"/>
        <v>1027.954</v>
      </c>
      <c r="H235" s="26">
        <f t="shared" ca="1" si="329"/>
        <v>1082.9079999999999</v>
      </c>
      <c r="I235" s="26">
        <f t="shared" ca="1" si="329"/>
        <v>1171.9459999999997</v>
      </c>
      <c r="J235" s="26">
        <f t="shared" si="329"/>
        <v>1385.5600000000009</v>
      </c>
      <c r="K235" s="26">
        <f t="shared" si="329"/>
        <v>2147.6590000000001</v>
      </c>
      <c r="L235" s="26">
        <f t="shared" si="329"/>
        <v>3822.5180000000005</v>
      </c>
      <c r="M235" s="26">
        <f t="shared" si="329"/>
        <v>4709.0190000000002</v>
      </c>
      <c r="N235" s="26">
        <f>N45+N39-(N31+N32)</f>
        <v>4381.9070000000011</v>
      </c>
      <c r="O235" s="26">
        <f t="shared" si="329"/>
        <v>4331.0690000000013</v>
      </c>
      <c r="P235" s="26">
        <f t="shared" si="329"/>
        <v>4908.2359999999981</v>
      </c>
      <c r="Q235" s="26">
        <f t="shared" si="329"/>
        <v>6356.0237987253049</v>
      </c>
      <c r="R235" s="26">
        <f t="shared" si="329"/>
        <v>7618.5542203133082</v>
      </c>
      <c r="S235" s="26">
        <f t="shared" si="329"/>
        <v>8989.7438176515661</v>
      </c>
      <c r="T235" s="478" t="e">
        <f>T234/S234-1</f>
        <v>#DIV/0!</v>
      </c>
      <c r="AT235" s="26">
        <f t="shared" ref="AT235:AZ235" si="330">AT45+AT39-(AT31+AT32)</f>
        <v>323.15300000000013</v>
      </c>
      <c r="AU235" s="26">
        <f t="shared" si="330"/>
        <v>279.87899999999996</v>
      </c>
      <c r="AV235" s="26">
        <f t="shared" si="330"/>
        <v>389.93200000000013</v>
      </c>
      <c r="AW235" s="26">
        <f t="shared" si="330"/>
        <v>392.596</v>
      </c>
      <c r="AX235" s="26">
        <f t="shared" si="330"/>
        <v>371.26100000000008</v>
      </c>
      <c r="AY235" s="26">
        <f t="shared" si="330"/>
        <v>465.24799999999993</v>
      </c>
      <c r="AZ235" s="26">
        <f t="shared" si="330"/>
        <v>666.81200000000013</v>
      </c>
      <c r="BA235" s="26">
        <f>BA45+BA39-(BA31+BA32)</f>
        <v>644.33799999999997</v>
      </c>
    </row>
    <row r="237" spans="2:53">
      <c r="F237" s="777"/>
      <c r="G237" s="777"/>
      <c r="H237" s="777"/>
      <c r="I237" s="777"/>
      <c r="J237" s="777"/>
      <c r="K237" s="777"/>
      <c r="L237" s="777"/>
      <c r="M237" s="777"/>
      <c r="N237" s="777"/>
      <c r="O237" s="777"/>
      <c r="P237" s="777"/>
      <c r="Q237" s="777"/>
      <c r="R237" s="777"/>
      <c r="S237" s="777"/>
    </row>
    <row r="240" spans="2:53">
      <c r="P240" s="167"/>
    </row>
    <row r="241" spans="6:19">
      <c r="F241" s="167"/>
      <c r="G241" s="167"/>
      <c r="H241" s="167"/>
      <c r="I241" s="167"/>
      <c r="J241" s="167"/>
      <c r="K241" s="167"/>
      <c r="L241" s="167"/>
      <c r="M241" s="167"/>
      <c r="N241" s="167"/>
      <c r="O241" s="167"/>
      <c r="P241" s="167"/>
      <c r="Q241" s="167"/>
      <c r="R241" s="167"/>
      <c r="S241" s="167"/>
    </row>
    <row r="242" spans="6:19">
      <c r="F242" s="167"/>
      <c r="G242" s="167"/>
      <c r="H242" s="167"/>
      <c r="I242" s="167"/>
      <c r="J242" s="167"/>
      <c r="K242" s="167"/>
      <c r="L242" s="167"/>
      <c r="M242" s="167"/>
      <c r="N242" s="167"/>
      <c r="O242" s="167"/>
      <c r="P242" s="167"/>
      <c r="Q242" s="167"/>
      <c r="R242" s="167"/>
      <c r="S242" s="167"/>
    </row>
    <row r="243" spans="6:19">
      <c r="F243" s="167"/>
      <c r="G243" s="167"/>
      <c r="H243" s="167"/>
      <c r="I243" s="167"/>
      <c r="J243" s="167"/>
      <c r="K243" s="167"/>
      <c r="L243" s="167"/>
      <c r="M243" s="167"/>
      <c r="N243" s="167"/>
      <c r="O243" s="167"/>
      <c r="P243" s="167"/>
      <c r="Q243" s="167"/>
      <c r="R243" s="167"/>
      <c r="S243" s="167"/>
    </row>
    <row r="244" spans="6:19">
      <c r="F244" s="167"/>
      <c r="G244" s="167"/>
      <c r="H244" s="167"/>
      <c r="I244" s="167"/>
      <c r="J244" s="167"/>
      <c r="K244" s="167"/>
      <c r="L244" s="167"/>
      <c r="M244" s="167"/>
      <c r="N244" s="167"/>
      <c r="O244" s="167"/>
      <c r="P244" s="167"/>
      <c r="Q244" s="167"/>
      <c r="R244" s="167"/>
      <c r="S244" s="167"/>
    </row>
    <row r="246" spans="6:19">
      <c r="G246" s="167"/>
      <c r="H246" s="167"/>
      <c r="I246" s="167"/>
      <c r="J246" s="167"/>
      <c r="K246" s="167"/>
      <c r="L246" s="167"/>
      <c r="M246" s="167"/>
      <c r="N246" s="167"/>
      <c r="O246" s="167"/>
      <c r="P246" s="167"/>
      <c r="Q246" s="167"/>
      <c r="R246" s="167"/>
      <c r="S246" s="167"/>
    </row>
    <row r="250" spans="6:19">
      <c r="H250" s="167"/>
      <c r="I250" s="167"/>
      <c r="J250" s="167"/>
      <c r="K250" s="167"/>
      <c r="L250" s="167"/>
      <c r="M250" s="167"/>
      <c r="N250" s="167"/>
      <c r="O250" s="167"/>
      <c r="P250" s="167"/>
      <c r="Q250" s="167"/>
      <c r="R250" s="167"/>
      <c r="S250" s="167"/>
    </row>
    <row r="251" spans="6:19">
      <c r="H251" s="167"/>
      <c r="I251" s="167"/>
      <c r="J251" s="167"/>
      <c r="K251" s="167"/>
      <c r="L251" s="167"/>
      <c r="M251" s="167"/>
      <c r="N251" s="167"/>
      <c r="O251" s="167"/>
      <c r="P251" s="167"/>
      <c r="Q251" s="167"/>
      <c r="R251" s="167"/>
      <c r="S251" s="167"/>
    </row>
    <row r="252" spans="6:19">
      <c r="H252" s="167"/>
      <c r="I252" s="167"/>
      <c r="J252" s="167"/>
      <c r="K252" s="167"/>
      <c r="L252" s="167"/>
      <c r="M252" s="167"/>
      <c r="N252" s="167"/>
      <c r="O252" s="167"/>
      <c r="P252" s="167"/>
      <c r="Q252" s="167"/>
      <c r="R252" s="167"/>
      <c r="S252" s="167"/>
    </row>
    <row r="260" spans="10:10">
      <c r="J260" s="478"/>
    </row>
  </sheetData>
  <dataConsolidate/>
  <phoneticPr fontId="14" type="noConversion"/>
  <dataValidations count="1">
    <dataValidation allowBlank="1" sqref="A15 A96:A100 A159:A160 A140:A144 A114:A118 A122:A127 A129:A132 A204:A206 A176 A171:A172 A181:A185 B101 A36:A39 A28 A30:A34 A45:A53 A55:A57 A59:B64 A188:A197 A111:A112 AM106:AM108 A166:A168 A41:A43 AV192:AV198 AS169:CG181 AN105:AR108 A21:A26 A66:A94 AW188:AW198 AV184:AV185 AP153:AR155 AW184:AW186 AS182:AU198 J95:T96 D42:I54 J44:T47 I9:I10 A1:A2 E5:H10 D5 AS206:CG206 I181:I185 C169:H179 V169:AR179 V157:CG159 V205:AR206 V181:AR198 I188:I194 V41:AT41 C55:T57 B65:B96 C5:C54 B7:B57 J192:J194 V18:AS27 V153:AK155 AM116:AR149 BR50:CG52 AL150:AO151 AL153:AO154 I179 I196:J196 B223 B4:B5 A5:A13 D32:I40 B151:B155 V35:AS40 V42:AS45 V114:AL149 V102:AL109 AM114:AU115 AM99:AU99 G12:H30 D7:D30 C95:I99 B114:B149 A105:A109 AM109:AR109 AM97:AW98 B104:B112 AT16:BV16 I12:I21 AS116:AU148 AS105:AZ109 J138:J145 B208 I180:U180 J115:J117 U95:AL99 AM102:AZ103 J119:J121 E11:F30 J126:J127 J129 J131:J132 J123:K124 J134:J136 J184:P184 J188:J190 K114:K122 C166:U168 J14:T20 A102:U103 AT35:CG39 I195:U195 I186:U186 C105:U112 AT44:CG45 N192:P192 AV182:CG183 BA102:CG109 AX95:CG99 V9:AS9 T43 AV114:CG148 AT13:CG13 C1:U2 J52:T54 U65:U93 V29:CG33 AL12:AL16 I5:T8 N157:U165 AT15:CG15 AT18:CG18 AS12:AS16 AP12:AP16 AQ11:AR16 V11:AK16 AM11:AO16 I26:T30 AT42:CG42 AT21:CG21 C59:T93 K189:P190 K192:M193 J33:T36 V47:BP52 BQ47:CG47 A161:M165 B157:M160 BG184:BG194 V59:CG93 AX184:BF198 BH184:CG198 M99:T99 BS48:CG48 BR48:BR49 BQ48:BQ52 AT27:CG27 V54:CG57 J10:T10 G11:T11 J39:T39 I169:U178 C211:AR211 G202:T206 I197:T201 B166:B206 U197:U206 G181:H201 C181:F206 A200:A201 L114:U155 K125:K155 C114:I155 J148:J155 A147:A157" xr:uid="{00000000-0002-0000-0300-000000000000}"/>
  </dataValidations>
  <pageMargins left="0.25" right="0.25" top="0.75" bottom="0.75" header="0.3" footer="0.3"/>
  <pageSetup paperSize="9" scale="24" fitToHeight="0" orientation="portrait" r:id="rId1"/>
  <headerFooter alignWithMargins="0"/>
  <customProperties>
    <customPr name="Qube.Worksheet.Visibility" r:id="rId2"/>
    <customPr name="QXL_SHEET_ID" r:id="rId3"/>
    <customPr name="SHEET_UNIQUE_ID" r:id="rId4"/>
  </customPropertie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BO421"/>
  <sheetViews>
    <sheetView showGridLines="0" showOutlineSymbols="0" showWhiteSpace="0" workbookViewId="0">
      <selection activeCell="AU46" sqref="AU46"/>
    </sheetView>
  </sheetViews>
  <sheetFormatPr defaultColWidth="8.5703125" defaultRowHeight="12" outlineLevelRow="1" outlineLevelCol="1"/>
  <cols>
    <col min="1" max="1" width="28.28515625" style="208" customWidth="1"/>
    <col min="2" max="4" width="8.85546875" style="208" hidden="1" customWidth="1" outlineLevel="1"/>
    <col min="5" max="5" width="8.85546875" style="232" hidden="1" customWidth="1" outlineLevel="1"/>
    <col min="6" max="8" width="8.85546875" style="208" hidden="1" customWidth="1" outlineLevel="1"/>
    <col min="9" max="9" width="8.85546875" style="232" hidden="1" customWidth="1" outlineLevel="1"/>
    <col min="10" max="12" width="8.85546875" style="208" hidden="1" customWidth="1" outlineLevel="1"/>
    <col min="13" max="13" width="8.85546875" style="232" hidden="1" customWidth="1" outlineLevel="1"/>
    <col min="14" max="16" width="8.85546875" style="208" hidden="1" customWidth="1" outlineLevel="1"/>
    <col min="17" max="17" width="8.85546875" style="232" hidden="1" customWidth="1" outlineLevel="1"/>
    <col min="18" max="18" width="8.85546875" style="208" hidden="1" customWidth="1" outlineLevel="1" collapsed="1"/>
    <col min="19" max="20" width="8.85546875" style="208" hidden="1" customWidth="1" outlineLevel="1"/>
    <col min="21" max="21" width="8.85546875" style="232" hidden="1" customWidth="1" outlineLevel="1"/>
    <col min="22" max="24" width="8.5703125" style="208" hidden="1" customWidth="1" outlineLevel="1"/>
    <col min="25" max="25" width="8.5703125" style="232" hidden="1" customWidth="1" outlineLevel="1"/>
    <col min="26" max="26" width="8.5703125" style="208" hidden="1" customWidth="1" outlineLevel="1" collapsed="1"/>
    <col min="27" max="28" width="8.5703125" style="208" hidden="1" customWidth="1" outlineLevel="1"/>
    <col min="29" max="29" width="8.5703125" style="232" hidden="1" customWidth="1" outlineLevel="1"/>
    <col min="30" max="30" width="8.5703125" style="208" hidden="1" customWidth="1" outlineLevel="1" collapsed="1"/>
    <col min="31" max="32" width="8.5703125" style="208" hidden="1" customWidth="1" outlineLevel="1"/>
    <col min="33" max="33" width="8.5703125" style="232" hidden="1" customWidth="1" outlineLevel="1"/>
    <col min="34" max="34" width="8.85546875" style="208" customWidth="1" collapsed="1"/>
    <col min="35" max="36" width="8.85546875" style="208" customWidth="1"/>
    <col min="37" max="37" width="8.85546875" style="232" customWidth="1"/>
    <col min="38" max="40" width="8.85546875" style="208" customWidth="1"/>
    <col min="41" max="41" width="8.85546875" style="232" customWidth="1"/>
    <col min="42" max="44" width="8.85546875" style="208" customWidth="1"/>
    <col min="45" max="45" width="8.85546875" style="232" customWidth="1"/>
    <col min="46" max="48" width="8.85546875" style="208" customWidth="1" outlineLevel="1"/>
    <col min="49" max="49" width="8.85546875" style="232" customWidth="1" outlineLevel="1"/>
    <col min="50" max="50" width="2.42578125" style="208" customWidth="1"/>
    <col min="51" max="51" width="10.42578125" style="208" hidden="1" customWidth="1"/>
    <col min="52" max="52" width="10.5703125" style="208" hidden="1" customWidth="1"/>
    <col min="53" max="53" width="9.42578125" style="208" hidden="1" customWidth="1"/>
    <col min="54" max="55" width="8.42578125" style="208" hidden="1" customWidth="1"/>
    <col min="56" max="63" width="8.42578125" style="208" customWidth="1"/>
    <col min="64" max="16384" width="8.5703125" style="208"/>
  </cols>
  <sheetData>
    <row r="1" spans="1:63" s="891" customFormat="1" ht="15.75">
      <c r="A1" s="890"/>
      <c r="B1" s="893"/>
      <c r="C1" s="893"/>
      <c r="D1" s="893"/>
      <c r="E1" s="903"/>
      <c r="F1" s="893"/>
      <c r="G1" s="893"/>
      <c r="H1" s="893"/>
      <c r="I1" s="903"/>
      <c r="J1" s="893"/>
      <c r="K1" s="893"/>
      <c r="L1" s="893"/>
      <c r="M1" s="903"/>
      <c r="N1" s="893"/>
      <c r="O1" s="893"/>
      <c r="P1" s="893"/>
      <c r="Q1" s="903"/>
      <c r="R1" s="893"/>
      <c r="S1" s="893"/>
      <c r="T1" s="893"/>
      <c r="U1" s="903"/>
      <c r="Z1" s="893"/>
      <c r="AA1" s="893"/>
      <c r="AB1" s="893"/>
      <c r="AC1" s="892"/>
      <c r="AD1" s="893"/>
      <c r="AG1" s="1032"/>
      <c r="AH1" s="1029"/>
      <c r="AI1" s="1052"/>
      <c r="AJ1" s="982"/>
      <c r="AK1" s="984"/>
      <c r="AL1" s="982"/>
      <c r="AM1" s="982"/>
      <c r="AO1" s="892"/>
      <c r="AP1" s="982"/>
      <c r="AQ1" s="982"/>
      <c r="AS1" s="892"/>
      <c r="AT1" s="982"/>
      <c r="AU1" s="982"/>
      <c r="AW1" s="892"/>
      <c r="BD1" s="1135"/>
      <c r="BE1" s="1135"/>
      <c r="BF1" s="1135"/>
      <c r="BG1" s="1135"/>
      <c r="BH1" s="1135"/>
      <c r="BI1" s="1135"/>
      <c r="BJ1" s="1135"/>
      <c r="BK1" s="1135"/>
    </row>
    <row r="2" spans="1:63" s="891" customFormat="1" ht="15.75">
      <c r="A2" s="894" t="str">
        <f>'Cover Page'!B6</f>
        <v>SMIC (0981.HK)</v>
      </c>
      <c r="B2" s="895"/>
      <c r="C2" s="895"/>
      <c r="D2" s="895"/>
      <c r="E2" s="896"/>
      <c r="F2" s="897"/>
      <c r="G2" s="895"/>
      <c r="H2" s="895"/>
      <c r="I2" s="896"/>
      <c r="J2" s="897"/>
      <c r="K2" s="897"/>
      <c r="L2" s="898"/>
      <c r="M2" s="899"/>
      <c r="N2" s="898"/>
      <c r="O2" s="898"/>
      <c r="P2" s="898"/>
      <c r="Q2" s="899"/>
      <c r="R2" s="900"/>
      <c r="S2" s="900"/>
      <c r="T2" s="900"/>
      <c r="U2" s="901"/>
      <c r="V2" s="900"/>
      <c r="W2" s="900"/>
      <c r="X2" s="900"/>
      <c r="Y2" s="901"/>
      <c r="Z2" s="900"/>
      <c r="AA2" s="900"/>
      <c r="AB2" s="900"/>
      <c r="AC2" s="901"/>
      <c r="AD2" s="900"/>
      <c r="AE2" s="900"/>
      <c r="AF2" s="900"/>
      <c r="AG2" s="901"/>
      <c r="AH2" s="900"/>
      <c r="AI2" s="900"/>
      <c r="AJ2" s="900"/>
      <c r="AK2" s="901"/>
      <c r="AL2" s="900"/>
      <c r="AM2" s="900"/>
      <c r="AN2" s="900"/>
      <c r="AO2" s="901"/>
      <c r="AP2" s="900"/>
      <c r="AQ2" s="900"/>
      <c r="AR2" s="900"/>
      <c r="AS2" s="901"/>
      <c r="AT2" s="900"/>
      <c r="AU2" s="900"/>
      <c r="AV2" s="900"/>
      <c r="AW2" s="901"/>
      <c r="AY2" s="902"/>
      <c r="AZ2" s="902"/>
      <c r="BA2" s="900"/>
      <c r="BB2" s="900"/>
      <c r="BC2" s="900"/>
      <c r="BD2" s="900"/>
      <c r="BE2" s="900"/>
      <c r="BF2" s="900"/>
      <c r="BG2" s="900"/>
      <c r="BH2" s="900"/>
      <c r="BI2" s="900"/>
      <c r="BJ2" s="900"/>
      <c r="BK2" s="900"/>
    </row>
    <row r="3" spans="1:63">
      <c r="A3" s="233" t="s">
        <v>877</v>
      </c>
      <c r="B3" s="234" t="str">
        <f>Model!AL5</f>
        <v>1Q17</v>
      </c>
      <c r="C3" s="234" t="str">
        <f>Model!AM5</f>
        <v>2Q17</v>
      </c>
      <c r="D3" s="234" t="str">
        <f>Model!AN5</f>
        <v>3Q17</v>
      </c>
      <c r="E3" s="235" t="str">
        <f>Model!AO5</f>
        <v>4Q17</v>
      </c>
      <c r="F3" s="234" t="s">
        <v>279</v>
      </c>
      <c r="G3" s="234" t="s">
        <v>280</v>
      </c>
      <c r="H3" s="234" t="s">
        <v>281</v>
      </c>
      <c r="I3" s="235" t="s">
        <v>282</v>
      </c>
      <c r="J3" s="234" t="s">
        <v>283</v>
      </c>
      <c r="K3" s="234" t="s">
        <v>284</v>
      </c>
      <c r="L3" s="234" t="s">
        <v>285</v>
      </c>
      <c r="M3" s="235" t="s">
        <v>286</v>
      </c>
      <c r="N3" s="235" t="s">
        <v>417</v>
      </c>
      <c r="O3" s="235" t="s">
        <v>418</v>
      </c>
      <c r="P3" s="235" t="s">
        <v>419</v>
      </c>
      <c r="Q3" s="235" t="s">
        <v>420</v>
      </c>
      <c r="R3" s="235" t="s">
        <v>421</v>
      </c>
      <c r="S3" s="235" t="s">
        <v>422</v>
      </c>
      <c r="T3" s="235" t="s">
        <v>423</v>
      </c>
      <c r="U3" s="235" t="s">
        <v>424</v>
      </c>
      <c r="V3" s="235" t="s">
        <v>946</v>
      </c>
      <c r="W3" s="235" t="s">
        <v>947</v>
      </c>
      <c r="X3" s="235" t="s">
        <v>948</v>
      </c>
      <c r="Y3" s="235" t="s">
        <v>949</v>
      </c>
      <c r="Z3" s="234" t="s">
        <v>1065</v>
      </c>
      <c r="AA3" s="234" t="s">
        <v>1066</v>
      </c>
      <c r="AB3" s="234" t="s">
        <v>1067</v>
      </c>
      <c r="AC3" s="234" t="s">
        <v>1064</v>
      </c>
      <c r="AD3" s="234" t="s">
        <v>1069</v>
      </c>
      <c r="AE3" s="234" t="s">
        <v>1070</v>
      </c>
      <c r="AF3" s="234" t="s">
        <v>1071</v>
      </c>
      <c r="AG3" s="234" t="s">
        <v>1072</v>
      </c>
      <c r="AH3" s="234" t="s">
        <v>1073</v>
      </c>
      <c r="AI3" s="234" t="s">
        <v>1074</v>
      </c>
      <c r="AJ3" s="234" t="s">
        <v>1075</v>
      </c>
      <c r="AK3" s="234" t="s">
        <v>1076</v>
      </c>
      <c r="AL3" s="234" t="s">
        <v>1077</v>
      </c>
      <c r="AM3" s="237" t="s">
        <v>1078</v>
      </c>
      <c r="AN3" s="237" t="s">
        <v>1079</v>
      </c>
      <c r="AO3" s="238" t="s">
        <v>1080</v>
      </c>
      <c r="AP3" s="237" t="s">
        <v>1081</v>
      </c>
      <c r="AQ3" s="237" t="s">
        <v>1082</v>
      </c>
      <c r="AR3" s="237" t="s">
        <v>1083</v>
      </c>
      <c r="AS3" s="238" t="s">
        <v>1084</v>
      </c>
      <c r="AT3" s="237" t="s">
        <v>1085</v>
      </c>
      <c r="AU3" s="237" t="s">
        <v>1086</v>
      </c>
      <c r="AV3" s="237" t="s">
        <v>1087</v>
      </c>
      <c r="AW3" s="238" t="s">
        <v>1088</v>
      </c>
      <c r="AY3" s="236">
        <v>2016</v>
      </c>
      <c r="AZ3" s="236">
        <v>2017</v>
      </c>
      <c r="BA3" s="234">
        <v>2018</v>
      </c>
      <c r="BB3" s="234">
        <f t="shared" ref="BB3:BK3" si="0">BA3+1</f>
        <v>2019</v>
      </c>
      <c r="BC3" s="234">
        <f t="shared" si="0"/>
        <v>2020</v>
      </c>
      <c r="BD3" s="234">
        <f t="shared" si="0"/>
        <v>2021</v>
      </c>
      <c r="BE3" s="234">
        <f t="shared" si="0"/>
        <v>2022</v>
      </c>
      <c r="BF3" s="234">
        <f t="shared" si="0"/>
        <v>2023</v>
      </c>
      <c r="BG3" s="234">
        <f t="shared" si="0"/>
        <v>2024</v>
      </c>
      <c r="BH3" s="234">
        <f t="shared" si="0"/>
        <v>2025</v>
      </c>
      <c r="BI3" s="239">
        <f t="shared" si="0"/>
        <v>2026</v>
      </c>
      <c r="BJ3" s="239">
        <f t="shared" si="0"/>
        <v>2027</v>
      </c>
      <c r="BK3" s="239">
        <f t="shared" si="0"/>
        <v>2028</v>
      </c>
    </row>
    <row r="4" spans="1:63" s="249" customFormat="1" hidden="1">
      <c r="A4" s="240" t="s">
        <v>72</v>
      </c>
      <c r="B4" s="241"/>
      <c r="C4" s="241"/>
      <c r="D4" s="241"/>
      <c r="E4" s="634"/>
      <c r="F4" s="243">
        <f>Model!AP52</f>
        <v>29.376999999999999</v>
      </c>
      <c r="G4" s="243">
        <f>Model!AQ52</f>
        <v>51.599000000000004</v>
      </c>
      <c r="H4" s="243">
        <f>Model!AR52</f>
        <v>26.559000000000001</v>
      </c>
      <c r="I4" s="244">
        <f>Model!AS52</f>
        <v>26.52</v>
      </c>
      <c r="J4" s="243">
        <f>Model!AT52</f>
        <v>12.27200000000008</v>
      </c>
      <c r="K4" s="243">
        <f>Model!AU52</f>
        <v>18.538999999999934</v>
      </c>
      <c r="L4" s="243">
        <f>Model!AV52</f>
        <v>115.13500000000006</v>
      </c>
      <c r="M4" s="244">
        <f>Model!AW52</f>
        <v>88.734999999999957</v>
      </c>
      <c r="N4" s="243">
        <f>Model!AX52</f>
        <v>64.164000000000058</v>
      </c>
      <c r="O4" s="243">
        <f>Model!AY52</f>
        <v>137.96899999999997</v>
      </c>
      <c r="P4" s="243">
        <f>Model!AZ52</f>
        <v>256.37900000000008</v>
      </c>
      <c r="Q4" s="244">
        <f>Model!BA52</f>
        <v>257.03800000000007</v>
      </c>
      <c r="R4" s="243">
        <f>Model!BB52</f>
        <v>158.87599999999998</v>
      </c>
      <c r="S4" s="243">
        <f>Model!BC52</f>
        <v>687.803</v>
      </c>
      <c r="T4" s="243">
        <f>Model!BD52</f>
        <v>321.351</v>
      </c>
      <c r="U4" s="244">
        <f>Model!BE52</f>
        <v>533.77300000000002</v>
      </c>
      <c r="V4" s="243">
        <f>Model!BF52</f>
        <v>447.22699999999998</v>
      </c>
      <c r="W4" s="243">
        <f>Model!BG52</f>
        <v>514.33199999999999</v>
      </c>
      <c r="X4" s="243">
        <f>Model!BH52</f>
        <v>470.84899999999982</v>
      </c>
      <c r="Y4" s="244">
        <f>Model!BI52</f>
        <v>385.53400000000011</v>
      </c>
      <c r="Z4" s="243">
        <f>Model!BJ52</f>
        <v>231.10200000000012</v>
      </c>
      <c r="AA4" s="243">
        <f>Model!BK52</f>
        <v>402.76200000000006</v>
      </c>
      <c r="AB4" s="243">
        <f>Model!BL52</f>
        <v>93.983999999999995</v>
      </c>
      <c r="AC4" s="244">
        <f>Model!BM52</f>
        <v>174.678</v>
      </c>
      <c r="AD4" s="243">
        <f>Model!BN52</f>
        <v>71.792000000000002</v>
      </c>
      <c r="AE4" s="243">
        <f>Model!BO52</f>
        <v>164.56899999999999</v>
      </c>
      <c r="AF4" s="243">
        <f>Model!BP52</f>
        <v>148.80000000000001</v>
      </c>
      <c r="AG4" s="244">
        <f>Model!BQ52</f>
        <v>107.587</v>
      </c>
      <c r="AH4" s="246"/>
      <c r="AI4" s="246"/>
      <c r="AJ4" s="246"/>
      <c r="AK4" s="247"/>
      <c r="AL4" s="246"/>
      <c r="AM4" s="246"/>
      <c r="AN4" s="246"/>
      <c r="AO4" s="247"/>
      <c r="AP4" s="246"/>
      <c r="AQ4" s="246"/>
      <c r="AR4" s="246"/>
      <c r="AS4" s="247"/>
      <c r="AT4" s="246"/>
      <c r="AU4" s="246"/>
      <c r="AV4" s="246"/>
      <c r="AW4" s="247"/>
      <c r="AX4" s="248"/>
      <c r="AY4" s="243">
        <f ca="1">Model!G52</f>
        <v>376.63</v>
      </c>
      <c r="AZ4" s="242">
        <f ca="1">Model!H52</f>
        <v>179.679</v>
      </c>
      <c r="BA4" s="243">
        <f ca="1">Model!I52</f>
        <v>134.05499999999964</v>
      </c>
      <c r="BB4" s="243">
        <f>Model!J52</f>
        <v>234.68100000000041</v>
      </c>
      <c r="BC4" s="243">
        <f>Model!K52</f>
        <v>715.55000000000018</v>
      </c>
      <c r="BD4" s="243">
        <f>Model!L52</f>
        <v>1701.8030000000003</v>
      </c>
      <c r="BE4" s="243">
        <f>Model!M52</f>
        <v>1817.9419999999998</v>
      </c>
      <c r="BF4" s="243">
        <f>Model!N52</f>
        <v>902.52600000000041</v>
      </c>
      <c r="BG4" s="243">
        <f>Model!O52</f>
        <v>492.74800000000096</v>
      </c>
      <c r="BH4" s="243">
        <f>Model!P52</f>
        <v>685.13099999999827</v>
      </c>
      <c r="BI4" s="243">
        <f>Model!Q52</f>
        <v>1183.7387929376646</v>
      </c>
      <c r="BJ4" s="243"/>
      <c r="BK4" s="243"/>
    </row>
    <row r="5" spans="1:63" s="257" customFormat="1" hidden="1">
      <c r="A5" s="240" t="s">
        <v>137</v>
      </c>
      <c r="B5" s="250"/>
      <c r="C5" s="250"/>
      <c r="D5" s="250"/>
      <c r="E5" s="635"/>
      <c r="F5" s="252">
        <f>Model!AP56</f>
        <v>5.9699999999999996E-3</v>
      </c>
      <c r="G5" s="252">
        <f>Model!AQ56</f>
        <v>1.0460000000000001E-2</v>
      </c>
      <c r="H5" s="252">
        <f>Model!AR56</f>
        <v>5.3E-3</v>
      </c>
      <c r="I5" s="253">
        <f>Model!AS56</f>
        <v>5.2599999999999999E-3</v>
      </c>
      <c r="J5" s="252">
        <f>Model!AT56</f>
        <v>2.434437611585019E-3</v>
      </c>
      <c r="K5" s="252">
        <f>Model!AU56</f>
        <v>3.6710891089108779E-3</v>
      </c>
      <c r="L5" s="252">
        <f>Model!AV56</f>
        <v>2.2789531739252536E-2</v>
      </c>
      <c r="M5" s="253">
        <f>Model!AW56</f>
        <v>1.7554809940768461E-2</v>
      </c>
      <c r="N5" s="252">
        <f>Model!AX56</f>
        <v>1.259352306182533E-2</v>
      </c>
      <c r="O5" s="252">
        <f>Model!AY56</f>
        <v>2.5851414652426449E-2</v>
      </c>
      <c r="P5" s="252">
        <f>Model!AZ56</f>
        <v>3.5333379272326361E-2</v>
      </c>
      <c r="Q5" s="253">
        <f>Model!BA56</f>
        <v>3.3381558441558448E-2</v>
      </c>
      <c r="R5" s="252">
        <f>Model!BB56</f>
        <v>2.0150592946886602E-2</v>
      </c>
      <c r="S5" s="252">
        <f>Model!BC56</f>
        <v>8.7061474181816617E-2</v>
      </c>
      <c r="T5" s="252">
        <f>Model!BD56</f>
        <v>4.0670902373920119E-2</v>
      </c>
      <c r="U5" s="253">
        <f>Model!BE56</f>
        <v>6.7535128969101854E-2</v>
      </c>
      <c r="V5" s="252">
        <f>Model!BF56</f>
        <v>5.6582487800276499E-2</v>
      </c>
      <c r="W5" s="252">
        <f>Model!BG56</f>
        <v>6.5061731725148453E-2</v>
      </c>
      <c r="X5" s="252">
        <f>Model!BH56</f>
        <v>5.9548266846940263E-2</v>
      </c>
      <c r="Y5" s="253">
        <f>Model!BI56</f>
        <v>4.870942501967869E-2</v>
      </c>
      <c r="Z5" s="252">
        <f>Model!BJ56</f>
        <v>2.9205358271199307E-2</v>
      </c>
      <c r="AA5" s="252">
        <f>Model!BK56</f>
        <v>5.0828117112569418E-2</v>
      </c>
      <c r="AB5" s="252">
        <f>Model!BL56</f>
        <v>1.1848714069591527E-2</v>
      </c>
      <c r="AC5" s="253">
        <f>Model!BM56</f>
        <v>2.1983136169141704E-2</v>
      </c>
      <c r="AD5" s="252">
        <f>Model!BN56</f>
        <v>9.0338492512897946E-3</v>
      </c>
      <c r="AE5" s="252">
        <f>Model!BO56</f>
        <v>2.0690093034950965E-2</v>
      </c>
      <c r="AF5" s="252">
        <f>Model!BP56</f>
        <v>1.8693467336683419E-2</v>
      </c>
      <c r="AG5" s="253">
        <f>Model!BQ56</f>
        <v>1.3490532915360502E-2</v>
      </c>
      <c r="AH5" s="254"/>
      <c r="AI5" s="254"/>
      <c r="AJ5" s="254"/>
      <c r="AK5" s="255"/>
      <c r="AL5" s="254"/>
      <c r="AM5" s="254"/>
      <c r="AN5" s="254"/>
      <c r="AO5" s="255"/>
      <c r="AP5" s="254"/>
      <c r="AQ5" s="254"/>
      <c r="AR5" s="254"/>
      <c r="AS5" s="255"/>
      <c r="AT5" s="254"/>
      <c r="AU5" s="254"/>
      <c r="AV5" s="254"/>
      <c r="AW5" s="255"/>
      <c r="AX5" s="256"/>
      <c r="AY5" s="252">
        <f ca="1">Model!G56</f>
        <v>8.9130000000000001E-2</v>
      </c>
      <c r="AZ5" s="251">
        <f ca="1">Model!H56</f>
        <v>3.9030000000000002E-2</v>
      </c>
      <c r="BA5" s="252">
        <f ca="1">Model!I56</f>
        <v>2.699E-2</v>
      </c>
      <c r="BB5" s="252">
        <f>Model!J56</f>
        <v>4.6449868400516896E-2</v>
      </c>
      <c r="BC5" s="252">
        <f>Model!K56</f>
        <v>0.10715987542813658</v>
      </c>
      <c r="BD5" s="252">
        <f>Model!L56</f>
        <v>0.21541809847172519</v>
      </c>
      <c r="BE5" s="252">
        <f>Model!M56</f>
        <v>0.22990191139204391</v>
      </c>
      <c r="BF5" s="252">
        <f>Model!N56</f>
        <v>0.11386532562250196</v>
      </c>
      <c r="BG5" s="252">
        <f>Model!O56</f>
        <v>6.1907942538284681E-2</v>
      </c>
      <c r="BH5" s="252">
        <f>Model!P56</f>
        <v>8.5768277346270641E-2</v>
      </c>
      <c r="BI5" s="252">
        <f>Model!Q56</f>
        <v>0.14794885551026929</v>
      </c>
      <c r="BJ5" s="252"/>
      <c r="BK5" s="252"/>
    </row>
    <row r="6" spans="1:63" s="265" customFormat="1" hidden="1">
      <c r="A6" s="258" t="s">
        <v>858</v>
      </c>
      <c r="B6" s="259"/>
      <c r="C6" s="259"/>
      <c r="D6" s="259"/>
      <c r="E6" s="260"/>
      <c r="F6" s="262">
        <f>Model!AP86</f>
        <v>-0.61657032755298657</v>
      </c>
      <c r="G6" s="262">
        <f>Model!AQ86</f>
        <v>0.34102564102564115</v>
      </c>
      <c r="H6" s="262">
        <f>Model!AR86</f>
        <v>-4.8473967684021568E-2</v>
      </c>
      <c r="I6" s="263">
        <f>Model!AS86</f>
        <v>-0.47869177403369678</v>
      </c>
      <c r="J6" s="262">
        <f>Model!AT86</f>
        <v>-0.59222150559714914</v>
      </c>
      <c r="K6" s="262">
        <f>Model!AU86</f>
        <v>-0.649035458039113</v>
      </c>
      <c r="L6" s="262">
        <f>Model!AV86</f>
        <v>3.2999116489155726</v>
      </c>
      <c r="M6" s="263">
        <f>Model!AW86</f>
        <v>2.3374163385491369</v>
      </c>
      <c r="N6" s="262">
        <f>Model!AX86</f>
        <v>4.1730728287696444</v>
      </c>
      <c r="O6" s="262">
        <f>Model!AY86</f>
        <v>6.0418924426751195</v>
      </c>
      <c r="P6" s="262">
        <f>Model!AZ86</f>
        <v>0.55042146879518317</v>
      </c>
      <c r="Q6" s="263">
        <f>Model!BA86</f>
        <v>0.90156193967299503</v>
      </c>
      <c r="R6" s="262">
        <f>Model!BB86</f>
        <v>0.60007591584669195</v>
      </c>
      <c r="S6" s="262">
        <f>Model!BC86</f>
        <v>2.3677644087320733</v>
      </c>
      <c r="T6" s="262">
        <f>Model!BD86</f>
        <v>0.15106177816889965</v>
      </c>
      <c r="U6" s="263">
        <f>Model!BE86</f>
        <v>1.0231269036565962</v>
      </c>
      <c r="V6" s="262">
        <f>Model!BF86</f>
        <v>1.8079812812167821</v>
      </c>
      <c r="W6" s="262">
        <f>Model!BG86</f>
        <v>-0.25269205079992729</v>
      </c>
      <c r="X6" s="262">
        <f>Model!BH86</f>
        <v>0.46414914278187003</v>
      </c>
      <c r="Y6" s="263">
        <f>Model!BI86</f>
        <v>-0.27875424592786602</v>
      </c>
      <c r="Z6" s="262">
        <f>Model!BJ86</f>
        <v>-0.48384457088052268</v>
      </c>
      <c r="AA6" s="262">
        <f>Model!BK86</f>
        <v>-0.21877091548544325</v>
      </c>
      <c r="AB6" s="262">
        <f>Model!BL86</f>
        <v>-0.80102335975542593</v>
      </c>
      <c r="AC6" s="263">
        <f>Model!BM86</f>
        <v>-0.54868824338902622</v>
      </c>
      <c r="AD6" s="262">
        <f>Model!BN86</f>
        <v>-0.69067836225798085</v>
      </c>
      <c r="AE6" s="262">
        <f>Model!BO86</f>
        <v>-0.59294000623457177</v>
      </c>
      <c r="AF6" s="262">
        <f>Model!BP86</f>
        <v>0.57767899764399155</v>
      </c>
      <c r="AG6" s="263">
        <f>Model!BQ86</f>
        <v>-0.38632355221920012</v>
      </c>
      <c r="AH6" s="203"/>
      <c r="AI6" s="203"/>
      <c r="AJ6" s="203"/>
      <c r="AK6" s="161"/>
      <c r="AL6" s="203"/>
      <c r="AM6" s="203"/>
      <c r="AN6" s="203"/>
      <c r="AO6" s="161"/>
      <c r="AP6" s="203"/>
      <c r="AQ6" s="203"/>
      <c r="AR6" s="203"/>
      <c r="AS6" s="161"/>
      <c r="AT6" s="203"/>
      <c r="AU6" s="203"/>
      <c r="AV6" s="203"/>
      <c r="AW6" s="161"/>
      <c r="AX6" s="264"/>
      <c r="AY6" s="261">
        <f ca="1">Model!G85</f>
        <v>0.47982259838949393</v>
      </c>
      <c r="AZ6" s="261">
        <f ca="1">Model!H85</f>
        <v>-0.56210030292830693</v>
      </c>
      <c r="BA6" s="262">
        <f ca="1">Model!I85</f>
        <v>-0.30848065590571361</v>
      </c>
      <c r="BB6" s="262">
        <f ca="1">Model!J85</f>
        <v>0.72100290479869944</v>
      </c>
      <c r="BC6" s="262">
        <f>Model!K85</f>
        <v>1.3070006249349051</v>
      </c>
      <c r="BD6" s="262">
        <f>Model!L85</f>
        <v>1.0102496163891921</v>
      </c>
      <c r="BE6" s="262">
        <f>Model!M85</f>
        <v>6.7235821980945687E-2</v>
      </c>
      <c r="BF6" s="262">
        <f>Model!N85</f>
        <v>-0.5047221446178789</v>
      </c>
      <c r="BG6" s="262">
        <f>Model!O85</f>
        <v>-0.45630557678701711</v>
      </c>
      <c r="BH6" s="262">
        <f>Model!P85</f>
        <v>0.38541637518046112</v>
      </c>
      <c r="BI6" s="262">
        <f>Model!Q85</f>
        <v>0.72498340980964526</v>
      </c>
      <c r="BJ6" s="262"/>
      <c r="BK6" s="262"/>
    </row>
    <row r="7" spans="1:63" s="275" customFormat="1" hidden="1">
      <c r="A7" s="266" t="s">
        <v>859</v>
      </c>
      <c r="B7" s="267"/>
      <c r="C7" s="267"/>
      <c r="D7" s="267"/>
      <c r="E7" s="268"/>
      <c r="F7" s="270">
        <f>Model!AP73</f>
        <v>0.26493904053214984</v>
      </c>
      <c r="G7" s="270">
        <f>Model!AQ73</f>
        <v>0.24456025678304907</v>
      </c>
      <c r="H7" s="270">
        <f>Model!AR73</f>
        <v>0.20518490305197598</v>
      </c>
      <c r="I7" s="271">
        <f>Model!AS73</f>
        <v>0.17030340352859763</v>
      </c>
      <c r="J7" s="270">
        <f>Model!AT73</f>
        <v>0.18249391911185403</v>
      </c>
      <c r="K7" s="270">
        <f>Model!AU73</f>
        <v>0.19112585695464041</v>
      </c>
      <c r="L7" s="270">
        <f>Model!AV73</f>
        <v>0.20799140672078709</v>
      </c>
      <c r="M7" s="271">
        <f>Model!AW73</f>
        <v>0.2375586552447527</v>
      </c>
      <c r="N7" s="270">
        <f>Model!AX73</f>
        <v>0.25813007231642415</v>
      </c>
      <c r="O7" s="270">
        <f>Model!AY73</f>
        <v>0.26488950549995038</v>
      </c>
      <c r="P7" s="270">
        <f>Model!AZ73</f>
        <v>0.24200996762139673</v>
      </c>
      <c r="Q7" s="271">
        <f>Model!BA73</f>
        <v>0.18016807750523656</v>
      </c>
      <c r="R7" s="270">
        <f>Model!BB73</f>
        <v>0.22662458807102615</v>
      </c>
      <c r="S7" s="270">
        <f>Model!BC73</f>
        <v>0.30132534584428861</v>
      </c>
      <c r="T7" s="270">
        <f>Model!BD73</f>
        <v>0.33057326280892696</v>
      </c>
      <c r="U7" s="271">
        <f>Model!BE73</f>
        <v>0.34984959422401307</v>
      </c>
      <c r="V7" s="270">
        <f>Model!BF73</f>
        <v>0.40732800041696215</v>
      </c>
      <c r="W7" s="270">
        <f>Model!BG73</f>
        <v>0.39433700931711618</v>
      </c>
      <c r="X7" s="270">
        <f>Model!BH73</f>
        <v>0.38921506316873589</v>
      </c>
      <c r="Y7" s="271">
        <f>Model!BI73</f>
        <v>0.31992758763191825</v>
      </c>
      <c r="Z7" s="270">
        <f>Model!BJ73</f>
        <v>0.20835088573523142</v>
      </c>
      <c r="AA7" s="270">
        <f>Model!BK73</f>
        <v>0.20283312697546008</v>
      </c>
      <c r="AB7" s="270">
        <f>Model!BL73</f>
        <v>0.19846017807237787</v>
      </c>
      <c r="AC7" s="271">
        <f>Model!BM73</f>
        <v>0.16382956791370307</v>
      </c>
      <c r="AD7" s="270">
        <f>Model!BN73</f>
        <v>0.1369599400288885</v>
      </c>
      <c r="AE7" s="270">
        <f>Model!BO73</f>
        <v>0.13942899400192296</v>
      </c>
      <c r="AF7" s="270">
        <f>Model!BP73</f>
        <v>0.204570032627299</v>
      </c>
      <c r="AG7" s="271">
        <f>Model!BQ73</f>
        <v>0.22607497640762547</v>
      </c>
      <c r="AH7" s="272"/>
      <c r="AI7" s="272"/>
      <c r="AJ7" s="272"/>
      <c r="AK7" s="273"/>
      <c r="AL7" s="272"/>
      <c r="AM7" s="272"/>
      <c r="AN7" s="272"/>
      <c r="AO7" s="273"/>
      <c r="AP7" s="272"/>
      <c r="AQ7" s="272"/>
      <c r="AR7" s="272"/>
      <c r="AS7" s="273"/>
      <c r="AT7" s="272"/>
      <c r="AU7" s="272"/>
      <c r="AV7" s="272"/>
      <c r="AW7" s="273"/>
      <c r="AX7" s="274"/>
      <c r="AY7" s="269">
        <f ca="1">Model!G73</f>
        <v>0.29156778236073272</v>
      </c>
      <c r="AZ7" s="269">
        <f ca="1">Model!H73</f>
        <v>0.2388591420993656</v>
      </c>
      <c r="BA7" s="270">
        <f ca="1">Model!I73</f>
        <v>0.22222635583978961</v>
      </c>
      <c r="BB7" s="270">
        <f>Model!J73</f>
        <v>0.20620238587373776</v>
      </c>
      <c r="BC7" s="270">
        <f>Model!K73</f>
        <v>0.23570998022766973</v>
      </c>
      <c r="BD7" s="270">
        <f>Model!L73</f>
        <v>0.30786983622604136</v>
      </c>
      <c r="BE7" s="270">
        <f>Model!M73</f>
        <v>0.37969753415376056</v>
      </c>
      <c r="BF7" s="270">
        <f>Model!N73</f>
        <v>0.19263346389182426</v>
      </c>
      <c r="BG7" s="270">
        <f>Model!O73</f>
        <v>0.18032157477016283</v>
      </c>
      <c r="BH7" s="270">
        <f>Model!P73</f>
        <v>0.20978247735369857</v>
      </c>
      <c r="BI7" s="270">
        <f>Model!Q73</f>
        <v>0.22087583608382946</v>
      </c>
      <c r="BJ7" s="270"/>
      <c r="BK7" s="270"/>
    </row>
    <row r="8" spans="1:63" s="275" customFormat="1" ht="25.5" hidden="1" customHeight="1">
      <c r="A8" s="266" t="s">
        <v>704</v>
      </c>
      <c r="B8" s="267"/>
      <c r="C8" s="267"/>
      <c r="D8" s="267"/>
      <c r="E8" s="268"/>
      <c r="F8" s="270">
        <f>Model!AP75</f>
        <v>5.0854106401105124E-2</v>
      </c>
      <c r="G8" s="270">
        <f>Model!AQ75</f>
        <v>2.1483912326417123E-2</v>
      </c>
      <c r="H8" s="270">
        <f>Model!AR75</f>
        <v>-6.8511347632784769E-3</v>
      </c>
      <c r="I8" s="271">
        <f>Model!AS75</f>
        <v>-5.1970313561420324E-2</v>
      </c>
      <c r="J8" s="270">
        <f>Model!AT75</f>
        <v>3.6545128636759926E-2</v>
      </c>
      <c r="K8" s="270">
        <f>Model!AU75</f>
        <v>-5.4154728518287266E-2</v>
      </c>
      <c r="L8" s="270">
        <f>Model!AV75</f>
        <v>5.7749873844390197E-2</v>
      </c>
      <c r="M8" s="271">
        <f>Model!AW75</f>
        <v>2.3998170206530736E-2</v>
      </c>
      <c r="N8" s="270">
        <f>Model!AX75</f>
        <v>5.2315584277808289E-2</v>
      </c>
      <c r="O8" s="270">
        <f>Model!AY75</f>
        <v>6.8906286129554323E-2</v>
      </c>
      <c r="P8" s="270">
        <f>Model!AZ75</f>
        <v>0.16876596412949596</v>
      </c>
      <c r="Q8" s="271">
        <f>Model!BA75</f>
        <v>1.7581375911609042E-2</v>
      </c>
      <c r="R8" s="270">
        <f>Model!BB75</f>
        <v>0.11293536260169675</v>
      </c>
      <c r="S8" s="270">
        <f>Model!BC75</f>
        <v>0.40009091571919403</v>
      </c>
      <c r="T8" s="270">
        <f>Model!BD75</f>
        <v>0.21906561285153267</v>
      </c>
      <c r="U8" s="271">
        <f>Model!BE75</f>
        <v>0.26588500809146992</v>
      </c>
      <c r="V8" s="270">
        <f>Model!BF75</f>
        <v>0.29098905800225205</v>
      </c>
      <c r="W8" s="270">
        <f>Model!BG75</f>
        <v>0.28344535731024761</v>
      </c>
      <c r="X8" s="270">
        <f>Model!BH75</f>
        <v>0.25061878721900233</v>
      </c>
      <c r="Y8" s="271">
        <f>Model!BI75</f>
        <v>0.17415112843634936</v>
      </c>
      <c r="Z8" s="270">
        <f>Model!BJ75</f>
        <v>5.6953896906765375E-2</v>
      </c>
      <c r="AA8" s="270">
        <f>Model!BK75</f>
        <v>5.1139582516233059E-2</v>
      </c>
      <c r="AB8" s="270">
        <f>Model!BL75</f>
        <v>5.3924003611059465E-2</v>
      </c>
      <c r="AC8" s="271">
        <f>Model!BM75</f>
        <v>6.392067206141451E-2</v>
      </c>
      <c r="AD8" s="270">
        <f>Model!BN75</f>
        <v>1.3747188854149194E-3</v>
      </c>
      <c r="AE8" s="270">
        <f>Model!BO75</f>
        <v>4.5832377834675288E-2</v>
      </c>
      <c r="AF8" s="270">
        <f>Model!BP75</f>
        <v>7.8246103055101712E-2</v>
      </c>
      <c r="AG8" s="271">
        <f>Model!BQ75</f>
        <v>9.6936004070165976E-2</v>
      </c>
      <c r="AH8" s="272"/>
      <c r="AI8" s="272"/>
      <c r="AJ8" s="272"/>
      <c r="AK8" s="273"/>
      <c r="AL8" s="272"/>
      <c r="AM8" s="272"/>
      <c r="AN8" s="272"/>
      <c r="AO8" s="273"/>
      <c r="AP8" s="272"/>
      <c r="AQ8" s="272"/>
      <c r="AR8" s="272"/>
      <c r="AS8" s="273"/>
      <c r="AT8" s="272"/>
      <c r="AU8" s="272"/>
      <c r="AV8" s="272"/>
      <c r="AW8" s="273"/>
      <c r="AX8" s="274"/>
      <c r="AY8" s="269">
        <f ca="1">Model!G75</f>
        <v>0.11639843798255427</v>
      </c>
      <c r="AZ8" s="269">
        <f ca="1">Model!H75</f>
        <v>4.0273444742718503E-2</v>
      </c>
      <c r="BA8" s="270">
        <f ca="1">Model!I75</f>
        <v>4.357163605540882E-3</v>
      </c>
      <c r="BB8" s="270">
        <f>Model!J75</f>
        <v>1.569805807543298E-2</v>
      </c>
      <c r="BC8" s="270">
        <f>Model!K75</f>
        <v>7.9843357072927293E-2</v>
      </c>
      <c r="BD8" s="270">
        <f>Model!L75</f>
        <v>0.25583930663194149</v>
      </c>
      <c r="BE8" s="270">
        <f>Model!M75</f>
        <v>0.2523865423101862</v>
      </c>
      <c r="BF8" s="270">
        <f>Model!N75</f>
        <v>5.6591569169635383E-2</v>
      </c>
      <c r="BG8" s="270">
        <f>Model!O75</f>
        <v>5.8954253721798883E-2</v>
      </c>
      <c r="BH8" s="270">
        <f>Model!P75</f>
        <v>0.11900513777556461</v>
      </c>
      <c r="BI8" s="270"/>
      <c r="BJ8" s="270"/>
      <c r="BK8" s="270"/>
    </row>
    <row r="9" spans="1:63" hidden="1">
      <c r="A9" s="276" t="s">
        <v>839</v>
      </c>
      <c r="B9" s="277"/>
      <c r="C9" s="277"/>
      <c r="D9" s="277"/>
      <c r="E9" s="278"/>
      <c r="F9" s="241"/>
      <c r="G9" s="241"/>
      <c r="H9" s="241"/>
      <c r="I9" s="634"/>
      <c r="J9" s="241"/>
      <c r="K9" s="241"/>
      <c r="L9" s="245"/>
      <c r="M9" s="279"/>
      <c r="N9" s="245"/>
      <c r="O9" s="245"/>
      <c r="P9" s="245"/>
      <c r="Q9" s="279"/>
      <c r="R9" s="246"/>
      <c r="S9" s="246"/>
      <c r="T9" s="246"/>
      <c r="U9" s="247"/>
      <c r="V9" s="246"/>
      <c r="W9" s="246"/>
      <c r="X9" s="246"/>
      <c r="Y9" s="247"/>
      <c r="Z9" s="246"/>
      <c r="AA9" s="246"/>
      <c r="AB9" s="246"/>
      <c r="AC9" s="247"/>
      <c r="AD9" s="246"/>
      <c r="AE9" s="246"/>
      <c r="AF9" s="246"/>
      <c r="AG9" s="247"/>
      <c r="AH9" s="246"/>
      <c r="AI9" s="246"/>
      <c r="AJ9" s="246"/>
      <c r="AK9" s="247"/>
      <c r="AL9" s="246"/>
      <c r="AM9" s="246"/>
      <c r="AN9" s="246"/>
      <c r="AO9" s="247"/>
      <c r="AP9" s="246"/>
      <c r="AQ9" s="246"/>
      <c r="AR9" s="246"/>
      <c r="AS9" s="247"/>
      <c r="AT9" s="246"/>
      <c r="AU9" s="246"/>
      <c r="AV9" s="246"/>
      <c r="AW9" s="247"/>
      <c r="AY9" s="280">
        <f ca="1">Model!G224</f>
        <v>9.5584941621946737E-2</v>
      </c>
      <c r="AZ9" s="280">
        <f ca="1">Model!H224</f>
        <v>3.8295952761525906E-2</v>
      </c>
      <c r="BA9" s="281">
        <f ca="1">Model!I224</f>
        <v>2.3830205850279472E-2</v>
      </c>
      <c r="BB9" s="281">
        <f>Model!J224</f>
        <v>3.8311953276855562E-2</v>
      </c>
      <c r="BC9" s="281">
        <f>Model!K224</f>
        <v>6.6849344298600163E-2</v>
      </c>
      <c r="BD9" s="281">
        <f>Model!L224</f>
        <v>0.10529571939439415</v>
      </c>
      <c r="BE9" s="281">
        <f>Model!M224</f>
        <v>0.10016308701684093</v>
      </c>
      <c r="BF9" s="281">
        <f>Model!N224</f>
        <v>4.5969834979413517E-2</v>
      </c>
      <c r="BG9" s="281">
        <f>Model!O224</f>
        <v>2.4195919439218116E-2</v>
      </c>
      <c r="BH9" s="281">
        <f>Model!P224</f>
        <v>3.2583796455936419E-2</v>
      </c>
      <c r="BI9" s="281"/>
      <c r="BJ9" s="281"/>
      <c r="BK9" s="281"/>
    </row>
    <row r="10" spans="1:63" hidden="1">
      <c r="A10" s="276" t="s">
        <v>860</v>
      </c>
      <c r="B10" s="277"/>
      <c r="C10" s="277"/>
      <c r="D10" s="277"/>
      <c r="E10" s="278"/>
      <c r="F10" s="241"/>
      <c r="G10" s="241"/>
      <c r="H10" s="282"/>
      <c r="I10" s="638"/>
      <c r="J10" s="241"/>
      <c r="K10" s="241"/>
      <c r="L10" s="282"/>
      <c r="M10" s="279"/>
      <c r="N10" s="245"/>
      <c r="O10" s="245"/>
      <c r="P10" s="245"/>
      <c r="Q10" s="279"/>
      <c r="R10" s="246"/>
      <c r="S10" s="246"/>
      <c r="T10" s="246"/>
      <c r="U10" s="247"/>
      <c r="V10" s="246"/>
      <c r="W10" s="246"/>
      <c r="X10" s="246"/>
      <c r="Y10" s="247"/>
      <c r="Z10" s="246"/>
      <c r="AA10" s="246"/>
      <c r="AB10" s="272"/>
      <c r="AC10" s="247"/>
      <c r="AD10" s="246"/>
      <c r="AE10" s="1016"/>
      <c r="AF10" s="246"/>
      <c r="AG10" s="247"/>
      <c r="AH10" s="246"/>
      <c r="AI10" s="246"/>
      <c r="AJ10" s="246"/>
      <c r="AK10" s="247"/>
      <c r="AL10" s="246"/>
      <c r="AM10" s="246"/>
      <c r="AN10" s="246"/>
      <c r="AO10" s="247"/>
      <c r="AP10" s="246"/>
      <c r="AQ10" s="246"/>
      <c r="AR10" s="246"/>
      <c r="AS10" s="247"/>
      <c r="AT10" s="246"/>
      <c r="AU10" s="246"/>
      <c r="AV10" s="246"/>
      <c r="AW10" s="247"/>
      <c r="AY10" s="280">
        <f ca="1">Model!G216</f>
        <v>0.94613304600264925</v>
      </c>
      <c r="AZ10" s="280">
        <f ca="1">Model!H216</f>
        <v>0.73752851741678549</v>
      </c>
      <c r="BA10" s="281">
        <f ca="1">Model!I216</f>
        <v>0.53817309844332595</v>
      </c>
      <c r="BB10" s="281">
        <f>Model!J216</f>
        <v>0.65132016463863984</v>
      </c>
      <c r="BC10" s="281">
        <f>Model!K216</f>
        <v>1.4673244645793737</v>
      </c>
      <c r="BD10" s="281">
        <f>Model!L216</f>
        <v>0.82963569369875179</v>
      </c>
      <c r="BE10" s="281">
        <f>Model!M216</f>
        <v>0.87315441002991234</v>
      </c>
      <c r="BF10" s="281">
        <f>Model!N216</f>
        <v>1.1809901353463383</v>
      </c>
      <c r="BG10" s="281">
        <f>Model!O216</f>
        <v>0.9123128359544258</v>
      </c>
      <c r="BH10" s="281">
        <f>Model!P216</f>
        <v>0.86871176273874884</v>
      </c>
      <c r="BI10" s="281"/>
      <c r="BJ10" s="281"/>
      <c r="BK10" s="281"/>
    </row>
    <row r="11" spans="1:63">
      <c r="A11" s="283" t="s">
        <v>761</v>
      </c>
      <c r="B11" s="284">
        <f>Model!AL9</f>
        <v>793.08500000000004</v>
      </c>
      <c r="C11" s="284">
        <f>Model!AM9</f>
        <v>751.19299999999998</v>
      </c>
      <c r="D11" s="284">
        <f>Model!AN9</f>
        <v>769.72299999999996</v>
      </c>
      <c r="E11" s="285">
        <f>Model!AO9</f>
        <v>787.17399999999998</v>
      </c>
      <c r="F11" s="284">
        <f>Model!AP9</f>
        <v>831.04399999999998</v>
      </c>
      <c r="G11" s="284">
        <f>Model!AQ9</f>
        <v>890.71299999999997</v>
      </c>
      <c r="H11" s="284">
        <f>Model!AR9</f>
        <v>850.66200000000003</v>
      </c>
      <c r="I11" s="285">
        <f>Model!AS9</f>
        <v>787.56500000000005</v>
      </c>
      <c r="J11" s="284">
        <f>Model!AT9</f>
        <v>668.899</v>
      </c>
      <c r="K11" s="284">
        <f>Model!AU9</f>
        <v>790.88199999999995</v>
      </c>
      <c r="L11" s="284">
        <f>Model!AV9</f>
        <v>816.452</v>
      </c>
      <c r="M11" s="285">
        <f>Model!AW9</f>
        <v>839.43899999999996</v>
      </c>
      <c r="N11" s="284">
        <f>Model!AX9</f>
        <v>904.91200000000003</v>
      </c>
      <c r="O11" s="284">
        <f>Model!AY9</f>
        <v>938.46299999999997</v>
      </c>
      <c r="P11" s="284">
        <f>Model!AZ9</f>
        <v>1082.5050000000001</v>
      </c>
      <c r="Q11" s="285">
        <f>Model!BA9</f>
        <v>981.09500000000003</v>
      </c>
      <c r="R11" s="284">
        <f>Model!BB9</f>
        <v>1103.6489999999999</v>
      </c>
      <c r="S11" s="284">
        <f>Model!BC9</f>
        <v>1344.1020000000001</v>
      </c>
      <c r="T11" s="284">
        <f>Model!BD9</f>
        <v>1415.3019999999999</v>
      </c>
      <c r="U11" s="285">
        <f>Model!BE9</f>
        <v>1580.059</v>
      </c>
      <c r="V11" s="284">
        <f>Model!BF9</f>
        <v>1841.894</v>
      </c>
      <c r="W11" s="284">
        <f>Model!BG9</f>
        <v>1903.164</v>
      </c>
      <c r="X11" s="284">
        <f>Model!BH9</f>
        <v>1906.9559999999999</v>
      </c>
      <c r="Y11" s="285">
        <f>Model!BI9</f>
        <v>1621.27</v>
      </c>
      <c r="Z11" s="284">
        <f>Model!BJ9</f>
        <v>1462.288</v>
      </c>
      <c r="AA11" s="284">
        <f>Model!BK9</f>
        <v>1560.396</v>
      </c>
      <c r="AB11" s="284">
        <f>Model!BL9</f>
        <v>1620.577</v>
      </c>
      <c r="AC11" s="285">
        <f>Model!BM9</f>
        <v>1678.299</v>
      </c>
      <c r="AD11" s="284">
        <f>Model!BN9</f>
        <v>1750.1759999999999</v>
      </c>
      <c r="AE11" s="284">
        <f>Model!BO9</f>
        <v>1901.2760000000001</v>
      </c>
      <c r="AF11" s="284">
        <f>Model!BP9</f>
        <v>2171.1880000000001</v>
      </c>
      <c r="AG11" s="285">
        <f>Model!BQ9</f>
        <v>2207.2809999999999</v>
      </c>
      <c r="AH11" s="284">
        <f>Model!BR9</f>
        <v>2247.201</v>
      </c>
      <c r="AI11" s="284">
        <f>Model!BS9</f>
        <v>2209.0659999999998</v>
      </c>
      <c r="AJ11" s="284">
        <f>Model!BT9</f>
        <v>2381.8220000000001</v>
      </c>
      <c r="AK11" s="285">
        <f>Model!BU9</f>
        <v>2488.71</v>
      </c>
      <c r="AL11" s="284">
        <f>Model!BV9</f>
        <v>2505.4870000000001</v>
      </c>
      <c r="AM11" s="286">
        <f t="shared" ref="AM11:AO11" si="1">SUM(AM17:AM18)</f>
        <v>2887.2050879611729</v>
      </c>
      <c r="AN11" s="286">
        <f t="shared" si="1"/>
        <v>3021.9870519517535</v>
      </c>
      <c r="AO11" s="287">
        <f t="shared" si="1"/>
        <v>3163.8120314040534</v>
      </c>
      <c r="AP11" s="286">
        <f t="shared" ref="AP11:AS11" si="2">SUM(AP17:AP18)</f>
        <v>3101.824867573876</v>
      </c>
      <c r="AQ11" s="286">
        <f t="shared" si="2"/>
        <v>3268.9928378160462</v>
      </c>
      <c r="AR11" s="286">
        <f t="shared" si="2"/>
        <v>3666.854572642741</v>
      </c>
      <c r="AS11" s="287">
        <f t="shared" si="2"/>
        <v>3831.5151567973089</v>
      </c>
      <c r="AT11" s="286">
        <f t="shared" ref="AT11:AW11" si="3">SUM(AT17:AT18)</f>
        <v>3855.2964985499748</v>
      </c>
      <c r="AU11" s="286">
        <f t="shared" si="3"/>
        <v>3994.1525777295101</v>
      </c>
      <c r="AV11" s="286">
        <f t="shared" si="3"/>
        <v>4331.6275740935225</v>
      </c>
      <c r="AW11" s="287">
        <f t="shared" si="3"/>
        <v>4571.9431552067208</v>
      </c>
      <c r="AX11" s="221"/>
      <c r="AY11" s="288">
        <f ca="1">Model!G9</f>
        <v>2914.18</v>
      </c>
      <c r="AZ11" s="288">
        <f ca="1">Model!H9</f>
        <v>3101.1750000000002</v>
      </c>
      <c r="BA11" s="289">
        <f ca="1">Model!I9</f>
        <v>3359.9839999999999</v>
      </c>
      <c r="BB11" s="289">
        <f>SUM(J11:M11)</f>
        <v>3115.672</v>
      </c>
      <c r="BC11" s="289">
        <f>SUM(N11:Q11)</f>
        <v>3906.9750000000004</v>
      </c>
      <c r="BD11" s="289">
        <f>SUM(R11:U11)</f>
        <v>5443.1120000000001</v>
      </c>
      <c r="BE11" s="289">
        <f>SUM(V11:Y11)</f>
        <v>7273.2839999999997</v>
      </c>
      <c r="BF11" s="289">
        <f>SUM(Z11:AC11)</f>
        <v>6321.56</v>
      </c>
      <c r="BG11" s="289">
        <f>SUM(AD11:AG11)</f>
        <v>8029.9210000000003</v>
      </c>
      <c r="BH11" s="289">
        <f>SUM(AH11:AK11)</f>
        <v>9326.7989999999991</v>
      </c>
      <c r="BI11" s="289">
        <f>SUM(AL11:AO11)</f>
        <v>11578.49117131698</v>
      </c>
      <c r="BJ11" s="289">
        <f>SUM(AP11:AS11)</f>
        <v>13869.187434829972</v>
      </c>
      <c r="BK11" s="289">
        <f>SUM(AT11:AW11)</f>
        <v>16753.01980557973</v>
      </c>
    </row>
    <row r="12" spans="1:63">
      <c r="A12" s="880" t="s">
        <v>885</v>
      </c>
      <c r="B12" s="886"/>
      <c r="C12" s="875">
        <f>C11/B11-1</f>
        <v>-5.2821576501888234E-2</v>
      </c>
      <c r="D12" s="875">
        <f t="shared" ref="D12:U12" si="4">D11/C11-1</f>
        <v>2.4667429009588737E-2</v>
      </c>
      <c r="E12" s="876">
        <f t="shared" si="4"/>
        <v>2.2671792320094308E-2</v>
      </c>
      <c r="F12" s="875">
        <f t="shared" si="4"/>
        <v>5.5731007375751762E-2</v>
      </c>
      <c r="G12" s="875">
        <f t="shared" si="4"/>
        <v>7.1800049094873364E-2</v>
      </c>
      <c r="H12" s="875">
        <f t="shared" si="4"/>
        <v>-4.4965100992126472E-2</v>
      </c>
      <c r="I12" s="876">
        <f t="shared" si="4"/>
        <v>-7.4173996252330565E-2</v>
      </c>
      <c r="J12" s="875">
        <f t="shared" si="4"/>
        <v>-0.15067454749766696</v>
      </c>
      <c r="K12" s="875">
        <f t="shared" si="4"/>
        <v>0.18236385463276217</v>
      </c>
      <c r="L12" s="875">
        <f t="shared" si="4"/>
        <v>3.2330992486869103E-2</v>
      </c>
      <c r="M12" s="876">
        <f t="shared" si="4"/>
        <v>2.8154747615291464E-2</v>
      </c>
      <c r="N12" s="875">
        <f t="shared" si="4"/>
        <v>7.7996137896857443E-2</v>
      </c>
      <c r="O12" s="875">
        <f t="shared" si="4"/>
        <v>3.7076533408773482E-2</v>
      </c>
      <c r="P12" s="875">
        <f t="shared" si="4"/>
        <v>0.15348713801183433</v>
      </c>
      <c r="Q12" s="873">
        <f t="shared" si="4"/>
        <v>-9.3680860596486948E-2</v>
      </c>
      <c r="R12" s="875">
        <f t="shared" si="4"/>
        <v>0.12491552805793504</v>
      </c>
      <c r="S12" s="875">
        <f>S11/R11-1</f>
        <v>0.21787089917174773</v>
      </c>
      <c r="T12" s="875">
        <f>T11/S11-1</f>
        <v>5.2972170266839758E-2</v>
      </c>
      <c r="U12" s="876">
        <f t="shared" si="4"/>
        <v>0.11641119704487113</v>
      </c>
      <c r="V12" s="875">
        <f t="shared" ref="V12:AH12" si="5">V11/U11-1</f>
        <v>0.16571216644441766</v>
      </c>
      <c r="W12" s="875">
        <f t="shared" si="5"/>
        <v>3.3264672125540296E-2</v>
      </c>
      <c r="X12" s="875">
        <f t="shared" si="5"/>
        <v>1.9924714843282398E-3</v>
      </c>
      <c r="Y12" s="876">
        <f t="shared" si="5"/>
        <v>-0.14981258088807503</v>
      </c>
      <c r="Z12" s="875">
        <f t="shared" si="5"/>
        <v>-9.8060162711948062E-2</v>
      </c>
      <c r="AA12" s="875">
        <f t="shared" si="5"/>
        <v>6.7092118652413157E-2</v>
      </c>
      <c r="AB12" s="875">
        <f t="shared" si="5"/>
        <v>3.8567773821517104E-2</v>
      </c>
      <c r="AC12" s="873">
        <f t="shared" si="5"/>
        <v>3.5618177969945153E-2</v>
      </c>
      <c r="AD12" s="875">
        <f t="shared" si="5"/>
        <v>4.2827291203772377E-2</v>
      </c>
      <c r="AE12" s="875">
        <f t="shared" si="5"/>
        <v>8.6334174391604179E-2</v>
      </c>
      <c r="AF12" s="875">
        <f t="shared" si="5"/>
        <v>0.14196360759826554</v>
      </c>
      <c r="AG12" s="876">
        <f t="shared" si="5"/>
        <v>1.6623618037682419E-2</v>
      </c>
      <c r="AH12" s="875">
        <f t="shared" si="5"/>
        <v>1.808559943206145E-2</v>
      </c>
      <c r="AI12" s="875">
        <f t="shared" ref="AI12:AO12" si="6">AI11/AH11-1</f>
        <v>-1.696999956835199E-2</v>
      </c>
      <c r="AJ12" s="875">
        <f t="shared" si="6"/>
        <v>7.8203186323994034E-2</v>
      </c>
      <c r="AK12" s="876">
        <f t="shared" si="6"/>
        <v>4.4876569281835366E-2</v>
      </c>
      <c r="AL12" s="264">
        <f t="shared" si="6"/>
        <v>6.7412434554448009E-3</v>
      </c>
      <c r="AM12" s="264">
        <f t="shared" si="6"/>
        <v>0.15235285114677222</v>
      </c>
      <c r="AN12" s="264">
        <f t="shared" si="6"/>
        <v>4.6682504319690787E-2</v>
      </c>
      <c r="AO12" s="291">
        <f t="shared" si="6"/>
        <v>4.693103478411742E-2</v>
      </c>
      <c r="AP12" s="264">
        <f t="shared" ref="AP12" si="7">AP11/AO11-1</f>
        <v>-1.9592555820286295E-2</v>
      </c>
      <c r="AQ12" s="264">
        <f t="shared" ref="AQ12" si="8">AQ11/AP11-1</f>
        <v>5.38934264115698E-2</v>
      </c>
      <c r="AR12" s="264">
        <f t="shared" ref="AR12" si="9">AR11/AQ11-1</f>
        <v>0.12170774136430929</v>
      </c>
      <c r="AS12" s="291">
        <f t="shared" ref="AS12" si="10">AS11/AR11-1</f>
        <v>4.4905130785128256E-2</v>
      </c>
      <c r="AT12" s="264">
        <f t="shared" ref="AT12" si="11">AT11/AS11-1</f>
        <v>6.2067721983238844E-3</v>
      </c>
      <c r="AU12" s="264">
        <f t="shared" ref="AU12" si="12">AU11/AT11-1</f>
        <v>3.6016965032847903E-2</v>
      </c>
      <c r="AV12" s="264">
        <f t="shared" ref="AV12" si="13">AV11/AU11-1</f>
        <v>8.4492264578398091E-2</v>
      </c>
      <c r="AW12" s="291">
        <f t="shared" ref="AW12" si="14">AW11/AV11-1</f>
        <v>5.5479280478883064E-2</v>
      </c>
      <c r="AY12" s="217"/>
      <c r="AZ12" s="309">
        <f t="shared" ref="AZ12:BK12" ca="1" si="15">AZ11/AY11-1</f>
        <v>6.4167278616969581E-2</v>
      </c>
      <c r="BA12" s="307">
        <f t="shared" ca="1" si="15"/>
        <v>8.3455142002627936E-2</v>
      </c>
      <c r="BB12" s="882">
        <f t="shared" ca="1" si="15"/>
        <v>-7.2712251010719098E-2</v>
      </c>
      <c r="BC12" s="882">
        <f t="shared" si="15"/>
        <v>0.25397506541125003</v>
      </c>
      <c r="BD12" s="882">
        <f t="shared" si="15"/>
        <v>0.39317809814498417</v>
      </c>
      <c r="BE12" s="882">
        <f t="shared" si="15"/>
        <v>0.33623632951150006</v>
      </c>
      <c r="BF12" s="882">
        <f t="shared" si="15"/>
        <v>-0.13085203327685258</v>
      </c>
      <c r="BG12" s="882">
        <f t="shared" si="15"/>
        <v>0.27024357911654717</v>
      </c>
      <c r="BH12" s="882">
        <f t="shared" si="15"/>
        <v>0.16150569849939989</v>
      </c>
      <c r="BI12" s="882">
        <f t="shared" si="15"/>
        <v>0.24142175373533648</v>
      </c>
      <c r="BJ12" s="882">
        <f t="shared" si="15"/>
        <v>0.19784065381400118</v>
      </c>
      <c r="BK12" s="882">
        <f t="shared" si="15"/>
        <v>0.2079308816252301</v>
      </c>
    </row>
    <row r="13" spans="1:63">
      <c r="A13" s="880" t="s">
        <v>858</v>
      </c>
      <c r="B13" s="886"/>
      <c r="C13" s="875"/>
      <c r="D13" s="875"/>
      <c r="E13" s="876"/>
      <c r="F13" s="875">
        <f>F11/B11-1</f>
        <v>4.7862461148552748E-2</v>
      </c>
      <c r="G13" s="875">
        <f t="shared" ref="G13:U13" si="16">G11/C11-1</f>
        <v>0.18573123018984461</v>
      </c>
      <c r="H13" s="875">
        <f t="shared" si="16"/>
        <v>0.10515341233144926</v>
      </c>
      <c r="I13" s="879">
        <f t="shared" si="16"/>
        <v>4.9671356015323909E-4</v>
      </c>
      <c r="J13" s="878">
        <f>J11/(F11-F19)-1</f>
        <v>-7.4884792626728092E-2</v>
      </c>
      <c r="K13" s="878">
        <f>K11/(G11-G19)-1</f>
        <v>-5.5903394121853189E-2</v>
      </c>
      <c r="L13" s="878">
        <f t="shared" si="16"/>
        <v>-4.0215737860630929E-2</v>
      </c>
      <c r="M13" s="879">
        <f t="shared" si="16"/>
        <v>6.586630944747407E-2</v>
      </c>
      <c r="N13" s="875">
        <f t="shared" si="16"/>
        <v>0.35283802188372237</v>
      </c>
      <c r="O13" s="875">
        <f t="shared" si="16"/>
        <v>0.18660305835763102</v>
      </c>
      <c r="P13" s="875">
        <f t="shared" si="16"/>
        <v>0.32586483957415768</v>
      </c>
      <c r="Q13" s="879">
        <f t="shared" si="16"/>
        <v>0.16875079666300952</v>
      </c>
      <c r="R13" s="875">
        <f t="shared" si="16"/>
        <v>0.21962025036688626</v>
      </c>
      <c r="S13" s="875">
        <f t="shared" si="16"/>
        <v>0.43223760553159818</v>
      </c>
      <c r="T13" s="875">
        <f>T11/P11-1</f>
        <v>0.30743229823418816</v>
      </c>
      <c r="U13" s="879">
        <f t="shared" si="16"/>
        <v>0.61050560852924529</v>
      </c>
      <c r="V13" s="875">
        <f t="shared" ref="V13:AH13" si="17">V11/R11-1</f>
        <v>0.66891285182154858</v>
      </c>
      <c r="W13" s="875">
        <f t="shared" si="17"/>
        <v>0.41593718333876439</v>
      </c>
      <c r="X13" s="875">
        <f t="shared" si="17"/>
        <v>0.3473845158135862</v>
      </c>
      <c r="Y13" s="879">
        <f t="shared" si="17"/>
        <v>2.6081937446639669E-2</v>
      </c>
      <c r="Z13" s="875">
        <f t="shared" si="17"/>
        <v>-0.20609546477701757</v>
      </c>
      <c r="AA13" s="875">
        <f t="shared" si="17"/>
        <v>-0.18010428948845192</v>
      </c>
      <c r="AB13" s="875">
        <f t="shared" si="17"/>
        <v>-0.15017598728025183</v>
      </c>
      <c r="AC13" s="879">
        <f t="shared" si="17"/>
        <v>3.5175510556539002E-2</v>
      </c>
      <c r="AD13" s="875">
        <f t="shared" si="17"/>
        <v>0.19687503419299057</v>
      </c>
      <c r="AE13" s="875">
        <f t="shared" si="17"/>
        <v>0.21845736595069454</v>
      </c>
      <c r="AF13" s="875">
        <f t="shared" si="17"/>
        <v>0.33976231922333833</v>
      </c>
      <c r="AG13" s="879">
        <f t="shared" si="17"/>
        <v>0.3151893673296593</v>
      </c>
      <c r="AH13" s="875">
        <f t="shared" si="17"/>
        <v>0.28398572486424234</v>
      </c>
      <c r="AI13" s="875">
        <f t="shared" ref="AI13:AO13" si="18">AI11/AE11-1</f>
        <v>0.16188601760081101</v>
      </c>
      <c r="AJ13" s="875">
        <f t="shared" si="18"/>
        <v>9.7013248046691425E-2</v>
      </c>
      <c r="AK13" s="876">
        <f t="shared" si="18"/>
        <v>0.1275003046734875</v>
      </c>
      <c r="AL13" s="264">
        <f t="shared" si="18"/>
        <v>0.1149367591061059</v>
      </c>
      <c r="AM13" s="264">
        <f t="shared" si="18"/>
        <v>0.30698000329604147</v>
      </c>
      <c r="AN13" s="264">
        <f t="shared" si="18"/>
        <v>0.26877115584277633</v>
      </c>
      <c r="AO13" s="294">
        <f t="shared" si="18"/>
        <v>0.2712658491363209</v>
      </c>
      <c r="AP13" s="264">
        <f t="shared" ref="AP13" si="19">AP11/AL11-1</f>
        <v>0.23801275663129595</v>
      </c>
      <c r="AQ13" s="264">
        <f t="shared" ref="AQ13" si="20">AQ11/AM11-1</f>
        <v>0.13223437138110494</v>
      </c>
      <c r="AR13" s="264">
        <f t="shared" ref="AR13" si="21">AR11/AN11-1</f>
        <v>0.21339188739227022</v>
      </c>
      <c r="AS13" s="294">
        <f t="shared" ref="AS13" si="22">AS11/AO11-1</f>
        <v>0.21104386694456645</v>
      </c>
      <c r="AT13" s="264">
        <f t="shared" ref="AT13" si="23">AT11/AP11-1</f>
        <v>0.24291237034456903</v>
      </c>
      <c r="AU13" s="264">
        <f t="shared" ref="AU13" si="24">AU11/AQ11-1</f>
        <v>0.22182971205220814</v>
      </c>
      <c r="AV13" s="264">
        <f t="shared" ref="AV13" si="25">AV11/AR11-1</f>
        <v>0.18129243695957986</v>
      </c>
      <c r="AW13" s="294">
        <f t="shared" ref="AW13" si="26">AW11/AS11-1</f>
        <v>0.19324678830928121</v>
      </c>
      <c r="AY13" s="204"/>
      <c r="AZ13" s="547"/>
      <c r="BA13" s="215"/>
      <c r="BB13" s="215"/>
      <c r="BC13" s="264"/>
      <c r="BD13" s="264"/>
      <c r="BE13" s="264"/>
      <c r="BF13" s="215"/>
      <c r="BG13" s="215"/>
      <c r="BH13" s="215"/>
      <c r="BI13" s="215"/>
      <c r="BJ13" s="215"/>
      <c r="BK13" s="215"/>
    </row>
    <row r="14" spans="1:63">
      <c r="A14" s="297" t="s">
        <v>760</v>
      </c>
      <c r="B14" s="298"/>
      <c r="C14" s="298"/>
      <c r="D14" s="298"/>
      <c r="E14" s="299"/>
      <c r="F14" s="546"/>
      <c r="G14" s="300"/>
      <c r="H14" s="300"/>
      <c r="I14" s="301"/>
      <c r="J14" s="546"/>
      <c r="K14" s="546"/>
      <c r="L14" s="546"/>
      <c r="M14" s="301"/>
      <c r="N14" s="546"/>
      <c r="O14" s="787"/>
      <c r="P14" s="546"/>
      <c r="Q14" s="301"/>
      <c r="R14" s="546"/>
      <c r="S14" s="546"/>
      <c r="T14" s="546"/>
      <c r="U14" s="301"/>
      <c r="V14" s="546"/>
      <c r="W14" s="546"/>
      <c r="X14" s="546"/>
      <c r="Y14" s="301"/>
      <c r="Z14" s="546"/>
      <c r="AA14" s="546"/>
      <c r="AB14" s="546"/>
      <c r="AC14" s="301"/>
      <c r="AD14" s="546"/>
      <c r="AE14" s="546"/>
      <c r="AF14" s="546"/>
      <c r="AG14" s="301"/>
      <c r="AH14" s="546"/>
      <c r="AI14" s="546"/>
      <c r="AJ14" s="546"/>
      <c r="AK14" s="301"/>
      <c r="AL14" s="546"/>
      <c r="AM14" s="546"/>
      <c r="AN14" s="546"/>
      <c r="AO14" s="301"/>
      <c r="AP14" s="546"/>
      <c r="AQ14" s="546"/>
      <c r="AR14" s="546"/>
      <c r="AS14" s="301"/>
      <c r="AT14" s="546"/>
      <c r="AU14" s="546"/>
      <c r="AV14" s="546"/>
      <c r="AW14" s="301"/>
      <c r="AY14" s="204"/>
      <c r="AZ14" s="204"/>
      <c r="BA14" s="215"/>
      <c r="BB14" s="215"/>
      <c r="BC14" s="215"/>
      <c r="BD14" s="215"/>
      <c r="BE14" s="215"/>
      <c r="BF14" s="215"/>
      <c r="BG14" s="215"/>
      <c r="BH14" s="215"/>
      <c r="BI14" s="215"/>
      <c r="BJ14" s="215"/>
      <c r="BK14" s="215"/>
    </row>
    <row r="15" spans="1:63">
      <c r="A15" s="290" t="s">
        <v>759</v>
      </c>
      <c r="B15" s="302">
        <v>0.97</v>
      </c>
      <c r="C15" s="302">
        <v>0.96799999999999997</v>
      </c>
      <c r="D15" s="302">
        <v>0.98399999999999999</v>
      </c>
      <c r="E15" s="303">
        <v>0.997</v>
      </c>
      <c r="F15" s="302">
        <v>0.83499999999999996</v>
      </c>
      <c r="G15" s="302">
        <v>0.9</v>
      </c>
      <c r="H15" s="302">
        <v>0.94399999999999995</v>
      </c>
      <c r="I15" s="303">
        <v>0.93200000000000005</v>
      </c>
      <c r="J15" s="302">
        <v>0.94199999999999995</v>
      </c>
      <c r="K15" s="302">
        <v>0.93899999999999995</v>
      </c>
      <c r="L15" s="302">
        <v>0.92500000000000004</v>
      </c>
      <c r="M15" s="303">
        <v>0.91600000000000004</v>
      </c>
      <c r="N15" s="302">
        <v>0.91100000000000003</v>
      </c>
      <c r="O15" s="302">
        <v>0.90900000000000003</v>
      </c>
      <c r="P15" s="302">
        <v>0.85399999999999998</v>
      </c>
      <c r="Q15" s="303">
        <v>0.89</v>
      </c>
      <c r="R15" s="302">
        <v>0.91200000000000003</v>
      </c>
      <c r="S15" s="302">
        <v>0.91700000000000004</v>
      </c>
      <c r="T15" s="302">
        <v>0.93899999999999995</v>
      </c>
      <c r="U15" s="303">
        <v>0.89500000000000002</v>
      </c>
      <c r="V15" s="302">
        <v>0.92500000000000004</v>
      </c>
      <c r="W15" s="302">
        <v>0.94099999999999995</v>
      </c>
      <c r="X15" s="302">
        <v>0.92500000000000004</v>
      </c>
      <c r="Y15" s="303">
        <v>0.91100000000000003</v>
      </c>
      <c r="Z15" s="302">
        <v>0.92100000000000004</v>
      </c>
      <c r="AA15" s="302">
        <v>0.90500000000000003</v>
      </c>
      <c r="AB15" s="428">
        <v>0.91100000000000003</v>
      </c>
      <c r="AC15" s="429">
        <v>0.92900000000000005</v>
      </c>
      <c r="AD15" s="302">
        <v>0.93</v>
      </c>
      <c r="AE15" s="398">
        <v>0.92900000000000005</v>
      </c>
      <c r="AF15" s="398">
        <v>0.94399999999999995</v>
      </c>
      <c r="AG15" s="399">
        <v>0.92500000000000004</v>
      </c>
      <c r="AH15" s="398">
        <v>0.95199999999999996</v>
      </c>
      <c r="AI15" s="398">
        <v>0.94599999999999995</v>
      </c>
      <c r="AJ15" s="398">
        <v>0.95199999999999996</v>
      </c>
      <c r="AK15" s="399">
        <v>0.92400000000000004</v>
      </c>
      <c r="AL15" s="398">
        <v>0.93899999999999995</v>
      </c>
      <c r="AM15" s="264">
        <f t="shared" ref="AM15:AO15" si="27">AM17/AM11</f>
        <v>0.95455171475447165</v>
      </c>
      <c r="AN15" s="264">
        <f t="shared" si="27"/>
        <v>0.95838493036600614</v>
      </c>
      <c r="AO15" s="291">
        <f t="shared" si="27"/>
        <v>0.93423877463805338</v>
      </c>
      <c r="AP15" s="264">
        <f t="shared" ref="AP15:AS15" si="28">AP17/AP11</f>
        <v>0.94580023538482505</v>
      </c>
      <c r="AQ15" s="264">
        <f t="shared" si="28"/>
        <v>0.95584561374064336</v>
      </c>
      <c r="AR15" s="264">
        <f t="shared" si="28"/>
        <v>0.96227387287402022</v>
      </c>
      <c r="AS15" s="291">
        <f t="shared" si="28"/>
        <v>0.94026859813043229</v>
      </c>
      <c r="AT15" s="264">
        <f t="shared" ref="AT15:AW15" si="29">AT17/AT11</f>
        <v>0.95203222487827976</v>
      </c>
      <c r="AU15" s="264">
        <f t="shared" si="29"/>
        <v>0.96024828631502701</v>
      </c>
      <c r="AV15" s="264">
        <f t="shared" si="29"/>
        <v>0.96487005373082091</v>
      </c>
      <c r="AW15" s="291">
        <f t="shared" si="29"/>
        <v>0.94493633446135494</v>
      </c>
      <c r="AY15" s="204"/>
      <c r="AZ15" s="204"/>
      <c r="BA15" s="274"/>
      <c r="BB15" s="215"/>
      <c r="BC15" s="215"/>
      <c r="BD15" s="215"/>
      <c r="BE15" s="215"/>
      <c r="BF15" s="215"/>
      <c r="BG15" s="215"/>
      <c r="BH15" s="215"/>
      <c r="BI15" s="215"/>
      <c r="BJ15" s="215"/>
      <c r="BK15" s="215"/>
    </row>
    <row r="16" spans="1:63">
      <c r="A16" s="304" t="s">
        <v>757</v>
      </c>
      <c r="B16" s="305">
        <f>1-B15</f>
        <v>3.0000000000000027E-2</v>
      </c>
      <c r="C16" s="305">
        <f t="shared" ref="C16:R16" si="30">1-C15</f>
        <v>3.2000000000000028E-2</v>
      </c>
      <c r="D16" s="305">
        <f t="shared" si="30"/>
        <v>1.6000000000000014E-2</v>
      </c>
      <c r="E16" s="306">
        <f t="shared" si="30"/>
        <v>3.0000000000000027E-3</v>
      </c>
      <c r="F16" s="305">
        <f t="shared" si="30"/>
        <v>0.16500000000000004</v>
      </c>
      <c r="G16" s="305">
        <f t="shared" si="30"/>
        <v>9.9999999999999978E-2</v>
      </c>
      <c r="H16" s="305">
        <f t="shared" si="30"/>
        <v>5.600000000000005E-2</v>
      </c>
      <c r="I16" s="306">
        <f t="shared" si="30"/>
        <v>6.7999999999999949E-2</v>
      </c>
      <c r="J16" s="305">
        <f t="shared" si="30"/>
        <v>5.8000000000000052E-2</v>
      </c>
      <c r="K16" s="305">
        <f t="shared" si="30"/>
        <v>6.1000000000000054E-2</v>
      </c>
      <c r="L16" s="305">
        <f t="shared" si="30"/>
        <v>7.4999999999999956E-2</v>
      </c>
      <c r="M16" s="306">
        <f t="shared" si="30"/>
        <v>8.3999999999999964E-2</v>
      </c>
      <c r="N16" s="305">
        <f t="shared" si="30"/>
        <v>8.8999999999999968E-2</v>
      </c>
      <c r="O16" s="305">
        <f t="shared" si="30"/>
        <v>9.099999999999997E-2</v>
      </c>
      <c r="P16" s="305">
        <f t="shared" si="30"/>
        <v>0.14600000000000002</v>
      </c>
      <c r="Q16" s="306">
        <f t="shared" si="30"/>
        <v>0.10999999999999999</v>
      </c>
      <c r="R16" s="305">
        <f t="shared" si="30"/>
        <v>8.7999999999999967E-2</v>
      </c>
      <c r="S16" s="305">
        <f t="shared" ref="S16:AD16" si="31">1-S15</f>
        <v>8.2999999999999963E-2</v>
      </c>
      <c r="T16" s="305">
        <f t="shared" si="31"/>
        <v>6.1000000000000054E-2</v>
      </c>
      <c r="U16" s="306">
        <f t="shared" si="31"/>
        <v>0.10499999999999998</v>
      </c>
      <c r="V16" s="305">
        <f t="shared" si="31"/>
        <v>7.4999999999999956E-2</v>
      </c>
      <c r="W16" s="305">
        <f t="shared" si="31"/>
        <v>5.9000000000000052E-2</v>
      </c>
      <c r="X16" s="305">
        <f t="shared" si="31"/>
        <v>7.4999999999999956E-2</v>
      </c>
      <c r="Y16" s="306">
        <f t="shared" si="31"/>
        <v>8.8999999999999968E-2</v>
      </c>
      <c r="Z16" s="305">
        <f t="shared" si="31"/>
        <v>7.8999999999999959E-2</v>
      </c>
      <c r="AA16" s="305">
        <f t="shared" si="31"/>
        <v>9.4999999999999973E-2</v>
      </c>
      <c r="AB16" s="305">
        <f t="shared" si="31"/>
        <v>8.8999999999999968E-2</v>
      </c>
      <c r="AC16" s="306">
        <f t="shared" si="31"/>
        <v>7.0999999999999952E-2</v>
      </c>
      <c r="AD16" s="305">
        <f t="shared" si="31"/>
        <v>6.9999999999999951E-2</v>
      </c>
      <c r="AE16" s="305">
        <f t="shared" ref="AE16:AL16" si="32">1-AE15</f>
        <v>7.0999999999999952E-2</v>
      </c>
      <c r="AF16" s="305">
        <f t="shared" si="32"/>
        <v>5.600000000000005E-2</v>
      </c>
      <c r="AG16" s="306">
        <f t="shared" si="32"/>
        <v>7.4999999999999956E-2</v>
      </c>
      <c r="AH16" s="305">
        <f t="shared" si="32"/>
        <v>4.8000000000000043E-2</v>
      </c>
      <c r="AI16" s="305">
        <f t="shared" si="32"/>
        <v>5.4000000000000048E-2</v>
      </c>
      <c r="AJ16" s="305">
        <f t="shared" si="32"/>
        <v>4.8000000000000043E-2</v>
      </c>
      <c r="AK16" s="306">
        <f t="shared" si="32"/>
        <v>7.5999999999999956E-2</v>
      </c>
      <c r="AL16" s="305">
        <f t="shared" si="32"/>
        <v>6.1000000000000054E-2</v>
      </c>
      <c r="AM16" s="307">
        <f t="shared" ref="AM16:AO16" si="33">AM18/AM11</f>
        <v>4.5448285245528339E-2</v>
      </c>
      <c r="AN16" s="307">
        <f t="shared" si="33"/>
        <v>4.161506963399389E-2</v>
      </c>
      <c r="AO16" s="308">
        <f t="shared" si="33"/>
        <v>6.5761225361946563E-2</v>
      </c>
      <c r="AP16" s="307">
        <f t="shared" ref="AP16:AS16" si="34">AP18/AP11</f>
        <v>5.4199764615174915E-2</v>
      </c>
      <c r="AQ16" s="307">
        <f t="shared" si="34"/>
        <v>4.4154386259356658E-2</v>
      </c>
      <c r="AR16" s="307">
        <f t="shared" si="34"/>
        <v>3.7726127125979739E-2</v>
      </c>
      <c r="AS16" s="308">
        <f t="shared" si="34"/>
        <v>5.9731401869567741E-2</v>
      </c>
      <c r="AT16" s="307">
        <f t="shared" ref="AT16:AW16" si="35">AT18/AT11</f>
        <v>4.7967775121720131E-2</v>
      </c>
      <c r="AU16" s="307">
        <f t="shared" si="35"/>
        <v>3.9751713684972954E-2</v>
      </c>
      <c r="AV16" s="307">
        <f t="shared" si="35"/>
        <v>3.5129946269179126E-2</v>
      </c>
      <c r="AW16" s="308">
        <f t="shared" si="35"/>
        <v>5.5063665538644939E-2</v>
      </c>
      <c r="AY16" s="217"/>
      <c r="AZ16" s="217"/>
      <c r="BA16" s="310"/>
      <c r="BB16" s="310"/>
      <c r="BC16" s="310">
        <f t="shared" ref="BC16:BK16" si="36">BC20/BB20-1</f>
        <v>7.9038827043171223E-2</v>
      </c>
      <c r="BD16" s="310">
        <f t="shared" si="36"/>
        <v>0.1661125789486928</v>
      </c>
      <c r="BE16" s="310">
        <f t="shared" si="36"/>
        <v>0.18374070615124616</v>
      </c>
      <c r="BF16" s="310">
        <f t="shared" si="36"/>
        <v>0.12573526891865994</v>
      </c>
      <c r="BG16" s="310">
        <f t="shared" si="36"/>
        <v>0.1281272771435511</v>
      </c>
      <c r="BH16" s="310">
        <f t="shared" si="36"/>
        <v>0.16151720673197678</v>
      </c>
      <c r="BI16" s="310">
        <f t="shared" si="36"/>
        <v>0.11882105783489871</v>
      </c>
      <c r="BJ16" s="310">
        <f t="shared" si="36"/>
        <v>0.1232672447119898</v>
      </c>
      <c r="BK16" s="310">
        <f t="shared" si="36"/>
        <v>0.1159349033875805</v>
      </c>
    </row>
    <row r="17" spans="1:63">
      <c r="A17" s="290" t="s">
        <v>758</v>
      </c>
      <c r="B17" s="311">
        <f>B11*B15</f>
        <v>769.29245000000003</v>
      </c>
      <c r="C17" s="311">
        <f t="shared" ref="C17:I17" si="37">C11*C15</f>
        <v>727.15482399999996</v>
      </c>
      <c r="D17" s="311">
        <f t="shared" si="37"/>
        <v>757.40743199999997</v>
      </c>
      <c r="E17" s="312">
        <f>E11*E15</f>
        <v>784.81247799999994</v>
      </c>
      <c r="F17" s="311">
        <f t="shared" si="37"/>
        <v>693.92174</v>
      </c>
      <c r="G17" s="311">
        <f t="shared" si="37"/>
        <v>801.64170000000001</v>
      </c>
      <c r="H17" s="311">
        <f t="shared" si="37"/>
        <v>803.02492800000005</v>
      </c>
      <c r="I17" s="312">
        <f t="shared" si="37"/>
        <v>734.01058000000012</v>
      </c>
      <c r="J17" s="311">
        <f t="shared" ref="J17:X17" si="38">J11*J15</f>
        <v>630.10285799999997</v>
      </c>
      <c r="K17" s="311">
        <f t="shared" si="38"/>
        <v>742.63819799999987</v>
      </c>
      <c r="L17" s="311">
        <f t="shared" si="38"/>
        <v>755.21810000000005</v>
      </c>
      <c r="M17" s="312">
        <f t="shared" si="38"/>
        <v>768.92612399999996</v>
      </c>
      <c r="N17" s="311">
        <f t="shared" si="38"/>
        <v>824.37483200000008</v>
      </c>
      <c r="O17" s="311">
        <f t="shared" si="38"/>
        <v>853.06286699999998</v>
      </c>
      <c r="P17" s="311">
        <f t="shared" si="38"/>
        <v>924.45927000000006</v>
      </c>
      <c r="Q17" s="312">
        <f t="shared" si="38"/>
        <v>873.17455000000007</v>
      </c>
      <c r="R17" s="311">
        <f t="shared" si="38"/>
        <v>1006.527888</v>
      </c>
      <c r="S17" s="311">
        <f t="shared" si="38"/>
        <v>1232.5415340000002</v>
      </c>
      <c r="T17" s="311">
        <f t="shared" si="38"/>
        <v>1328.9685779999998</v>
      </c>
      <c r="U17" s="312">
        <f t="shared" si="38"/>
        <v>1414.1528049999999</v>
      </c>
      <c r="V17" s="311">
        <f t="shared" si="38"/>
        <v>1703.7519500000001</v>
      </c>
      <c r="W17" s="311">
        <f t="shared" si="38"/>
        <v>1790.8773239999998</v>
      </c>
      <c r="X17" s="311">
        <f t="shared" si="38"/>
        <v>1763.9342999999999</v>
      </c>
      <c r="Y17" s="312">
        <f t="shared" ref="Y17:AL17" si="39">Y11*Y15</f>
        <v>1476.9769699999999</v>
      </c>
      <c r="Z17" s="311">
        <f t="shared" si="39"/>
        <v>1346.7672480000001</v>
      </c>
      <c r="AA17" s="311">
        <f t="shared" si="39"/>
        <v>1412.1583800000001</v>
      </c>
      <c r="AB17" s="311">
        <f t="shared" si="39"/>
        <v>1476.3456470000001</v>
      </c>
      <c r="AC17" s="312">
        <f t="shared" si="39"/>
        <v>1559.1397710000001</v>
      </c>
      <c r="AD17" s="311">
        <f t="shared" si="39"/>
        <v>1627.6636800000001</v>
      </c>
      <c r="AE17" s="311">
        <f t="shared" si="39"/>
        <v>1766.2854040000002</v>
      </c>
      <c r="AF17" s="311">
        <f t="shared" si="39"/>
        <v>2049.6014719999998</v>
      </c>
      <c r="AG17" s="312">
        <f t="shared" si="39"/>
        <v>2041.734925</v>
      </c>
      <c r="AH17" s="311">
        <f t="shared" si="39"/>
        <v>2139.3353520000001</v>
      </c>
      <c r="AI17" s="311">
        <f t="shared" si="39"/>
        <v>2089.7764359999996</v>
      </c>
      <c r="AJ17" s="311">
        <f t="shared" si="39"/>
        <v>2267.4945440000001</v>
      </c>
      <c r="AK17" s="312">
        <f t="shared" si="39"/>
        <v>2299.5680400000001</v>
      </c>
      <c r="AL17" s="311">
        <f t="shared" si="39"/>
        <v>2352.6522930000001</v>
      </c>
      <c r="AM17" s="311">
        <f t="shared" ref="AM17:AO17" si="40">AM57</f>
        <v>2755.9865675611727</v>
      </c>
      <c r="AN17" s="311">
        <f t="shared" si="40"/>
        <v>2896.2268503517535</v>
      </c>
      <c r="AO17" s="312">
        <f t="shared" si="40"/>
        <v>2955.7558754040533</v>
      </c>
      <c r="AP17" s="311">
        <f t="shared" ref="AP17:AS17" si="41">AP57</f>
        <v>2933.7066898738758</v>
      </c>
      <c r="AQ17" s="311">
        <f t="shared" si="41"/>
        <v>3124.6524653760462</v>
      </c>
      <c r="AR17" s="311">
        <f t="shared" si="41"/>
        <v>3528.5183508827408</v>
      </c>
      <c r="AS17" s="312">
        <f t="shared" si="41"/>
        <v>3602.653385197309</v>
      </c>
      <c r="AT17" s="311">
        <f t="shared" ref="AT17:AW17" si="42">AT57</f>
        <v>3670.3665030799743</v>
      </c>
      <c r="AU17" s="311">
        <f t="shared" si="42"/>
        <v>3835.3781680455099</v>
      </c>
      <c r="AV17" s="311">
        <f t="shared" si="42"/>
        <v>4179.4577301575227</v>
      </c>
      <c r="AW17" s="312">
        <f t="shared" si="42"/>
        <v>4320.1952064467205</v>
      </c>
      <c r="AY17" s="204"/>
      <c r="AZ17" s="547">
        <f>SUM(B17:E17)</f>
        <v>3038.6671839999999</v>
      </c>
      <c r="BA17" s="546">
        <f>SUM(F17:I17)</f>
        <v>3032.5989479999998</v>
      </c>
      <c r="BB17" s="546">
        <f>SUM(J17:M17)</f>
        <v>2896.88528</v>
      </c>
      <c r="BC17" s="546">
        <f>SUM(N17:Q17)</f>
        <v>3475.0715190000005</v>
      </c>
      <c r="BD17" s="546">
        <f>SUM(R17:U17)</f>
        <v>4982.1908049999993</v>
      </c>
      <c r="BE17" s="546">
        <f>SUM(V17:Y17)</f>
        <v>6735.5405439999995</v>
      </c>
      <c r="BF17" s="546">
        <f>SUM(Z17:AC17)</f>
        <v>5794.4110460000002</v>
      </c>
      <c r="BG17" s="546">
        <f>SUM(AD17:AG17)</f>
        <v>7485.2854809999999</v>
      </c>
      <c r="BH17" s="546">
        <f>SUM(AH17:AK17)</f>
        <v>8796.1743720000013</v>
      </c>
      <c r="BI17" s="546">
        <f>SUM(AL17:AO17)</f>
        <v>10960.62158631698</v>
      </c>
      <c r="BJ17" s="546">
        <f>SUM(AP17:AS17)</f>
        <v>13189.530891329972</v>
      </c>
      <c r="BK17" s="546">
        <f>SUM(AT17:AW17)</f>
        <v>16005.397607729728</v>
      </c>
    </row>
    <row r="18" spans="1:63">
      <c r="A18" s="290" t="s">
        <v>757</v>
      </c>
      <c r="B18" s="311">
        <f>B11*B16</f>
        <v>23.792550000000023</v>
      </c>
      <c r="C18" s="311">
        <f>C11*C16</f>
        <v>24.038176000000021</v>
      </c>
      <c r="D18" s="311">
        <f>D11*D16</f>
        <v>12.31556800000001</v>
      </c>
      <c r="E18" s="312">
        <f>E11*E16</f>
        <v>2.3615220000000021</v>
      </c>
      <c r="F18" s="311">
        <f t="shared" ref="F18:O18" si="43">F11*F16-F19</f>
        <v>29.12226000000004</v>
      </c>
      <c r="G18" s="311">
        <f t="shared" si="43"/>
        <v>36.071299999999979</v>
      </c>
      <c r="H18" s="311">
        <f t="shared" si="43"/>
        <v>47.637072000000046</v>
      </c>
      <c r="I18" s="312">
        <f t="shared" si="43"/>
        <v>53.554419999999965</v>
      </c>
      <c r="J18" s="311">
        <f t="shared" si="43"/>
        <v>38.796142000000032</v>
      </c>
      <c r="K18" s="311">
        <f t="shared" si="43"/>
        <v>48.243802000000038</v>
      </c>
      <c r="L18" s="311">
        <f t="shared" si="43"/>
        <v>61.233899999999963</v>
      </c>
      <c r="M18" s="312">
        <f t="shared" si="43"/>
        <v>70.512875999999963</v>
      </c>
      <c r="N18" s="311">
        <f t="shared" si="43"/>
        <v>80.53716799999998</v>
      </c>
      <c r="O18" s="311">
        <f t="shared" si="43"/>
        <v>85.400132999999968</v>
      </c>
      <c r="P18" s="311">
        <f t="shared" ref="P18:W18" si="44">P11*P16-P19</f>
        <v>158.04573000000005</v>
      </c>
      <c r="Q18" s="312">
        <f t="shared" si="44"/>
        <v>107.92044999999999</v>
      </c>
      <c r="R18" s="311">
        <f t="shared" si="44"/>
        <v>97.121111999999954</v>
      </c>
      <c r="S18" s="311">
        <f t="shared" si="44"/>
        <v>111.56046599999996</v>
      </c>
      <c r="T18" s="311">
        <f t="shared" si="44"/>
        <v>86.33342200000007</v>
      </c>
      <c r="U18" s="312">
        <f t="shared" si="44"/>
        <v>165.90619499999997</v>
      </c>
      <c r="V18" s="311">
        <f t="shared" si="44"/>
        <v>138.14204999999993</v>
      </c>
      <c r="W18" s="311">
        <f t="shared" si="44"/>
        <v>112.2866760000001</v>
      </c>
      <c r="X18" s="311">
        <f t="shared" ref="X18:AD18" si="45">X11*X16-X19</f>
        <v>143.0216999999999</v>
      </c>
      <c r="Y18" s="312">
        <f t="shared" si="45"/>
        <v>144.29302999999996</v>
      </c>
      <c r="Z18" s="311">
        <f t="shared" si="45"/>
        <v>115.52075199999994</v>
      </c>
      <c r="AA18" s="311">
        <f t="shared" si="45"/>
        <v>148.23761999999996</v>
      </c>
      <c r="AB18" s="311">
        <f t="shared" si="45"/>
        <v>144.23135299999996</v>
      </c>
      <c r="AC18" s="312">
        <f t="shared" si="45"/>
        <v>119.15922899999991</v>
      </c>
      <c r="AD18" s="311">
        <f t="shared" si="45"/>
        <v>122.5123199999999</v>
      </c>
      <c r="AE18" s="311">
        <f t="shared" ref="AE18:AL18" si="46">AE11*AE16-AE19</f>
        <v>134.99059599999993</v>
      </c>
      <c r="AF18" s="311">
        <f t="shared" si="46"/>
        <v>121.58652800000011</v>
      </c>
      <c r="AG18" s="312">
        <f t="shared" si="46"/>
        <v>165.54607499999989</v>
      </c>
      <c r="AH18" s="311">
        <f t="shared" si="46"/>
        <v>107.86564800000009</v>
      </c>
      <c r="AI18" s="311">
        <f t="shared" si="46"/>
        <v>119.2895640000001</v>
      </c>
      <c r="AJ18" s="311">
        <f t="shared" si="46"/>
        <v>114.32745600000011</v>
      </c>
      <c r="AK18" s="312">
        <f t="shared" si="46"/>
        <v>189.1419599999999</v>
      </c>
      <c r="AL18" s="311">
        <f t="shared" si="46"/>
        <v>152.83470700000015</v>
      </c>
      <c r="AM18" s="313">
        <f t="shared" ref="AM18:AO18" si="47">AI18*1.1</f>
        <v>131.21852040000013</v>
      </c>
      <c r="AN18" s="313">
        <f t="shared" si="47"/>
        <v>125.76020160000013</v>
      </c>
      <c r="AO18" s="314">
        <f t="shared" si="47"/>
        <v>208.0561559999999</v>
      </c>
      <c r="AP18" s="313">
        <f t="shared" ref="AP18" si="48">AL18*1.1</f>
        <v>168.11817770000019</v>
      </c>
      <c r="AQ18" s="313">
        <f t="shared" ref="AQ18" si="49">AM18*1.1</f>
        <v>144.34037244000015</v>
      </c>
      <c r="AR18" s="313">
        <f t="shared" ref="AR18" si="50">AN18*1.1</f>
        <v>138.33622176000014</v>
      </c>
      <c r="AS18" s="314">
        <f t="shared" ref="AS18" si="51">AO18*1.1</f>
        <v>228.86177159999991</v>
      </c>
      <c r="AT18" s="313">
        <f t="shared" ref="AT18" si="52">AP18*1.1</f>
        <v>184.92999547000022</v>
      </c>
      <c r="AU18" s="313">
        <f t="shared" ref="AU18" si="53">AQ18*1.1</f>
        <v>158.77440968400018</v>
      </c>
      <c r="AV18" s="313">
        <f t="shared" ref="AV18" si="54">AR18*1.1</f>
        <v>152.16984393600018</v>
      </c>
      <c r="AW18" s="314">
        <f t="shared" ref="AW18" si="55">AS18*1.1</f>
        <v>251.74794875999993</v>
      </c>
      <c r="AX18" s="232"/>
      <c r="AY18" s="204"/>
      <c r="AZ18" s="335">
        <f>SUM(B18:E18)</f>
        <v>62.507816000000055</v>
      </c>
      <c r="BA18" s="215">
        <f>SUM(F18:I18)</f>
        <v>166.38505200000003</v>
      </c>
      <c r="BB18" s="215">
        <f>SUM(J18:M18)</f>
        <v>218.78672</v>
      </c>
      <c r="BC18" s="215">
        <f>SUM(N18:Q18)</f>
        <v>431.90348099999994</v>
      </c>
      <c r="BD18" s="215">
        <f>SUM(R18:U18)</f>
        <v>460.92119499999995</v>
      </c>
      <c r="BE18" s="215">
        <f>SUM(V18:Y18)</f>
        <v>537.74345599999992</v>
      </c>
      <c r="BF18" s="215">
        <f>SUM(Z18:AC18)</f>
        <v>527.14895399999978</v>
      </c>
      <c r="BG18" s="215">
        <f>SUM(AD18:AG18)</f>
        <v>544.63551899999982</v>
      </c>
      <c r="BH18" s="215">
        <f>SUM(AH18:AK18)</f>
        <v>530.62462800000014</v>
      </c>
      <c r="BI18" s="215">
        <f>SUM(AL18:AO18)</f>
        <v>617.86958500000037</v>
      </c>
      <c r="BJ18" s="215">
        <f>SUM(AP18:AS18)</f>
        <v>679.65654350000034</v>
      </c>
      <c r="BK18" s="215">
        <f>SUM(AT18:AW18)</f>
        <v>747.62219785000048</v>
      </c>
    </row>
    <row r="19" spans="1:63">
      <c r="A19" s="304" t="s">
        <v>756</v>
      </c>
      <c r="B19" s="315"/>
      <c r="C19" s="315"/>
      <c r="D19" s="315"/>
      <c r="E19" s="316"/>
      <c r="F19" s="648">
        <v>108</v>
      </c>
      <c r="G19" s="648">
        <v>53</v>
      </c>
      <c r="H19" s="315"/>
      <c r="I19" s="316"/>
      <c r="J19" s="317"/>
      <c r="K19" s="317"/>
      <c r="L19" s="315"/>
      <c r="M19" s="316"/>
      <c r="N19" s="315"/>
      <c r="O19" s="315"/>
      <c r="P19" s="315"/>
      <c r="Q19" s="316"/>
      <c r="R19" s="315"/>
      <c r="S19" s="315"/>
      <c r="T19" s="315"/>
      <c r="U19" s="316"/>
      <c r="V19" s="514"/>
      <c r="W19" s="315"/>
      <c r="X19" s="315"/>
      <c r="Y19" s="316"/>
      <c r="Z19" s="315"/>
      <c r="AA19" s="315"/>
      <c r="AB19" s="315"/>
      <c r="AC19" s="316"/>
      <c r="AD19" s="315"/>
      <c r="AE19" s="1017"/>
      <c r="AF19" s="1017"/>
      <c r="AG19" s="316"/>
      <c r="AH19" s="315"/>
      <c r="AI19" s="315"/>
      <c r="AJ19" s="223"/>
      <c r="AK19" s="316"/>
      <c r="AL19" s="315"/>
      <c r="AM19" s="315"/>
      <c r="AN19" s="315"/>
      <c r="AO19" s="316"/>
      <c r="AP19" s="315"/>
      <c r="AQ19" s="315"/>
      <c r="AR19" s="315"/>
      <c r="AS19" s="316"/>
      <c r="AT19" s="315"/>
      <c r="AU19" s="315"/>
      <c r="AV19" s="315"/>
      <c r="AW19" s="316"/>
      <c r="AX19" s="232"/>
      <c r="AY19" s="204"/>
      <c r="AZ19" s="548">
        <f>SUM(B19:E19)</f>
        <v>0</v>
      </c>
      <c r="BA19" s="360">
        <f>SUM(F19:I19)</f>
        <v>161</v>
      </c>
      <c r="BB19" s="360">
        <f>SUM(J19:M19)</f>
        <v>0</v>
      </c>
      <c r="BC19" s="360">
        <f>SUM(N19:Q19)</f>
        <v>0</v>
      </c>
      <c r="BD19" s="360">
        <f>SUM(R19:U19)</f>
        <v>0</v>
      </c>
      <c r="BE19" s="360">
        <f>SUM(V19:Y19)</f>
        <v>0</v>
      </c>
      <c r="BF19" s="360">
        <f>SUM(Z19:AC19)</f>
        <v>0</v>
      </c>
      <c r="BG19" s="360">
        <f>SUM(AD19:AG19)</f>
        <v>0</v>
      </c>
      <c r="BH19" s="360">
        <f>SUM(AH19:AK19)</f>
        <v>0</v>
      </c>
      <c r="BI19" s="360">
        <f>SUM(AL19:AO19)</f>
        <v>0</v>
      </c>
      <c r="BJ19" s="360">
        <f>SUM(AP19:AS19)</f>
        <v>0</v>
      </c>
      <c r="BK19" s="360">
        <f>SUM(AT19:AW19)</f>
        <v>0</v>
      </c>
    </row>
    <row r="20" spans="1:63">
      <c r="A20" s="290" t="s">
        <v>755</v>
      </c>
      <c r="B20" s="311">
        <f>B116</f>
        <v>1265.25</v>
      </c>
      <c r="C20" s="311">
        <f t="shared" ref="C20:U20" si="56">C116</f>
        <v>1314.75</v>
      </c>
      <c r="D20" s="311">
        <f t="shared" si="56"/>
        <v>1343.85</v>
      </c>
      <c r="E20" s="312">
        <f t="shared" si="56"/>
        <v>1328.25</v>
      </c>
      <c r="F20" s="311">
        <f t="shared" si="56"/>
        <v>1343.25</v>
      </c>
      <c r="G20" s="311">
        <f t="shared" si="56"/>
        <v>1347.2249999999999</v>
      </c>
      <c r="H20" s="311">
        <f t="shared" si="56"/>
        <v>1352.625</v>
      </c>
      <c r="I20" s="312">
        <f t="shared" si="56"/>
        <v>1353.9749999999999</v>
      </c>
      <c r="J20" s="311">
        <f t="shared" si="56"/>
        <v>1399.7249999999999</v>
      </c>
      <c r="K20" s="311">
        <f t="shared" si="56"/>
        <v>1447.7249999999999</v>
      </c>
      <c r="L20" s="311">
        <f>L116</f>
        <v>1331.55</v>
      </c>
      <c r="M20" s="312">
        <f t="shared" si="56"/>
        <v>1345.5</v>
      </c>
      <c r="N20" s="311">
        <f t="shared" si="56"/>
        <v>1428</v>
      </c>
      <c r="O20" s="311">
        <f t="shared" si="56"/>
        <v>1440.45</v>
      </c>
      <c r="P20" s="311">
        <f t="shared" si="56"/>
        <v>1530.45</v>
      </c>
      <c r="Q20" s="312">
        <f t="shared" si="56"/>
        <v>1562.25</v>
      </c>
      <c r="R20" s="311">
        <f t="shared" si="56"/>
        <v>1622.25</v>
      </c>
      <c r="S20" s="311">
        <f>S116</f>
        <v>1684.5</v>
      </c>
      <c r="T20" s="311">
        <f>T116</f>
        <v>1781.625</v>
      </c>
      <c r="U20" s="312">
        <f t="shared" si="56"/>
        <v>1862.9969999999998</v>
      </c>
      <c r="V20" s="311">
        <f t="shared" ref="V20:AG20" si="57">V116</f>
        <v>1947.3719999999998</v>
      </c>
      <c r="W20" s="311">
        <f t="shared" si="57"/>
        <v>2021.25</v>
      </c>
      <c r="X20" s="311">
        <f>X116</f>
        <v>2118</v>
      </c>
      <c r="Y20" s="312">
        <f t="shared" si="57"/>
        <v>2142</v>
      </c>
      <c r="Z20" s="311">
        <f t="shared" si="57"/>
        <v>2196.75</v>
      </c>
      <c r="AA20" s="311">
        <f t="shared" si="57"/>
        <v>2262.75</v>
      </c>
      <c r="AB20" s="311">
        <f t="shared" si="57"/>
        <v>2387.25</v>
      </c>
      <c r="AC20" s="312">
        <f t="shared" si="57"/>
        <v>2416.5</v>
      </c>
      <c r="AD20" s="311">
        <f t="shared" si="57"/>
        <v>2443.5</v>
      </c>
      <c r="AE20" s="311">
        <f t="shared" si="57"/>
        <v>2511</v>
      </c>
      <c r="AF20" s="311">
        <f t="shared" si="57"/>
        <v>2652.75</v>
      </c>
      <c r="AG20" s="312">
        <f t="shared" si="57"/>
        <v>2842.875</v>
      </c>
      <c r="AH20" s="311">
        <f t="shared" ref="AH20:AO20" si="58">AH116</f>
        <v>2919.75</v>
      </c>
      <c r="AI20" s="311">
        <f t="shared" si="58"/>
        <v>2973.75</v>
      </c>
      <c r="AJ20" s="311">
        <f t="shared" si="58"/>
        <v>3068.25</v>
      </c>
      <c r="AK20" s="1086">
        <f t="shared" si="58"/>
        <v>3176.25</v>
      </c>
      <c r="AL20" s="311">
        <f t="shared" si="58"/>
        <v>3234.75</v>
      </c>
      <c r="AM20" s="311">
        <f t="shared" si="58"/>
        <v>3336</v>
      </c>
      <c r="AN20" s="311">
        <f t="shared" si="58"/>
        <v>3464.25</v>
      </c>
      <c r="AO20" s="312">
        <f t="shared" si="58"/>
        <v>3545.25</v>
      </c>
      <c r="AP20" s="311">
        <f t="shared" ref="AP20:AS20" si="59">AP116</f>
        <v>3606</v>
      </c>
      <c r="AQ20" s="311">
        <f t="shared" si="59"/>
        <v>3747.75</v>
      </c>
      <c r="AR20" s="311">
        <f t="shared" si="59"/>
        <v>3909.75</v>
      </c>
      <c r="AS20" s="312">
        <f t="shared" si="59"/>
        <v>3990.75</v>
      </c>
      <c r="AT20" s="311">
        <f t="shared" ref="AT20:AW20" si="60">AT116</f>
        <v>4065</v>
      </c>
      <c r="AU20" s="311">
        <f t="shared" si="60"/>
        <v>4200</v>
      </c>
      <c r="AV20" s="311">
        <f t="shared" si="60"/>
        <v>4321.5</v>
      </c>
      <c r="AW20" s="312">
        <f t="shared" si="60"/>
        <v>4436.25</v>
      </c>
      <c r="AY20" s="204"/>
      <c r="AZ20" s="335">
        <f>SUM(B20:E20)</f>
        <v>5252.1</v>
      </c>
      <c r="BA20" s="215">
        <f>SUM(F20:I20)</f>
        <v>5397.0749999999998</v>
      </c>
      <c r="BB20" s="215">
        <f>SUM(J20:M20)</f>
        <v>5524.5</v>
      </c>
      <c r="BC20" s="215">
        <f>SUM(N20:Q20)</f>
        <v>5961.15</v>
      </c>
      <c r="BD20" s="215">
        <f>SUM(R20:U20)</f>
        <v>6951.3719999999994</v>
      </c>
      <c r="BE20" s="215">
        <f>SUM(V20:Y20)</f>
        <v>8228.6219999999994</v>
      </c>
      <c r="BF20" s="215">
        <f>SUM(Z20:AC20)</f>
        <v>9263.25</v>
      </c>
      <c r="BG20" s="215">
        <f>SUM(AD20:AG20)</f>
        <v>10450.125</v>
      </c>
      <c r="BH20" s="215">
        <f>SUM(AH20:AK20)</f>
        <v>12138</v>
      </c>
      <c r="BI20" s="215">
        <f>SUM(AL20:AO20)</f>
        <v>13580.25</v>
      </c>
      <c r="BJ20" s="546">
        <f>SUM(AP20:AS20)</f>
        <v>15254.25</v>
      </c>
      <c r="BK20" s="546">
        <f>SUM(AT20:AW20)</f>
        <v>17022.75</v>
      </c>
    </row>
    <row r="21" spans="1:63">
      <c r="A21" s="290" t="s">
        <v>754</v>
      </c>
      <c r="B21" s="503">
        <f>Capacity!BG27/1000</f>
        <v>1095.761</v>
      </c>
      <c r="C21" s="503">
        <f>Capacity!BH27/1000</f>
        <v>1014.158</v>
      </c>
      <c r="D21" s="503">
        <f>Capacity!BI27/1000</f>
        <v>1076.039</v>
      </c>
      <c r="E21" s="504">
        <f>Capacity!BJ27/1000</f>
        <v>1124.8209999999999</v>
      </c>
      <c r="F21" s="503">
        <f>Capacity!BK27/1000</f>
        <v>1083.6300000000001</v>
      </c>
      <c r="G21" s="503">
        <f>Capacity!BL27/1000</f>
        <v>1258.336</v>
      </c>
      <c r="H21" s="503">
        <f>Capacity!BM27/1000</f>
        <v>1315.0070000000001</v>
      </c>
      <c r="I21" s="504">
        <f>Capacity!BN27/1000</f>
        <v>1217.69</v>
      </c>
      <c r="J21" s="503">
        <f>Capacity!BO27/1000</f>
        <v>1089.502</v>
      </c>
      <c r="K21" s="503">
        <f>Capacity!BP27/1000</f>
        <v>1284.451</v>
      </c>
      <c r="L21" s="503">
        <f>Capacity!BQ27/1000</f>
        <v>1315.443</v>
      </c>
      <c r="M21" s="504">
        <f>Capacity!BR27/1000</f>
        <v>1339.4</v>
      </c>
      <c r="N21" s="503">
        <f>Capacity!BS27/1000</f>
        <v>1406.7139999999999</v>
      </c>
      <c r="O21" s="503">
        <f>Capacity!BT27/1000</f>
        <v>1435.5909999999999</v>
      </c>
      <c r="P21" s="503">
        <f>Capacity!BU27/1000</f>
        <v>1440.5309999999999</v>
      </c>
      <c r="Q21" s="504">
        <f>Capacity!BV27/1000</f>
        <v>1415.788</v>
      </c>
      <c r="R21" s="503">
        <f>Capacity!BW27/1000</f>
        <v>1558.893</v>
      </c>
      <c r="S21" s="503">
        <f>Capacity!BX27/1000</f>
        <v>1745.194</v>
      </c>
      <c r="T21" s="503">
        <f>Capacity!BY27/1000</f>
        <v>1719.7429999999999</v>
      </c>
      <c r="U21" s="504">
        <v>1723.36</v>
      </c>
      <c r="V21" s="503">
        <v>1840.1890000000001</v>
      </c>
      <c r="W21" s="503">
        <v>1886.53</v>
      </c>
      <c r="X21" s="503">
        <v>1797.671</v>
      </c>
      <c r="Y21" s="504">
        <v>1574.068</v>
      </c>
      <c r="Z21" s="503">
        <v>1251.7149999999999</v>
      </c>
      <c r="AA21" s="503">
        <v>1403.1210000000001</v>
      </c>
      <c r="AB21" s="503">
        <v>1536.845</v>
      </c>
      <c r="AC21" s="504">
        <v>1675.002</v>
      </c>
      <c r="AD21" s="503">
        <v>1794.8910000000001</v>
      </c>
      <c r="AE21" s="503">
        <v>2111.88</v>
      </c>
      <c r="AF21" s="503">
        <v>2122.2660000000001</v>
      </c>
      <c r="AG21" s="504">
        <v>1991.761</v>
      </c>
      <c r="AH21" s="503">
        <v>2292.1529999999998</v>
      </c>
      <c r="AI21" s="503">
        <v>2390.2359999999999</v>
      </c>
      <c r="AJ21" s="503">
        <v>2499.4650000000001</v>
      </c>
      <c r="AK21" s="504">
        <v>2514.9699999999998</v>
      </c>
      <c r="AL21" s="503">
        <v>2509.1370000000002</v>
      </c>
      <c r="AM21" s="311">
        <f t="shared" ref="AM21:AO21" si="61">AM163</f>
        <v>3005.7270093131965</v>
      </c>
      <c r="AN21" s="311">
        <f t="shared" si="61"/>
        <v>3061.1233400000001</v>
      </c>
      <c r="AO21" s="312">
        <f t="shared" si="61"/>
        <v>3115.0184129999998</v>
      </c>
      <c r="AP21" s="311">
        <f t="shared" ref="AP21:AS21" si="62">AP163</f>
        <v>3012.5870899999995</v>
      </c>
      <c r="AQ21" s="311">
        <f t="shared" si="62"/>
        <v>3184.697165</v>
      </c>
      <c r="AR21" s="311">
        <f t="shared" si="62"/>
        <v>3559.3334809999997</v>
      </c>
      <c r="AS21" s="312">
        <f t="shared" si="62"/>
        <v>3612.1649139999995</v>
      </c>
      <c r="AT21" s="311">
        <f t="shared" ref="AT21:AW21" si="63">AT163</f>
        <v>3586.0216184999995</v>
      </c>
      <c r="AU21" s="311">
        <f t="shared" si="63"/>
        <v>3701.2699659999998</v>
      </c>
      <c r="AV21" s="311">
        <f t="shared" si="63"/>
        <v>3965.5828384999995</v>
      </c>
      <c r="AW21" s="312">
        <f t="shared" si="63"/>
        <v>4050.4194799999991</v>
      </c>
      <c r="AY21" s="204"/>
      <c r="AZ21" s="335">
        <f>SUM(B21:E21)</f>
        <v>4310.7789999999995</v>
      </c>
      <c r="BA21" s="215">
        <f>SUM(F21:I21)</f>
        <v>4874.6630000000005</v>
      </c>
      <c r="BB21" s="215">
        <f>SUM(J21:M21)</f>
        <v>5028.7960000000003</v>
      </c>
      <c r="BC21" s="215">
        <f>SUM(N21:Q21)</f>
        <v>5698.6239999999998</v>
      </c>
      <c r="BD21" s="215">
        <f>SUM(R21:U21)</f>
        <v>6747.19</v>
      </c>
      <c r="BE21" s="215">
        <f>SUM(V21:Y21)</f>
        <v>7098.4580000000005</v>
      </c>
      <c r="BF21" s="215">
        <f>SUM(Z21:AC21)</f>
        <v>5866.6830000000009</v>
      </c>
      <c r="BG21" s="215">
        <f>SUM(AD21:AG21)</f>
        <v>8020.7980000000007</v>
      </c>
      <c r="BH21" s="215">
        <f>SUM(AH21:AK21)</f>
        <v>9696.8239999999987</v>
      </c>
      <c r="BI21" s="215">
        <f>SUM(AL21:AO21)</f>
        <v>11691.005762313196</v>
      </c>
      <c r="BJ21" s="215">
        <f>SUM(AP21:AS21)</f>
        <v>13368.782649999999</v>
      </c>
      <c r="BK21" s="215">
        <f>SUM(AT21:AW21)</f>
        <v>15303.293902999996</v>
      </c>
    </row>
    <row r="22" spans="1:63">
      <c r="A22" s="880" t="s">
        <v>872</v>
      </c>
      <c r="B22" s="875">
        <f>B21/B20</f>
        <v>0.86604307449120721</v>
      </c>
      <c r="C22" s="875">
        <f t="shared" ref="C22:U22" si="64">C21/C20</f>
        <v>0.7713694618748812</v>
      </c>
      <c r="D22" s="875">
        <f t="shared" si="64"/>
        <v>0.80071362131190238</v>
      </c>
      <c r="E22" s="876">
        <f t="shared" si="64"/>
        <v>0.84684434406173525</v>
      </c>
      <c r="F22" s="875">
        <f t="shared" si="64"/>
        <v>0.80672250139586832</v>
      </c>
      <c r="G22" s="875">
        <f t="shared" si="64"/>
        <v>0.93402067212232565</v>
      </c>
      <c r="H22" s="875">
        <f t="shared" si="64"/>
        <v>0.97218889196931901</v>
      </c>
      <c r="I22" s="876">
        <f t="shared" si="64"/>
        <v>0.89934452260935405</v>
      </c>
      <c r="J22" s="875">
        <f t="shared" si="64"/>
        <v>0.77836860811945208</v>
      </c>
      <c r="K22" s="875">
        <f t="shared" si="64"/>
        <v>0.88722029390940971</v>
      </c>
      <c r="L22" s="875">
        <f t="shared" si="64"/>
        <v>0.9879035710262476</v>
      </c>
      <c r="M22" s="876">
        <f t="shared" si="64"/>
        <v>0.99546636937941291</v>
      </c>
      <c r="N22" s="875">
        <f t="shared" si="64"/>
        <v>0.98509383753501401</v>
      </c>
      <c r="O22" s="875">
        <f t="shared" si="64"/>
        <v>0.99662674858551137</v>
      </c>
      <c r="P22" s="875">
        <f t="shared" si="64"/>
        <v>0.94124669214936774</v>
      </c>
      <c r="Q22" s="876">
        <f t="shared" si="64"/>
        <v>0.90624931989118263</v>
      </c>
      <c r="R22" s="875">
        <f t="shared" si="64"/>
        <v>0.96094498381877025</v>
      </c>
      <c r="S22" s="875">
        <f>S21/S20</f>
        <v>1.0360308696942713</v>
      </c>
      <c r="T22" s="875">
        <f>T21/T20</f>
        <v>0.9652665403774644</v>
      </c>
      <c r="U22" s="876">
        <f t="shared" si="64"/>
        <v>0.9250471149443612</v>
      </c>
      <c r="V22" s="875">
        <f t="shared" ref="V22:AG22" si="65">V21/V20</f>
        <v>0.94496018223534084</v>
      </c>
      <c r="W22" s="875">
        <f t="shared" si="65"/>
        <v>0.93334817563388994</v>
      </c>
      <c r="X22" s="875">
        <f>X21/X20</f>
        <v>0.84875873465533525</v>
      </c>
      <c r="Y22" s="876">
        <f t="shared" si="65"/>
        <v>0.73485901027077494</v>
      </c>
      <c r="Z22" s="875">
        <f>Z21/Z20</f>
        <v>0.56980311824285879</v>
      </c>
      <c r="AA22" s="875">
        <f t="shared" si="65"/>
        <v>0.62009545906529673</v>
      </c>
      <c r="AB22" s="875">
        <f t="shared" si="65"/>
        <v>0.64377212273536499</v>
      </c>
      <c r="AC22" s="876">
        <f t="shared" si="65"/>
        <v>0.69315207945375545</v>
      </c>
      <c r="AD22" s="875">
        <f t="shared" si="65"/>
        <v>0.73455739717618174</v>
      </c>
      <c r="AE22" s="875">
        <f t="shared" si="65"/>
        <v>0.84105137395459983</v>
      </c>
      <c r="AF22" s="875">
        <f t="shared" si="65"/>
        <v>0.80002487984167381</v>
      </c>
      <c r="AG22" s="876">
        <f t="shared" si="65"/>
        <v>0.70061504638789951</v>
      </c>
      <c r="AH22" s="875">
        <f t="shared" ref="AH22:AO22" si="66">AH21/AH20</f>
        <v>0.7850511173901874</v>
      </c>
      <c r="AI22" s="875">
        <f t="shared" si="66"/>
        <v>0.80377839428331233</v>
      </c>
      <c r="AJ22" s="875">
        <f t="shared" si="66"/>
        <v>0.81462234172573944</v>
      </c>
      <c r="AK22" s="876">
        <f t="shared" si="66"/>
        <v>0.7918048012593466</v>
      </c>
      <c r="AL22" s="875">
        <f t="shared" si="66"/>
        <v>0.77568189195455606</v>
      </c>
      <c r="AM22" s="264">
        <f t="shared" si="66"/>
        <v>0.90099730494999897</v>
      </c>
      <c r="AN22" s="264">
        <f t="shared" si="66"/>
        <v>0.88363234177671934</v>
      </c>
      <c r="AO22" s="291">
        <f t="shared" si="66"/>
        <v>0.87864562809392843</v>
      </c>
      <c r="AP22" s="264">
        <f t="shared" ref="AP22:AS22" si="67">AP21/AP20</f>
        <v>0.83543735163616184</v>
      </c>
      <c r="AQ22" s="264">
        <f t="shared" si="67"/>
        <v>0.84976243479420988</v>
      </c>
      <c r="AR22" s="264">
        <f t="shared" si="67"/>
        <v>0.91037367632201538</v>
      </c>
      <c r="AS22" s="291">
        <f t="shared" si="67"/>
        <v>0.90513435168827905</v>
      </c>
      <c r="AT22" s="264">
        <f t="shared" ref="AT22:AW22" si="68">AT21/AT20</f>
        <v>0.88217013985239845</v>
      </c>
      <c r="AU22" s="264">
        <f t="shared" si="68"/>
        <v>0.88125475380952378</v>
      </c>
      <c r="AV22" s="264">
        <f t="shared" si="68"/>
        <v>0.91764036526668968</v>
      </c>
      <c r="AW22" s="291">
        <f t="shared" si="68"/>
        <v>0.91302777796562395</v>
      </c>
      <c r="AY22" s="204"/>
      <c r="AZ22" s="295">
        <f t="shared" ref="AZ22:BJ22" si="69">AZ21/AZ20</f>
        <v>0.82077245292359235</v>
      </c>
      <c r="BA22" s="264">
        <f t="shared" si="69"/>
        <v>0.90320460619872811</v>
      </c>
      <c r="BB22" s="875">
        <f t="shared" si="69"/>
        <v>0.91027169879627123</v>
      </c>
      <c r="BC22" s="875">
        <f t="shared" si="69"/>
        <v>0.95596051097523127</v>
      </c>
      <c r="BD22" s="875">
        <f t="shared" si="69"/>
        <v>0.97062709347161968</v>
      </c>
      <c r="BE22" s="875">
        <f t="shared" si="69"/>
        <v>0.86265452465795622</v>
      </c>
      <c r="BF22" s="875">
        <f t="shared" si="69"/>
        <v>0.63332879928750718</v>
      </c>
      <c r="BG22" s="875">
        <f t="shared" si="69"/>
        <v>0.76753129747251836</v>
      </c>
      <c r="BH22" s="875">
        <f t="shared" si="69"/>
        <v>0.79888152908222099</v>
      </c>
      <c r="BI22" s="875">
        <f t="shared" si="69"/>
        <v>0.86088295593329989</v>
      </c>
      <c r="BJ22" s="875">
        <f t="shared" si="69"/>
        <v>0.87639724339118596</v>
      </c>
      <c r="BK22" s="875">
        <f t="shared" ref="BK22" si="70">BK21/BK20</f>
        <v>0.89899069791896113</v>
      </c>
    </row>
    <row r="23" spans="1:63">
      <c r="A23" s="880" t="s">
        <v>1141</v>
      </c>
      <c r="B23" s="875"/>
      <c r="C23" s="875"/>
      <c r="D23" s="875"/>
      <c r="E23" s="876"/>
      <c r="F23" s="875"/>
      <c r="G23" s="875"/>
      <c r="H23" s="875"/>
      <c r="I23" s="876"/>
      <c r="J23" s="875"/>
      <c r="K23" s="875"/>
      <c r="L23" s="875"/>
      <c r="M23" s="876"/>
      <c r="N23" s="875"/>
      <c r="O23" s="875"/>
      <c r="P23" s="875"/>
      <c r="Q23" s="876"/>
      <c r="R23" s="875"/>
      <c r="S23" s="875"/>
      <c r="T23" s="875"/>
      <c r="U23" s="876"/>
      <c r="V23" s="875"/>
      <c r="W23" s="875"/>
      <c r="X23" s="875"/>
      <c r="Y23" s="876"/>
      <c r="Z23" s="875"/>
      <c r="AA23" s="875"/>
      <c r="AB23" s="875"/>
      <c r="AC23" s="876"/>
      <c r="AD23" s="1074">
        <v>0.80800000000000005</v>
      </c>
      <c r="AE23" s="1074">
        <v>0.85199999999999998</v>
      </c>
      <c r="AF23" s="1074">
        <v>0.90400000000000003</v>
      </c>
      <c r="AG23" s="1075">
        <v>0.85499999999999998</v>
      </c>
      <c r="AH23" s="1074">
        <v>0.89600000000000002</v>
      </c>
      <c r="AI23" s="1074">
        <v>0.92500000000000004</v>
      </c>
      <c r="AJ23" s="1074">
        <v>0.95799999999999996</v>
      </c>
      <c r="AK23" s="1075">
        <v>0.95699999999999996</v>
      </c>
      <c r="AL23" s="1074">
        <v>0.93100000000000005</v>
      </c>
      <c r="AM23" s="264"/>
      <c r="AN23" s="264"/>
      <c r="AO23" s="291"/>
      <c r="AP23" s="264"/>
      <c r="AQ23" s="264"/>
      <c r="AR23" s="264"/>
      <c r="AS23" s="291"/>
      <c r="AT23" s="264"/>
      <c r="AU23" s="264"/>
      <c r="AV23" s="264"/>
      <c r="AW23" s="291"/>
      <c r="AY23" s="204"/>
      <c r="AZ23" s="295"/>
      <c r="BA23" s="264"/>
      <c r="BB23" s="875"/>
      <c r="BC23" s="875"/>
      <c r="BD23" s="875"/>
      <c r="BE23" s="875"/>
      <c r="BF23" s="875"/>
      <c r="BG23" s="875"/>
      <c r="BH23" s="875"/>
      <c r="BI23" s="875"/>
      <c r="BJ23" s="875"/>
      <c r="BK23" s="875"/>
    </row>
    <row r="24" spans="1:63">
      <c r="A24" s="881" t="s">
        <v>717</v>
      </c>
      <c r="B24" s="1030">
        <f>B17*1000/B21</f>
        <v>702.06226540276589</v>
      </c>
      <c r="C24" s="1030">
        <f t="shared" ref="C24:U24" si="71">C17*1000/C21</f>
        <v>717.00348860828376</v>
      </c>
      <c r="D24" s="1030">
        <f t="shared" si="71"/>
        <v>703.88474023711035</v>
      </c>
      <c r="E24" s="1031">
        <f t="shared" si="71"/>
        <v>697.72210689523035</v>
      </c>
      <c r="F24" s="1030">
        <f t="shared" si="71"/>
        <v>640.36778236113798</v>
      </c>
      <c r="G24" s="1030">
        <f t="shared" si="71"/>
        <v>637.06490158431461</v>
      </c>
      <c r="H24" s="1030">
        <f t="shared" si="71"/>
        <v>610.66209381394935</v>
      </c>
      <c r="I24" s="1031">
        <f t="shared" si="71"/>
        <v>602.78936346689227</v>
      </c>
      <c r="J24" s="1030">
        <f t="shared" si="71"/>
        <v>578.34024903120883</v>
      </c>
      <c r="K24" s="1030">
        <f t="shared" si="71"/>
        <v>578.17557695856044</v>
      </c>
      <c r="L24" s="1030">
        <f t="shared" si="71"/>
        <v>574.1169324706583</v>
      </c>
      <c r="M24" s="1031">
        <f t="shared" si="71"/>
        <v>574.08251754516937</v>
      </c>
      <c r="N24" s="1030">
        <f t="shared" si="71"/>
        <v>586.02873931730267</v>
      </c>
      <c r="O24" s="1030">
        <f t="shared" si="71"/>
        <v>594.22416760762644</v>
      </c>
      <c r="P24" s="1030">
        <f t="shared" si="71"/>
        <v>641.7489592379477</v>
      </c>
      <c r="Q24" s="1031">
        <f t="shared" si="71"/>
        <v>616.7410304367603</v>
      </c>
      <c r="R24" s="1030">
        <f t="shared" si="71"/>
        <v>645.66836081758015</v>
      </c>
      <c r="S24" s="1030">
        <f>S17*1000/S21</f>
        <v>706.24900956569888</v>
      </c>
      <c r="T24" s="1030">
        <f>T17*1000/T21</f>
        <v>772.77161645664489</v>
      </c>
      <c r="U24" s="1031">
        <f t="shared" si="71"/>
        <v>820.57887208708576</v>
      </c>
      <c r="V24" s="1030">
        <f t="shared" ref="V24:AG24" si="72">V17*1000/V21</f>
        <v>925.85704511873519</v>
      </c>
      <c r="W24" s="1030">
        <f t="shared" si="72"/>
        <v>949.29702893672504</v>
      </c>
      <c r="X24" s="1030">
        <f t="shared" si="72"/>
        <v>981.23310661405776</v>
      </c>
      <c r="Y24" s="1031">
        <f t="shared" si="72"/>
        <v>938.31840174630315</v>
      </c>
      <c r="Z24" s="1030">
        <f t="shared" si="72"/>
        <v>1075.9376119963413</v>
      </c>
      <c r="AA24" s="1030">
        <f t="shared" si="72"/>
        <v>1006.4409127936935</v>
      </c>
      <c r="AB24" s="1030">
        <f t="shared" si="72"/>
        <v>960.6340567851671</v>
      </c>
      <c r="AC24" s="1031">
        <f t="shared" si="72"/>
        <v>930.82860259271342</v>
      </c>
      <c r="AD24" s="1030">
        <f t="shared" si="72"/>
        <v>906.83149004591371</v>
      </c>
      <c r="AE24" s="1030">
        <f t="shared" si="72"/>
        <v>836.35689717218781</v>
      </c>
      <c r="AF24" s="1030">
        <f t="shared" si="72"/>
        <v>965.76087634632029</v>
      </c>
      <c r="AG24" s="1031">
        <f t="shared" si="72"/>
        <v>1025.0903220818161</v>
      </c>
      <c r="AH24" s="1030">
        <f t="shared" ref="AH24:AO24" si="73">AH17*1000/AH21</f>
        <v>933.33008398654022</v>
      </c>
      <c r="AI24" s="1030">
        <f t="shared" si="73"/>
        <v>874.2971137578046</v>
      </c>
      <c r="AJ24" s="1030">
        <f t="shared" si="73"/>
        <v>907.1919566787293</v>
      </c>
      <c r="AK24" s="1031">
        <f t="shared" si="73"/>
        <v>914.35207577028757</v>
      </c>
      <c r="AL24" s="315">
        <f t="shared" si="73"/>
        <v>937.63405226577902</v>
      </c>
      <c r="AM24" s="315">
        <f t="shared" si="73"/>
        <v>916.91180171113115</v>
      </c>
      <c r="AN24" s="315">
        <f t="shared" si="73"/>
        <v>946.13203346185765</v>
      </c>
      <c r="AO24" s="316">
        <f t="shared" si="73"/>
        <v>948.87268180140086</v>
      </c>
      <c r="AP24" s="315">
        <f t="shared" ref="AP24:AS24" si="74">AP17*1000/AP21</f>
        <v>973.81639176906788</v>
      </c>
      <c r="AQ24" s="315">
        <f t="shared" si="74"/>
        <v>981.14586834696604</v>
      </c>
      <c r="AR24" s="315">
        <f t="shared" si="74"/>
        <v>991.34244366768314</v>
      </c>
      <c r="AS24" s="316">
        <f t="shared" si="74"/>
        <v>997.3668066023713</v>
      </c>
      <c r="AT24" s="315">
        <f t="shared" ref="AT24:AW24" si="75">AT17*1000/AT21</f>
        <v>1023.5204618245597</v>
      </c>
      <c r="AU24" s="315">
        <f t="shared" si="75"/>
        <v>1036.2330236047176</v>
      </c>
      <c r="AV24" s="315">
        <f t="shared" si="75"/>
        <v>1053.9327761813754</v>
      </c>
      <c r="AW24" s="316">
        <f t="shared" si="75"/>
        <v>1066.6043919102228</v>
      </c>
      <c r="AY24" s="217"/>
      <c r="AZ24" s="548">
        <f t="shared" ref="AZ24:BG24" si="76">AZ17*1000/AZ21</f>
        <v>704.89978354260336</v>
      </c>
      <c r="BA24" s="318">
        <f t="shared" si="76"/>
        <v>622.11458474155029</v>
      </c>
      <c r="BB24" s="318">
        <f t="shared" si="76"/>
        <v>576.05941461932434</v>
      </c>
      <c r="BC24" s="318">
        <f t="shared" si="76"/>
        <v>609.80888000331311</v>
      </c>
      <c r="BD24" s="318">
        <f t="shared" si="76"/>
        <v>738.4097387208601</v>
      </c>
      <c r="BE24" s="318">
        <f t="shared" si="76"/>
        <v>948.87376159723692</v>
      </c>
      <c r="BF24" s="318">
        <f t="shared" si="76"/>
        <v>987.68095122916975</v>
      </c>
      <c r="BG24" s="318">
        <f t="shared" si="76"/>
        <v>933.2345087109785</v>
      </c>
      <c r="BH24" s="318">
        <f>BH17*1000/BH21</f>
        <v>907.11911157715167</v>
      </c>
      <c r="BI24" s="318">
        <f>BI17*1000/BI21</f>
        <v>937.52597587876812</v>
      </c>
      <c r="BJ24" s="318">
        <f>BJ17*1000/BJ21</f>
        <v>986.59176655325257</v>
      </c>
      <c r="BK24" s="318">
        <f>BK17*1000/BK21</f>
        <v>1045.8792537854936</v>
      </c>
    </row>
    <row r="25" spans="1:63">
      <c r="A25" s="319" t="s">
        <v>444</v>
      </c>
      <c r="B25" s="320">
        <f>Model!AL16</f>
        <v>220.81900000000007</v>
      </c>
      <c r="C25" s="320">
        <f>Model!AM16</f>
        <v>194.13199999999995</v>
      </c>
      <c r="D25" s="320">
        <f>Model!AN16</f>
        <v>177.29699999999991</v>
      </c>
      <c r="E25" s="321">
        <f>Model!AO16</f>
        <v>148.49599999999998</v>
      </c>
      <c r="F25" s="320">
        <f>Model!AP16</f>
        <v>220.17599999999993</v>
      </c>
      <c r="G25" s="320">
        <f>Model!AQ16</f>
        <v>217.83299999999997</v>
      </c>
      <c r="H25" s="320">
        <f>Model!AR16</f>
        <v>174.54300000000001</v>
      </c>
      <c r="I25" s="321">
        <f>Model!AS16</f>
        <v>134.125</v>
      </c>
      <c r="J25" s="320">
        <f>Model!AT16</f>
        <v>122.07000000000005</v>
      </c>
      <c r="K25" s="320">
        <f>Model!AU16</f>
        <v>151.1579999999999</v>
      </c>
      <c r="L25" s="320">
        <f>Model!AV16</f>
        <v>169.81500000000005</v>
      </c>
      <c r="M25" s="321">
        <f>Model!AW16</f>
        <v>199.41599999999994</v>
      </c>
      <c r="N25" s="320">
        <f>Model!AX16</f>
        <v>233.58500000000004</v>
      </c>
      <c r="O25" s="320">
        <f>Model!AY16</f>
        <v>248.58899999999994</v>
      </c>
      <c r="P25" s="320">
        <f>Model!AZ16</f>
        <v>261.97700000000009</v>
      </c>
      <c r="Q25" s="321">
        <f>Model!BA16</f>
        <v>176.76200000000006</v>
      </c>
      <c r="R25" s="320">
        <f>Model!BB16</f>
        <v>250.11399999999992</v>
      </c>
      <c r="S25" s="320">
        <f>Model!BC16</f>
        <v>405.01200000000006</v>
      </c>
      <c r="T25" s="320">
        <f>Model!BD16</f>
        <v>467.86099999999988</v>
      </c>
      <c r="U25" s="321">
        <f>Model!BE16</f>
        <v>552.7829999999999</v>
      </c>
      <c r="V25" s="320">
        <f>Model!BF16</f>
        <v>750.25500000000011</v>
      </c>
      <c r="W25" s="320">
        <f>Model!BG16</f>
        <v>750.48800000000006</v>
      </c>
      <c r="X25" s="320">
        <f>Model!BH16</f>
        <v>742.21599999999989</v>
      </c>
      <c r="Y25" s="321">
        <f>Model!BI16</f>
        <v>518.68900000000008</v>
      </c>
      <c r="Z25" s="320">
        <f>Model!BJ16</f>
        <v>304.6690000000001</v>
      </c>
      <c r="AA25" s="320">
        <f>Model!BK16</f>
        <v>316.5</v>
      </c>
      <c r="AB25" s="320">
        <f>Model!BL16</f>
        <v>321.61999999999989</v>
      </c>
      <c r="AC25" s="321">
        <f>Model!BM16</f>
        <v>274.95499999999993</v>
      </c>
      <c r="AD25" s="320">
        <f>Model!BN16</f>
        <v>239.70399999999995</v>
      </c>
      <c r="AE25" s="1006">
        <f>Model!BO16</f>
        <v>265.09300000000007</v>
      </c>
      <c r="AF25" s="1006">
        <f>Model!BP16</f>
        <v>444.16000000000008</v>
      </c>
      <c r="AG25" s="1034">
        <f>Model!BQ16</f>
        <v>499.01099999999997</v>
      </c>
      <c r="AH25" s="320">
        <f>Model!BR16</f>
        <v>505.86799999999994</v>
      </c>
      <c r="AI25" s="320">
        <f>Model!BS16</f>
        <v>449.79899999999975</v>
      </c>
      <c r="AJ25" s="320">
        <f>Model!BT16</f>
        <v>522.81100000000015</v>
      </c>
      <c r="AK25" s="321">
        <f>Model!BU16</f>
        <v>478.12100000000009</v>
      </c>
      <c r="AL25" s="320">
        <f>Model!BV16</f>
        <v>503.60300000000007</v>
      </c>
      <c r="AM25" s="322">
        <f t="shared" ref="AM25:AO25" si="77">AM11-AM30</f>
        <v>606.88640697149594</v>
      </c>
      <c r="AN25" s="322">
        <f t="shared" si="77"/>
        <v>669.45569141618034</v>
      </c>
      <c r="AO25" s="323">
        <f t="shared" si="77"/>
        <v>777.46381966619856</v>
      </c>
      <c r="AP25" s="322">
        <f t="shared" ref="AP25:AS25" si="78">AP11-AP30</f>
        <v>720.1685257355266</v>
      </c>
      <c r="AQ25" s="322">
        <f t="shared" si="78"/>
        <v>745.70432439840852</v>
      </c>
      <c r="AR25" s="322">
        <f t="shared" si="78"/>
        <v>938.19855981173987</v>
      </c>
      <c r="AS25" s="323">
        <f t="shared" si="78"/>
        <v>976.72332656971184</v>
      </c>
      <c r="AT25" s="322">
        <f t="shared" ref="AT25:AW25" si="79">AT11-AT30</f>
        <v>963.19452444446006</v>
      </c>
      <c r="AU25" s="322">
        <f t="shared" si="79"/>
        <v>1016.1063804958235</v>
      </c>
      <c r="AV25" s="322">
        <f t="shared" si="79"/>
        <v>1182.5975840180504</v>
      </c>
      <c r="AW25" s="323">
        <f t="shared" si="79"/>
        <v>1287.5130361108995</v>
      </c>
      <c r="AY25" s="324">
        <f ca="1">Model!G16</f>
        <v>849.68100000000004</v>
      </c>
      <c r="AZ25" s="549">
        <f>SUM(B25:E25)</f>
        <v>740.74399999999991</v>
      </c>
      <c r="BA25" s="550">
        <f>SUM(F25:I25)</f>
        <v>746.67699999999991</v>
      </c>
      <c r="BB25" s="550">
        <f>SUM(J25:M25)</f>
        <v>642.45899999999995</v>
      </c>
      <c r="BC25" s="550">
        <f>SUM(N25:Q25)</f>
        <v>920.91300000000012</v>
      </c>
      <c r="BD25" s="550">
        <f>SUM(R25:U25)</f>
        <v>1675.7699999999998</v>
      </c>
      <c r="BE25" s="550">
        <f>SUM(V25:Y25)</f>
        <v>2761.6480000000001</v>
      </c>
      <c r="BF25" s="550">
        <f>SUM(Z25:AC25)</f>
        <v>1217.7439999999999</v>
      </c>
      <c r="BG25" s="550">
        <f>SUM(AD25:AG25)</f>
        <v>1447.9680000000001</v>
      </c>
      <c r="BH25" s="550">
        <f>SUM(AH25:AK25)</f>
        <v>1956.5989999999999</v>
      </c>
      <c r="BI25" s="550">
        <f>SUM(AL25:AO25)</f>
        <v>2557.4089180538749</v>
      </c>
      <c r="BJ25" s="471">
        <f>SUM(AP25:AS25)</f>
        <v>3380.7947365153868</v>
      </c>
      <c r="BK25" s="471">
        <f>SUM(AT25:AW25)</f>
        <v>4449.4115250692339</v>
      </c>
    </row>
    <row r="26" spans="1:63">
      <c r="A26" s="885" t="s">
        <v>753</v>
      </c>
      <c r="B26" s="883">
        <f>B25/B11</f>
        <v>0.27843043305572551</v>
      </c>
      <c r="C26" s="883">
        <f t="shared" ref="C26:U26" si="80">C25/C11</f>
        <v>0.25843158815377665</v>
      </c>
      <c r="D26" s="883">
        <f t="shared" si="80"/>
        <v>0.23033870626186292</v>
      </c>
      <c r="E26" s="884">
        <f t="shared" si="80"/>
        <v>0.18864444201663164</v>
      </c>
      <c r="F26" s="883">
        <f t="shared" si="80"/>
        <v>0.26493904053214984</v>
      </c>
      <c r="G26" s="883">
        <f t="shared" si="80"/>
        <v>0.24456025678304907</v>
      </c>
      <c r="H26" s="883">
        <f t="shared" si="80"/>
        <v>0.20518490305197598</v>
      </c>
      <c r="I26" s="884">
        <f t="shared" si="80"/>
        <v>0.17030340352859763</v>
      </c>
      <c r="J26" s="883">
        <f t="shared" si="80"/>
        <v>0.18249391911185403</v>
      </c>
      <c r="K26" s="883">
        <f t="shared" si="80"/>
        <v>0.19112585695464041</v>
      </c>
      <c r="L26" s="883">
        <f t="shared" si="80"/>
        <v>0.20799140672078709</v>
      </c>
      <c r="M26" s="884">
        <f t="shared" si="80"/>
        <v>0.2375586552447527</v>
      </c>
      <c r="N26" s="883">
        <f t="shared" si="80"/>
        <v>0.25813007231642415</v>
      </c>
      <c r="O26" s="883">
        <f t="shared" si="80"/>
        <v>0.26488950549995038</v>
      </c>
      <c r="P26" s="883">
        <f t="shared" si="80"/>
        <v>0.24200996762139673</v>
      </c>
      <c r="Q26" s="884">
        <f t="shared" si="80"/>
        <v>0.18016807750523656</v>
      </c>
      <c r="R26" s="883">
        <f t="shared" si="80"/>
        <v>0.22662458807102615</v>
      </c>
      <c r="S26" s="883">
        <f t="shared" si="80"/>
        <v>0.30132534584428861</v>
      </c>
      <c r="T26" s="883">
        <f>T25/T11</f>
        <v>0.33057326280892696</v>
      </c>
      <c r="U26" s="884">
        <f t="shared" si="80"/>
        <v>0.34984959422401307</v>
      </c>
      <c r="V26" s="883">
        <f t="shared" ref="V26:AK26" si="81">V25/V11</f>
        <v>0.40732800041696215</v>
      </c>
      <c r="W26" s="883">
        <f t="shared" si="81"/>
        <v>0.39433700931711618</v>
      </c>
      <c r="X26" s="883">
        <f t="shared" si="81"/>
        <v>0.38921506316873589</v>
      </c>
      <c r="Y26" s="884">
        <f t="shared" si="81"/>
        <v>0.31992758763191825</v>
      </c>
      <c r="Z26" s="883">
        <f t="shared" si="81"/>
        <v>0.20835088573523142</v>
      </c>
      <c r="AA26" s="883">
        <f t="shared" si="81"/>
        <v>0.20283312697546008</v>
      </c>
      <c r="AB26" s="883">
        <f t="shared" si="81"/>
        <v>0.19846017807237787</v>
      </c>
      <c r="AC26" s="884">
        <f t="shared" si="81"/>
        <v>0.16382956791370307</v>
      </c>
      <c r="AD26" s="883">
        <f t="shared" si="81"/>
        <v>0.1369599400288885</v>
      </c>
      <c r="AE26" s="883">
        <f t="shared" si="81"/>
        <v>0.13942899400192296</v>
      </c>
      <c r="AF26" s="883">
        <f t="shared" si="81"/>
        <v>0.204570032627299</v>
      </c>
      <c r="AG26" s="884">
        <f t="shared" si="81"/>
        <v>0.22607497640762547</v>
      </c>
      <c r="AH26" s="883">
        <f t="shared" si="81"/>
        <v>0.22511025938489701</v>
      </c>
      <c r="AI26" s="883">
        <f t="shared" si="81"/>
        <v>0.20361501195527873</v>
      </c>
      <c r="AJ26" s="883">
        <f t="shared" si="81"/>
        <v>0.21950044965576779</v>
      </c>
      <c r="AK26" s="884">
        <f t="shared" si="81"/>
        <v>0.19211599583720082</v>
      </c>
      <c r="AL26" s="883">
        <f t="shared" ref="AL26:AO26" si="82">AL25/AL11</f>
        <v>0.20100004510101233</v>
      </c>
      <c r="AM26" s="325">
        <f t="shared" si="82"/>
        <v>0.21019857906943995</v>
      </c>
      <c r="AN26" s="325">
        <f t="shared" si="82"/>
        <v>0.22152831230160688</v>
      </c>
      <c r="AO26" s="326">
        <f t="shared" si="82"/>
        <v>0.2457364128933954</v>
      </c>
      <c r="AP26" s="325">
        <f t="shared" ref="AP26:AS26" si="83">AP25/AP11</f>
        <v>0.2321757534618045</v>
      </c>
      <c r="AQ26" s="325">
        <f t="shared" si="83"/>
        <v>0.22811439528775468</v>
      </c>
      <c r="AR26" s="325">
        <f t="shared" si="83"/>
        <v>0.2558592224549473</v>
      </c>
      <c r="AS26" s="326">
        <f t="shared" si="83"/>
        <v>0.25491829905382296</v>
      </c>
      <c r="AT26" s="325">
        <f t="shared" ref="AT26:AW26" si="84">AT25/AT11</f>
        <v>0.24983669214721346</v>
      </c>
      <c r="AU26" s="325">
        <f t="shared" si="84"/>
        <v>0.25439848897145356</v>
      </c>
      <c r="AV26" s="325">
        <f t="shared" si="84"/>
        <v>0.27301460335392108</v>
      </c>
      <c r="AW26" s="326">
        <f t="shared" si="84"/>
        <v>0.28161177696284906</v>
      </c>
      <c r="AX26" s="328"/>
      <c r="AY26" s="327">
        <f t="shared" ref="AY26:BG26" ca="1" si="85">AY25/AY11</f>
        <v>0.29156778236073272</v>
      </c>
      <c r="AZ26" s="327">
        <f t="shared" ca="1" si="85"/>
        <v>0.23885914209936551</v>
      </c>
      <c r="BA26" s="325">
        <f t="shared" ca="1" si="85"/>
        <v>0.2222263558397897</v>
      </c>
      <c r="BB26" s="883">
        <f t="shared" si="85"/>
        <v>0.20620238587373765</v>
      </c>
      <c r="BC26" s="883">
        <f t="shared" si="85"/>
        <v>0.23570998022766976</v>
      </c>
      <c r="BD26" s="883">
        <f t="shared" si="85"/>
        <v>0.30786983622604125</v>
      </c>
      <c r="BE26" s="883">
        <f t="shared" si="85"/>
        <v>0.37969753415376056</v>
      </c>
      <c r="BF26" s="883">
        <f t="shared" si="85"/>
        <v>0.19263346389182415</v>
      </c>
      <c r="BG26" s="883">
        <f t="shared" si="85"/>
        <v>0.18032157477016275</v>
      </c>
      <c r="BH26" s="883">
        <f>BH25/BH11</f>
        <v>0.20978247735369876</v>
      </c>
      <c r="BI26" s="883">
        <f>BI25/BI11</f>
        <v>0.22087583608382938</v>
      </c>
      <c r="BJ26" s="883">
        <f>BJ25/BJ11</f>
        <v>0.24376299998838638</v>
      </c>
      <c r="BK26" s="883">
        <f>BK25/BK11</f>
        <v>0.26558862680907958</v>
      </c>
    </row>
    <row r="27" spans="1:63">
      <c r="A27" s="290" t="s">
        <v>752</v>
      </c>
      <c r="B27" s="329">
        <v>180.035</v>
      </c>
      <c r="C27" s="329">
        <v>171.81399999999999</v>
      </c>
      <c r="D27" s="329">
        <v>178.30199999999999</v>
      </c>
      <c r="E27" s="330">
        <v>210.38499999999999</v>
      </c>
      <c r="F27" s="329">
        <v>195.17099999999999</v>
      </c>
      <c r="G27" s="329">
        <v>211.28399999999999</v>
      </c>
      <c r="H27" s="329">
        <v>208.33500000000001</v>
      </c>
      <c r="I27" s="330">
        <v>216.58799999999999</v>
      </c>
      <c r="J27" s="329">
        <v>161.75</v>
      </c>
      <c r="K27" s="329">
        <v>185.39699999999999</v>
      </c>
      <c r="L27" s="329">
        <v>201.476</v>
      </c>
      <c r="M27" s="330">
        <v>198.536</v>
      </c>
      <c r="N27" s="703">
        <v>213.83199999999999</v>
      </c>
      <c r="O27" s="703">
        <v>210.976</v>
      </c>
      <c r="P27" s="703">
        <v>249.41499999999999</v>
      </c>
      <c r="Q27" s="855">
        <v>242.768</v>
      </c>
      <c r="R27" s="703">
        <v>279.88299999999998</v>
      </c>
      <c r="S27" s="703">
        <v>346.05</v>
      </c>
      <c r="T27" s="703">
        <v>364.22800000000001</v>
      </c>
      <c r="U27" s="855">
        <v>392.221</v>
      </c>
      <c r="V27" s="703">
        <v>393.26299999999998</v>
      </c>
      <c r="W27" s="703">
        <v>415.142</v>
      </c>
      <c r="X27" s="703">
        <v>413.44799999999998</v>
      </c>
      <c r="Y27" s="855">
        <v>411.36700000000002</v>
      </c>
      <c r="Z27" s="703">
        <v>476.45400000000001</v>
      </c>
      <c r="AA27" s="703">
        <v>526.81700000000001</v>
      </c>
      <c r="AB27" s="503">
        <v>518.09199999999998</v>
      </c>
      <c r="AC27" s="504">
        <v>602.245</v>
      </c>
      <c r="AD27" s="503">
        <v>630.82399999999996</v>
      </c>
      <c r="AE27" s="503">
        <v>701.54700000000003</v>
      </c>
      <c r="AF27" s="503">
        <v>686.71900000000005</v>
      </c>
      <c r="AG27" s="504">
        <v>788.05499999999995</v>
      </c>
      <c r="AH27" s="503">
        <v>799.49099999999999</v>
      </c>
      <c r="AI27" s="503">
        <v>751.49199999999996</v>
      </c>
      <c r="AJ27" s="503">
        <v>804.40599999999995</v>
      </c>
      <c r="AK27" s="504">
        <v>926.55899999999997</v>
      </c>
      <c r="AL27" s="503">
        <v>879.15300000000002</v>
      </c>
      <c r="AM27" s="313">
        <f>Depreciation!BO99</f>
        <v>992.4647218721517</v>
      </c>
      <c r="AN27" s="313">
        <f>Depreciation!BP99</f>
        <v>1046.8083415746596</v>
      </c>
      <c r="AO27" s="314">
        <f>Depreciation!BQ99</f>
        <v>1095.6351720440398</v>
      </c>
      <c r="AP27" s="313">
        <f>Depreciation!BR99</f>
        <v>1115.8001145963076</v>
      </c>
      <c r="AQ27" s="313">
        <f>Depreciation!BS99</f>
        <v>1137.046956872231</v>
      </c>
      <c r="AR27" s="313">
        <f>Depreciation!BT99</f>
        <v>1152.1212127846675</v>
      </c>
      <c r="AS27" s="314">
        <f>Depreciation!BU99</f>
        <v>1187.6613188251781</v>
      </c>
      <c r="AT27" s="313">
        <f>Depreciation!BV99</f>
        <v>1213.2687294279394</v>
      </c>
      <c r="AU27" s="313">
        <f>Depreciation!BW99</f>
        <v>1246.541461769599</v>
      </c>
      <c r="AV27" s="313">
        <f>Depreciation!BX99</f>
        <v>1286.8663731270658</v>
      </c>
      <c r="AW27" s="314">
        <f>Depreciation!BY99</f>
        <v>1305.8337374817363</v>
      </c>
      <c r="AY27" s="204"/>
      <c r="AZ27" s="335">
        <f>SUM(B27:E27)</f>
        <v>740.53599999999994</v>
      </c>
      <c r="BA27" s="215">
        <f>SUM(F27:I27)</f>
        <v>831.37799999999993</v>
      </c>
      <c r="BB27" s="215">
        <f>SUM(J27:M27)</f>
        <v>747.15900000000011</v>
      </c>
      <c r="BC27" s="215">
        <f>SUM(N27:Q27)</f>
        <v>916.99099999999999</v>
      </c>
      <c r="BD27" s="215">
        <f>SUM(R27:U27)</f>
        <v>1382.3820000000001</v>
      </c>
      <c r="BE27" s="215">
        <f>SUM(V27:Y27)</f>
        <v>1633.22</v>
      </c>
      <c r="BF27" s="215">
        <f>SUM(Z27:AC27)</f>
        <v>2123.6079999999997</v>
      </c>
      <c r="BG27" s="215">
        <f>SUM(AD27:AG27)</f>
        <v>2807.145</v>
      </c>
      <c r="BH27" s="215">
        <f>SUM(AH27:AK27)</f>
        <v>3281.9480000000003</v>
      </c>
      <c r="BI27" s="215">
        <f t="shared" ref="BI27:BI33" si="86">SUM(AL27:AO27)</f>
        <v>4014.0612354908512</v>
      </c>
      <c r="BJ27" s="215">
        <f>SUM(AP27:AS27)</f>
        <v>4592.6296030783842</v>
      </c>
      <c r="BK27" s="215">
        <f>SUM(AT27:AW27)</f>
        <v>5052.5103018063401</v>
      </c>
    </row>
    <row r="28" spans="1:63">
      <c r="A28" s="290" t="s">
        <v>751</v>
      </c>
      <c r="B28" s="331">
        <f>B30-B27-B29</f>
        <v>375.57621499999999</v>
      </c>
      <c r="C28" s="331">
        <f t="shared" ref="C28:K28" si="87">C30-C27-C29</f>
        <v>367.93951328000003</v>
      </c>
      <c r="D28" s="331">
        <f t="shared" si="87"/>
        <v>404.88732400000004</v>
      </c>
      <c r="E28" s="332">
        <f t="shared" si="87"/>
        <v>426.42739762000002</v>
      </c>
      <c r="F28" s="331">
        <f t="shared" si="87"/>
        <v>392.69041460000005</v>
      </c>
      <c r="G28" s="331">
        <f t="shared" si="87"/>
        <v>433.099673</v>
      </c>
      <c r="H28" s="331">
        <f t="shared" si="87"/>
        <v>431.10345455999993</v>
      </c>
      <c r="I28" s="332">
        <f t="shared" si="87"/>
        <v>393.47291980000011</v>
      </c>
      <c r="J28" s="331">
        <f t="shared" si="87"/>
        <v>354.43004781999991</v>
      </c>
      <c r="K28" s="331">
        <f t="shared" si="87"/>
        <v>416.21439642000001</v>
      </c>
      <c r="L28" s="331">
        <f t="shared" ref="L28:W28" si="88">L30-L27-L29</f>
        <v>396.78621899999996</v>
      </c>
      <c r="M28" s="332">
        <f t="shared" si="88"/>
        <v>385.78182796000004</v>
      </c>
      <c r="N28" s="331">
        <f t="shared" si="88"/>
        <v>394.67600895999999</v>
      </c>
      <c r="O28" s="331">
        <f t="shared" si="88"/>
        <v>412.28589626000007</v>
      </c>
      <c r="P28" s="331">
        <f t="shared" si="88"/>
        <v>447.83733060000003</v>
      </c>
      <c r="Q28" s="332">
        <f t="shared" si="88"/>
        <v>477.38704899999993</v>
      </c>
      <c r="R28" s="331">
        <f t="shared" si="88"/>
        <v>495.95511040000008</v>
      </c>
      <c r="S28" s="331">
        <f t="shared" si="88"/>
        <v>503.79162719999999</v>
      </c>
      <c r="T28" s="331">
        <f t="shared" si="88"/>
        <v>514.14626239999996</v>
      </c>
      <c r="U28" s="332">
        <f t="shared" si="88"/>
        <v>505.64816790000009</v>
      </c>
      <c r="V28" s="331">
        <f t="shared" si="88"/>
        <v>589.24378050000007</v>
      </c>
      <c r="W28" s="331">
        <f t="shared" si="88"/>
        <v>648.82752595999978</v>
      </c>
      <c r="X28" s="331">
        <f t="shared" ref="X28:AJ28" si="89">X30-X27-X29</f>
        <v>638.30485700000008</v>
      </c>
      <c r="Y28" s="332">
        <f t="shared" si="89"/>
        <v>577.22250629999996</v>
      </c>
      <c r="Z28" s="331">
        <f t="shared" si="89"/>
        <v>589.90360592000002</v>
      </c>
      <c r="AA28" s="331">
        <f t="shared" si="89"/>
        <v>599.97128020000002</v>
      </c>
      <c r="AB28" s="331">
        <f t="shared" si="89"/>
        <v>666.92223113000011</v>
      </c>
      <c r="AC28" s="332">
        <f t="shared" si="89"/>
        <v>706.96320909000008</v>
      </c>
      <c r="AD28" s="331">
        <f t="shared" si="89"/>
        <v>783.47582880000004</v>
      </c>
      <c r="AE28" s="331">
        <f t="shared" si="89"/>
        <v>828.66838214000006</v>
      </c>
      <c r="AF28" s="331">
        <f t="shared" si="89"/>
        <v>944.86357551999981</v>
      </c>
      <c r="AG28" s="332">
        <f t="shared" si="89"/>
        <v>790.26133112500008</v>
      </c>
      <c r="AH28" s="331">
        <f t="shared" si="89"/>
        <v>857.70679456000005</v>
      </c>
      <c r="AI28" s="331">
        <f t="shared" si="89"/>
        <v>914.72914007999998</v>
      </c>
      <c r="AJ28" s="331">
        <f t="shared" si="89"/>
        <v>965.42958431999989</v>
      </c>
      <c r="AK28" s="332">
        <f t="shared" ref="AK28:AL28" si="90">AK30-AK27-AK29</f>
        <v>936.49927120000007</v>
      </c>
      <c r="AL28" s="331">
        <f t="shared" si="90"/>
        <v>1004.2841020749999</v>
      </c>
      <c r="AM28" s="215">
        <f t="shared" ref="AM28:AO28" si="91">AM249</f>
        <v>1186.1596058075249</v>
      </c>
      <c r="AN28" s="215">
        <f t="shared" si="91"/>
        <v>1208.2588627209132</v>
      </c>
      <c r="AO28" s="216">
        <f t="shared" si="91"/>
        <v>1129.469518793815</v>
      </c>
      <c r="AP28" s="215">
        <f t="shared" ref="AP28:AS28" si="92">AP249</f>
        <v>1136.4052304130419</v>
      </c>
      <c r="AQ28" s="215">
        <f t="shared" si="92"/>
        <v>1275.0994697666063</v>
      </c>
      <c r="AR28" s="215">
        <f t="shared" si="92"/>
        <v>1470.0159092911333</v>
      </c>
      <c r="AS28" s="216">
        <f t="shared" si="92"/>
        <v>1490.9069472704193</v>
      </c>
      <c r="AT28" s="215">
        <f t="shared" ref="AT28:AW28" si="93">AT249</f>
        <v>1537.3617981430255</v>
      </c>
      <c r="AU28" s="215">
        <f t="shared" si="93"/>
        <v>1610.0423120558273</v>
      </c>
      <c r="AV28" s="215">
        <f t="shared" si="93"/>
        <v>1745.7536863373662</v>
      </c>
      <c r="AW28" s="216">
        <f t="shared" si="93"/>
        <v>1786.0092008126853</v>
      </c>
      <c r="AY28" s="204"/>
      <c r="AZ28" s="335">
        <f>SUM(B28:E28)</f>
        <v>1574.8304499000001</v>
      </c>
      <c r="BA28" s="215">
        <f>SUM(F28:I28)</f>
        <v>1650.3664619599999</v>
      </c>
      <c r="BB28" s="215">
        <f>SUM(J28:M28)</f>
        <v>1553.2124911999999</v>
      </c>
      <c r="BC28" s="215">
        <f>SUM(N28:Q28)</f>
        <v>1732.1862848200001</v>
      </c>
      <c r="BD28" s="215">
        <f>SUM(R28:U28)</f>
        <v>2019.5411679000001</v>
      </c>
      <c r="BE28" s="215">
        <f>SUM(V28:Y28)</f>
        <v>2453.5986697600001</v>
      </c>
      <c r="BF28" s="215">
        <f>SUM(Z28:AC28)</f>
        <v>2563.7603263400001</v>
      </c>
      <c r="BG28" s="215">
        <f>SUM(AD28:AG28)</f>
        <v>3347.269117585</v>
      </c>
      <c r="BH28" s="215">
        <f>SUM(AH28:AK28)</f>
        <v>3674.3647901599998</v>
      </c>
      <c r="BI28" s="215">
        <f t="shared" si="86"/>
        <v>4528.1720893972533</v>
      </c>
      <c r="BJ28" s="215">
        <f>SUM(AP28:AS28)</f>
        <v>5372.4275567412014</v>
      </c>
      <c r="BK28" s="215">
        <f>SUM(AT28:AW28)</f>
        <v>6679.1669973489043</v>
      </c>
    </row>
    <row r="29" spans="1:63">
      <c r="A29" s="290" t="s">
        <v>750</v>
      </c>
      <c r="B29" s="214">
        <f>B18+B19-B33</f>
        <v>16.654785000000018</v>
      </c>
      <c r="C29" s="214">
        <f t="shared" ref="C29:K29" si="94">C18+C19-C33</f>
        <v>17.307486720000014</v>
      </c>
      <c r="D29" s="214">
        <f t="shared" si="94"/>
        <v>9.2366760000000063</v>
      </c>
      <c r="E29" s="334">
        <f t="shared" si="94"/>
        <v>1.8656023800000017</v>
      </c>
      <c r="F29" s="214">
        <f t="shared" si="94"/>
        <v>23.006585400000034</v>
      </c>
      <c r="G29" s="214">
        <f t="shared" si="94"/>
        <v>28.496326999999987</v>
      </c>
      <c r="H29" s="214">
        <f t="shared" si="94"/>
        <v>36.680545440000031</v>
      </c>
      <c r="I29" s="334">
        <f t="shared" si="94"/>
        <v>43.379080199999976</v>
      </c>
      <c r="J29" s="214">
        <f t="shared" si="94"/>
        <v>30.648952180000023</v>
      </c>
      <c r="K29" s="214">
        <f t="shared" si="94"/>
        <v>38.112603580000027</v>
      </c>
      <c r="L29" s="214">
        <f t="shared" ref="L29:Y29" si="95">L18+L19-L33</f>
        <v>48.37478099999997</v>
      </c>
      <c r="M29" s="334">
        <f t="shared" si="95"/>
        <v>55.705172039999972</v>
      </c>
      <c r="N29" s="214">
        <f t="shared" si="95"/>
        <v>62.818991039999986</v>
      </c>
      <c r="O29" s="214">
        <f t="shared" si="95"/>
        <v>66.612103739999981</v>
      </c>
      <c r="P29" s="214">
        <f t="shared" si="95"/>
        <v>123.27566940000004</v>
      </c>
      <c r="Q29" s="334">
        <f t="shared" si="95"/>
        <v>84.177950999999993</v>
      </c>
      <c r="R29" s="214">
        <f t="shared" si="95"/>
        <v>77.696889599999963</v>
      </c>
      <c r="S29" s="214">
        <f t="shared" si="95"/>
        <v>89.24837279999997</v>
      </c>
      <c r="T29" s="214">
        <f t="shared" si="95"/>
        <v>69.066737600000053</v>
      </c>
      <c r="U29" s="334">
        <f t="shared" si="95"/>
        <v>129.40683209999997</v>
      </c>
      <c r="V29" s="214">
        <f t="shared" si="95"/>
        <v>109.13221949999995</v>
      </c>
      <c r="W29" s="214">
        <f t="shared" si="95"/>
        <v>88.706474040000074</v>
      </c>
      <c r="X29" s="214">
        <f>X18+X19-X33</f>
        <v>112.98714299999992</v>
      </c>
      <c r="Y29" s="334">
        <f t="shared" si="95"/>
        <v>113.99149369999996</v>
      </c>
      <c r="Z29" s="214">
        <f t="shared" ref="Z29:AO29" si="96">Z18+Z19-Z33</f>
        <v>91.26139407999996</v>
      </c>
      <c r="AA29" s="214">
        <f t="shared" si="96"/>
        <v>117.10771979999997</v>
      </c>
      <c r="AB29" s="214">
        <f t="shared" si="96"/>
        <v>113.94276886999997</v>
      </c>
      <c r="AC29" s="334">
        <f t="shared" si="96"/>
        <v>94.135790909999926</v>
      </c>
      <c r="AD29" s="214">
        <f t="shared" si="96"/>
        <v>96.172171199999923</v>
      </c>
      <c r="AE29" s="214">
        <f t="shared" si="96"/>
        <v>105.96761785999993</v>
      </c>
      <c r="AF29" s="214">
        <f t="shared" si="96"/>
        <v>95.445424480000099</v>
      </c>
      <c r="AG29" s="334">
        <f t="shared" si="96"/>
        <v>129.95366887499992</v>
      </c>
      <c r="AH29" s="214">
        <f t="shared" si="96"/>
        <v>84.135205440000078</v>
      </c>
      <c r="AI29" s="214">
        <f t="shared" si="96"/>
        <v>93.045859920000083</v>
      </c>
      <c r="AJ29" s="214">
        <f t="shared" si="96"/>
        <v>89.175415680000086</v>
      </c>
      <c r="AK29" s="334">
        <f t="shared" ref="AK29:AL29" si="97">AK18+AK19-AK33</f>
        <v>147.53072879999991</v>
      </c>
      <c r="AL29" s="214">
        <f t="shared" si="97"/>
        <v>118.44689792500012</v>
      </c>
      <c r="AM29" s="214">
        <f t="shared" si="96"/>
        <v>101.6943533100001</v>
      </c>
      <c r="AN29" s="214">
        <f t="shared" si="96"/>
        <v>97.464156240000108</v>
      </c>
      <c r="AO29" s="334">
        <f t="shared" si="96"/>
        <v>161.24352089999991</v>
      </c>
      <c r="AP29" s="214">
        <f t="shared" ref="AP29:AS29" si="98">AP18+AP19-AP33</f>
        <v>129.45099682900013</v>
      </c>
      <c r="AQ29" s="214">
        <f t="shared" si="98"/>
        <v>111.14208677880012</v>
      </c>
      <c r="AR29" s="214">
        <f t="shared" si="98"/>
        <v>106.5188907552001</v>
      </c>
      <c r="AS29" s="334">
        <f t="shared" si="98"/>
        <v>176.22356413199992</v>
      </c>
      <c r="AT29" s="214">
        <f t="shared" ref="AT29:AW29" si="99">AT18+AT19-AT33</f>
        <v>141.47144653455018</v>
      </c>
      <c r="AU29" s="214">
        <f t="shared" si="99"/>
        <v>121.46242340826012</v>
      </c>
      <c r="AV29" s="214">
        <f t="shared" si="99"/>
        <v>116.40993061104012</v>
      </c>
      <c r="AW29" s="334">
        <f t="shared" si="99"/>
        <v>192.58718080139994</v>
      </c>
      <c r="AY29" s="204"/>
      <c r="AZ29" s="335">
        <f>SUM(B29:E29)</f>
        <v>45.064550100000034</v>
      </c>
      <c r="BA29" s="215">
        <f>SUM(F29:I29)</f>
        <v>131.56253804000002</v>
      </c>
      <c r="BB29" s="215">
        <f>SUM(J29:M29)</f>
        <v>172.84150879999999</v>
      </c>
      <c r="BC29" s="215">
        <f>SUM(N29:Q29)</f>
        <v>336.88471518</v>
      </c>
      <c r="BD29" s="215">
        <f>SUM(R29:U29)</f>
        <v>365.41883209999997</v>
      </c>
      <c r="BE29" s="215">
        <f>SUM(V29:Y29)</f>
        <v>424.81733023999993</v>
      </c>
      <c r="BF29" s="215">
        <f>SUM(Z29:AC29)</f>
        <v>416.44767365999979</v>
      </c>
      <c r="BG29" s="215">
        <f>SUM(AD29:AG29)</f>
        <v>427.53888241499988</v>
      </c>
      <c r="BH29" s="215">
        <f>SUM(AH29:AK29)</f>
        <v>413.88720984000014</v>
      </c>
      <c r="BI29" s="215">
        <f t="shared" si="86"/>
        <v>478.84892837500024</v>
      </c>
      <c r="BJ29" s="215">
        <f>SUM(AP29:AS29)</f>
        <v>523.33553849500026</v>
      </c>
      <c r="BK29" s="215">
        <f>SUM(AT29:AW29)</f>
        <v>571.93098135525042</v>
      </c>
    </row>
    <row r="30" spans="1:63">
      <c r="A30" s="336" t="s">
        <v>149</v>
      </c>
      <c r="B30" s="337">
        <f>B11-B25</f>
        <v>572.26599999999996</v>
      </c>
      <c r="C30" s="337">
        <f t="shared" ref="C30:K30" si="100">C11-C25</f>
        <v>557.06100000000004</v>
      </c>
      <c r="D30" s="337">
        <f t="shared" si="100"/>
        <v>592.42600000000004</v>
      </c>
      <c r="E30" s="338">
        <f t="shared" si="100"/>
        <v>638.678</v>
      </c>
      <c r="F30" s="337">
        <f t="shared" si="100"/>
        <v>610.86800000000005</v>
      </c>
      <c r="G30" s="337">
        <f t="shared" si="100"/>
        <v>672.88</v>
      </c>
      <c r="H30" s="337">
        <f t="shared" si="100"/>
        <v>676.11900000000003</v>
      </c>
      <c r="I30" s="338">
        <f t="shared" si="100"/>
        <v>653.44000000000005</v>
      </c>
      <c r="J30" s="337">
        <f t="shared" si="100"/>
        <v>546.82899999999995</v>
      </c>
      <c r="K30" s="337">
        <f t="shared" si="100"/>
        <v>639.72400000000005</v>
      </c>
      <c r="L30" s="337">
        <f t="shared" ref="L30:W30" si="101">L11-L25</f>
        <v>646.63699999999994</v>
      </c>
      <c r="M30" s="338">
        <f t="shared" si="101"/>
        <v>640.02300000000002</v>
      </c>
      <c r="N30" s="337">
        <f t="shared" si="101"/>
        <v>671.327</v>
      </c>
      <c r="O30" s="337">
        <f t="shared" si="101"/>
        <v>689.87400000000002</v>
      </c>
      <c r="P30" s="337">
        <f t="shared" si="101"/>
        <v>820.52800000000002</v>
      </c>
      <c r="Q30" s="338">
        <f t="shared" si="101"/>
        <v>804.33299999999997</v>
      </c>
      <c r="R30" s="337">
        <f t="shared" si="101"/>
        <v>853.53499999999997</v>
      </c>
      <c r="S30" s="337">
        <f t="shared" si="101"/>
        <v>939.09</v>
      </c>
      <c r="T30" s="337">
        <f t="shared" si="101"/>
        <v>947.44100000000003</v>
      </c>
      <c r="U30" s="338">
        <f t="shared" si="101"/>
        <v>1027.2760000000001</v>
      </c>
      <c r="V30" s="337">
        <f t="shared" si="101"/>
        <v>1091.6389999999999</v>
      </c>
      <c r="W30" s="337">
        <f t="shared" si="101"/>
        <v>1152.6759999999999</v>
      </c>
      <c r="X30" s="337">
        <f t="shared" ref="X30:AJ30" si="102">X11-X25</f>
        <v>1164.74</v>
      </c>
      <c r="Y30" s="338">
        <f t="shared" si="102"/>
        <v>1102.5809999999999</v>
      </c>
      <c r="Z30" s="337">
        <f t="shared" si="102"/>
        <v>1157.6189999999999</v>
      </c>
      <c r="AA30" s="337">
        <f t="shared" si="102"/>
        <v>1243.896</v>
      </c>
      <c r="AB30" s="337">
        <f t="shared" si="102"/>
        <v>1298.9570000000001</v>
      </c>
      <c r="AC30" s="338">
        <f t="shared" si="102"/>
        <v>1403.3440000000001</v>
      </c>
      <c r="AD30" s="337">
        <f t="shared" si="102"/>
        <v>1510.472</v>
      </c>
      <c r="AE30" s="337">
        <f t="shared" si="102"/>
        <v>1636.183</v>
      </c>
      <c r="AF30" s="337">
        <f t="shared" si="102"/>
        <v>1727.028</v>
      </c>
      <c r="AG30" s="338">
        <f t="shared" si="102"/>
        <v>1708.27</v>
      </c>
      <c r="AH30" s="337">
        <f t="shared" si="102"/>
        <v>1741.3330000000001</v>
      </c>
      <c r="AI30" s="337">
        <f t="shared" si="102"/>
        <v>1759.2670000000001</v>
      </c>
      <c r="AJ30" s="337">
        <f t="shared" si="102"/>
        <v>1859.011</v>
      </c>
      <c r="AK30" s="338">
        <f t="shared" ref="AK30:AL30" si="103">AK11-AK25</f>
        <v>2010.5889999999999</v>
      </c>
      <c r="AL30" s="337">
        <f t="shared" si="103"/>
        <v>2001.884</v>
      </c>
      <c r="AM30" s="339">
        <f t="shared" ref="AM30:AO30" si="104">SUM(AM27:AM29)</f>
        <v>2280.318680989677</v>
      </c>
      <c r="AN30" s="339">
        <f t="shared" si="104"/>
        <v>2352.5313605355732</v>
      </c>
      <c r="AO30" s="340">
        <f t="shared" si="104"/>
        <v>2386.3482117378549</v>
      </c>
      <c r="AP30" s="339">
        <f t="shared" ref="AP30:AS30" si="105">SUM(AP27:AP29)</f>
        <v>2381.6563418383494</v>
      </c>
      <c r="AQ30" s="339">
        <f t="shared" si="105"/>
        <v>2523.2885134176377</v>
      </c>
      <c r="AR30" s="339">
        <f t="shared" si="105"/>
        <v>2728.6560128310011</v>
      </c>
      <c r="AS30" s="340">
        <f t="shared" si="105"/>
        <v>2854.7918302275971</v>
      </c>
      <c r="AT30" s="339">
        <f t="shared" ref="AT30:AW30" si="106">SUM(AT27:AT29)</f>
        <v>2892.1019741055147</v>
      </c>
      <c r="AU30" s="339">
        <f t="shared" si="106"/>
        <v>2978.0461972336866</v>
      </c>
      <c r="AV30" s="339">
        <f t="shared" si="106"/>
        <v>3149.0299900754721</v>
      </c>
      <c r="AW30" s="340">
        <f t="shared" si="106"/>
        <v>3284.4301190958213</v>
      </c>
      <c r="AY30" s="341">
        <f ca="1">-Model!G12</f>
        <v>2064.4989999999998</v>
      </c>
      <c r="AZ30" s="341">
        <f>SUM(B30:E30)</f>
        <v>2360.431</v>
      </c>
      <c r="BA30" s="343">
        <f>SUM(F30:I30)</f>
        <v>2613.3070000000002</v>
      </c>
      <c r="BB30" s="343">
        <f>SUM(J30:M30)</f>
        <v>2473.2129999999997</v>
      </c>
      <c r="BC30" s="343">
        <f>SUM(N30:Q30)</f>
        <v>2986.0620000000004</v>
      </c>
      <c r="BD30" s="343">
        <f>SUM(R30:U30)</f>
        <v>3767.3419999999996</v>
      </c>
      <c r="BE30" s="343">
        <f>SUM(V30:Y30)</f>
        <v>4511.6359999999995</v>
      </c>
      <c r="BF30" s="343">
        <f>SUM(Z30:AC30)</f>
        <v>5103.8159999999998</v>
      </c>
      <c r="BG30" s="343">
        <f>SUM(AD30:AG30)</f>
        <v>6581.9529999999995</v>
      </c>
      <c r="BH30" s="343">
        <f>SUM(AH30:AK30)</f>
        <v>7370.2000000000007</v>
      </c>
      <c r="BI30" s="343">
        <f t="shared" si="86"/>
        <v>9021.0822532631046</v>
      </c>
      <c r="BJ30" s="343">
        <f>SUM(AP30:AS30)</f>
        <v>10488.392698314585</v>
      </c>
      <c r="BK30" s="343">
        <f>SUM(AT30:AW30)</f>
        <v>12303.608280510494</v>
      </c>
    </row>
    <row r="31" spans="1:63">
      <c r="A31" s="290" t="s">
        <v>749</v>
      </c>
      <c r="B31" s="214">
        <f>B25-B33</f>
        <v>213.68123500000007</v>
      </c>
      <c r="C31" s="214">
        <f t="shared" ref="C31:K31" si="107">C25-C33</f>
        <v>187.40131071999994</v>
      </c>
      <c r="D31" s="214">
        <f t="shared" si="107"/>
        <v>174.21810799999992</v>
      </c>
      <c r="E31" s="334">
        <f t="shared" si="107"/>
        <v>148.00008037999999</v>
      </c>
      <c r="F31" s="214">
        <f t="shared" si="107"/>
        <v>106.06032539999993</v>
      </c>
      <c r="G31" s="214">
        <f t="shared" si="107"/>
        <v>157.25802699999997</v>
      </c>
      <c r="H31" s="214">
        <f t="shared" si="107"/>
        <v>163.58647343999999</v>
      </c>
      <c r="I31" s="334">
        <f t="shared" si="107"/>
        <v>123.94966020000001</v>
      </c>
      <c r="J31" s="214">
        <f t="shared" si="107"/>
        <v>113.92281018000004</v>
      </c>
      <c r="K31" s="214">
        <f t="shared" si="107"/>
        <v>141.0268015799999</v>
      </c>
      <c r="L31" s="214">
        <f>L25-L33</f>
        <v>156.95588100000006</v>
      </c>
      <c r="M31" s="334">
        <f>M17-M27-M28</f>
        <v>184.60829603999997</v>
      </c>
      <c r="N31" s="214">
        <f t="shared" ref="N31:W31" si="108">N25-N33</f>
        <v>215.86682304000004</v>
      </c>
      <c r="O31" s="214">
        <f t="shared" si="108"/>
        <v>229.80097073999994</v>
      </c>
      <c r="P31" s="214">
        <f t="shared" si="108"/>
        <v>227.20693940000007</v>
      </c>
      <c r="Q31" s="334">
        <f t="shared" si="108"/>
        <v>153.01950100000005</v>
      </c>
      <c r="R31" s="214">
        <f t="shared" si="108"/>
        <v>230.68977759999993</v>
      </c>
      <c r="S31" s="214">
        <f t="shared" si="108"/>
        <v>382.69990680000006</v>
      </c>
      <c r="T31" s="214">
        <f t="shared" si="108"/>
        <v>450.59431559999985</v>
      </c>
      <c r="U31" s="334">
        <f t="shared" si="108"/>
        <v>516.28363709999985</v>
      </c>
      <c r="V31" s="214">
        <f t="shared" si="108"/>
        <v>721.24516950000009</v>
      </c>
      <c r="W31" s="214">
        <f t="shared" si="108"/>
        <v>726.90779803999999</v>
      </c>
      <c r="X31" s="214">
        <f>X25-X33</f>
        <v>712.18144299999994</v>
      </c>
      <c r="Y31" s="334">
        <f t="shared" ref="Y31:AO31" si="109">Y17-Y27-Y28</f>
        <v>488.38746370000001</v>
      </c>
      <c r="Z31" s="214">
        <f t="shared" si="109"/>
        <v>280.40964208000014</v>
      </c>
      <c r="AA31" s="214">
        <f t="shared" si="109"/>
        <v>285.37009980000005</v>
      </c>
      <c r="AB31" s="214">
        <f t="shared" si="109"/>
        <v>291.33141587</v>
      </c>
      <c r="AC31" s="334">
        <f t="shared" si="109"/>
        <v>249.93156191000003</v>
      </c>
      <c r="AD31" s="214">
        <f t="shared" si="109"/>
        <v>213.36385120000011</v>
      </c>
      <c r="AE31" s="214">
        <f t="shared" si="109"/>
        <v>236.07002186000011</v>
      </c>
      <c r="AF31" s="214">
        <f t="shared" si="109"/>
        <v>418.01889647999997</v>
      </c>
      <c r="AG31" s="334">
        <f t="shared" si="109"/>
        <v>463.41859387499983</v>
      </c>
      <c r="AH31" s="214">
        <f t="shared" si="109"/>
        <v>482.13755744000002</v>
      </c>
      <c r="AI31" s="214">
        <f t="shared" si="109"/>
        <v>423.55529591999971</v>
      </c>
      <c r="AJ31" s="214">
        <f t="shared" si="109"/>
        <v>497.65895968000029</v>
      </c>
      <c r="AK31" s="334">
        <f t="shared" si="109"/>
        <v>436.50976880000007</v>
      </c>
      <c r="AL31" s="214">
        <f t="shared" ref="AL31" si="110">AL17-AL27-AL28</f>
        <v>469.21519092500023</v>
      </c>
      <c r="AM31" s="214">
        <f t="shared" si="109"/>
        <v>577.36223988149618</v>
      </c>
      <c r="AN31" s="214">
        <f t="shared" si="109"/>
        <v>641.15964605618069</v>
      </c>
      <c r="AO31" s="334">
        <f t="shared" si="109"/>
        <v>730.65118456619848</v>
      </c>
      <c r="AP31" s="214">
        <f t="shared" ref="AP31:AS31" si="111">AP17-AP27-AP28</f>
        <v>681.50134486452635</v>
      </c>
      <c r="AQ31" s="214">
        <f t="shared" si="111"/>
        <v>712.50603873720888</v>
      </c>
      <c r="AR31" s="214">
        <f t="shared" si="111"/>
        <v>906.38122880694004</v>
      </c>
      <c r="AS31" s="334">
        <f t="shared" si="111"/>
        <v>924.0851191017116</v>
      </c>
      <c r="AT31" s="214">
        <f t="shared" ref="AT31:AW31" si="112">AT17-AT27-AT28</f>
        <v>919.73597550900945</v>
      </c>
      <c r="AU31" s="214">
        <f t="shared" si="112"/>
        <v>978.7943942200834</v>
      </c>
      <c r="AV31" s="214">
        <f t="shared" si="112"/>
        <v>1146.8376706930908</v>
      </c>
      <c r="AW31" s="334">
        <f t="shared" si="112"/>
        <v>1228.3522681522986</v>
      </c>
      <c r="AY31" s="204"/>
      <c r="AZ31" s="335">
        <f>SUM(B31:E31)</f>
        <v>723.30073409999989</v>
      </c>
      <c r="BA31" s="215">
        <f>SUM(F31:I31)</f>
        <v>550.85448603999987</v>
      </c>
      <c r="BB31" s="215">
        <f>SUM(J31:M31)</f>
        <v>596.51378879999993</v>
      </c>
      <c r="BC31" s="215">
        <f>SUM(N31:Q31)</f>
        <v>825.89423418000001</v>
      </c>
      <c r="BD31" s="215">
        <f>SUM(R31:U31)</f>
        <v>1580.2676370999998</v>
      </c>
      <c r="BE31" s="215">
        <f>SUM(V31:Y31)</f>
        <v>2648.72187424</v>
      </c>
      <c r="BF31" s="215">
        <f>SUM(Z31:AC31)</f>
        <v>1107.0427196600003</v>
      </c>
      <c r="BG31" s="215">
        <f>SUM(AD31:AG31)</f>
        <v>1330.8713634149999</v>
      </c>
      <c r="BH31" s="215">
        <f>SUM(AH31:AK31)</f>
        <v>1839.8615818400001</v>
      </c>
      <c r="BI31" s="215">
        <f t="shared" si="86"/>
        <v>2418.3882614288759</v>
      </c>
      <c r="BJ31" s="546">
        <f>SUM(AP31:AS31)</f>
        <v>3224.4737315103866</v>
      </c>
      <c r="BK31" s="546">
        <f>SUM(AT31:AW31)</f>
        <v>4273.7203085744823</v>
      </c>
    </row>
    <row r="32" spans="1:63">
      <c r="A32" s="290" t="s">
        <v>748</v>
      </c>
      <c r="B32" s="274">
        <f>B31/B17</f>
        <v>0.27776333304713968</v>
      </c>
      <c r="C32" s="274">
        <f t="shared" ref="C32:R32" si="113">C31/C17</f>
        <v>0.25771858280348831</v>
      </c>
      <c r="D32" s="274">
        <f t="shared" si="113"/>
        <v>0.2300190104287225</v>
      </c>
      <c r="E32" s="345">
        <f t="shared" si="113"/>
        <v>0.18858018256432463</v>
      </c>
      <c r="F32" s="274">
        <f t="shared" si="113"/>
        <v>0.15284191182711745</v>
      </c>
      <c r="G32" s="274">
        <f t="shared" si="113"/>
        <v>0.19616996845348736</v>
      </c>
      <c r="H32" s="274">
        <f t="shared" si="113"/>
        <v>0.20371282102963556</v>
      </c>
      <c r="I32" s="345">
        <f t="shared" si="113"/>
        <v>0.1688663127989245</v>
      </c>
      <c r="J32" s="274">
        <f t="shared" si="113"/>
        <v>0.18080033875992996</v>
      </c>
      <c r="K32" s="274">
        <f t="shared" si="113"/>
        <v>0.18989974116575123</v>
      </c>
      <c r="L32" s="274">
        <f>L31/L17</f>
        <v>0.20782854780625631</v>
      </c>
      <c r="M32" s="345">
        <f t="shared" si="113"/>
        <v>0.24008586817112743</v>
      </c>
      <c r="N32" s="274">
        <f t="shared" si="113"/>
        <v>0.26185518366237559</v>
      </c>
      <c r="O32" s="274">
        <f>O31/O17</f>
        <v>0.26938339438938436</v>
      </c>
      <c r="P32" s="274">
        <f>P31/P17</f>
        <v>0.24577279580959802</v>
      </c>
      <c r="Q32" s="345">
        <f>Q31/Q17</f>
        <v>0.17524503090476015</v>
      </c>
      <c r="R32" s="274">
        <f t="shared" si="113"/>
        <v>0.22919362727086201</v>
      </c>
      <c r="S32" s="274">
        <f t="shared" ref="S32:AD32" si="114">S31/S17</f>
        <v>0.31049656035364082</v>
      </c>
      <c r="T32" s="274">
        <f t="shared" si="114"/>
        <v>0.33905565794347919</v>
      </c>
      <c r="U32" s="345">
        <f t="shared" si="114"/>
        <v>0.36508334550169058</v>
      </c>
      <c r="V32" s="274">
        <f t="shared" si="114"/>
        <v>0.42332756801833743</v>
      </c>
      <c r="W32" s="274">
        <f t="shared" si="114"/>
        <v>0.40589480267493749</v>
      </c>
      <c r="X32" s="274">
        <f>X31/X17</f>
        <v>0.40374601423647127</v>
      </c>
      <c r="Y32" s="345">
        <f t="shared" si="114"/>
        <v>0.33066694580891132</v>
      </c>
      <c r="Z32" s="274">
        <f>Z31/Z17</f>
        <v>0.2082094307657236</v>
      </c>
      <c r="AA32" s="274">
        <f>AA31/AA17</f>
        <v>0.2020808032878012</v>
      </c>
      <c r="AB32" s="274">
        <f>AB31/AB17</f>
        <v>0.19733279700590331</v>
      </c>
      <c r="AC32" s="345">
        <f>AC31/AC17</f>
        <v>0.16030093424510561</v>
      </c>
      <c r="AD32" s="274">
        <f t="shared" si="114"/>
        <v>0.13108595702031031</v>
      </c>
      <c r="AE32" s="274">
        <f t="shared" ref="AE32:AO32" si="115">AE31/AE17</f>
        <v>0.13365338428624646</v>
      </c>
      <c r="AF32" s="274">
        <f t="shared" si="115"/>
        <v>0.20395130574925738</v>
      </c>
      <c r="AG32" s="345">
        <f t="shared" si="115"/>
        <v>0.22697294746770316</v>
      </c>
      <c r="AH32" s="274">
        <f t="shared" si="115"/>
        <v>0.22536791952195068</v>
      </c>
      <c r="AI32" s="274">
        <f t="shared" si="115"/>
        <v>0.20267971665462869</v>
      </c>
      <c r="AJ32" s="274">
        <f t="shared" si="115"/>
        <v>0.21947526224345362</v>
      </c>
      <c r="AK32" s="345">
        <f t="shared" si="115"/>
        <v>0.1898225063173169</v>
      </c>
      <c r="AL32" s="274">
        <f t="shared" ref="AL32" si="116">AL31/AL17</f>
        <v>0.1994409425995872</v>
      </c>
      <c r="AM32" s="274">
        <f t="shared" si="115"/>
        <v>0.20949385119551417</v>
      </c>
      <c r="AN32" s="274">
        <f t="shared" si="115"/>
        <v>0.22137756439151524</v>
      </c>
      <c r="AO32" s="345">
        <f t="shared" si="115"/>
        <v>0.24719605250427459</v>
      </c>
      <c r="AP32" s="274">
        <f t="shared" ref="AP32:AS32" si="117">AP31/AP17</f>
        <v>0.23230043658312177</v>
      </c>
      <c r="AQ32" s="274">
        <f t="shared" si="117"/>
        <v>0.22802729155719406</v>
      </c>
      <c r="AR32" s="274">
        <f t="shared" si="117"/>
        <v>0.25687303810682682</v>
      </c>
      <c r="AS32" s="345">
        <f t="shared" si="117"/>
        <v>0.25650125624036452</v>
      </c>
      <c r="AT32" s="274">
        <f t="shared" ref="AT32:AW32" si="118">AT31/AT17</f>
        <v>0.25058423313781236</v>
      </c>
      <c r="AU32" s="274">
        <f t="shared" si="118"/>
        <v>0.25520153459049183</v>
      </c>
      <c r="AV32" s="274">
        <f t="shared" si="118"/>
        <v>0.27439867675127</v>
      </c>
      <c r="AW32" s="345">
        <f t="shared" si="118"/>
        <v>0.28432795497743152</v>
      </c>
      <c r="AY32" s="204"/>
      <c r="AZ32" s="295">
        <f t="shared" ref="AZ32:BG32" si="119">AZ31/AZ17</f>
        <v>0.23803223265401213</v>
      </c>
      <c r="BA32" s="264">
        <f t="shared" si="119"/>
        <v>0.18164435703022605</v>
      </c>
      <c r="BB32" s="264">
        <f t="shared" si="119"/>
        <v>0.20591557177576597</v>
      </c>
      <c r="BC32" s="264">
        <f t="shared" si="119"/>
        <v>0.23766251418551018</v>
      </c>
      <c r="BD32" s="264">
        <f t="shared" si="119"/>
        <v>0.31718328320827932</v>
      </c>
      <c r="BE32" s="264">
        <f t="shared" si="119"/>
        <v>0.39324562845954125</v>
      </c>
      <c r="BF32" s="264">
        <f t="shared" si="119"/>
        <v>0.19105353604905445</v>
      </c>
      <c r="BG32" s="264">
        <f t="shared" si="119"/>
        <v>0.17779834407026537</v>
      </c>
      <c r="BH32" s="264">
        <f>BH31/BH17</f>
        <v>0.20916611063289639</v>
      </c>
      <c r="BI32" s="264">
        <f>BI31/BI17</f>
        <v>0.22064334968446891</v>
      </c>
      <c r="BJ32" s="264">
        <f>BJ31/BJ17</f>
        <v>0.24447220739518244</v>
      </c>
      <c r="BK32" s="264">
        <f>BK31/BK17</f>
        <v>0.26701744082324513</v>
      </c>
    </row>
    <row r="33" spans="1:63">
      <c r="A33" s="290" t="s">
        <v>747</v>
      </c>
      <c r="B33" s="214">
        <f>B18*B34</f>
        <v>7.137765000000007</v>
      </c>
      <c r="C33" s="214">
        <f>C18*C34</f>
        <v>6.7306892800000062</v>
      </c>
      <c r="D33" s="214">
        <f>D18*D34</f>
        <v>3.0788920000000024</v>
      </c>
      <c r="E33" s="334">
        <f>E18*E34</f>
        <v>0.49591962000000045</v>
      </c>
      <c r="F33" s="347">
        <f>F18*F34+F19</f>
        <v>114.11567460000001</v>
      </c>
      <c r="G33" s="347">
        <f>G18*G34+G19</f>
        <v>60.574972999999993</v>
      </c>
      <c r="H33" s="214">
        <f>H18*H34</f>
        <v>10.956526560000011</v>
      </c>
      <c r="I33" s="334">
        <f>I18*I34</f>
        <v>10.175339799999993</v>
      </c>
      <c r="J33" s="214">
        <f>J18*J34</f>
        <v>8.1471898200000066</v>
      </c>
      <c r="K33" s="214">
        <f t="shared" ref="K33:R33" si="120">K18*K34</f>
        <v>10.131198420000008</v>
      </c>
      <c r="L33" s="214">
        <f>L18*L34</f>
        <v>12.859118999999991</v>
      </c>
      <c r="M33" s="334">
        <f t="shared" si="120"/>
        <v>14.807703959999992</v>
      </c>
      <c r="N33" s="214">
        <f t="shared" si="120"/>
        <v>17.718176959999997</v>
      </c>
      <c r="O33" s="214">
        <f>O18*O34</f>
        <v>18.788029259999995</v>
      </c>
      <c r="P33" s="214">
        <f>P18*P34</f>
        <v>34.770060600000008</v>
      </c>
      <c r="Q33" s="334">
        <f>Q18*Q34</f>
        <v>23.742498999999999</v>
      </c>
      <c r="R33" s="214">
        <f t="shared" si="120"/>
        <v>19.424222399999991</v>
      </c>
      <c r="S33" s="214">
        <f t="shared" ref="S33:AD33" si="121">S18*S34</f>
        <v>22.312093199999993</v>
      </c>
      <c r="T33" s="214">
        <f t="shared" si="121"/>
        <v>17.266684400000013</v>
      </c>
      <c r="U33" s="334">
        <f t="shared" si="121"/>
        <v>36.499362899999994</v>
      </c>
      <c r="V33" s="214">
        <f t="shared" si="121"/>
        <v>29.009830499999982</v>
      </c>
      <c r="W33" s="214">
        <f t="shared" si="121"/>
        <v>23.580201960000021</v>
      </c>
      <c r="X33" s="214">
        <f>X18*X34</f>
        <v>30.034556999999978</v>
      </c>
      <c r="Y33" s="334">
        <f t="shared" si="121"/>
        <v>30.301536299999992</v>
      </c>
      <c r="Z33" s="214">
        <f>Z18*Z34</f>
        <v>24.259357919999989</v>
      </c>
      <c r="AA33" s="214">
        <f t="shared" si="121"/>
        <v>31.129900199999991</v>
      </c>
      <c r="AB33" s="214">
        <f>AB18*AB34</f>
        <v>30.28858412999999</v>
      </c>
      <c r="AC33" s="334">
        <f>AC18*AC34</f>
        <v>25.023438089999981</v>
      </c>
      <c r="AD33" s="214">
        <f t="shared" si="121"/>
        <v>26.34014879999998</v>
      </c>
      <c r="AE33" s="214">
        <f t="shared" ref="AE33:AO33" si="122">AE18*AE34</f>
        <v>29.022978139999985</v>
      </c>
      <c r="AF33" s="214">
        <f t="shared" si="122"/>
        <v>26.141103520000023</v>
      </c>
      <c r="AG33" s="334">
        <f t="shared" si="122"/>
        <v>35.592406124999975</v>
      </c>
      <c r="AH33" s="214">
        <f t="shared" si="122"/>
        <v>23.730442560000022</v>
      </c>
      <c r="AI33" s="214">
        <f t="shared" si="122"/>
        <v>26.243704080000022</v>
      </c>
      <c r="AJ33" s="214">
        <f t="shared" si="122"/>
        <v>25.152040320000026</v>
      </c>
      <c r="AK33" s="334">
        <f t="shared" si="122"/>
        <v>41.611231199999978</v>
      </c>
      <c r="AL33" s="214">
        <f t="shared" ref="AL33" si="123">AL18*AL34</f>
        <v>34.387809075000035</v>
      </c>
      <c r="AM33" s="214">
        <f t="shared" si="122"/>
        <v>29.524167090000031</v>
      </c>
      <c r="AN33" s="214">
        <f t="shared" si="122"/>
        <v>28.296045360000029</v>
      </c>
      <c r="AO33" s="334">
        <f t="shared" si="122"/>
        <v>46.81263509999998</v>
      </c>
      <c r="AP33" s="214">
        <f t="shared" ref="AP33:AS33" si="124">AP18*AP34</f>
        <v>38.667180871000042</v>
      </c>
      <c r="AQ33" s="214">
        <f t="shared" si="124"/>
        <v>33.198285661200039</v>
      </c>
      <c r="AR33" s="214">
        <f t="shared" si="124"/>
        <v>31.817331004800035</v>
      </c>
      <c r="AS33" s="334">
        <f t="shared" si="124"/>
        <v>52.638207467999983</v>
      </c>
      <c r="AT33" s="214">
        <f t="shared" ref="AT33:AW33" si="125">AT18*AT34</f>
        <v>43.458548935450054</v>
      </c>
      <c r="AU33" s="214">
        <f t="shared" si="125"/>
        <v>37.311986275740047</v>
      </c>
      <c r="AV33" s="214">
        <f t="shared" si="125"/>
        <v>35.759913324960046</v>
      </c>
      <c r="AW33" s="334">
        <f t="shared" si="125"/>
        <v>59.16076795859999</v>
      </c>
      <c r="AY33" s="204"/>
      <c r="AZ33" s="335">
        <f>SUM(B33:E33)</f>
        <v>17.443265900000014</v>
      </c>
      <c r="BA33" s="215">
        <f>SUM(F33:I34)</f>
        <v>196.66251396000001</v>
      </c>
      <c r="BB33" s="215">
        <f>SUM(J33:M33)</f>
        <v>45.945211199999996</v>
      </c>
      <c r="BC33" s="215">
        <f>SUM(N33:Q33)</f>
        <v>95.018765819999999</v>
      </c>
      <c r="BD33" s="215">
        <f>SUM(R33:U33)</f>
        <v>95.502362899999994</v>
      </c>
      <c r="BE33" s="215">
        <f>SUM(V33:Y33)</f>
        <v>112.92612575999998</v>
      </c>
      <c r="BF33" s="215">
        <f>SUM(Z33:AC33)</f>
        <v>110.70128033999995</v>
      </c>
      <c r="BG33" s="215">
        <f>SUM(AD33:AG33)</f>
        <v>117.09663658499997</v>
      </c>
      <c r="BH33" s="215">
        <f>SUM(AH33:AK33)</f>
        <v>116.73741816000005</v>
      </c>
      <c r="BI33" s="215">
        <f t="shared" si="86"/>
        <v>139.02065662500007</v>
      </c>
      <c r="BJ33" s="215">
        <f t="shared" ref="BJ33" si="126">SUM(AP33:AS33)</f>
        <v>156.3210050050001</v>
      </c>
      <c r="BK33" s="215">
        <f>SUM(AT33:AW33)</f>
        <v>175.69121649475014</v>
      </c>
    </row>
    <row r="34" spans="1:63">
      <c r="A34" s="304" t="s">
        <v>746</v>
      </c>
      <c r="B34" s="348">
        <v>0.3</v>
      </c>
      <c r="C34" s="348">
        <v>0.28000000000000003</v>
      </c>
      <c r="D34" s="348">
        <v>0.25</v>
      </c>
      <c r="E34" s="349">
        <v>0.21</v>
      </c>
      <c r="F34" s="348">
        <v>0.21</v>
      </c>
      <c r="G34" s="348">
        <v>0.21</v>
      </c>
      <c r="H34" s="348">
        <v>0.23</v>
      </c>
      <c r="I34" s="349">
        <v>0.19</v>
      </c>
      <c r="J34" s="348">
        <v>0.21</v>
      </c>
      <c r="K34" s="348">
        <f>G34</f>
        <v>0.21</v>
      </c>
      <c r="L34" s="348">
        <v>0.21</v>
      </c>
      <c r="M34" s="349">
        <v>0.21</v>
      </c>
      <c r="N34" s="348">
        <v>0.22</v>
      </c>
      <c r="O34" s="348">
        <v>0.22</v>
      </c>
      <c r="P34" s="348">
        <v>0.22</v>
      </c>
      <c r="Q34" s="349">
        <v>0.22</v>
      </c>
      <c r="R34" s="348">
        <v>0.2</v>
      </c>
      <c r="S34" s="348">
        <v>0.2</v>
      </c>
      <c r="T34" s="348">
        <v>0.2</v>
      </c>
      <c r="U34" s="349">
        <v>0.22</v>
      </c>
      <c r="V34" s="348">
        <v>0.21</v>
      </c>
      <c r="W34" s="348">
        <v>0.21</v>
      </c>
      <c r="X34" s="348">
        <v>0.21</v>
      </c>
      <c r="Y34" s="349">
        <v>0.21</v>
      </c>
      <c r="Z34" s="348">
        <v>0.21</v>
      </c>
      <c r="AA34" s="348">
        <v>0.21</v>
      </c>
      <c r="AB34" s="348">
        <v>0.21</v>
      </c>
      <c r="AC34" s="349">
        <v>0.21</v>
      </c>
      <c r="AD34" s="348">
        <f t="shared" ref="AD34:AL34" si="127">Z34+0.5%</f>
        <v>0.215</v>
      </c>
      <c r="AE34" s="348">
        <f t="shared" si="127"/>
        <v>0.215</v>
      </c>
      <c r="AF34" s="348">
        <f t="shared" si="127"/>
        <v>0.215</v>
      </c>
      <c r="AG34" s="349">
        <f t="shared" si="127"/>
        <v>0.215</v>
      </c>
      <c r="AH34" s="348">
        <f t="shared" si="127"/>
        <v>0.22</v>
      </c>
      <c r="AI34" s="348">
        <f t="shared" si="127"/>
        <v>0.22</v>
      </c>
      <c r="AJ34" s="348">
        <f t="shared" si="127"/>
        <v>0.22</v>
      </c>
      <c r="AK34" s="349">
        <f t="shared" si="127"/>
        <v>0.22</v>
      </c>
      <c r="AL34" s="348">
        <f t="shared" si="127"/>
        <v>0.22500000000000001</v>
      </c>
      <c r="AM34" s="659">
        <f t="shared" ref="AM34:AO34" si="128">AI34+0.5%</f>
        <v>0.22500000000000001</v>
      </c>
      <c r="AN34" s="659">
        <f t="shared" si="128"/>
        <v>0.22500000000000001</v>
      </c>
      <c r="AO34" s="665">
        <f t="shared" si="128"/>
        <v>0.22500000000000001</v>
      </c>
      <c r="AP34" s="659">
        <f t="shared" ref="AP34" si="129">AL34+0.5%</f>
        <v>0.23</v>
      </c>
      <c r="AQ34" s="659">
        <f t="shared" ref="AQ34" si="130">AM34+0.5%</f>
        <v>0.23</v>
      </c>
      <c r="AR34" s="659">
        <f t="shared" ref="AR34" si="131">AN34+0.5%</f>
        <v>0.23</v>
      </c>
      <c r="AS34" s="665">
        <f t="shared" ref="AS34" si="132">AO34+0.5%</f>
        <v>0.23</v>
      </c>
      <c r="AT34" s="659">
        <f t="shared" ref="AT34" si="133">AP34+0.5%</f>
        <v>0.23500000000000001</v>
      </c>
      <c r="AU34" s="659">
        <f t="shared" ref="AU34" si="134">AQ34+0.5%</f>
        <v>0.23500000000000001</v>
      </c>
      <c r="AV34" s="659">
        <f t="shared" ref="AV34" si="135">AR34+0.5%</f>
        <v>0.23500000000000001</v>
      </c>
      <c r="AW34" s="665">
        <f t="shared" ref="AW34" si="136">AS34+0.5%</f>
        <v>0.23500000000000001</v>
      </c>
      <c r="AY34" s="217"/>
      <c r="AZ34" s="292">
        <f t="shared" ref="AZ34:BG34" si="137">AZ33/(AZ18+AZ19)</f>
        <v>0.27905735660321263</v>
      </c>
      <c r="BA34" s="293">
        <f t="shared" si="137"/>
        <v>0.60070706575815191</v>
      </c>
      <c r="BB34" s="293">
        <f t="shared" si="137"/>
        <v>0.20999999999999996</v>
      </c>
      <c r="BC34" s="293">
        <f t="shared" si="137"/>
        <v>0.22000000000000003</v>
      </c>
      <c r="BD34" s="293">
        <f t="shared" si="137"/>
        <v>0.20719889633194238</v>
      </c>
      <c r="BE34" s="293">
        <f t="shared" si="137"/>
        <v>0.21</v>
      </c>
      <c r="BF34" s="293">
        <f t="shared" si="137"/>
        <v>0.21</v>
      </c>
      <c r="BG34" s="293">
        <f t="shared" si="137"/>
        <v>0.21500000000000002</v>
      </c>
      <c r="BH34" s="293">
        <f>BH33/(BH18+BH19)</f>
        <v>0.22000000000000003</v>
      </c>
      <c r="BI34" s="293">
        <f>BI33/(BI18+BI19)</f>
        <v>0.22499999999999998</v>
      </c>
      <c r="BJ34" s="293">
        <f>BJ33/(BJ18+BJ19)</f>
        <v>0.23000000000000004</v>
      </c>
      <c r="BK34" s="293">
        <f>BK33/(BK18+BK19)</f>
        <v>0.23500000000000004</v>
      </c>
    </row>
    <row r="35" spans="1:63">
      <c r="A35" s="1108"/>
      <c r="B35" s="676"/>
      <c r="C35" s="676"/>
      <c r="D35" s="676"/>
      <c r="E35" s="1109"/>
      <c r="F35" s="676"/>
      <c r="G35" s="1110"/>
      <c r="H35" s="1110"/>
      <c r="I35" s="1111"/>
      <c r="J35" s="676"/>
      <c r="K35" s="1110"/>
      <c r="L35" s="1110"/>
      <c r="M35" s="1111"/>
      <c r="N35" s="1110"/>
      <c r="O35" s="1110"/>
      <c r="P35" s="1110"/>
      <c r="Q35" s="1111"/>
      <c r="R35" s="1117"/>
      <c r="S35" s="1112"/>
      <c r="T35" s="1113"/>
      <c r="U35" s="1111"/>
      <c r="V35" s="1110"/>
      <c r="W35" s="350"/>
      <c r="X35" s="350"/>
      <c r="Y35" s="351"/>
      <c r="Z35" s="350"/>
      <c r="AA35" s="350"/>
      <c r="AB35" s="350"/>
      <c r="AC35" s="351"/>
      <c r="AD35" s="1051"/>
      <c r="AE35" s="350"/>
      <c r="AF35" s="350"/>
      <c r="AG35" s="351"/>
      <c r="AH35" s="350"/>
      <c r="AI35" s="350"/>
      <c r="AJ35" s="350"/>
      <c r="AK35" s="1111"/>
      <c r="AL35" s="1110"/>
      <c r="AM35" s="1110"/>
      <c r="AN35" s="1110"/>
      <c r="AO35" s="1111"/>
      <c r="AP35" s="1110"/>
      <c r="AQ35" s="1110"/>
      <c r="AR35" s="1110"/>
      <c r="AS35" s="1111"/>
      <c r="AT35" s="1110"/>
      <c r="AU35" s="1110"/>
      <c r="AV35" s="1110"/>
      <c r="AW35" s="1111"/>
      <c r="AY35" s="204"/>
      <c r="AZ35" s="452"/>
      <c r="BA35" s="676"/>
      <c r="BB35" s="676"/>
      <c r="BC35" s="264"/>
      <c r="BD35" s="264"/>
      <c r="BE35" s="264"/>
      <c r="BF35" s="264"/>
      <c r="BG35" s="264"/>
      <c r="BH35" s="264"/>
      <c r="BI35" s="264"/>
      <c r="BJ35" s="264"/>
      <c r="BK35" s="264"/>
    </row>
    <row r="36" spans="1:63">
      <c r="A36" s="283" t="s">
        <v>744</v>
      </c>
      <c r="B36" s="286"/>
      <c r="C36" s="286"/>
      <c r="D36" s="286"/>
      <c r="E36" s="287"/>
      <c r="F36" s="286"/>
      <c r="G36" s="286"/>
      <c r="H36" s="286"/>
      <c r="I36" s="287"/>
      <c r="J36" s="286"/>
      <c r="K36" s="286"/>
      <c r="L36" s="352"/>
      <c r="M36" s="353"/>
      <c r="N36" s="352"/>
      <c r="O36" s="352"/>
      <c r="P36" s="352"/>
      <c r="Q36" s="353"/>
      <c r="R36" s="1118" t="s">
        <v>421</v>
      </c>
      <c r="S36" s="1119" t="s">
        <v>422</v>
      </c>
      <c r="T36" s="1119" t="s">
        <v>423</v>
      </c>
      <c r="U36" s="1120" t="s">
        <v>424</v>
      </c>
      <c r="V36" s="862" t="s">
        <v>946</v>
      </c>
      <c r="W36" s="867" t="s">
        <v>947</v>
      </c>
      <c r="X36" s="867" t="s">
        <v>948</v>
      </c>
      <c r="Y36" s="867" t="s">
        <v>949</v>
      </c>
      <c r="Z36" s="904" t="s">
        <v>1065</v>
      </c>
      <c r="AA36" s="867" t="s">
        <v>1066</v>
      </c>
      <c r="AB36" s="867" t="s">
        <v>1067</v>
      </c>
      <c r="AC36" s="869" t="s">
        <v>1064</v>
      </c>
      <c r="AD36" s="867" t="s">
        <v>1069</v>
      </c>
      <c r="AE36" s="867" t="s">
        <v>1070</v>
      </c>
      <c r="AF36" s="867" t="s">
        <v>1071</v>
      </c>
      <c r="AG36" s="869" t="s">
        <v>1072</v>
      </c>
      <c r="AH36" s="867" t="s">
        <v>1073</v>
      </c>
      <c r="AI36" s="867" t="s">
        <v>1074</v>
      </c>
      <c r="AJ36" s="867" t="s">
        <v>1075</v>
      </c>
      <c r="AK36" s="1114" t="s">
        <v>1076</v>
      </c>
      <c r="AL36" s="867" t="s">
        <v>1077</v>
      </c>
      <c r="AM36" s="863" t="s">
        <v>1078</v>
      </c>
      <c r="AN36" s="863" t="s">
        <v>1079</v>
      </c>
      <c r="AO36" s="864" t="s">
        <v>1080</v>
      </c>
      <c r="AP36" s="863" t="s">
        <v>1081</v>
      </c>
      <c r="AQ36" s="863" t="s">
        <v>1082</v>
      </c>
      <c r="AR36" s="863" t="s">
        <v>1083</v>
      </c>
      <c r="AS36" s="864" t="s">
        <v>1084</v>
      </c>
      <c r="AT36" s="863" t="s">
        <v>1085</v>
      </c>
      <c r="AU36" s="863" t="s">
        <v>1086</v>
      </c>
      <c r="AV36" s="863" t="s">
        <v>1087</v>
      </c>
      <c r="AW36" s="864" t="s">
        <v>1088</v>
      </c>
      <c r="AX36" s="865"/>
      <c r="AY36" s="866"/>
      <c r="AZ36" s="866">
        <v>2017</v>
      </c>
      <c r="BA36" s="862">
        <v>2018</v>
      </c>
      <c r="BB36" s="862">
        <v>2019</v>
      </c>
      <c r="BC36" s="867">
        <v>2020</v>
      </c>
      <c r="BD36" s="867">
        <v>2021</v>
      </c>
      <c r="BE36" s="867">
        <v>2022</v>
      </c>
      <c r="BF36" s="867">
        <v>2023</v>
      </c>
      <c r="BG36" s="867">
        <v>2024</v>
      </c>
      <c r="BH36" s="871">
        <v>2025</v>
      </c>
      <c r="BI36" s="871">
        <v>2026</v>
      </c>
      <c r="BJ36" s="871">
        <v>2027</v>
      </c>
      <c r="BK36" s="871">
        <v>2028</v>
      </c>
    </row>
    <row r="37" spans="1:63">
      <c r="A37" s="290" t="s">
        <v>1204</v>
      </c>
      <c r="B37" s="221"/>
      <c r="C37" s="221"/>
      <c r="D37" s="221"/>
      <c r="E37" s="354"/>
      <c r="F37" s="355"/>
      <c r="G37" s="355"/>
      <c r="H37" s="355"/>
      <c r="I37" s="356"/>
      <c r="J37" s="355"/>
      <c r="K37" s="355"/>
      <c r="L37" s="274"/>
      <c r="M37" s="356"/>
      <c r="N37" s="274"/>
      <c r="O37" s="539"/>
      <c r="P37" s="274"/>
      <c r="Q37" s="345"/>
      <c r="R37" s="788">
        <v>5.0000000000000001E-3</v>
      </c>
      <c r="S37" s="788">
        <f>R37</f>
        <v>5.0000000000000001E-3</v>
      </c>
      <c r="T37" s="788">
        <v>1.4999999999999999E-2</v>
      </c>
      <c r="U37" s="856">
        <v>0.02</v>
      </c>
      <c r="V37" s="788">
        <v>0.04</v>
      </c>
      <c r="W37" s="788">
        <f t="shared" ref="W37:AI37" si="138">V37</f>
        <v>0.04</v>
      </c>
      <c r="X37" s="788">
        <f t="shared" si="138"/>
        <v>0.04</v>
      </c>
      <c r="Y37" s="788">
        <v>0.04</v>
      </c>
      <c r="Z37" s="1122">
        <v>4.1000000000000002E-2</v>
      </c>
      <c r="AA37" s="788">
        <f t="shared" si="138"/>
        <v>4.1000000000000002E-2</v>
      </c>
      <c r="AB37" s="788">
        <v>4.4999999999999998E-2</v>
      </c>
      <c r="AC37" s="856">
        <v>0.04</v>
      </c>
      <c r="AD37" s="788">
        <f t="shared" si="138"/>
        <v>0.04</v>
      </c>
      <c r="AE37" s="788">
        <f t="shared" si="138"/>
        <v>0.04</v>
      </c>
      <c r="AF37" s="788">
        <v>6.5000000000000002E-2</v>
      </c>
      <c r="AG37" s="856">
        <v>5.8000000000000003E-2</v>
      </c>
      <c r="AH37" s="788">
        <f t="shared" si="138"/>
        <v>5.8000000000000003E-2</v>
      </c>
      <c r="AI37" s="788">
        <f t="shared" si="138"/>
        <v>5.8000000000000003E-2</v>
      </c>
      <c r="AJ37" s="788">
        <v>0.06</v>
      </c>
      <c r="AK37" s="856">
        <v>6.5000000000000002E-2</v>
      </c>
      <c r="AL37" s="788">
        <v>7.2744637246508814E-2</v>
      </c>
      <c r="AM37" s="274">
        <f t="shared" ref="AM37:AW37" si="139">AM48/AM$57</f>
        <v>6.8930936172660787E-2</v>
      </c>
      <c r="AN37" s="274">
        <f t="shared" si="139"/>
        <v>8.6436759940388047E-2</v>
      </c>
      <c r="AO37" s="345">
        <f t="shared" si="139"/>
        <v>9.2333829293677547E-2</v>
      </c>
      <c r="AP37" s="274">
        <f t="shared" si="139"/>
        <v>0.11475182096981888</v>
      </c>
      <c r="AQ37" s="274">
        <f t="shared" si="139"/>
        <v>0.11713047201387149</v>
      </c>
      <c r="AR37" s="274">
        <f t="shared" si="139"/>
        <v>0.12054024454001942</v>
      </c>
      <c r="AS37" s="345">
        <f t="shared" si="139"/>
        <v>0.12840174681854952</v>
      </c>
      <c r="AT37" s="274">
        <f t="shared" si="139"/>
        <v>0.14465943475087986</v>
      </c>
      <c r="AU37" s="274">
        <f t="shared" si="139"/>
        <v>0.15386341552671151</v>
      </c>
      <c r="AV37" s="274">
        <f t="shared" si="139"/>
        <v>0.16468652894556882</v>
      </c>
      <c r="AW37" s="345">
        <f t="shared" si="139"/>
        <v>0.17605128867838354</v>
      </c>
      <c r="AY37" s="204"/>
      <c r="AZ37" s="295"/>
      <c r="BA37" s="264"/>
      <c r="BB37" s="274"/>
      <c r="BC37" s="274">
        <f t="shared" ref="BC37:BG38" si="140">BC48/BC$57</f>
        <v>0</v>
      </c>
      <c r="BD37" s="274">
        <f t="shared" si="140"/>
        <v>1.1925061525217922E-2</v>
      </c>
      <c r="BE37" s="274">
        <f t="shared" si="140"/>
        <v>0.04</v>
      </c>
      <c r="BF37" s="274">
        <f t="shared" si="140"/>
        <v>4.1750074991659468E-2</v>
      </c>
      <c r="BG37" s="274">
        <f t="shared" si="140"/>
        <v>5.1755231737433322E-2</v>
      </c>
      <c r="BH37" s="274">
        <f t="shared" ref="BH37:BI45" si="141">BH48/BH$57</f>
        <v>6.0345561205980142E-2</v>
      </c>
      <c r="BI37" s="274">
        <f t="shared" si="141"/>
        <v>8.0686326798915992E-2</v>
      </c>
      <c r="BJ37" s="274">
        <f t="shared" ref="BJ37:BK37" si="142">BJ48/BJ$57</f>
        <v>0.12059228404924968</v>
      </c>
      <c r="BK37" s="274">
        <f t="shared" si="142"/>
        <v>0.16056794784570166</v>
      </c>
    </row>
    <row r="38" spans="1:63">
      <c r="A38" s="290" t="s">
        <v>935</v>
      </c>
      <c r="B38" s="221"/>
      <c r="C38" s="221"/>
      <c r="D38" s="221"/>
      <c r="E38" s="354"/>
      <c r="F38" s="355"/>
      <c r="G38" s="355"/>
      <c r="H38" s="355"/>
      <c r="I38" s="356"/>
      <c r="J38" s="355"/>
      <c r="K38" s="355"/>
      <c r="L38" s="274"/>
      <c r="M38" s="303">
        <v>0.01</v>
      </c>
      <c r="N38" s="428">
        <v>1.2999999999999999E-2</v>
      </c>
      <c r="O38" s="788">
        <v>2.5999999999999995E-2</v>
      </c>
      <c r="P38" s="788">
        <v>0.08</v>
      </c>
      <c r="Q38" s="856">
        <v>1.4999999999999999E-2</v>
      </c>
      <c r="R38" s="788">
        <v>3.7999999999999999E-2</v>
      </c>
      <c r="S38" s="788">
        <v>0.115</v>
      </c>
      <c r="T38" s="788">
        <v>0.13500000000000001</v>
      </c>
      <c r="U38" s="856">
        <v>0.13</v>
      </c>
      <c r="V38" s="788">
        <v>0.13</v>
      </c>
      <c r="W38" s="788">
        <v>0.13</v>
      </c>
      <c r="X38" s="788">
        <v>0.13</v>
      </c>
      <c r="Y38" s="856">
        <v>0.13</v>
      </c>
      <c r="Z38" s="788">
        <v>0.15</v>
      </c>
      <c r="AA38" s="788">
        <v>0.13</v>
      </c>
      <c r="AB38" s="788">
        <v>0.11799999999999999</v>
      </c>
      <c r="AC38" s="856">
        <v>0.11600000000000001</v>
      </c>
      <c r="AD38" s="788">
        <v>0.115</v>
      </c>
      <c r="AE38" s="788">
        <f>AD38-2%</f>
        <v>9.5000000000000001E-2</v>
      </c>
      <c r="AF38" s="788">
        <v>9.8000000000000004E-2</v>
      </c>
      <c r="AG38" s="856">
        <v>9.6626698348958318E-2</v>
      </c>
      <c r="AH38" s="788">
        <v>8.5000000000000006E-2</v>
      </c>
      <c r="AI38" s="788">
        <v>8.2418984184623997E-2</v>
      </c>
      <c r="AJ38" s="788">
        <v>8.1310126012509351E-2</v>
      </c>
      <c r="AK38" s="856">
        <v>7.0000000000000007E-2</v>
      </c>
      <c r="AL38" s="788">
        <v>6.8442477072425678E-2</v>
      </c>
      <c r="AM38" s="274">
        <f t="shared" ref="AM38:AN45" si="143">AM49/AM$57</f>
        <v>6.5569452837503608E-2</v>
      </c>
      <c r="AN38" s="274">
        <f t="shared" si="143"/>
        <v>6.2394467215352384E-2</v>
      </c>
      <c r="AO38" s="345">
        <f t="shared" ref="AO38:AR45" si="144">AO49/AO$57</f>
        <v>6.1137840498343872E-2</v>
      </c>
      <c r="AP38" s="274">
        <f t="shared" si="144"/>
        <v>5.621567854230225E-2</v>
      </c>
      <c r="AQ38" s="274">
        <f t="shared" si="144"/>
        <v>5.2780369670808666E-2</v>
      </c>
      <c r="AR38" s="274">
        <f t="shared" si="144"/>
        <v>5.2204996327602442E-2</v>
      </c>
      <c r="AS38" s="345">
        <f t="shared" ref="AS38:AV45" si="145">AS49/AS$57</f>
        <v>5.1642034504248868E-2</v>
      </c>
      <c r="AT38" s="274">
        <f t="shared" si="145"/>
        <v>4.9017642566687662E-2</v>
      </c>
      <c r="AU38" s="274">
        <f t="shared" si="145"/>
        <v>4.4302688066448985E-2</v>
      </c>
      <c r="AV38" s="274">
        <f t="shared" si="145"/>
        <v>4.7829892709799149E-2</v>
      </c>
      <c r="AW38" s="345">
        <f t="shared" ref="AW38:AW45" si="146">AW49/AW$57</f>
        <v>4.6271755155941549E-2</v>
      </c>
      <c r="AY38" s="204"/>
      <c r="AZ38" s="295">
        <f>AZ49/AZ$57</f>
        <v>0</v>
      </c>
      <c r="BA38" s="264">
        <f>BA49/BA$57</f>
        <v>0</v>
      </c>
      <c r="BB38" s="264">
        <f>BB49/BB$57</f>
        <v>2.6543202428782405E-3</v>
      </c>
      <c r="BC38" s="875">
        <f>BC49/BC$57</f>
        <v>3.451752476234432E-2</v>
      </c>
      <c r="BD38" s="875">
        <f>BD49/BD$57</f>
        <v>0.10903656244735094</v>
      </c>
      <c r="BE38" s="875">
        <f t="shared" si="140"/>
        <v>0.13</v>
      </c>
      <c r="BF38" s="875">
        <f t="shared" si="140"/>
        <v>0.12782397908986726</v>
      </c>
      <c r="BG38" s="875">
        <f t="shared" si="140"/>
        <v>0.10061412987576446</v>
      </c>
      <c r="BH38" s="875">
        <f t="shared" si="141"/>
        <v>7.9514202001247133E-2</v>
      </c>
      <c r="BI38" s="875">
        <f t="shared" si="141"/>
        <v>6.4152104775547045E-2</v>
      </c>
      <c r="BJ38" s="875">
        <f t="shared" ref="BJ38:BK38" si="147">BJ49/BJ$57</f>
        <v>5.3079618082992185E-2</v>
      </c>
      <c r="BK38" s="875">
        <f t="shared" si="147"/>
        <v>4.6836468792729222E-2</v>
      </c>
    </row>
    <row r="39" spans="1:63">
      <c r="A39" s="290" t="s">
        <v>712</v>
      </c>
      <c r="B39" s="302">
        <v>0.05</v>
      </c>
      <c r="C39" s="302">
        <v>6.6000000000000003E-2</v>
      </c>
      <c r="D39" s="302">
        <v>8.7999999999999995E-2</v>
      </c>
      <c r="E39" s="303">
        <v>0.113</v>
      </c>
      <c r="F39" s="302">
        <v>3.2000000000000001E-2</v>
      </c>
      <c r="G39" s="302">
        <v>8.5999999999999993E-2</v>
      </c>
      <c r="H39" s="302">
        <v>7.0999999999999994E-2</v>
      </c>
      <c r="I39" s="303">
        <v>5.3999999999999999E-2</v>
      </c>
      <c r="J39" s="302">
        <v>0.03</v>
      </c>
      <c r="K39" s="302">
        <v>3.7999999999999999E-2</v>
      </c>
      <c r="L39" s="302">
        <v>4.2999999999999997E-2</v>
      </c>
      <c r="M39" s="303">
        <v>0.05</v>
      </c>
      <c r="N39" s="428">
        <v>6.5000000000000002E-2</v>
      </c>
      <c r="O39" s="788">
        <v>6.5000000000000002E-2</v>
      </c>
      <c r="P39" s="274">
        <f t="shared" ref="P39:Q39" si="148">1-SUM(P38,P40:P45)</f>
        <v>6.5999999999999837E-2</v>
      </c>
      <c r="Q39" s="345">
        <f t="shared" si="148"/>
        <v>3.499999999999992E-2</v>
      </c>
      <c r="R39" s="274">
        <f>1-SUM(R37:R38,R40:R45)</f>
        <v>2.6000000000000023E-2</v>
      </c>
      <c r="S39" s="274">
        <f t="shared" ref="S39:AL39" si="149">1-SUM(S37:S38,S40:S45)</f>
        <v>2.4999999999999911E-2</v>
      </c>
      <c r="T39" s="274">
        <f t="shared" si="149"/>
        <v>3.1999999999999806E-2</v>
      </c>
      <c r="U39" s="345">
        <f t="shared" si="149"/>
        <v>3.5999999999999921E-2</v>
      </c>
      <c r="V39" s="274">
        <f t="shared" si="149"/>
        <v>7.4999999999999956E-2</v>
      </c>
      <c r="W39" s="274">
        <f t="shared" si="149"/>
        <v>7.5999999999999845E-2</v>
      </c>
      <c r="X39" s="274">
        <f t="shared" si="149"/>
        <v>8.0253465768369781E-2</v>
      </c>
      <c r="Y39" s="345">
        <f t="shared" si="149"/>
        <v>4.9999999999999822E-2</v>
      </c>
      <c r="Z39" s="274">
        <f t="shared" si="149"/>
        <v>7.3999999999999844E-2</v>
      </c>
      <c r="AA39" s="274">
        <f t="shared" si="149"/>
        <v>8.3999999999999853E-2</v>
      </c>
      <c r="AB39" s="274">
        <f t="shared" si="149"/>
        <v>7.5744537481700291E-2</v>
      </c>
      <c r="AC39" s="345">
        <f t="shared" si="149"/>
        <v>8.9481960650353076E-2</v>
      </c>
      <c r="AD39" s="274">
        <f t="shared" si="149"/>
        <v>8.747714145260499E-2</v>
      </c>
      <c r="AE39" s="274">
        <f t="shared" si="149"/>
        <v>0.10481168989702039</v>
      </c>
      <c r="AF39" s="274">
        <f t="shared" si="149"/>
        <v>9.9391270338674786E-2</v>
      </c>
      <c r="AG39" s="345">
        <f t="shared" si="149"/>
        <v>9.1373301651041516E-2</v>
      </c>
      <c r="AH39" s="274">
        <f t="shared" si="149"/>
        <v>8.6213552562085072E-2</v>
      </c>
      <c r="AI39" s="274">
        <f t="shared" si="149"/>
        <v>0.10106059760062824</v>
      </c>
      <c r="AJ39" s="274">
        <f t="shared" si="149"/>
        <v>0.12148008783679443</v>
      </c>
      <c r="AK39" s="345">
        <f t="shared" si="149"/>
        <v>0.10361467911732114</v>
      </c>
      <c r="AL39" s="274">
        <f t="shared" si="149"/>
        <v>0.10455858168454912</v>
      </c>
      <c r="AM39" s="274">
        <f t="shared" si="143"/>
        <v>0.11498222480074814</v>
      </c>
      <c r="AN39" s="274">
        <f t="shared" si="143"/>
        <v>0.10941458781817248</v>
      </c>
      <c r="AO39" s="345">
        <f t="shared" si="144"/>
        <v>0.10608243768294134</v>
      </c>
      <c r="AP39" s="274">
        <f t="shared" si="144"/>
        <v>9.2780704611788598E-2</v>
      </c>
      <c r="AQ39" s="274">
        <f t="shared" si="144"/>
        <v>9.7440286290459088E-2</v>
      </c>
      <c r="AR39" s="274">
        <f t="shared" si="144"/>
        <v>0.102466407455713</v>
      </c>
      <c r="AS39" s="345">
        <f t="shared" si="145"/>
        <v>9.9301465592453342E-2</v>
      </c>
      <c r="AT39" s="274">
        <f t="shared" si="145"/>
        <v>8.9018680324258345E-2</v>
      </c>
      <c r="AU39" s="274">
        <f t="shared" si="145"/>
        <v>9.421939140476028E-2</v>
      </c>
      <c r="AV39" s="274">
        <f t="shared" si="145"/>
        <v>9.1548689726946464E-2</v>
      </c>
      <c r="AW39" s="345">
        <f t="shared" si="146"/>
        <v>8.7582269886211428E-2</v>
      </c>
      <c r="AY39" s="204"/>
      <c r="AZ39" s="295">
        <f t="shared" ref="AZ39:BD45" si="150">AZ50/AZ$57</f>
        <v>7.9571894607988108E-2</v>
      </c>
      <c r="BA39" s="264">
        <f t="shared" si="150"/>
        <v>6.192642888432473E-2</v>
      </c>
      <c r="BB39" s="264">
        <f t="shared" si="150"/>
        <v>4.0748600774415208E-2</v>
      </c>
      <c r="BC39" s="264">
        <f t="shared" si="150"/>
        <v>5.7727983556070173E-2</v>
      </c>
      <c r="BD39" s="264">
        <f t="shared" si="150"/>
        <v>3.0191489005808876E-2</v>
      </c>
      <c r="BE39" s="264">
        <f t="shared" ref="BE39:BG45" si="151">BE50/BE$57</f>
        <v>7.1159658115882138E-2</v>
      </c>
      <c r="BF39" s="264">
        <f t="shared" si="151"/>
        <v>8.1047422831410684E-2</v>
      </c>
      <c r="BG39" s="264">
        <f t="shared" si="151"/>
        <v>9.5892572302266527E-2</v>
      </c>
      <c r="BH39" s="264">
        <f t="shared" si="141"/>
        <v>0.10338110169049625</v>
      </c>
      <c r="BI39" s="264">
        <f t="shared" si="141"/>
        <v>0.10887363459564763</v>
      </c>
      <c r="BJ39" s="264">
        <f t="shared" ref="BJ39:BK39" si="152">BJ50/BJ$57</f>
        <v>9.8256850490062081E-2</v>
      </c>
      <c r="BK39" s="264">
        <f t="shared" si="152"/>
        <v>9.053786705106745E-2</v>
      </c>
    </row>
    <row r="40" spans="1:63">
      <c r="A40" s="290" t="s">
        <v>711</v>
      </c>
      <c r="B40" s="302">
        <v>0.2</v>
      </c>
      <c r="C40" s="302">
        <v>0.191</v>
      </c>
      <c r="D40" s="302">
        <v>0.20599999999999999</v>
      </c>
      <c r="E40" s="303">
        <v>0.23599999999999999</v>
      </c>
      <c r="F40" s="302">
        <v>0.217</v>
      </c>
      <c r="G40" s="302">
        <v>0.17499999999999999</v>
      </c>
      <c r="H40" s="302">
        <v>0.187</v>
      </c>
      <c r="I40" s="303">
        <v>0.20300000000000001</v>
      </c>
      <c r="J40" s="302">
        <v>0.153</v>
      </c>
      <c r="K40" s="302">
        <v>0.192</v>
      </c>
      <c r="L40" s="302">
        <v>0.185</v>
      </c>
      <c r="M40" s="303">
        <v>0.16200000000000001</v>
      </c>
      <c r="N40" s="428">
        <v>0.14899999999999999</v>
      </c>
      <c r="O40" s="428">
        <v>0.154</v>
      </c>
      <c r="P40" s="428">
        <v>0.17199999999999999</v>
      </c>
      <c r="Q40" s="429">
        <v>0.14799999999999999</v>
      </c>
      <c r="R40" s="428">
        <v>0.16300000000000001</v>
      </c>
      <c r="S40" s="428">
        <v>0.14899999999999999</v>
      </c>
      <c r="T40" s="428">
        <v>0.13900000000000001</v>
      </c>
      <c r="U40" s="429">
        <v>0.153</v>
      </c>
      <c r="V40" s="788">
        <v>0.15</v>
      </c>
      <c r="W40" s="788">
        <v>0.15</v>
      </c>
      <c r="X40" s="788">
        <v>0.15</v>
      </c>
      <c r="Y40" s="856">
        <v>0.18</v>
      </c>
      <c r="Z40" s="788">
        <v>0.2</v>
      </c>
      <c r="AA40" s="788">
        <v>0.2</v>
      </c>
      <c r="AB40" s="788">
        <v>0.2</v>
      </c>
      <c r="AC40" s="856">
        <v>0.2</v>
      </c>
      <c r="AD40" s="788">
        <v>0.19</v>
      </c>
      <c r="AE40" s="788">
        <f>AD40-3.5%</f>
        <v>0.155</v>
      </c>
      <c r="AF40" s="788">
        <v>0.22800000000000001</v>
      </c>
      <c r="AG40" s="856">
        <v>0.28000000000000003</v>
      </c>
      <c r="AH40" s="788">
        <v>0.28999999999999998</v>
      </c>
      <c r="AI40" s="788">
        <v>0.28999999999999998</v>
      </c>
      <c r="AJ40" s="788">
        <v>0.26</v>
      </c>
      <c r="AK40" s="856">
        <v>0.26</v>
      </c>
      <c r="AL40" s="788">
        <v>0.27271583032393226</v>
      </c>
      <c r="AM40" s="274">
        <f t="shared" si="143"/>
        <v>0.23797919554477975</v>
      </c>
      <c r="AN40" s="274">
        <f t="shared" si="143"/>
        <v>0.26854901413938553</v>
      </c>
      <c r="AO40" s="345">
        <f t="shared" si="144"/>
        <v>0.26053675802811355</v>
      </c>
      <c r="AP40" s="274">
        <f t="shared" si="144"/>
        <v>0.27108873188503829</v>
      </c>
      <c r="AQ40" s="274">
        <f t="shared" si="144"/>
        <v>0.26802228543546147</v>
      </c>
      <c r="AR40" s="274">
        <f t="shared" si="144"/>
        <v>0.28409912842517476</v>
      </c>
      <c r="AS40" s="345">
        <f t="shared" si="145"/>
        <v>0.27592065304137847</v>
      </c>
      <c r="AT40" s="274">
        <f t="shared" si="145"/>
        <v>0.28359869206131</v>
      </c>
      <c r="AU40" s="274">
        <f t="shared" si="145"/>
        <v>0.28104416071122473</v>
      </c>
      <c r="AV40" s="274">
        <f t="shared" si="145"/>
        <v>0.28780655328973587</v>
      </c>
      <c r="AW40" s="345">
        <f t="shared" si="146"/>
        <v>0.28417579364508982</v>
      </c>
      <c r="AY40" s="204"/>
      <c r="AZ40" s="295">
        <f t="shared" si="150"/>
        <v>0.20863974196392282</v>
      </c>
      <c r="BA40" s="264">
        <f t="shared" si="150"/>
        <v>0.19456516818523939</v>
      </c>
      <c r="BB40" s="264">
        <f t="shared" si="150"/>
        <v>0.17372923096146906</v>
      </c>
      <c r="BC40" s="264">
        <f t="shared" si="150"/>
        <v>0.15609473254297074</v>
      </c>
      <c r="BD40" s="264">
        <f t="shared" si="150"/>
        <v>0.15029628031618514</v>
      </c>
      <c r="BE40" s="264">
        <f t="shared" si="151"/>
        <v>0.15657843402627433</v>
      </c>
      <c r="BF40" s="264">
        <f t="shared" si="151"/>
        <v>0.2</v>
      </c>
      <c r="BG40" s="264">
        <f t="shared" si="151"/>
        <v>0.21669517556186849</v>
      </c>
      <c r="BH40" s="264">
        <f t="shared" si="141"/>
        <v>0.27442369697034008</v>
      </c>
      <c r="BI40" s="264">
        <f t="shared" si="141"/>
        <v>0.25959612656163461</v>
      </c>
      <c r="BJ40" s="264">
        <f t="shared" ref="BJ40:BK40" si="153">BJ51/BJ$57</f>
        <v>0.27516268880125705</v>
      </c>
      <c r="BK40" s="264">
        <f t="shared" si="153"/>
        <v>0.28424111133240526</v>
      </c>
    </row>
    <row r="41" spans="1:63">
      <c r="A41" s="290" t="s">
        <v>710</v>
      </c>
      <c r="B41" s="302">
        <v>0.22</v>
      </c>
      <c r="C41" s="302">
        <v>0.23599999999999999</v>
      </c>
      <c r="D41" s="302">
        <v>0.20200000000000001</v>
      </c>
      <c r="E41" s="303">
        <v>0.16</v>
      </c>
      <c r="F41" s="302">
        <v>0.20899999999999999</v>
      </c>
      <c r="G41" s="302">
        <v>0.24199999999999999</v>
      </c>
      <c r="H41" s="302">
        <v>0.21</v>
      </c>
      <c r="I41" s="303">
        <v>0.23</v>
      </c>
      <c r="J41" s="302">
        <v>0.218</v>
      </c>
      <c r="K41" s="302">
        <v>0.26200000000000001</v>
      </c>
      <c r="L41" s="302">
        <v>0.29299999999999998</v>
      </c>
      <c r="M41" s="303">
        <v>0.31</v>
      </c>
      <c r="N41" s="428">
        <v>0.32600000000000001</v>
      </c>
      <c r="O41" s="428">
        <v>0.3</v>
      </c>
      <c r="P41" s="428">
        <v>0.25800000000000001</v>
      </c>
      <c r="Q41" s="429">
        <v>0.34</v>
      </c>
      <c r="R41" s="428">
        <v>0.32800000000000001</v>
      </c>
      <c r="S41" s="428">
        <v>0.29899999999999999</v>
      </c>
      <c r="T41" s="428">
        <v>0.28499999999999998</v>
      </c>
      <c r="U41" s="429">
        <v>0.26800000000000002</v>
      </c>
      <c r="V41" s="788">
        <v>0.32</v>
      </c>
      <c r="W41" s="788">
        <v>0.32</v>
      </c>
      <c r="X41" s="788">
        <v>0.315</v>
      </c>
      <c r="Y41" s="856">
        <v>0.315</v>
      </c>
      <c r="Z41" s="788">
        <v>0.28999999999999998</v>
      </c>
      <c r="AA41" s="788">
        <v>0.3</v>
      </c>
      <c r="AB41" s="788">
        <v>0.31011457491890432</v>
      </c>
      <c r="AC41" s="856">
        <v>0.28999999999999998</v>
      </c>
      <c r="AD41" s="788">
        <v>0.28770310053640891</v>
      </c>
      <c r="AE41" s="788">
        <f>AD41-4.8%</f>
        <v>0.23970310053640892</v>
      </c>
      <c r="AF41" s="788">
        <v>0.27016134989696827</v>
      </c>
      <c r="AG41" s="856">
        <v>0.28000000000000003</v>
      </c>
      <c r="AH41" s="788">
        <v>0.26876758418056973</v>
      </c>
      <c r="AI41" s="788">
        <v>0.26430551377419059</v>
      </c>
      <c r="AJ41" s="788">
        <v>0.276602762187523</v>
      </c>
      <c r="AK41" s="856">
        <v>0.28999999999999998</v>
      </c>
      <c r="AL41" s="788">
        <v>0.28286793598799342</v>
      </c>
      <c r="AM41" s="274">
        <f t="shared" si="143"/>
        <v>0.28334744135101647</v>
      </c>
      <c r="AN41" s="274">
        <f t="shared" si="143"/>
        <v>0.2743644099872426</v>
      </c>
      <c r="AO41" s="345">
        <f t="shared" si="144"/>
        <v>0.28524364362880894</v>
      </c>
      <c r="AP41" s="274">
        <f t="shared" si="144"/>
        <v>0.26657701575136633</v>
      </c>
      <c r="AQ41" s="274">
        <f t="shared" si="144"/>
        <v>0.27817602138509645</v>
      </c>
      <c r="AR41" s="274">
        <f t="shared" si="144"/>
        <v>0.25853445139830444</v>
      </c>
      <c r="AS41" s="345">
        <f t="shared" si="145"/>
        <v>0.26647046527676305</v>
      </c>
      <c r="AT41" s="274">
        <f t="shared" si="145"/>
        <v>0.26570353347460079</v>
      </c>
      <c r="AU41" s="274">
        <f t="shared" si="145"/>
        <v>0.26552546914143826</v>
      </c>
      <c r="AV41" s="274">
        <f t="shared" si="145"/>
        <v>0.2524329325762138</v>
      </c>
      <c r="AW41" s="345">
        <f t="shared" si="146"/>
        <v>0.25541577601691295</v>
      </c>
      <c r="AY41" s="204"/>
      <c r="AZ41" s="295">
        <f t="shared" si="150"/>
        <v>0.20384567894421968</v>
      </c>
      <c r="BA41" s="264">
        <f t="shared" si="150"/>
        <v>0.2230709087946304</v>
      </c>
      <c r="BB41" s="264">
        <f t="shared" si="150"/>
        <v>0.27325197795198847</v>
      </c>
      <c r="BC41" s="264">
        <f t="shared" si="150"/>
        <v>0.30504548991182939</v>
      </c>
      <c r="BD41" s="264">
        <f t="shared" si="150"/>
        <v>0.29232522787733745</v>
      </c>
      <c r="BE41" s="264">
        <f t="shared" si="151"/>
        <v>0.31759417135950069</v>
      </c>
      <c r="BF41" s="264">
        <f t="shared" si="151"/>
        <v>0.29756205394731666</v>
      </c>
      <c r="BG41" s="264">
        <f t="shared" si="151"/>
        <v>0.2694722679160082</v>
      </c>
      <c r="BH41" s="264">
        <f t="shared" si="141"/>
        <v>0.27527801430615423</v>
      </c>
      <c r="BI41" s="264">
        <f t="shared" si="141"/>
        <v>0.28138219742466042</v>
      </c>
      <c r="BJ41" s="264">
        <f t="shared" ref="BJ41:BK41" si="154">BJ52/BJ$57</f>
        <v>0.26714418233788267</v>
      </c>
      <c r="BK41" s="264">
        <f t="shared" si="154"/>
        <v>0.25941865493026978</v>
      </c>
    </row>
    <row r="42" spans="1:63">
      <c r="A42" s="290" t="s">
        <v>709</v>
      </c>
      <c r="B42" s="302">
        <v>1.2999999999999999E-2</v>
      </c>
      <c r="C42" s="302">
        <v>1.4E-2</v>
      </c>
      <c r="D42" s="302">
        <v>1.4E-2</v>
      </c>
      <c r="E42" s="303">
        <v>1.7999999999999999E-2</v>
      </c>
      <c r="F42" s="302">
        <v>3.7999999999999999E-2</v>
      </c>
      <c r="G42" s="302">
        <v>1.2E-2</v>
      </c>
      <c r="H42" s="302">
        <v>1.4E-2</v>
      </c>
      <c r="I42" s="303">
        <v>1.7000000000000001E-2</v>
      </c>
      <c r="J42" s="302">
        <v>2.1999999999999999E-2</v>
      </c>
      <c r="K42" s="302">
        <v>1.7000000000000001E-2</v>
      </c>
      <c r="L42" s="302">
        <v>1.2999999999999999E-2</v>
      </c>
      <c r="M42" s="303">
        <v>1.4999999999999999E-2</v>
      </c>
      <c r="N42" s="428">
        <v>1.6E-2</v>
      </c>
      <c r="O42" s="428">
        <v>2.8000000000000001E-2</v>
      </c>
      <c r="P42" s="428">
        <v>3.4000000000000002E-2</v>
      </c>
      <c r="Q42" s="429">
        <v>3.5000000000000003E-2</v>
      </c>
      <c r="R42" s="428">
        <v>4.1000000000000002E-2</v>
      </c>
      <c r="S42" s="428">
        <v>3.2000000000000001E-2</v>
      </c>
      <c r="T42" s="428">
        <v>3.1E-2</v>
      </c>
      <c r="U42" s="429">
        <v>2.5000000000000001E-2</v>
      </c>
      <c r="V42" s="788">
        <v>0.03</v>
      </c>
      <c r="W42" s="788">
        <v>2.9000000000000001E-2</v>
      </c>
      <c r="X42" s="788">
        <v>2.9746534231630133E-2</v>
      </c>
      <c r="Y42" s="856">
        <v>0.03</v>
      </c>
      <c r="Z42" s="788">
        <v>3.5000000000000003E-2</v>
      </c>
      <c r="AA42" s="788">
        <v>3.5000000000000003E-2</v>
      </c>
      <c r="AB42" s="788">
        <v>3.2000000000000001E-2</v>
      </c>
      <c r="AC42" s="856">
        <v>3.0407613736406165E-2</v>
      </c>
      <c r="AD42" s="788">
        <v>2.9079944254732072E-2</v>
      </c>
      <c r="AE42" s="788">
        <f>AD42-1%</f>
        <v>1.907994425473207E-2</v>
      </c>
      <c r="AF42" s="788">
        <v>2.2945990359729152E-2</v>
      </c>
      <c r="AG42" s="856">
        <v>2.4E-2</v>
      </c>
      <c r="AH42" s="788">
        <v>2.1063730549195494E-2</v>
      </c>
      <c r="AI42" s="788">
        <v>1.9365669613360715E-2</v>
      </c>
      <c r="AJ42" s="788">
        <v>1.9023534833722985E-2</v>
      </c>
      <c r="AK42" s="856">
        <v>1.9310910172920904E-2</v>
      </c>
      <c r="AL42" s="788">
        <v>1.8144474064904974E-2</v>
      </c>
      <c r="AM42" s="274">
        <f t="shared" si="143"/>
        <v>1.7199842617112323E-2</v>
      </c>
      <c r="AN42" s="274">
        <f t="shared" si="143"/>
        <v>1.6366996670571787E-2</v>
      </c>
      <c r="AO42" s="345">
        <f t="shared" si="144"/>
        <v>1.5866754530590239E-2</v>
      </c>
      <c r="AP42" s="274">
        <f t="shared" si="144"/>
        <v>1.4903083070363924E-2</v>
      </c>
      <c r="AQ42" s="274">
        <f t="shared" si="144"/>
        <v>1.3992363946948888E-2</v>
      </c>
      <c r="AR42" s="274">
        <f t="shared" si="144"/>
        <v>1.3265477875028905E-2</v>
      </c>
      <c r="AS42" s="345">
        <f t="shared" si="145"/>
        <v>1.284972747313033E-2</v>
      </c>
      <c r="AT42" s="274">
        <f t="shared" si="145"/>
        <v>1.2738794690530238E-2</v>
      </c>
      <c r="AU42" s="274">
        <f t="shared" si="145"/>
        <v>1.2461631280407285E-2</v>
      </c>
      <c r="AV42" s="274">
        <f t="shared" si="145"/>
        <v>1.168431287822558E-2</v>
      </c>
      <c r="AW42" s="345">
        <f t="shared" si="146"/>
        <v>1.1183425252103569E-2</v>
      </c>
      <c r="AY42" s="204"/>
      <c r="AZ42" s="295">
        <f t="shared" si="150"/>
        <v>1.4779933213640154E-2</v>
      </c>
      <c r="BA42" s="264">
        <f t="shared" si="150"/>
        <v>1.9689136742389982E-2</v>
      </c>
      <c r="BB42" s="264">
        <f t="shared" si="150"/>
        <v>1.6513888117102103E-2</v>
      </c>
      <c r="BC42" s="264">
        <f t="shared" si="150"/>
        <v>2.8508328958509705E-2</v>
      </c>
      <c r="BD42" s="264">
        <f t="shared" si="150"/>
        <v>3.1564591701541626E-2</v>
      </c>
      <c r="BE42" s="264">
        <f t="shared" si="151"/>
        <v>2.9667736498342805E-2</v>
      </c>
      <c r="BF42" s="264">
        <f t="shared" si="151"/>
        <v>3.2999933225937868E-2</v>
      </c>
      <c r="BG42" s="264">
        <f t="shared" si="151"/>
        <v>2.3655045675059896E-2</v>
      </c>
      <c r="BH42" s="264">
        <f t="shared" si="141"/>
        <v>1.9676146630882105E-2</v>
      </c>
      <c r="BI42" s="264">
        <f t="shared" si="141"/>
        <v>1.6823038768668849E-2</v>
      </c>
      <c r="BJ42" s="264">
        <f t="shared" ref="BJ42:BK42" si="155">BJ53/BJ$57</f>
        <v>1.368836744758135E-2</v>
      </c>
      <c r="BK42" s="264">
        <f t="shared" si="155"/>
        <v>1.1977196100803762E-2</v>
      </c>
    </row>
    <row r="43" spans="1:63">
      <c r="A43" s="290" t="s">
        <v>708</v>
      </c>
      <c r="B43" s="302">
        <v>0.154</v>
      </c>
      <c r="C43" s="302">
        <v>0.17100000000000001</v>
      </c>
      <c r="D43" s="302">
        <v>8.1000000000000003E-2</v>
      </c>
      <c r="E43" s="303">
        <v>6.3E-2</v>
      </c>
      <c r="F43" s="302">
        <v>7.5999999999999998E-2</v>
      </c>
      <c r="G43" s="302">
        <v>7.5999999999999998E-2</v>
      </c>
      <c r="H43" s="302">
        <v>8.6999999999999994E-2</v>
      </c>
      <c r="I43" s="303">
        <v>7.2999999999999995E-2</v>
      </c>
      <c r="J43" s="302">
        <v>7.3999999999999996E-2</v>
      </c>
      <c r="K43" s="302">
        <v>6.5000000000000002E-2</v>
      </c>
      <c r="L43" s="302">
        <v>6.6000000000000003E-2</v>
      </c>
      <c r="M43" s="303">
        <v>6.2E-2</v>
      </c>
      <c r="N43" s="428">
        <v>5.3999999999999999E-2</v>
      </c>
      <c r="O43" s="428">
        <v>5.3999999999999999E-2</v>
      </c>
      <c r="P43" s="428">
        <v>4.3999999999999997E-2</v>
      </c>
      <c r="Q43" s="429">
        <v>6.2E-2</v>
      </c>
      <c r="R43" s="428">
        <v>0.06</v>
      </c>
      <c r="S43" s="428">
        <v>5.8999999999999997E-2</v>
      </c>
      <c r="T43" s="428">
        <v>5.3999999999999999E-2</v>
      </c>
      <c r="U43" s="429">
        <v>5.2999999999999999E-2</v>
      </c>
      <c r="V43" s="788">
        <v>3.5000000000000003E-2</v>
      </c>
      <c r="W43" s="788">
        <v>3.5000000000000003E-2</v>
      </c>
      <c r="X43" s="788">
        <v>3.5000000000000003E-2</v>
      </c>
      <c r="Y43" s="856">
        <v>3.5000000000000003E-2</v>
      </c>
      <c r="Z43" s="788">
        <v>3.3000000000000002E-2</v>
      </c>
      <c r="AA43" s="788">
        <v>3.3000000000000002E-2</v>
      </c>
      <c r="AB43" s="788">
        <v>3.4450778949896239E-2</v>
      </c>
      <c r="AC43" s="856">
        <v>3.6957984577901906E-2</v>
      </c>
      <c r="AD43" s="788">
        <v>4.0057885856545912E-2</v>
      </c>
      <c r="AE43" s="788">
        <v>6.5000000000000002E-2</v>
      </c>
      <c r="AF43" s="788">
        <v>3.9736464396495766E-2</v>
      </c>
      <c r="AG43" s="856">
        <v>0.03</v>
      </c>
      <c r="AH43" s="788">
        <v>3.2734262732464117E-2</v>
      </c>
      <c r="AI43" s="788">
        <v>3.220789837897798E-2</v>
      </c>
      <c r="AJ43" s="788">
        <v>3.1638878952617244E-2</v>
      </c>
      <c r="AK43" s="856">
        <v>3.2116825540899695E-2</v>
      </c>
      <c r="AL43" s="788">
        <v>2.9146753489598574E-2</v>
      </c>
      <c r="AM43" s="274">
        <f t="shared" si="143"/>
        <v>3.7126905611500026E-2</v>
      </c>
      <c r="AN43" s="274">
        <f t="shared" si="143"/>
        <v>3.3825788635769696E-2</v>
      </c>
      <c r="AO43" s="345">
        <f t="shared" si="144"/>
        <v>3.3144536088538519E-2</v>
      </c>
      <c r="AP43" s="274">
        <f t="shared" si="144"/>
        <v>3.2169210544011347E-2</v>
      </c>
      <c r="AQ43" s="274">
        <f t="shared" si="144"/>
        <v>3.020336796705788E-2</v>
      </c>
      <c r="AR43" s="274">
        <f t="shared" si="144"/>
        <v>2.9578329441734011E-2</v>
      </c>
      <c r="AS43" s="345">
        <f t="shared" si="145"/>
        <v>2.8969669591985388E-2</v>
      </c>
      <c r="AT43" s="274">
        <f t="shared" si="145"/>
        <v>2.7191935179689309E-2</v>
      </c>
      <c r="AU43" s="274">
        <f t="shared" si="145"/>
        <v>2.6022041025569431E-2</v>
      </c>
      <c r="AV43" s="274">
        <f t="shared" si="145"/>
        <v>2.5221299463142773E-2</v>
      </c>
      <c r="AW43" s="345">
        <f t="shared" si="146"/>
        <v>2.4399674081521123E-2</v>
      </c>
      <c r="AY43" s="204"/>
      <c r="AZ43" s="295">
        <f t="shared" si="150"/>
        <v>0.11636934185221387</v>
      </c>
      <c r="BA43" s="264">
        <f t="shared" si="150"/>
        <v>7.8186653290364463E-2</v>
      </c>
      <c r="BB43" s="264">
        <f t="shared" si="150"/>
        <v>6.642199812966014E-2</v>
      </c>
      <c r="BC43" s="264">
        <f t="shared" si="150"/>
        <v>5.3349884948367884E-2</v>
      </c>
      <c r="BD43" s="264">
        <f t="shared" si="150"/>
        <v>5.6165256734481896E-2</v>
      </c>
      <c r="BE43" s="264">
        <f t="shared" si="151"/>
        <v>3.5000000000000003E-2</v>
      </c>
      <c r="BF43" s="264">
        <f t="shared" si="151"/>
        <v>3.4434641465691078E-2</v>
      </c>
      <c r="BG43" s="264">
        <f t="shared" si="151"/>
        <v>4.31119536662357E-2</v>
      </c>
      <c r="BH43" s="264">
        <f t="shared" si="141"/>
        <v>3.2165424600353973E-2</v>
      </c>
      <c r="BI43" s="264">
        <f t="shared" si="141"/>
        <v>3.3467786590829357E-2</v>
      </c>
      <c r="BJ43" s="264">
        <f t="shared" ref="BJ43:BK43" si="156">BJ54/BJ$57</f>
        <v>3.0136432909101094E-2</v>
      </c>
      <c r="BK43" s="264">
        <f t="shared" si="156"/>
        <v>2.564331459584553E-2</v>
      </c>
    </row>
    <row r="44" spans="1:63">
      <c r="A44" s="290" t="s">
        <v>707</v>
      </c>
      <c r="B44" s="302">
        <v>0.33700000000000002</v>
      </c>
      <c r="C44" s="302">
        <v>0.29399999999999998</v>
      </c>
      <c r="D44" s="302">
        <v>0.378</v>
      </c>
      <c r="E44" s="303">
        <v>0.378</v>
      </c>
      <c r="F44" s="302">
        <v>0.38900000000000001</v>
      </c>
      <c r="G44" s="302">
        <v>0.371</v>
      </c>
      <c r="H44" s="302">
        <v>0.39500000000000002</v>
      </c>
      <c r="I44" s="303">
        <v>0.38700000000000001</v>
      </c>
      <c r="J44" s="302">
        <v>0.46</v>
      </c>
      <c r="K44" s="302">
        <v>0.38600000000000001</v>
      </c>
      <c r="L44" s="302">
        <v>0.35799999999999998</v>
      </c>
      <c r="M44" s="303">
        <v>0.35</v>
      </c>
      <c r="N44" s="428">
        <v>0.33400000000000002</v>
      </c>
      <c r="O44" s="428">
        <v>0.33</v>
      </c>
      <c r="P44" s="428">
        <v>0.312</v>
      </c>
      <c r="Q44" s="429">
        <v>0.32500000000000001</v>
      </c>
      <c r="R44" s="428">
        <v>0.30299999999999999</v>
      </c>
      <c r="S44" s="428">
        <v>0.28399999999999997</v>
      </c>
      <c r="T44" s="428">
        <v>0.27900000000000003</v>
      </c>
      <c r="U44" s="429">
        <v>0.28599999999999998</v>
      </c>
      <c r="V44" s="788">
        <v>0.2</v>
      </c>
      <c r="W44" s="788">
        <v>0.2</v>
      </c>
      <c r="X44" s="788">
        <v>0.2</v>
      </c>
      <c r="Y44" s="856">
        <v>0.2</v>
      </c>
      <c r="Z44" s="788">
        <v>0.16</v>
      </c>
      <c r="AA44" s="788">
        <v>0.16</v>
      </c>
      <c r="AB44" s="788">
        <v>0.16687440117653629</v>
      </c>
      <c r="AC44" s="856">
        <v>0.17917151090313649</v>
      </c>
      <c r="AD44" s="788">
        <v>0.19127666258786946</v>
      </c>
      <c r="AE44" s="788">
        <v>0.25</v>
      </c>
      <c r="AF44" s="788">
        <v>0.15820550803105746</v>
      </c>
      <c r="AG44" s="856">
        <v>0.12</v>
      </c>
      <c r="AH44" s="788">
        <v>0.14412967149070904</v>
      </c>
      <c r="AI44" s="788">
        <v>0.13764133644821852</v>
      </c>
      <c r="AJ44" s="788">
        <v>0.13520961633448364</v>
      </c>
      <c r="AK44" s="856">
        <v>0.14499999999999999</v>
      </c>
      <c r="AL44" s="788">
        <v>0.13706661070943538</v>
      </c>
      <c r="AM44" s="274">
        <f t="shared" si="143"/>
        <v>0.15691308012615177</v>
      </c>
      <c r="AN44" s="274">
        <f t="shared" si="143"/>
        <v>0.13501895445864509</v>
      </c>
      <c r="AO44" s="345">
        <f t="shared" si="144"/>
        <v>0.13229966806920154</v>
      </c>
      <c r="AP44" s="274">
        <f t="shared" si="144"/>
        <v>0.13595988754107088</v>
      </c>
      <c r="AQ44" s="274">
        <f t="shared" si="144"/>
        <v>0.12765145437885894</v>
      </c>
      <c r="AR44" s="274">
        <f t="shared" si="144"/>
        <v>0.12500979279703037</v>
      </c>
      <c r="AS44" s="345">
        <f t="shared" si="145"/>
        <v>0.12243735401711778</v>
      </c>
      <c r="AT44" s="274">
        <f t="shared" si="145"/>
        <v>0.1149239408283486</v>
      </c>
      <c r="AU44" s="274">
        <f t="shared" si="145"/>
        <v>0.10997950249929841</v>
      </c>
      <c r="AV44" s="274">
        <f t="shared" si="145"/>
        <v>0.10659524995048181</v>
      </c>
      <c r="AW44" s="345">
        <f t="shared" si="146"/>
        <v>0.10312273406970385</v>
      </c>
      <c r="AY44" s="204"/>
      <c r="AZ44" s="295">
        <f t="shared" si="150"/>
        <v>0.34751887454022667</v>
      </c>
      <c r="BA44" s="264">
        <f t="shared" si="150"/>
        <v>0.38534655871680401</v>
      </c>
      <c r="BB44" s="264">
        <f t="shared" si="150"/>
        <v>0.38524062033550738</v>
      </c>
      <c r="BC44" s="264">
        <f t="shared" si="150"/>
        <v>0.32490409328695025</v>
      </c>
      <c r="BD44" s="264">
        <f t="shared" si="150"/>
        <v>0.28707244206236304</v>
      </c>
      <c r="BE44" s="264">
        <f t="shared" si="151"/>
        <v>0.20000000000000004</v>
      </c>
      <c r="BF44" s="264">
        <f t="shared" si="151"/>
        <v>0.16691011684433255</v>
      </c>
      <c r="BG44" s="264">
        <f t="shared" si="151"/>
        <v>0.176636130181132</v>
      </c>
      <c r="BH44" s="264">
        <f t="shared" si="141"/>
        <v>0.14051628627218737</v>
      </c>
      <c r="BI44" s="264">
        <f t="shared" si="141"/>
        <v>0.1402303188187326</v>
      </c>
      <c r="BJ44" s="264">
        <f t="shared" ref="BJ44:BK44" si="157">BJ55/BJ$57</f>
        <v>0.12736856018287271</v>
      </c>
      <c r="BK44" s="264">
        <f t="shared" si="157"/>
        <v>0.10837885386902985</v>
      </c>
    </row>
    <row r="45" spans="1:63">
      <c r="A45" s="290" t="s">
        <v>827</v>
      </c>
      <c r="B45" s="302">
        <v>2.5999999999999999E-2</v>
      </c>
      <c r="C45" s="302">
        <v>2.8000000000000001E-2</v>
      </c>
      <c r="D45" s="302">
        <v>3.1E-2</v>
      </c>
      <c r="E45" s="303">
        <v>3.2000000000000001E-2</v>
      </c>
      <c r="F45" s="302">
        <v>3.9E-2</v>
      </c>
      <c r="G45" s="302">
        <v>3.7999999999999999E-2</v>
      </c>
      <c r="H45" s="302">
        <v>3.5999999999999997E-2</v>
      </c>
      <c r="I45" s="303">
        <v>3.5999999999999997E-2</v>
      </c>
      <c r="J45" s="302">
        <v>4.2999999999999997E-2</v>
      </c>
      <c r="K45" s="302">
        <v>0.04</v>
      </c>
      <c r="L45" s="302">
        <v>4.2000000000000003E-2</v>
      </c>
      <c r="M45" s="303">
        <v>4.1000000000000002E-2</v>
      </c>
      <c r="N45" s="428">
        <v>4.2999999999999997E-2</v>
      </c>
      <c r="O45" s="428">
        <v>4.2999999999999997E-2</v>
      </c>
      <c r="P45" s="428">
        <v>3.4000000000000002E-2</v>
      </c>
      <c r="Q45" s="429">
        <v>0.04</v>
      </c>
      <c r="R45" s="428">
        <v>3.5999999999999997E-2</v>
      </c>
      <c r="S45" s="428">
        <v>3.2000000000000001E-2</v>
      </c>
      <c r="T45" s="428">
        <v>0.03</v>
      </c>
      <c r="U45" s="429">
        <v>2.9000000000000001E-2</v>
      </c>
      <c r="V45" s="788">
        <v>0.02</v>
      </c>
      <c r="W45" s="788">
        <v>0.02</v>
      </c>
      <c r="X45" s="788">
        <v>0.02</v>
      </c>
      <c r="Y45" s="856">
        <v>0.02</v>
      </c>
      <c r="Z45" s="788">
        <v>1.7000000000000001E-2</v>
      </c>
      <c r="AA45" s="788">
        <v>1.7000000000000001E-2</v>
      </c>
      <c r="AB45" s="788">
        <v>1.7815707472962895E-2</v>
      </c>
      <c r="AC45" s="856">
        <v>1.7980930132202384E-2</v>
      </c>
      <c r="AD45" s="788">
        <v>1.9405265311838685E-2</v>
      </c>
      <c r="AE45" s="788">
        <f>AD45+1.2%</f>
        <v>3.1405265311838682E-2</v>
      </c>
      <c r="AF45" s="788">
        <v>1.8559416977074562E-2</v>
      </c>
      <c r="AG45" s="856">
        <v>0.02</v>
      </c>
      <c r="AH45" s="788">
        <v>1.4091198484976518E-2</v>
      </c>
      <c r="AI45" s="788">
        <v>1.4999999999999999E-2</v>
      </c>
      <c r="AJ45" s="788">
        <v>1.4734993842349492E-2</v>
      </c>
      <c r="AK45" s="856">
        <v>1.4957585168858274E-2</v>
      </c>
      <c r="AL45" s="788">
        <v>1.4312699420651871E-2</v>
      </c>
      <c r="AM45" s="274">
        <f t="shared" si="143"/>
        <v>1.7950920938527123E-2</v>
      </c>
      <c r="AN45" s="274">
        <f t="shared" si="143"/>
        <v>1.3629021134472313E-2</v>
      </c>
      <c r="AO45" s="345">
        <f t="shared" si="144"/>
        <v>1.3354532179784396E-2</v>
      </c>
      <c r="AP45" s="274">
        <f t="shared" si="144"/>
        <v>1.55538670842396E-2</v>
      </c>
      <c r="AQ45" s="274">
        <f t="shared" si="144"/>
        <v>1.4603378911437195E-2</v>
      </c>
      <c r="AR45" s="274">
        <f t="shared" si="144"/>
        <v>1.4301171739392483E-2</v>
      </c>
      <c r="AS45" s="345">
        <f t="shared" si="145"/>
        <v>1.4006883684373188E-2</v>
      </c>
      <c r="AT45" s="274">
        <f t="shared" si="145"/>
        <v>1.3147346123695327E-2</v>
      </c>
      <c r="AU45" s="274">
        <f t="shared" si="145"/>
        <v>1.2581700344141158E-2</v>
      </c>
      <c r="AV45" s="274">
        <f t="shared" si="145"/>
        <v>1.2194540459885647E-2</v>
      </c>
      <c r="AW45" s="345">
        <f t="shared" si="146"/>
        <v>1.1797283214132074E-2</v>
      </c>
      <c r="AY45" s="204"/>
      <c r="AZ45" s="295">
        <f t="shared" si="150"/>
        <v>2.9274534877788711E-2</v>
      </c>
      <c r="BA45" s="264">
        <f t="shared" si="150"/>
        <v>3.7215145386247102E-2</v>
      </c>
      <c r="BB45" s="264">
        <f t="shared" si="150"/>
        <v>4.1439363486979366E-2</v>
      </c>
      <c r="BC45" s="264">
        <f t="shared" si="150"/>
        <v>3.9851962032957516E-2</v>
      </c>
      <c r="BD45" s="264">
        <f t="shared" si="150"/>
        <v>3.1423088329713217E-2</v>
      </c>
      <c r="BE45" s="264">
        <f t="shared" si="151"/>
        <v>0.02</v>
      </c>
      <c r="BF45" s="264">
        <f t="shared" si="151"/>
        <v>1.7471777603784301E-2</v>
      </c>
      <c r="BG45" s="264">
        <f t="shared" si="151"/>
        <v>2.2167493084231469E-2</v>
      </c>
      <c r="BH45" s="264">
        <f t="shared" si="141"/>
        <v>1.4699566322358559E-2</v>
      </c>
      <c r="BI45" s="264">
        <f t="shared" si="141"/>
        <v>1.4788465665363456E-2</v>
      </c>
      <c r="BJ45" s="264">
        <f t="shared" ref="BJ45:BK45" si="158">BJ56/BJ$57</f>
        <v>1.4571015699001145E-2</v>
      </c>
      <c r="BK45" s="264">
        <f t="shared" si="158"/>
        <v>1.2398585482147418E-2</v>
      </c>
    </row>
    <row r="46" spans="1:63">
      <c r="A46" s="336" t="s">
        <v>706</v>
      </c>
      <c r="B46" s="357">
        <f>SUM(B39:B45)</f>
        <v>1</v>
      </c>
      <c r="C46" s="357">
        <f t="shared" ref="C46:L46" si="159">SUM(C39:C45)</f>
        <v>1</v>
      </c>
      <c r="D46" s="357">
        <f t="shared" si="159"/>
        <v>1</v>
      </c>
      <c r="E46" s="358">
        <f t="shared" si="159"/>
        <v>1</v>
      </c>
      <c r="F46" s="357">
        <f t="shared" si="159"/>
        <v>1</v>
      </c>
      <c r="G46" s="357">
        <f t="shared" si="159"/>
        <v>1</v>
      </c>
      <c r="H46" s="357">
        <f t="shared" si="159"/>
        <v>1</v>
      </c>
      <c r="I46" s="358">
        <f t="shared" si="159"/>
        <v>1</v>
      </c>
      <c r="J46" s="357">
        <f t="shared" si="159"/>
        <v>1</v>
      </c>
      <c r="K46" s="357">
        <f t="shared" si="159"/>
        <v>1</v>
      </c>
      <c r="L46" s="357">
        <f t="shared" si="159"/>
        <v>0.99999999999999989</v>
      </c>
      <c r="M46" s="358">
        <f t="shared" ref="M46:Q46" si="160">SUM(M38:M45)</f>
        <v>1</v>
      </c>
      <c r="N46" s="357">
        <f>SUM(N38:N45)</f>
        <v>1</v>
      </c>
      <c r="O46" s="357">
        <f t="shared" si="160"/>
        <v>1</v>
      </c>
      <c r="P46" s="357">
        <f t="shared" si="160"/>
        <v>1</v>
      </c>
      <c r="Q46" s="358">
        <f t="shared" si="160"/>
        <v>1</v>
      </c>
      <c r="R46" s="357">
        <f>SUM(R37:R45)</f>
        <v>1</v>
      </c>
      <c r="S46" s="357">
        <f t="shared" ref="S46:AJ46" si="161">SUM(S37:S45)</f>
        <v>1</v>
      </c>
      <c r="T46" s="357">
        <f t="shared" si="161"/>
        <v>1</v>
      </c>
      <c r="U46" s="358">
        <f t="shared" si="161"/>
        <v>1</v>
      </c>
      <c r="V46" s="357">
        <f t="shared" si="161"/>
        <v>1</v>
      </c>
      <c r="W46" s="357">
        <f t="shared" si="161"/>
        <v>1</v>
      </c>
      <c r="X46" s="357">
        <f t="shared" si="161"/>
        <v>1</v>
      </c>
      <c r="Y46" s="358">
        <f t="shared" si="161"/>
        <v>1</v>
      </c>
      <c r="Z46" s="357">
        <f t="shared" si="161"/>
        <v>1</v>
      </c>
      <c r="AA46" s="357">
        <f t="shared" si="161"/>
        <v>1</v>
      </c>
      <c r="AB46" s="357">
        <f t="shared" si="161"/>
        <v>1</v>
      </c>
      <c r="AC46" s="358">
        <f t="shared" si="161"/>
        <v>1.0000000000000002</v>
      </c>
      <c r="AD46" s="357">
        <f t="shared" si="161"/>
        <v>1</v>
      </c>
      <c r="AE46" s="357">
        <f t="shared" si="161"/>
        <v>1</v>
      </c>
      <c r="AF46" s="357">
        <f t="shared" si="161"/>
        <v>1</v>
      </c>
      <c r="AG46" s="358">
        <f t="shared" si="161"/>
        <v>0.99999999999999989</v>
      </c>
      <c r="AH46" s="357">
        <f t="shared" si="161"/>
        <v>1</v>
      </c>
      <c r="AI46" s="357">
        <f t="shared" si="161"/>
        <v>1</v>
      </c>
      <c r="AJ46" s="357">
        <f t="shared" si="161"/>
        <v>1.0000000000000002</v>
      </c>
      <c r="AK46" s="358">
        <f>SUM(AK37:AK45)</f>
        <v>1</v>
      </c>
      <c r="AL46" s="357">
        <f>SUM(AL38:AL45)</f>
        <v>0.92725536275349119</v>
      </c>
      <c r="AM46" s="357">
        <f>SUM(AM38:AM45)</f>
        <v>0.93106906382733912</v>
      </c>
      <c r="AN46" s="357">
        <f>SUM(AN38:AN45)</f>
        <v>0.91356324005961176</v>
      </c>
      <c r="AO46" s="358">
        <f>SUM(AO37:AO45)</f>
        <v>1</v>
      </c>
      <c r="AP46" s="357">
        <f>SUM(AP38:AP45)</f>
        <v>0.88524817903018116</v>
      </c>
      <c r="AQ46" s="357">
        <f>SUM(AQ38:AQ45)</f>
        <v>0.88286952798612861</v>
      </c>
      <c r="AR46" s="357">
        <f>SUM(AR38:AR45)</f>
        <v>0.87945975545998034</v>
      </c>
      <c r="AS46" s="358">
        <f>SUM(AS37:AS45)</f>
        <v>1</v>
      </c>
      <c r="AT46" s="357">
        <f>SUM(AT38:AT45)</f>
        <v>0.85534056524912017</v>
      </c>
      <c r="AU46" s="357">
        <f>SUM(AU38:AU45)</f>
        <v>0.84613658447328854</v>
      </c>
      <c r="AV46" s="357">
        <f>SUM(AV38:AV45)</f>
        <v>0.8353134710544311</v>
      </c>
      <c r="AW46" s="358">
        <f>SUM(AW37:AW45)</f>
        <v>1</v>
      </c>
      <c r="AY46" s="217"/>
      <c r="AZ46" s="359">
        <f>SUM(AZ38:AZ45)</f>
        <v>1</v>
      </c>
      <c r="BA46" s="357">
        <f>SUM(BA38:BA45)</f>
        <v>1.0000000000000002</v>
      </c>
      <c r="BB46" s="357">
        <f>SUM(BB38:BB45)</f>
        <v>1</v>
      </c>
      <c r="BC46" s="357">
        <f>SUM(BC38:BC45)</f>
        <v>1</v>
      </c>
      <c r="BD46" s="357">
        <f>SUM(BD38:BD45)</f>
        <v>0.98807493847478212</v>
      </c>
      <c r="BE46" s="357">
        <f t="shared" ref="BE46:BJ46" si="162">SUM(BE37:BE45)</f>
        <v>1</v>
      </c>
      <c r="BF46" s="357">
        <f t="shared" si="162"/>
        <v>0.99999999999999978</v>
      </c>
      <c r="BG46" s="357">
        <f t="shared" si="162"/>
        <v>1</v>
      </c>
      <c r="BH46" s="357">
        <f t="shared" si="162"/>
        <v>0.99999999999999978</v>
      </c>
      <c r="BI46" s="357">
        <f t="shared" si="162"/>
        <v>1</v>
      </c>
      <c r="BJ46" s="357">
        <f t="shared" si="162"/>
        <v>0.99999999999999989</v>
      </c>
      <c r="BK46" s="357">
        <f t="shared" ref="BK46" si="163">SUM(BK37:BK45)</f>
        <v>1</v>
      </c>
    </row>
    <row r="47" spans="1:63">
      <c r="A47" s="319" t="s">
        <v>744</v>
      </c>
      <c r="F47" s="215"/>
      <c r="G47" s="215"/>
      <c r="H47" s="215"/>
      <c r="I47" s="216"/>
      <c r="J47" s="215"/>
      <c r="K47" s="215"/>
      <c r="L47" s="215"/>
      <c r="M47" s="216"/>
      <c r="N47" s="215"/>
      <c r="O47" s="215"/>
      <c r="P47" s="264"/>
      <c r="Q47" s="216"/>
      <c r="R47" s="215"/>
      <c r="S47" s="215"/>
      <c r="T47" s="215"/>
      <c r="U47" s="216"/>
      <c r="V47" s="215"/>
      <c r="W47" s="215"/>
      <c r="X47" s="215"/>
      <c r="Y47" s="216"/>
      <c r="Z47" s="215"/>
      <c r="AA47" s="215"/>
      <c r="AB47" s="215"/>
      <c r="AC47" s="216"/>
      <c r="AD47" s="215"/>
      <c r="AE47" s="215"/>
      <c r="AF47" s="215"/>
      <c r="AG47" s="216"/>
      <c r="AH47" s="215"/>
      <c r="AI47" s="215"/>
      <c r="AJ47" s="215"/>
      <c r="AK47" s="216"/>
      <c r="AL47" s="215"/>
      <c r="AM47" s="215"/>
      <c r="AN47" s="215"/>
      <c r="AO47" s="216"/>
      <c r="AP47" s="215"/>
      <c r="AQ47" s="215"/>
      <c r="AR47" s="215"/>
      <c r="AS47" s="216"/>
      <c r="AT47" s="215"/>
      <c r="AU47" s="215"/>
      <c r="AV47" s="215"/>
      <c r="AW47" s="216"/>
      <c r="AY47" s="204"/>
      <c r="AZ47" s="204"/>
      <c r="BA47" s="215"/>
      <c r="BB47" s="215"/>
      <c r="BC47" s="215"/>
      <c r="BD47" s="215"/>
      <c r="BE47" s="215"/>
      <c r="BF47" s="215"/>
      <c r="BG47" s="215"/>
      <c r="BH47" s="215"/>
      <c r="BI47" s="215"/>
      <c r="BJ47" s="215"/>
      <c r="BK47" s="215"/>
    </row>
    <row r="48" spans="1:63" outlineLevel="1">
      <c r="A48" s="290" t="s">
        <v>1204</v>
      </c>
      <c r="F48" s="215"/>
      <c r="G48" s="215"/>
      <c r="H48" s="215"/>
      <c r="I48" s="216"/>
      <c r="J48" s="215"/>
      <c r="K48" s="215"/>
      <c r="L48" s="215"/>
      <c r="M48" s="216"/>
      <c r="N48" s="215"/>
      <c r="O48" s="274"/>
      <c r="P48" s="215"/>
      <c r="Q48" s="216"/>
      <c r="R48" s="215">
        <f t="shared" ref="M48:AB49" si="164">R$17*R37</f>
        <v>5.0326394399999996</v>
      </c>
      <c r="S48" s="215">
        <f t="shared" si="164"/>
        <v>6.1627076700000014</v>
      </c>
      <c r="T48" s="215">
        <f t="shared" si="164"/>
        <v>19.934528669999995</v>
      </c>
      <c r="U48" s="216">
        <f t="shared" si="164"/>
        <v>28.2830561</v>
      </c>
      <c r="V48" s="215">
        <f t="shared" si="164"/>
        <v>68.150078000000008</v>
      </c>
      <c r="W48" s="215">
        <f t="shared" si="164"/>
        <v>71.635092959999994</v>
      </c>
      <c r="X48" s="215">
        <f t="shared" si="164"/>
        <v>70.557372000000001</v>
      </c>
      <c r="Y48" s="216">
        <f t="shared" si="164"/>
        <v>59.079078799999998</v>
      </c>
      <c r="Z48" s="215">
        <f t="shared" si="164"/>
        <v>55.21745716800001</v>
      </c>
      <c r="AA48" s="215">
        <f t="shared" si="164"/>
        <v>57.898493580000007</v>
      </c>
      <c r="AB48" s="215">
        <f t="shared" si="164"/>
        <v>66.435554115000002</v>
      </c>
      <c r="AC48" s="216">
        <f t="shared" ref="AC48:AJ48" si="165">AC$17*AC37</f>
        <v>62.365590840000003</v>
      </c>
      <c r="AD48" s="215">
        <f t="shared" si="165"/>
        <v>65.106547200000009</v>
      </c>
      <c r="AE48" s="215">
        <f t="shared" si="165"/>
        <v>70.651416160000011</v>
      </c>
      <c r="AF48" s="215">
        <f t="shared" si="165"/>
        <v>133.22409568</v>
      </c>
      <c r="AG48" s="216">
        <f t="shared" si="165"/>
        <v>118.42062565000001</v>
      </c>
      <c r="AH48" s="215">
        <f t="shared" si="165"/>
        <v>124.08145041600001</v>
      </c>
      <c r="AI48" s="215">
        <f t="shared" si="165"/>
        <v>121.20703328799999</v>
      </c>
      <c r="AJ48" s="215">
        <f t="shared" si="165"/>
        <v>136.04967264000001</v>
      </c>
      <c r="AK48" s="216">
        <f t="shared" ref="AK48:AL48" si="166">AK$17*AK37</f>
        <v>149.4719226</v>
      </c>
      <c r="AL48" s="215">
        <f t="shared" si="166"/>
        <v>171.14283762145217</v>
      </c>
      <c r="AM48" s="215">
        <f t="shared" ref="AM48:AW48" si="167">AM154*AM165/1000</f>
        <v>189.97273418126969</v>
      </c>
      <c r="AN48" s="215">
        <f t="shared" si="167"/>
        <v>250.34046499676069</v>
      </c>
      <c r="AO48" s="216">
        <f t="shared" si="167"/>
        <v>272.91625843334231</v>
      </c>
      <c r="AP48" s="215">
        <f t="shared" si="167"/>
        <v>336.64818485436695</v>
      </c>
      <c r="AQ48" s="215">
        <f t="shared" si="167"/>
        <v>365.99201814880354</v>
      </c>
      <c r="AR48" s="215">
        <f t="shared" si="167"/>
        <v>425.32846487935166</v>
      </c>
      <c r="AS48" s="216">
        <f t="shared" si="167"/>
        <v>462.58698784109521</v>
      </c>
      <c r="AT48" s="215">
        <f t="shared" si="167"/>
        <v>530.95314366411264</v>
      </c>
      <c r="AU48" s="215">
        <f t="shared" si="167"/>
        <v>590.12438477206388</v>
      </c>
      <c r="AV48" s="215">
        <f t="shared" si="167"/>
        <v>688.30038645436821</v>
      </c>
      <c r="AW48" s="216">
        <f t="shared" si="167"/>
        <v>760.5759334371204</v>
      </c>
      <c r="AY48" s="204"/>
      <c r="AZ48" s="204"/>
      <c r="BA48" s="215"/>
      <c r="BB48" s="215"/>
      <c r="BC48" s="215">
        <f t="shared" ref="BC48" si="168">SUM(N48:Q48)</f>
        <v>0</v>
      </c>
      <c r="BD48" s="215">
        <f t="shared" ref="BD48" si="169">SUM(R48:U48)</f>
        <v>59.412931879999995</v>
      </c>
      <c r="BE48" s="215">
        <f t="shared" ref="BE48:BE57" si="170">SUM(V48:Y48)</f>
        <v>269.42162175999999</v>
      </c>
      <c r="BF48" s="215">
        <f t="shared" ref="BF48:BF57" si="171">SUM(Z48:AC48)</f>
        <v>241.91709570300003</v>
      </c>
      <c r="BG48" s="215">
        <f t="shared" ref="BG48:BG57" si="172">SUM(AD48:AG48)</f>
        <v>387.40268469</v>
      </c>
      <c r="BH48" s="215">
        <f t="shared" ref="BH48:BH57" si="173">SUM(AH48:AK48)</f>
        <v>530.810078944</v>
      </c>
      <c r="BI48" s="215">
        <f t="shared" ref="BI48:BI57" si="174">SUM(AL48:AO48)</f>
        <v>884.37229523282485</v>
      </c>
      <c r="BJ48" s="215">
        <f>SUM(AP48:AS48)</f>
        <v>1590.5556557236173</v>
      </c>
      <c r="BK48" s="215">
        <f>SUM(AT48:AW48)</f>
        <v>2569.9538483276651</v>
      </c>
    </row>
    <row r="49" spans="1:63" outlineLevel="1">
      <c r="A49" s="290" t="s">
        <v>935</v>
      </c>
      <c r="F49" s="215"/>
      <c r="G49" s="215"/>
      <c r="H49" s="215"/>
      <c r="I49" s="216"/>
      <c r="J49" s="215"/>
      <c r="K49" s="215"/>
      <c r="L49" s="215"/>
      <c r="M49" s="216">
        <f t="shared" si="164"/>
        <v>7.6892612399999996</v>
      </c>
      <c r="N49" s="333">
        <f t="shared" si="164"/>
        <v>10.716872816</v>
      </c>
      <c r="O49" s="215">
        <f t="shared" si="164"/>
        <v>22.179634541999995</v>
      </c>
      <c r="P49" s="215">
        <f t="shared" si="164"/>
        <v>73.956741600000001</v>
      </c>
      <c r="Q49" s="216">
        <f t="shared" si="164"/>
        <v>13.09761825</v>
      </c>
      <c r="R49" s="215">
        <f t="shared" si="164"/>
        <v>38.248059743999995</v>
      </c>
      <c r="S49" s="215">
        <f t="shared" si="164"/>
        <v>141.74227641000002</v>
      </c>
      <c r="T49" s="215">
        <f t="shared" si="164"/>
        <v>179.41075802999998</v>
      </c>
      <c r="U49" s="216">
        <f t="shared" si="164"/>
        <v>183.83986465000001</v>
      </c>
      <c r="V49" s="215">
        <f t="shared" si="164"/>
        <v>221.48775350000003</v>
      </c>
      <c r="W49" s="215">
        <f t="shared" ref="W49:AI49" si="175">W$17*W38</f>
        <v>232.81405211999999</v>
      </c>
      <c r="X49" s="215">
        <f t="shared" si="175"/>
        <v>229.31145899999999</v>
      </c>
      <c r="Y49" s="216">
        <f t="shared" si="175"/>
        <v>192.00700610000001</v>
      </c>
      <c r="Z49" s="215">
        <f t="shared" si="175"/>
        <v>202.01508720000001</v>
      </c>
      <c r="AA49" s="215">
        <f t="shared" si="175"/>
        <v>183.58058940000001</v>
      </c>
      <c r="AB49" s="215">
        <f t="shared" si="175"/>
        <v>174.20878634600001</v>
      </c>
      <c r="AC49" s="216">
        <f t="shared" si="175"/>
        <v>180.86021343600001</v>
      </c>
      <c r="AD49" s="215">
        <f t="shared" si="175"/>
        <v>187.18132320000001</v>
      </c>
      <c r="AE49" s="215">
        <f t="shared" si="175"/>
        <v>167.79711338000001</v>
      </c>
      <c r="AF49" s="215">
        <f t="shared" si="175"/>
        <v>200.86094425599998</v>
      </c>
      <c r="AG49" s="216">
        <f t="shared" si="175"/>
        <v>197.28610470650804</v>
      </c>
      <c r="AH49" s="215">
        <f t="shared" si="175"/>
        <v>181.84350492000002</v>
      </c>
      <c r="AI49" s="215">
        <f t="shared" si="175"/>
        <v>172.23725102808388</v>
      </c>
      <c r="AJ49" s="215">
        <f t="shared" ref="AJ49:AL49" si="176">AJ$17*AJ38</f>
        <v>184.37026710531745</v>
      </c>
      <c r="AK49" s="216">
        <f t="shared" si="176"/>
        <v>160.96976280000001</v>
      </c>
      <c r="AL49" s="215">
        <f t="shared" si="176"/>
        <v>161.0213506230422</v>
      </c>
      <c r="AM49" s="215">
        <f t="shared" ref="AM49:AN56" si="177">AM155*AM166/1000</f>
        <v>180.70853126249577</v>
      </c>
      <c r="AN49" s="215">
        <f t="shared" si="177"/>
        <v>180.70853126249577</v>
      </c>
      <c r="AO49" s="216">
        <f t="shared" ref="AO49:AR56" si="178">AO155*AO166/1000</f>
        <v>180.70853126249577</v>
      </c>
      <c r="AP49" s="215">
        <f t="shared" si="178"/>
        <v>164.9203122153514</v>
      </c>
      <c r="AQ49" s="215">
        <f t="shared" si="178"/>
        <v>164.9203122153514</v>
      </c>
      <c r="AR49" s="215">
        <f t="shared" si="178"/>
        <v>184.20628754971131</v>
      </c>
      <c r="AS49" s="216">
        <f t="shared" ref="AS49:AV56" si="179">AS155*AS166/1000</f>
        <v>186.04835042520841</v>
      </c>
      <c r="AT49" s="215">
        <f t="shared" si="179"/>
        <v>179.9127133367175</v>
      </c>
      <c r="AU49" s="215">
        <f t="shared" si="179"/>
        <v>169.91756259578878</v>
      </c>
      <c r="AV49" s="215">
        <f t="shared" si="179"/>
        <v>199.903014818575</v>
      </c>
      <c r="AW49" s="216">
        <f t="shared" ref="AW49:AW56" si="180">AW155*AW166/1000</f>
        <v>199.903014818575</v>
      </c>
      <c r="AX49" s="215"/>
      <c r="AY49" s="204"/>
      <c r="AZ49" s="335">
        <f t="shared" ref="AZ49:AZ57" si="181">SUM(B49:E49)</f>
        <v>0</v>
      </c>
      <c r="BA49" s="215">
        <f t="shared" ref="BA49:BA57" si="182">SUM(F49:I49)</f>
        <v>0</v>
      </c>
      <c r="BB49" s="215">
        <f t="shared" ref="BB49:BB57" si="183">SUM(J49:M49)</f>
        <v>7.6892612399999996</v>
      </c>
      <c r="BC49" s="215">
        <f t="shared" ref="BC49:BC57" si="184">SUM(N49:Q49)</f>
        <v>119.95086720799999</v>
      </c>
      <c r="BD49" s="215">
        <f t="shared" ref="BD49:BD57" si="185">SUM(R49:U49)</f>
        <v>543.24095883400003</v>
      </c>
      <c r="BE49" s="215">
        <f t="shared" si="170"/>
        <v>875.62027072000001</v>
      </c>
      <c r="BF49" s="215">
        <f t="shared" si="171"/>
        <v>740.66467638200004</v>
      </c>
      <c r="BG49" s="215">
        <f t="shared" si="172"/>
        <v>753.12548554250793</v>
      </c>
      <c r="BH49" s="215">
        <f t="shared" si="173"/>
        <v>699.4207858534013</v>
      </c>
      <c r="BI49" s="215">
        <f t="shared" si="174"/>
        <v>703.1469444105295</v>
      </c>
      <c r="BJ49" s="215">
        <f>SUM(AP49:AS49)</f>
        <v>700.09526240562241</v>
      </c>
      <c r="BK49" s="215">
        <f t="shared" ref="BK49:BK56" si="186">SUM(AT49:AW49)</f>
        <v>749.63630556965632</v>
      </c>
    </row>
    <row r="50" spans="1:63" outlineLevel="1">
      <c r="A50" s="290" t="s">
        <v>712</v>
      </c>
      <c r="B50" s="215">
        <f t="shared" ref="B50:B56" si="187">B$17*B39</f>
        <v>38.464622500000004</v>
      </c>
      <c r="C50" s="215">
        <f t="shared" ref="C50:I50" si="188">C$17*C39</f>
        <v>47.992218383999997</v>
      </c>
      <c r="D50" s="215">
        <f t="shared" si="188"/>
        <v>66.651854015999987</v>
      </c>
      <c r="E50" s="216">
        <f t="shared" si="188"/>
        <v>88.683810014000002</v>
      </c>
      <c r="F50" s="215">
        <f t="shared" si="188"/>
        <v>22.205495680000002</v>
      </c>
      <c r="G50" s="215">
        <f t="shared" si="188"/>
        <v>68.94118619999999</v>
      </c>
      <c r="H50" s="215">
        <f t="shared" si="188"/>
        <v>57.014769887999996</v>
      </c>
      <c r="I50" s="216">
        <f t="shared" si="188"/>
        <v>39.636571320000009</v>
      </c>
      <c r="J50" s="215">
        <f t="shared" ref="J50:L56" si="189">J$17*J39</f>
        <v>18.903085739999998</v>
      </c>
      <c r="K50" s="215">
        <f t="shared" si="189"/>
        <v>28.220251523999995</v>
      </c>
      <c r="L50" s="215">
        <f t="shared" si="189"/>
        <v>32.474378299999998</v>
      </c>
      <c r="M50" s="216">
        <f t="shared" ref="M50:V50" si="190">M$17*M39</f>
        <v>38.446306200000002</v>
      </c>
      <c r="N50" s="333">
        <f t="shared" si="190"/>
        <v>53.584364080000007</v>
      </c>
      <c r="O50" s="215">
        <f t="shared" si="190"/>
        <v>55.449086354999999</v>
      </c>
      <c r="P50" s="215">
        <f t="shared" si="190"/>
        <v>61.014311819999854</v>
      </c>
      <c r="Q50" s="216">
        <f t="shared" si="190"/>
        <v>30.561109249999934</v>
      </c>
      <c r="R50" s="215">
        <f t="shared" si="190"/>
        <v>26.169725088000021</v>
      </c>
      <c r="S50" s="215">
        <f t="shared" si="190"/>
        <v>30.813538349999895</v>
      </c>
      <c r="T50" s="215">
        <f t="shared" si="190"/>
        <v>42.526994495999737</v>
      </c>
      <c r="U50" s="216">
        <f t="shared" si="190"/>
        <v>50.909500979999883</v>
      </c>
      <c r="V50" s="215">
        <f t="shared" si="190"/>
        <v>127.78139624999993</v>
      </c>
      <c r="W50" s="215">
        <f t="shared" ref="W50:AI50" si="191">W$17*W39</f>
        <v>136.1066766239997</v>
      </c>
      <c r="X50" s="215">
        <f t="shared" si="191"/>
        <v>141.56184096270331</v>
      </c>
      <c r="Y50" s="216">
        <f t="shared" si="191"/>
        <v>73.848848499999733</v>
      </c>
      <c r="Z50" s="215">
        <f t="shared" si="191"/>
        <v>99.6607763519998</v>
      </c>
      <c r="AA50" s="215">
        <f t="shared" si="191"/>
        <v>118.6213039199998</v>
      </c>
      <c r="AB50" s="215">
        <f t="shared" si="191"/>
        <v>111.82511819513657</v>
      </c>
      <c r="AC50" s="216">
        <f t="shared" si="191"/>
        <v>139.51488363702251</v>
      </c>
      <c r="AD50" s="215">
        <f t="shared" si="191"/>
        <v>142.38336597262759</v>
      </c>
      <c r="AE50" s="215">
        <f t="shared" si="191"/>
        <v>185.12735803368139</v>
      </c>
      <c r="AF50" s="215">
        <f t="shared" si="191"/>
        <v>203.71249399009776</v>
      </c>
      <c r="AG50" s="216">
        <f t="shared" si="191"/>
        <v>186.56006119349163</v>
      </c>
      <c r="AH50" s="215">
        <f t="shared" si="191"/>
        <v>184.43970081757877</v>
      </c>
      <c r="AI50" s="215">
        <f t="shared" si="191"/>
        <v>211.194055473871</v>
      </c>
      <c r="AJ50" s="215">
        <f t="shared" ref="AJ50:AL50" si="192">AJ$17*AJ39</f>
        <v>275.45543637457212</v>
      </c>
      <c r="AK50" s="216">
        <f t="shared" si="192"/>
        <v>238.26900457304711</v>
      </c>
      <c r="AL50" s="215">
        <f t="shared" si="192"/>
        <v>245.98998695298232</v>
      </c>
      <c r="AM50" s="215">
        <f t="shared" si="177"/>
        <v>316.88946705916101</v>
      </c>
      <c r="AN50" s="215">
        <f t="shared" si="177"/>
        <v>316.88946705916101</v>
      </c>
      <c r="AO50" s="216">
        <f t="shared" si="178"/>
        <v>313.55378845853824</v>
      </c>
      <c r="AP50" s="215">
        <f t="shared" si="178"/>
        <v>272.19137381081617</v>
      </c>
      <c r="AQ50" s="215">
        <f t="shared" si="178"/>
        <v>304.46703078443073</v>
      </c>
      <c r="AR50" s="215">
        <f t="shared" si="178"/>
        <v>361.55459905651145</v>
      </c>
      <c r="AS50" s="216">
        <f t="shared" si="179"/>
        <v>357.74876117170612</v>
      </c>
      <c r="AT50" s="215">
        <f t="shared" si="179"/>
        <v>326.7311824105422</v>
      </c>
      <c r="AU50" s="215">
        <f t="shared" si="179"/>
        <v>361.36699680035235</v>
      </c>
      <c r="AV50" s="215">
        <f t="shared" si="179"/>
        <v>382.62387896507897</v>
      </c>
      <c r="AW50" s="216">
        <f t="shared" si="180"/>
        <v>378.37250253213358</v>
      </c>
      <c r="AX50" s="264"/>
      <c r="AY50" s="204"/>
      <c r="AZ50" s="335">
        <f t="shared" si="181"/>
        <v>241.79250491400001</v>
      </c>
      <c r="BA50" s="215">
        <f t="shared" si="182"/>
        <v>187.79802308799998</v>
      </c>
      <c r="BB50" s="215">
        <f t="shared" si="183"/>
        <v>118.04402176400001</v>
      </c>
      <c r="BC50" s="215">
        <f t="shared" si="184"/>
        <v>200.6088715049998</v>
      </c>
      <c r="BD50" s="215">
        <f t="shared" si="185"/>
        <v>150.41975891399954</v>
      </c>
      <c r="BE50" s="215">
        <f t="shared" si="170"/>
        <v>479.29876233670274</v>
      </c>
      <c r="BF50" s="215">
        <f t="shared" si="171"/>
        <v>469.62208210415872</v>
      </c>
      <c r="BG50" s="215">
        <f t="shared" si="172"/>
        <v>717.78327918989828</v>
      </c>
      <c r="BH50" s="215">
        <f t="shared" si="173"/>
        <v>909.35819723906911</v>
      </c>
      <c r="BI50" s="215">
        <f t="shared" si="174"/>
        <v>1193.3227095298425</v>
      </c>
      <c r="BJ50" s="215">
        <f t="shared" ref="BJ50:BJ56" si="193">SUM(AP50:AS50)</f>
        <v>1295.9617648234644</v>
      </c>
      <c r="BK50" s="215">
        <f t="shared" si="186"/>
        <v>1449.0945607081071</v>
      </c>
    </row>
    <row r="51" spans="1:63" outlineLevel="1">
      <c r="A51" s="290" t="s">
        <v>711</v>
      </c>
      <c r="B51" s="215">
        <f t="shared" si="187"/>
        <v>153.85849000000002</v>
      </c>
      <c r="C51" s="215">
        <f t="shared" ref="C51:I56" si="194">C$17*C40</f>
        <v>138.88657138400001</v>
      </c>
      <c r="D51" s="215">
        <f t="shared" si="194"/>
        <v>156.02593099199999</v>
      </c>
      <c r="E51" s="216">
        <f t="shared" si="194"/>
        <v>185.21574480799998</v>
      </c>
      <c r="F51" s="215">
        <f t="shared" si="194"/>
        <v>150.58101758000001</v>
      </c>
      <c r="G51" s="215">
        <f t="shared" si="194"/>
        <v>140.28729749999999</v>
      </c>
      <c r="H51" s="215">
        <f t="shared" si="194"/>
        <v>150.16566153600002</v>
      </c>
      <c r="I51" s="216">
        <f t="shared" si="194"/>
        <v>149.00414774000004</v>
      </c>
      <c r="J51" s="215">
        <f t="shared" si="189"/>
        <v>96.405737273999989</v>
      </c>
      <c r="K51" s="215">
        <f t="shared" si="189"/>
        <v>142.58653401599997</v>
      </c>
      <c r="L51" s="215">
        <f t="shared" si="189"/>
        <v>139.7153485</v>
      </c>
      <c r="M51" s="216">
        <f t="shared" ref="M51:V51" si="195">M$17*M40</f>
        <v>124.566032088</v>
      </c>
      <c r="N51" s="333">
        <f t="shared" si="195"/>
        <v>122.831849968</v>
      </c>
      <c r="O51" s="215">
        <f t="shared" si="195"/>
        <v>131.371681518</v>
      </c>
      <c r="P51" s="215">
        <f t="shared" si="195"/>
        <v>159.00699444</v>
      </c>
      <c r="Q51" s="216">
        <f t="shared" si="195"/>
        <v>129.22983339999999</v>
      </c>
      <c r="R51" s="215">
        <f t="shared" si="195"/>
        <v>164.064045744</v>
      </c>
      <c r="S51" s="215">
        <f t="shared" si="195"/>
        <v>183.64868856600003</v>
      </c>
      <c r="T51" s="215">
        <f t="shared" si="195"/>
        <v>184.72663234199999</v>
      </c>
      <c r="U51" s="216">
        <f t="shared" si="195"/>
        <v>216.36537916499998</v>
      </c>
      <c r="V51" s="215">
        <f t="shared" si="195"/>
        <v>255.5627925</v>
      </c>
      <c r="W51" s="215">
        <f t="shared" ref="W51:AI51" si="196">W$17*W40</f>
        <v>268.63159859999996</v>
      </c>
      <c r="X51" s="215">
        <f t="shared" si="196"/>
        <v>264.59014499999995</v>
      </c>
      <c r="Y51" s="216">
        <f t="shared" si="196"/>
        <v>265.85585459999999</v>
      </c>
      <c r="Z51" s="215">
        <f t="shared" si="196"/>
        <v>269.35344960000003</v>
      </c>
      <c r="AA51" s="215">
        <f t="shared" si="196"/>
        <v>282.43167600000004</v>
      </c>
      <c r="AB51" s="215">
        <f t="shared" si="196"/>
        <v>295.26912940000005</v>
      </c>
      <c r="AC51" s="216">
        <f t="shared" si="196"/>
        <v>311.82795420000002</v>
      </c>
      <c r="AD51" s="215">
        <f t="shared" si="196"/>
        <v>309.25609920000005</v>
      </c>
      <c r="AE51" s="215">
        <f t="shared" si="196"/>
        <v>273.77423762000001</v>
      </c>
      <c r="AF51" s="215">
        <f t="shared" si="196"/>
        <v>467.30913561599999</v>
      </c>
      <c r="AG51" s="216">
        <f t="shared" si="196"/>
        <v>571.68577900000003</v>
      </c>
      <c r="AH51" s="215">
        <f t="shared" si="196"/>
        <v>620.40725207999992</v>
      </c>
      <c r="AI51" s="215">
        <f t="shared" si="196"/>
        <v>606.0351664399999</v>
      </c>
      <c r="AJ51" s="215">
        <f t="shared" ref="AJ51:AL51" si="197">AJ$17*AJ40</f>
        <v>589.54858144000002</v>
      </c>
      <c r="AK51" s="216">
        <f t="shared" si="197"/>
        <v>597.8876904</v>
      </c>
      <c r="AL51" s="215">
        <f t="shared" si="197"/>
        <v>641.60552354899824</v>
      </c>
      <c r="AM51" s="215">
        <f t="shared" si="177"/>
        <v>655.8674662804267</v>
      </c>
      <c r="AN51" s="215">
        <f t="shared" si="177"/>
        <v>777.77886538598102</v>
      </c>
      <c r="AO51" s="216">
        <f t="shared" si="178"/>
        <v>770.08305330032078</v>
      </c>
      <c r="AP51" s="215">
        <f t="shared" si="178"/>
        <v>795.29482628056235</v>
      </c>
      <c r="AQ51" s="215">
        <f t="shared" si="178"/>
        <v>837.47649496163706</v>
      </c>
      <c r="AR51" s="215">
        <f t="shared" si="178"/>
        <v>1002.4489881180216</v>
      </c>
      <c r="AS51" s="216">
        <f t="shared" si="179"/>
        <v>994.04647472537431</v>
      </c>
      <c r="AT51" s="215">
        <f t="shared" si="179"/>
        <v>1040.911139659125</v>
      </c>
      <c r="AU51" s="215">
        <f t="shared" si="179"/>
        <v>1077.9106382485049</v>
      </c>
      <c r="AV51" s="215">
        <f t="shared" si="179"/>
        <v>1202.8753239367795</v>
      </c>
      <c r="AW51" s="216">
        <f t="shared" si="180"/>
        <v>1227.6949014937095</v>
      </c>
      <c r="AX51" s="264"/>
      <c r="AY51" s="204"/>
      <c r="AZ51" s="335">
        <f t="shared" si="181"/>
        <v>633.98673718399994</v>
      </c>
      <c r="BA51" s="215">
        <f t="shared" si="182"/>
        <v>590.03812435600003</v>
      </c>
      <c r="BB51" s="215">
        <f t="shared" si="183"/>
        <v>503.27365187799995</v>
      </c>
      <c r="BC51" s="215">
        <f t="shared" si="184"/>
        <v>542.44035932600002</v>
      </c>
      <c r="BD51" s="215">
        <f t="shared" si="185"/>
        <v>748.80474581699991</v>
      </c>
      <c r="BE51" s="215">
        <f t="shared" si="170"/>
        <v>1054.6403906999999</v>
      </c>
      <c r="BF51" s="215">
        <f t="shared" si="171"/>
        <v>1158.8822092000003</v>
      </c>
      <c r="BG51" s="215">
        <f t="shared" si="172"/>
        <v>1622.025251436</v>
      </c>
      <c r="BH51" s="215">
        <f t="shared" si="173"/>
        <v>2413.8786903599998</v>
      </c>
      <c r="BI51" s="215">
        <f t="shared" si="174"/>
        <v>2845.334908515727</v>
      </c>
      <c r="BJ51" s="215">
        <f t="shared" si="193"/>
        <v>3629.2667840855956</v>
      </c>
      <c r="BK51" s="215">
        <f t="shared" si="186"/>
        <v>4549.3920033381182</v>
      </c>
    </row>
    <row r="52" spans="1:63" outlineLevel="1">
      <c r="A52" s="290" t="s">
        <v>710</v>
      </c>
      <c r="B52" s="215">
        <f t="shared" si="187"/>
        <v>169.244339</v>
      </c>
      <c r="C52" s="215">
        <f t="shared" si="194"/>
        <v>171.60853846399999</v>
      </c>
      <c r="D52" s="215">
        <f t="shared" si="194"/>
        <v>152.99630126400001</v>
      </c>
      <c r="E52" s="216">
        <f t="shared" si="194"/>
        <v>125.56999648</v>
      </c>
      <c r="F52" s="215">
        <f t="shared" si="194"/>
        <v>145.02964366</v>
      </c>
      <c r="G52" s="215">
        <f t="shared" si="194"/>
        <v>193.99729139999999</v>
      </c>
      <c r="H52" s="215">
        <f t="shared" si="194"/>
        <v>168.63523488000001</v>
      </c>
      <c r="I52" s="216">
        <f t="shared" si="194"/>
        <v>168.82243340000002</v>
      </c>
      <c r="J52" s="215">
        <f t="shared" si="189"/>
        <v>137.362423044</v>
      </c>
      <c r="K52" s="215">
        <f t="shared" si="189"/>
        <v>194.57120787599999</v>
      </c>
      <c r="L52" s="215">
        <f t="shared" si="189"/>
        <v>221.2789033</v>
      </c>
      <c r="M52" s="216">
        <f t="shared" ref="M52:V52" si="198">M$17*M41</f>
        <v>238.36709843999998</v>
      </c>
      <c r="N52" s="333">
        <f t="shared" si="198"/>
        <v>268.74619523200005</v>
      </c>
      <c r="O52" s="215">
        <f t="shared" si="198"/>
        <v>255.91886009999999</v>
      </c>
      <c r="P52" s="215">
        <f t="shared" si="198"/>
        <v>238.51049166000001</v>
      </c>
      <c r="Q52" s="216">
        <f t="shared" si="198"/>
        <v>296.87934700000005</v>
      </c>
      <c r="R52" s="215">
        <f t="shared" si="198"/>
        <v>330.14114726399998</v>
      </c>
      <c r="S52" s="215">
        <f t="shared" si="198"/>
        <v>368.52991866600001</v>
      </c>
      <c r="T52" s="215">
        <f t="shared" si="198"/>
        <v>378.75604472999987</v>
      </c>
      <c r="U52" s="216">
        <f t="shared" si="198"/>
        <v>378.99295174000002</v>
      </c>
      <c r="V52" s="215">
        <f t="shared" si="198"/>
        <v>545.20062400000006</v>
      </c>
      <c r="W52" s="215">
        <f t="shared" ref="W52:AI52" si="199">W$17*W41</f>
        <v>573.08074367999996</v>
      </c>
      <c r="X52" s="215">
        <f t="shared" si="199"/>
        <v>555.63930449999998</v>
      </c>
      <c r="Y52" s="216">
        <f t="shared" si="199"/>
        <v>465.24774554999999</v>
      </c>
      <c r="Z52" s="215">
        <f t="shared" si="199"/>
        <v>390.56250191999999</v>
      </c>
      <c r="AA52" s="215">
        <f t="shared" si="199"/>
        <v>423.647514</v>
      </c>
      <c r="AB52" s="215">
        <f t="shared" si="199"/>
        <v>457.83630275277977</v>
      </c>
      <c r="AC52" s="216">
        <f t="shared" si="199"/>
        <v>452.15053359000001</v>
      </c>
      <c r="AD52" s="215">
        <f t="shared" si="199"/>
        <v>468.28388736650135</v>
      </c>
      <c r="AE52" s="215">
        <f t="shared" si="199"/>
        <v>423.38408777100369</v>
      </c>
      <c r="AF52" s="215">
        <f t="shared" si="199"/>
        <v>553.72310042633319</v>
      </c>
      <c r="AG52" s="216">
        <f t="shared" si="199"/>
        <v>571.68577900000003</v>
      </c>
      <c r="AH52" s="215">
        <f t="shared" si="199"/>
        <v>574.98399430912878</v>
      </c>
      <c r="AI52" s="215">
        <f t="shared" si="199"/>
        <v>552.33943459017678</v>
      </c>
      <c r="AJ52" s="215">
        <f t="shared" ref="AJ52:AL52" si="200">AJ$17*AJ41</f>
        <v>627.19525411553798</v>
      </c>
      <c r="AK52" s="216">
        <f t="shared" si="200"/>
        <v>666.87473160000002</v>
      </c>
      <c r="AL52" s="215">
        <f t="shared" si="200"/>
        <v>665.48989821832993</v>
      </c>
      <c r="AM52" s="215">
        <f t="shared" si="177"/>
        <v>780.90174231622859</v>
      </c>
      <c r="AN52" s="215">
        <f t="shared" si="177"/>
        <v>794.62157098596879</v>
      </c>
      <c r="AO52" s="216">
        <f t="shared" si="178"/>
        <v>843.11057557751201</v>
      </c>
      <c r="AP52" s="215">
        <f t="shared" si="178"/>
        <v>782.05877447639693</v>
      </c>
      <c r="AQ52" s="215">
        <f t="shared" si="178"/>
        <v>869.20339102944138</v>
      </c>
      <c r="AR52" s="215">
        <f t="shared" si="178"/>
        <v>912.24355609431939</v>
      </c>
      <c r="AS52" s="216">
        <f t="shared" si="179"/>
        <v>960.00072378443235</v>
      </c>
      <c r="AT52" s="215">
        <f t="shared" si="179"/>
        <v>975.22934901516339</v>
      </c>
      <c r="AU52" s="215">
        <f t="shared" si="179"/>
        <v>1018.390587405114</v>
      </c>
      <c r="AV52" s="215">
        <f t="shared" si="179"/>
        <v>1055.0327714019895</v>
      </c>
      <c r="AW52" s="216">
        <f t="shared" si="180"/>
        <v>1103.4460111991366</v>
      </c>
      <c r="AX52" s="264"/>
      <c r="AY52" s="204"/>
      <c r="AZ52" s="335">
        <f t="shared" si="181"/>
        <v>619.41917520800007</v>
      </c>
      <c r="BA52" s="215">
        <f t="shared" si="182"/>
        <v>676.48460334000004</v>
      </c>
      <c r="BB52" s="215">
        <f t="shared" si="183"/>
        <v>791.5796326599999</v>
      </c>
      <c r="BC52" s="215">
        <f t="shared" si="184"/>
        <v>1060.0548939920002</v>
      </c>
      <c r="BD52" s="215">
        <f t="shared" si="185"/>
        <v>1456.4200624</v>
      </c>
      <c r="BE52" s="215">
        <f t="shared" si="170"/>
        <v>2139.1684177300003</v>
      </c>
      <c r="BF52" s="215">
        <f t="shared" si="171"/>
        <v>1724.1968522627799</v>
      </c>
      <c r="BG52" s="215">
        <f t="shared" si="172"/>
        <v>2017.076854563838</v>
      </c>
      <c r="BH52" s="215">
        <f t="shared" si="173"/>
        <v>2421.3934146148436</v>
      </c>
      <c r="BI52" s="215">
        <f t="shared" si="174"/>
        <v>3084.1237870980394</v>
      </c>
      <c r="BJ52" s="215">
        <f t="shared" si="193"/>
        <v>3523.5064453845903</v>
      </c>
      <c r="BK52" s="215">
        <f t="shared" si="186"/>
        <v>4152.0987190214037</v>
      </c>
    </row>
    <row r="53" spans="1:63" outlineLevel="1">
      <c r="A53" s="290" t="s">
        <v>709</v>
      </c>
      <c r="B53" s="215">
        <f t="shared" si="187"/>
        <v>10.00080185</v>
      </c>
      <c r="C53" s="215">
        <f t="shared" si="194"/>
        <v>10.180167535999999</v>
      </c>
      <c r="D53" s="215">
        <f t="shared" si="194"/>
        <v>10.603704047999999</v>
      </c>
      <c r="E53" s="216">
        <f t="shared" si="194"/>
        <v>14.126624603999998</v>
      </c>
      <c r="F53" s="215">
        <f t="shared" si="194"/>
        <v>26.369026120000001</v>
      </c>
      <c r="G53" s="215">
        <f t="shared" si="194"/>
        <v>9.619700400000001</v>
      </c>
      <c r="H53" s="215">
        <f t="shared" si="194"/>
        <v>11.242348992</v>
      </c>
      <c r="I53" s="216">
        <f t="shared" si="194"/>
        <v>12.478179860000003</v>
      </c>
      <c r="J53" s="215">
        <f t="shared" si="189"/>
        <v>13.862262875999999</v>
      </c>
      <c r="K53" s="215">
        <f t="shared" si="189"/>
        <v>12.624849365999999</v>
      </c>
      <c r="L53" s="215">
        <f t="shared" si="189"/>
        <v>9.8178353000000005</v>
      </c>
      <c r="M53" s="216">
        <f t="shared" ref="M53:V53" si="201">M$17*M42</f>
        <v>11.533891859999999</v>
      </c>
      <c r="N53" s="333">
        <f t="shared" si="201"/>
        <v>13.189997312000001</v>
      </c>
      <c r="O53" s="215">
        <f t="shared" si="201"/>
        <v>23.885760275999999</v>
      </c>
      <c r="P53" s="215">
        <f t="shared" si="201"/>
        <v>31.431615180000005</v>
      </c>
      <c r="Q53" s="216">
        <f t="shared" si="201"/>
        <v>30.561109250000005</v>
      </c>
      <c r="R53" s="215">
        <f t="shared" si="201"/>
        <v>41.267643407999998</v>
      </c>
      <c r="S53" s="215">
        <f t="shared" si="201"/>
        <v>39.441329088000003</v>
      </c>
      <c r="T53" s="215">
        <f t="shared" si="201"/>
        <v>41.198025917999992</v>
      </c>
      <c r="U53" s="216">
        <f t="shared" si="201"/>
        <v>35.353820124999999</v>
      </c>
      <c r="V53" s="215">
        <f t="shared" si="201"/>
        <v>51.112558499999999</v>
      </c>
      <c r="W53" s="215">
        <f t="shared" ref="W53:AI53" si="202">W$17*W42</f>
        <v>51.935442395999999</v>
      </c>
      <c r="X53" s="215">
        <f t="shared" si="202"/>
        <v>52.470932037296535</v>
      </c>
      <c r="Y53" s="216">
        <f t="shared" si="202"/>
        <v>44.309309099999993</v>
      </c>
      <c r="Z53" s="215">
        <f t="shared" si="202"/>
        <v>47.136853680000009</v>
      </c>
      <c r="AA53" s="215">
        <f t="shared" si="202"/>
        <v>49.425543300000008</v>
      </c>
      <c r="AB53" s="215">
        <f t="shared" si="202"/>
        <v>47.243060704000001</v>
      </c>
      <c r="AC53" s="216">
        <f t="shared" si="202"/>
        <v>47.409719917636764</v>
      </c>
      <c r="AD53" s="215">
        <f t="shared" si="202"/>
        <v>47.332369079852064</v>
      </c>
      <c r="AE53" s="215">
        <f t="shared" si="202"/>
        <v>33.700627046266916</v>
      </c>
      <c r="AF53" s="215">
        <f t="shared" si="202"/>
        <v>47.030135617798678</v>
      </c>
      <c r="AG53" s="216">
        <f t="shared" si="202"/>
        <v>49.001638200000002</v>
      </c>
      <c r="AH53" s="215">
        <f t="shared" si="202"/>
        <v>45.062383408896295</v>
      </c>
      <c r="AI53" s="215">
        <f t="shared" si="202"/>
        <v>40.469920025362448</v>
      </c>
      <c r="AJ53" s="215">
        <f t="shared" ref="AJ53:AL53" si="203">AJ$17*AJ42</f>
        <v>43.135761443060815</v>
      </c>
      <c r="AK53" s="216">
        <f t="shared" si="203"/>
        <v>44.406751856959787</v>
      </c>
      <c r="AL53" s="215">
        <f t="shared" si="203"/>
        <v>42.687638514077719</v>
      </c>
      <c r="AM53" s="215">
        <f t="shared" si="177"/>
        <v>47.402535216927767</v>
      </c>
      <c r="AN53" s="215">
        <f t="shared" si="177"/>
        <v>47.402535216927767</v>
      </c>
      <c r="AO53" s="216">
        <f t="shared" si="178"/>
        <v>46.898252927385983</v>
      </c>
      <c r="AP53" s="215">
        <f t="shared" si="178"/>
        <v>43.721274503272745</v>
      </c>
      <c r="AQ53" s="215">
        <f t="shared" si="178"/>
        <v>43.721274503272745</v>
      </c>
      <c r="AR53" s="215">
        <f t="shared" si="178"/>
        <v>46.807482115268478</v>
      </c>
      <c r="AS53" s="216">
        <f t="shared" si="179"/>
        <v>46.293114179935849</v>
      </c>
      <c r="AT53" s="215">
        <f t="shared" si="179"/>
        <v>46.756045321735215</v>
      </c>
      <c r="AU53" s="215">
        <f t="shared" si="179"/>
        <v>47.795068551107114</v>
      </c>
      <c r="AV53" s="215">
        <f t="shared" si="179"/>
        <v>48.834091780478992</v>
      </c>
      <c r="AW53" s="216">
        <f t="shared" si="180"/>
        <v>48.314580165793046</v>
      </c>
      <c r="AX53" s="264"/>
      <c r="AY53" s="204"/>
      <c r="AZ53" s="335">
        <f t="shared" si="181"/>
        <v>44.911298037999998</v>
      </c>
      <c r="BA53" s="215">
        <f t="shared" si="182"/>
        <v>59.709255372000008</v>
      </c>
      <c r="BB53" s="215">
        <f t="shared" si="183"/>
        <v>47.838839401999998</v>
      </c>
      <c r="BC53" s="215">
        <f t="shared" si="184"/>
        <v>99.068482018000012</v>
      </c>
      <c r="BD53" s="215">
        <f t="shared" si="185"/>
        <v>157.26081853899998</v>
      </c>
      <c r="BE53" s="215">
        <f t="shared" si="170"/>
        <v>199.82824203329653</v>
      </c>
      <c r="BF53" s="215">
        <f t="shared" si="171"/>
        <v>191.21517760163681</v>
      </c>
      <c r="BG53" s="215">
        <f t="shared" si="172"/>
        <v>177.06476994391767</v>
      </c>
      <c r="BH53" s="215">
        <f t="shared" si="173"/>
        <v>173.07481673427935</v>
      </c>
      <c r="BI53" s="215">
        <f t="shared" si="174"/>
        <v>184.39096187531922</v>
      </c>
      <c r="BJ53" s="215">
        <f t="shared" si="193"/>
        <v>180.54314530174983</v>
      </c>
      <c r="BK53" s="215">
        <f t="shared" si="186"/>
        <v>191.69978581911437</v>
      </c>
    </row>
    <row r="54" spans="1:63" outlineLevel="1">
      <c r="A54" s="290" t="s">
        <v>708</v>
      </c>
      <c r="B54" s="215">
        <f t="shared" si="187"/>
        <v>118.47103730000001</v>
      </c>
      <c r="C54" s="215">
        <f t="shared" si="194"/>
        <v>124.343474904</v>
      </c>
      <c r="D54" s="215">
        <f t="shared" si="194"/>
        <v>61.350001992000003</v>
      </c>
      <c r="E54" s="216">
        <f t="shared" si="194"/>
        <v>49.443186114</v>
      </c>
      <c r="F54" s="215">
        <f t="shared" si="194"/>
        <v>52.738052240000002</v>
      </c>
      <c r="G54" s="215">
        <f t="shared" si="194"/>
        <v>60.9247692</v>
      </c>
      <c r="H54" s="215">
        <f t="shared" si="194"/>
        <v>69.863168736000006</v>
      </c>
      <c r="I54" s="216">
        <f t="shared" si="194"/>
        <v>53.582772340000005</v>
      </c>
      <c r="J54" s="215">
        <f t="shared" si="189"/>
        <v>46.627611491999993</v>
      </c>
      <c r="K54" s="215">
        <f t="shared" si="189"/>
        <v>48.271482869999993</v>
      </c>
      <c r="L54" s="215">
        <f t="shared" si="189"/>
        <v>49.844394600000008</v>
      </c>
      <c r="M54" s="216">
        <f t="shared" ref="M54:V54" si="204">M$17*M43</f>
        <v>47.673419687999996</v>
      </c>
      <c r="N54" s="333">
        <f t="shared" si="204"/>
        <v>44.516240928000002</v>
      </c>
      <c r="O54" s="215">
        <f t="shared" si="204"/>
        <v>46.065394818000001</v>
      </c>
      <c r="P54" s="215">
        <f t="shared" si="204"/>
        <v>40.67620788</v>
      </c>
      <c r="Q54" s="216">
        <f t="shared" si="204"/>
        <v>54.136822100000003</v>
      </c>
      <c r="R54" s="215">
        <f t="shared" si="204"/>
        <v>60.391673279999992</v>
      </c>
      <c r="S54" s="215">
        <f t="shared" si="204"/>
        <v>72.719950506000004</v>
      </c>
      <c r="T54" s="215">
        <f t="shared" si="204"/>
        <v>71.764303211999987</v>
      </c>
      <c r="U54" s="216">
        <f t="shared" si="204"/>
        <v>74.950098664999999</v>
      </c>
      <c r="V54" s="215">
        <f t="shared" si="204"/>
        <v>59.631318250000007</v>
      </c>
      <c r="W54" s="215">
        <f t="shared" ref="W54:AI54" si="205">W$17*W43</f>
        <v>62.68070634</v>
      </c>
      <c r="X54" s="215">
        <f t="shared" si="205"/>
        <v>61.737700500000003</v>
      </c>
      <c r="Y54" s="216">
        <f t="shared" si="205"/>
        <v>51.694193950000006</v>
      </c>
      <c r="Z54" s="215">
        <f t="shared" si="205"/>
        <v>44.443319184000003</v>
      </c>
      <c r="AA54" s="215">
        <f t="shared" si="205"/>
        <v>46.601226540000006</v>
      </c>
      <c r="AB54" s="215">
        <f t="shared" si="205"/>
        <v>50.861257538438551</v>
      </c>
      <c r="AC54" s="216">
        <f t="shared" si="205"/>
        <v>57.622663611411511</v>
      </c>
      <c r="AD54" s="215">
        <f t="shared" si="205"/>
        <v>65.200765906285483</v>
      </c>
      <c r="AE54" s="215">
        <f t="shared" si="205"/>
        <v>114.80855126000002</v>
      </c>
      <c r="AF54" s="215">
        <f t="shared" si="205"/>
        <v>81.443915919133303</v>
      </c>
      <c r="AG54" s="216">
        <f t="shared" si="205"/>
        <v>61.252047749999996</v>
      </c>
      <c r="AH54" s="215">
        <f t="shared" si="205"/>
        <v>70.029565485216608</v>
      </c>
      <c r="AI54" s="215">
        <f t="shared" si="205"/>
        <v>67.307307085470768</v>
      </c>
      <c r="AJ54" s="215">
        <f t="shared" ref="AJ54:AL54" si="206">AJ$17*AJ43</f>
        <v>71.74098540333604</v>
      </c>
      <c r="AK54" s="216">
        <f t="shared" si="206"/>
        <v>73.854825560108651</v>
      </c>
      <c r="AL54" s="215">
        <f t="shared" si="206"/>
        <v>68.572176430809847</v>
      </c>
      <c r="AM54" s="215">
        <f t="shared" si="177"/>
        <v>102.32125316040559</v>
      </c>
      <c r="AN54" s="215">
        <f t="shared" si="177"/>
        <v>97.967157281239409</v>
      </c>
      <c r="AO54" s="216">
        <f t="shared" si="178"/>
        <v>97.967157281239409</v>
      </c>
      <c r="AP54" s="215">
        <f t="shared" si="178"/>
        <v>94.375028180927302</v>
      </c>
      <c r="AQ54" s="215">
        <f t="shared" si="178"/>
        <v>94.375028180927302</v>
      </c>
      <c r="AR54" s="215">
        <f t="shared" si="178"/>
        <v>104.36767822361371</v>
      </c>
      <c r="AS54" s="216">
        <f t="shared" si="179"/>
        <v>104.36767822361371</v>
      </c>
      <c r="AT54" s="215">
        <f t="shared" si="179"/>
        <v>99.804368037453585</v>
      </c>
      <c r="AU54" s="215">
        <f t="shared" si="179"/>
        <v>99.804368037453585</v>
      </c>
      <c r="AV54" s="215">
        <f t="shared" si="179"/>
        <v>105.41135500584984</v>
      </c>
      <c r="AW54" s="216">
        <f t="shared" si="180"/>
        <v>105.41135500584984</v>
      </c>
      <c r="AX54" s="264"/>
      <c r="AY54" s="204"/>
      <c r="AZ54" s="335">
        <f t="shared" si="181"/>
        <v>353.60770031000004</v>
      </c>
      <c r="BA54" s="215">
        <f t="shared" si="182"/>
        <v>237.10876251600001</v>
      </c>
      <c r="BB54" s="215">
        <f t="shared" si="183"/>
        <v>192.41690864999998</v>
      </c>
      <c r="BC54" s="215">
        <f t="shared" si="184"/>
        <v>185.39466572600003</v>
      </c>
      <c r="BD54" s="215">
        <f t="shared" si="185"/>
        <v>279.826025663</v>
      </c>
      <c r="BE54" s="215">
        <f t="shared" si="170"/>
        <v>235.74391904000001</v>
      </c>
      <c r="BF54" s="215">
        <f t="shared" si="171"/>
        <v>199.52846687385005</v>
      </c>
      <c r="BG54" s="215">
        <f t="shared" si="172"/>
        <v>322.70528083541876</v>
      </c>
      <c r="BH54" s="215">
        <f t="shared" si="173"/>
        <v>282.93268353413202</v>
      </c>
      <c r="BI54" s="215">
        <f t="shared" si="174"/>
        <v>366.82774415369425</v>
      </c>
      <c r="BJ54" s="215">
        <f t="shared" si="193"/>
        <v>397.48541280908205</v>
      </c>
      <c r="BK54" s="215">
        <f t="shared" si="186"/>
        <v>410.43144608660685</v>
      </c>
    </row>
    <row r="55" spans="1:63" outlineLevel="1">
      <c r="A55" s="290" t="s">
        <v>707</v>
      </c>
      <c r="B55" s="215">
        <f t="shared" si="187"/>
        <v>259.25155565</v>
      </c>
      <c r="C55" s="215">
        <f t="shared" si="194"/>
        <v>213.78351825599998</v>
      </c>
      <c r="D55" s="215">
        <f t="shared" si="194"/>
        <v>286.30000929599998</v>
      </c>
      <c r="E55" s="216">
        <f t="shared" si="194"/>
        <v>296.65911668399997</v>
      </c>
      <c r="F55" s="215">
        <f t="shared" si="194"/>
        <v>269.93555686000002</v>
      </c>
      <c r="G55" s="215">
        <f t="shared" si="194"/>
        <v>297.40907070000003</v>
      </c>
      <c r="H55" s="215">
        <f t="shared" si="194"/>
        <v>317.19484656000003</v>
      </c>
      <c r="I55" s="216">
        <f t="shared" si="194"/>
        <v>284.06209446000003</v>
      </c>
      <c r="J55" s="215">
        <f t="shared" si="189"/>
        <v>289.84731468000001</v>
      </c>
      <c r="K55" s="215">
        <f t="shared" si="189"/>
        <v>286.65834442799996</v>
      </c>
      <c r="L55" s="215">
        <f t="shared" si="189"/>
        <v>270.36807980000003</v>
      </c>
      <c r="M55" s="216">
        <f t="shared" ref="M55:V55" si="207">M$17*M44</f>
        <v>269.12414339999998</v>
      </c>
      <c r="N55" s="333">
        <f t="shared" si="207"/>
        <v>275.34119388800002</v>
      </c>
      <c r="O55" s="215">
        <f t="shared" si="207"/>
        <v>281.51074611000001</v>
      </c>
      <c r="P55" s="215">
        <f t="shared" si="207"/>
        <v>288.43129224</v>
      </c>
      <c r="Q55" s="216">
        <f t="shared" si="207"/>
        <v>283.78172875000001</v>
      </c>
      <c r="R55" s="215">
        <f t="shared" si="207"/>
        <v>304.97795006399997</v>
      </c>
      <c r="S55" s="215">
        <f t="shared" si="207"/>
        <v>350.04179565600003</v>
      </c>
      <c r="T55" s="215">
        <f t="shared" si="207"/>
        <v>370.78223326199998</v>
      </c>
      <c r="U55" s="216">
        <f t="shared" si="207"/>
        <v>404.44770222999995</v>
      </c>
      <c r="V55" s="215">
        <f t="shared" si="207"/>
        <v>340.75039000000004</v>
      </c>
      <c r="W55" s="215">
        <f t="shared" ref="W55:AI55" si="208">W$17*W44</f>
        <v>358.17546479999999</v>
      </c>
      <c r="X55" s="215">
        <f t="shared" si="208"/>
        <v>352.78685999999999</v>
      </c>
      <c r="Y55" s="216">
        <f t="shared" si="208"/>
        <v>295.39539400000001</v>
      </c>
      <c r="Z55" s="215">
        <f t="shared" si="208"/>
        <v>215.48275968000002</v>
      </c>
      <c r="AA55" s="215">
        <f t="shared" si="208"/>
        <v>225.94534080000003</v>
      </c>
      <c r="AB55" s="215">
        <f t="shared" si="208"/>
        <v>246.36429577271105</v>
      </c>
      <c r="AC55" s="216">
        <f t="shared" si="208"/>
        <v>279.35342847924022</v>
      </c>
      <c r="AD55" s="215">
        <f t="shared" si="208"/>
        <v>311.33407652588994</v>
      </c>
      <c r="AE55" s="215">
        <f t="shared" si="208"/>
        <v>441.57135100000005</v>
      </c>
      <c r="AF55" s="215">
        <f t="shared" si="208"/>
        <v>324.25824213896317</v>
      </c>
      <c r="AG55" s="216">
        <f t="shared" si="208"/>
        <v>245.00819099999998</v>
      </c>
      <c r="AH55" s="215">
        <f t="shared" si="208"/>
        <v>308.34170149222041</v>
      </c>
      <c r="AI55" s="215">
        <f t="shared" si="208"/>
        <v>287.63962152903497</v>
      </c>
      <c r="AJ55" s="215">
        <f t="shared" ref="AJ55:AL55" si="209">AJ$17*AJ44</f>
        <v>306.58706733477493</v>
      </c>
      <c r="AK55" s="216">
        <f t="shared" si="209"/>
        <v>333.43736580000001</v>
      </c>
      <c r="AL55" s="215">
        <f t="shared" si="209"/>
        <v>322.47007597929149</v>
      </c>
      <c r="AM55" s="215">
        <f t="shared" si="177"/>
        <v>432.45034110232427</v>
      </c>
      <c r="AN55" s="215">
        <f t="shared" si="177"/>
        <v>391.0455212095485</v>
      </c>
      <c r="AO55" s="216">
        <f t="shared" si="178"/>
        <v>391.0455212095485</v>
      </c>
      <c r="AP55" s="215">
        <f t="shared" si="178"/>
        <v>398.86643163373947</v>
      </c>
      <c r="AQ55" s="215">
        <f t="shared" si="178"/>
        <v>398.86643163373947</v>
      </c>
      <c r="AR55" s="215">
        <f t="shared" si="178"/>
        <v>441.0993479243707</v>
      </c>
      <c r="AS55" s="216">
        <f t="shared" si="179"/>
        <v>441.0993479243707</v>
      </c>
      <c r="AT55" s="215">
        <f t="shared" si="179"/>
        <v>421.81298281831573</v>
      </c>
      <c r="AU55" s="215">
        <f t="shared" si="179"/>
        <v>421.81298281831573</v>
      </c>
      <c r="AV55" s="215">
        <f t="shared" si="179"/>
        <v>445.51034140361446</v>
      </c>
      <c r="AW55" s="216">
        <f t="shared" si="180"/>
        <v>445.51034140361446</v>
      </c>
      <c r="AX55" s="264"/>
      <c r="AY55" s="204"/>
      <c r="AZ55" s="335">
        <f t="shared" si="181"/>
        <v>1055.9941998859999</v>
      </c>
      <c r="BA55" s="215">
        <f t="shared" si="182"/>
        <v>1168.60156858</v>
      </c>
      <c r="BB55" s="215">
        <f t="shared" si="183"/>
        <v>1115.997882308</v>
      </c>
      <c r="BC55" s="215">
        <f t="shared" si="184"/>
        <v>1129.0649609879999</v>
      </c>
      <c r="BD55" s="215">
        <f t="shared" si="185"/>
        <v>1430.249681212</v>
      </c>
      <c r="BE55" s="215">
        <f t="shared" si="170"/>
        <v>1347.1081088000001</v>
      </c>
      <c r="BF55" s="215">
        <f t="shared" si="171"/>
        <v>967.14582473195128</v>
      </c>
      <c r="BG55" s="215">
        <f t="shared" si="172"/>
        <v>1322.1718606648531</v>
      </c>
      <c r="BH55" s="215">
        <f t="shared" si="173"/>
        <v>1236.0057561560302</v>
      </c>
      <c r="BI55" s="215">
        <f t="shared" si="174"/>
        <v>1537.0114595007128</v>
      </c>
      <c r="BJ55" s="215">
        <f t="shared" si="193"/>
        <v>1679.9315591162203</v>
      </c>
      <c r="BK55" s="215">
        <f t="shared" si="186"/>
        <v>1734.6466484438602</v>
      </c>
    </row>
    <row r="56" spans="1:63" outlineLevel="1">
      <c r="A56" s="290" t="s">
        <v>827</v>
      </c>
      <c r="B56" s="215">
        <f t="shared" si="187"/>
        <v>20.0016037</v>
      </c>
      <c r="C56" s="215">
        <f t="shared" si="194"/>
        <v>20.360335071999998</v>
      </c>
      <c r="D56" s="215">
        <f t="shared" si="194"/>
        <v>23.479630392000001</v>
      </c>
      <c r="E56" s="216">
        <f t="shared" si="194"/>
        <v>25.113999295999999</v>
      </c>
      <c r="F56" s="215">
        <f t="shared" si="194"/>
        <v>27.062947860000001</v>
      </c>
      <c r="G56" s="215">
        <f t="shared" si="194"/>
        <v>30.4623846</v>
      </c>
      <c r="H56" s="215">
        <f t="shared" si="194"/>
        <v>28.908897407999998</v>
      </c>
      <c r="I56" s="216">
        <f t="shared" si="194"/>
        <v>26.424380880000001</v>
      </c>
      <c r="J56" s="215">
        <f t="shared" si="189"/>
        <v>27.094422893999997</v>
      </c>
      <c r="K56" s="215">
        <f t="shared" si="189"/>
        <v>29.705527919999994</v>
      </c>
      <c r="L56" s="215">
        <f t="shared" si="189"/>
        <v>31.719160200000005</v>
      </c>
      <c r="M56" s="216">
        <f t="shared" ref="M56:V56" si="210">M$17*M45</f>
        <v>31.525971083999998</v>
      </c>
      <c r="N56" s="333">
        <f t="shared" si="210"/>
        <v>35.448117776000004</v>
      </c>
      <c r="O56" s="215">
        <f t="shared" si="210"/>
        <v>36.681703280999997</v>
      </c>
      <c r="P56" s="215">
        <f t="shared" si="210"/>
        <v>31.431615180000005</v>
      </c>
      <c r="Q56" s="216">
        <f t="shared" si="210"/>
        <v>34.926982000000002</v>
      </c>
      <c r="R56" s="215">
        <f t="shared" si="210"/>
        <v>36.235003967999994</v>
      </c>
      <c r="S56" s="215">
        <f t="shared" si="210"/>
        <v>39.441329088000003</v>
      </c>
      <c r="T56" s="215">
        <f t="shared" si="210"/>
        <v>39.869057339999991</v>
      </c>
      <c r="U56" s="216">
        <f t="shared" si="210"/>
        <v>41.010431345000001</v>
      </c>
      <c r="V56" s="215">
        <f t="shared" si="210"/>
        <v>34.075039000000004</v>
      </c>
      <c r="W56" s="215">
        <f t="shared" ref="W56:AI56" si="211">W$17*W45</f>
        <v>35.817546479999997</v>
      </c>
      <c r="X56" s="215">
        <f t="shared" si="211"/>
        <v>35.278686</v>
      </c>
      <c r="Y56" s="216">
        <f t="shared" si="211"/>
        <v>29.539539399999999</v>
      </c>
      <c r="Z56" s="215">
        <f t="shared" si="211"/>
        <v>22.895043216000005</v>
      </c>
      <c r="AA56" s="215">
        <f t="shared" si="211"/>
        <v>24.006692460000004</v>
      </c>
      <c r="AB56" s="215">
        <f t="shared" si="211"/>
        <v>26.30214217593414</v>
      </c>
      <c r="AC56" s="216">
        <f t="shared" si="211"/>
        <v>28.034783288689027</v>
      </c>
      <c r="AD56" s="215">
        <f t="shared" si="211"/>
        <v>31.585245548843702</v>
      </c>
      <c r="AE56" s="215">
        <f t="shared" si="211"/>
        <v>55.470661729048174</v>
      </c>
      <c r="AF56" s="215">
        <f t="shared" si="211"/>
        <v>38.039408355673807</v>
      </c>
      <c r="AG56" s="216">
        <f t="shared" si="211"/>
        <v>40.834698500000002</v>
      </c>
      <c r="AH56" s="215">
        <f t="shared" si="211"/>
        <v>30.145799070959107</v>
      </c>
      <c r="AI56" s="215">
        <f t="shared" si="211"/>
        <v>31.346646539999995</v>
      </c>
      <c r="AJ56" s="215">
        <f t="shared" ref="AJ56:AL56" si="212">AJ$17*AJ45</f>
        <v>33.411518143401075</v>
      </c>
      <c r="AK56" s="216">
        <f t="shared" si="212"/>
        <v>34.395984809884489</v>
      </c>
      <c r="AL56" s="215">
        <f t="shared" si="212"/>
        <v>33.672805111016395</v>
      </c>
      <c r="AM56" s="215">
        <f t="shared" si="177"/>
        <v>49.472496981933354</v>
      </c>
      <c r="AN56" s="215">
        <f t="shared" si="177"/>
        <v>39.472736953670228</v>
      </c>
      <c r="AO56" s="216">
        <f t="shared" si="178"/>
        <v>39.472736953670228</v>
      </c>
      <c r="AP56" s="215">
        <f t="shared" si="178"/>
        <v>45.630483918442792</v>
      </c>
      <c r="AQ56" s="215">
        <f t="shared" si="178"/>
        <v>45.630483918442792</v>
      </c>
      <c r="AR56" s="215">
        <f t="shared" si="178"/>
        <v>50.461946921572022</v>
      </c>
      <c r="AS56" s="216">
        <f t="shared" si="179"/>
        <v>50.461946921572022</v>
      </c>
      <c r="AT56" s="215">
        <f t="shared" si="179"/>
        <v>48.255578816809674</v>
      </c>
      <c r="AU56" s="215">
        <f t="shared" si="179"/>
        <v>48.255578816809674</v>
      </c>
      <c r="AV56" s="215">
        <f t="shared" si="179"/>
        <v>50.96656639078774</v>
      </c>
      <c r="AW56" s="216">
        <f t="shared" si="180"/>
        <v>50.96656639078774</v>
      </c>
      <c r="AX56" s="264"/>
      <c r="AY56" s="204"/>
      <c r="AZ56" s="335">
        <f t="shared" si="181"/>
        <v>88.955568460000009</v>
      </c>
      <c r="BA56" s="215">
        <f t="shared" si="182"/>
        <v>112.858610748</v>
      </c>
      <c r="BB56" s="215">
        <f t="shared" si="183"/>
        <v>120.04508209799999</v>
      </c>
      <c r="BC56" s="215">
        <f t="shared" si="184"/>
        <v>138.48841823700002</v>
      </c>
      <c r="BD56" s="215">
        <f t="shared" si="185"/>
        <v>156.55582174099999</v>
      </c>
      <c r="BE56" s="215">
        <f t="shared" si="170"/>
        <v>134.71081088</v>
      </c>
      <c r="BF56" s="215">
        <f t="shared" si="171"/>
        <v>101.23866114062318</v>
      </c>
      <c r="BG56" s="215">
        <f t="shared" si="172"/>
        <v>165.93001413356569</v>
      </c>
      <c r="BH56" s="215">
        <f t="shared" si="173"/>
        <v>129.29994856424466</v>
      </c>
      <c r="BI56" s="215">
        <f t="shared" si="174"/>
        <v>162.09077600029019</v>
      </c>
      <c r="BJ56" s="215">
        <f t="shared" si="193"/>
        <v>192.1848616800296</v>
      </c>
      <c r="BK56" s="215">
        <f t="shared" si="186"/>
        <v>198.44429041519481</v>
      </c>
    </row>
    <row r="57" spans="1:63" s="296" customFormat="1" outlineLevel="1">
      <c r="A57" s="336" t="s">
        <v>706</v>
      </c>
      <c r="B57" s="343">
        <f>SUM(B49:B56)</f>
        <v>769.29245000000014</v>
      </c>
      <c r="C57" s="343">
        <f t="shared" ref="C57:K57" si="213">SUM(C49:C56)</f>
        <v>727.15482399999996</v>
      </c>
      <c r="D57" s="343">
        <f t="shared" si="213"/>
        <v>757.40743199999997</v>
      </c>
      <c r="E57" s="344">
        <f t="shared" si="213"/>
        <v>784.81247799999983</v>
      </c>
      <c r="F57" s="343">
        <f t="shared" si="213"/>
        <v>693.92174000000011</v>
      </c>
      <c r="G57" s="343">
        <f t="shared" si="213"/>
        <v>801.6416999999999</v>
      </c>
      <c r="H57" s="343">
        <f t="shared" si="213"/>
        <v>803.02492800000005</v>
      </c>
      <c r="I57" s="344">
        <f t="shared" si="213"/>
        <v>734.01058000000012</v>
      </c>
      <c r="J57" s="343">
        <f>SUM(J49:J56)</f>
        <v>630.10285799999997</v>
      </c>
      <c r="K57" s="343">
        <f t="shared" si="213"/>
        <v>742.63819799999999</v>
      </c>
      <c r="L57" s="343">
        <f t="shared" ref="L57:Q57" si="214">SUM(L49:L56)</f>
        <v>755.21810000000005</v>
      </c>
      <c r="M57" s="344">
        <f t="shared" si="214"/>
        <v>768.92612399999996</v>
      </c>
      <c r="N57" s="722">
        <f t="shared" si="214"/>
        <v>824.37483200000008</v>
      </c>
      <c r="O57" s="343">
        <f t="shared" si="214"/>
        <v>853.06286699999998</v>
      </c>
      <c r="P57" s="343">
        <f t="shared" si="214"/>
        <v>924.45926999999995</v>
      </c>
      <c r="Q57" s="344">
        <f t="shared" si="214"/>
        <v>873.17454999999995</v>
      </c>
      <c r="R57" s="343">
        <f>SUM(R48:R56)</f>
        <v>1006.527888</v>
      </c>
      <c r="S57" s="343">
        <f t="shared" ref="S57:AW57" si="215">SUM(S48:S56)</f>
        <v>1232.541534</v>
      </c>
      <c r="T57" s="343">
        <f t="shared" si="215"/>
        <v>1328.9685779999995</v>
      </c>
      <c r="U57" s="344">
        <f t="shared" si="215"/>
        <v>1414.1528049999997</v>
      </c>
      <c r="V57" s="343">
        <f t="shared" si="215"/>
        <v>1703.7519500000001</v>
      </c>
      <c r="W57" s="343">
        <f t="shared" si="215"/>
        <v>1790.8773239999998</v>
      </c>
      <c r="X57" s="343">
        <f t="shared" si="215"/>
        <v>1763.9342999999999</v>
      </c>
      <c r="Y57" s="344">
        <f t="shared" si="215"/>
        <v>1476.9769699999999</v>
      </c>
      <c r="Z57" s="343">
        <f t="shared" si="215"/>
        <v>1346.7672480000001</v>
      </c>
      <c r="AA57" s="343">
        <f t="shared" si="215"/>
        <v>1412.1583799999999</v>
      </c>
      <c r="AB57" s="343">
        <f t="shared" si="215"/>
        <v>1476.3456470000006</v>
      </c>
      <c r="AC57" s="344">
        <f t="shared" si="215"/>
        <v>1559.1397710000001</v>
      </c>
      <c r="AD57" s="343">
        <f t="shared" si="215"/>
        <v>1627.6636800000003</v>
      </c>
      <c r="AE57" s="343">
        <f t="shared" si="215"/>
        <v>1766.2854040000002</v>
      </c>
      <c r="AF57" s="343">
        <f t="shared" si="215"/>
        <v>2049.6014719999998</v>
      </c>
      <c r="AG57" s="344">
        <f t="shared" si="215"/>
        <v>2041.7349249999993</v>
      </c>
      <c r="AH57" s="343">
        <f t="shared" si="215"/>
        <v>2139.3353520000001</v>
      </c>
      <c r="AI57" s="343">
        <f t="shared" si="215"/>
        <v>2089.7764360000001</v>
      </c>
      <c r="AJ57" s="343">
        <f t="shared" si="215"/>
        <v>2267.4945440000006</v>
      </c>
      <c r="AK57" s="344">
        <f t="shared" si="215"/>
        <v>2299.5680400000001</v>
      </c>
      <c r="AL57" s="343">
        <f t="shared" ref="AL57" si="216">SUM(AL48:AL56)</f>
        <v>2352.6522930000001</v>
      </c>
      <c r="AM57" s="343">
        <f t="shared" si="215"/>
        <v>2755.9865675611727</v>
      </c>
      <c r="AN57" s="343">
        <f t="shared" si="215"/>
        <v>2896.2268503517535</v>
      </c>
      <c r="AO57" s="344">
        <f t="shared" si="215"/>
        <v>2955.7558754040533</v>
      </c>
      <c r="AP57" s="343">
        <f t="shared" si="215"/>
        <v>2933.7066898738758</v>
      </c>
      <c r="AQ57" s="343">
        <f t="shared" si="215"/>
        <v>3124.6524653760462</v>
      </c>
      <c r="AR57" s="343">
        <f t="shared" si="215"/>
        <v>3528.5183508827408</v>
      </c>
      <c r="AS57" s="344">
        <f t="shared" si="215"/>
        <v>3602.653385197309</v>
      </c>
      <c r="AT57" s="343">
        <f t="shared" si="215"/>
        <v>3670.3665030799743</v>
      </c>
      <c r="AU57" s="343">
        <f t="shared" si="215"/>
        <v>3835.3781680455099</v>
      </c>
      <c r="AV57" s="343">
        <f t="shared" si="215"/>
        <v>4179.4577301575227</v>
      </c>
      <c r="AW57" s="344">
        <f t="shared" si="215"/>
        <v>4320.1952064467205</v>
      </c>
      <c r="AX57" s="264"/>
      <c r="AY57" s="217"/>
      <c r="AZ57" s="341">
        <f t="shared" si="181"/>
        <v>3038.6671839999999</v>
      </c>
      <c r="BA57" s="343">
        <f t="shared" si="182"/>
        <v>3032.5989479999998</v>
      </c>
      <c r="BB57" s="343">
        <f t="shared" si="183"/>
        <v>2896.88528</v>
      </c>
      <c r="BC57" s="343">
        <f t="shared" si="184"/>
        <v>3475.0715190000001</v>
      </c>
      <c r="BD57" s="343">
        <f t="shared" si="185"/>
        <v>4982.1908049999993</v>
      </c>
      <c r="BE57" s="343">
        <f t="shared" si="170"/>
        <v>6735.5405439999995</v>
      </c>
      <c r="BF57" s="343">
        <f t="shared" si="171"/>
        <v>5794.4110460000011</v>
      </c>
      <c r="BG57" s="343">
        <f t="shared" si="172"/>
        <v>7485.285480999999</v>
      </c>
      <c r="BH57" s="343">
        <f t="shared" si="173"/>
        <v>8796.1743720000013</v>
      </c>
      <c r="BI57" s="343">
        <f t="shared" si="174"/>
        <v>10960.62158631698</v>
      </c>
      <c r="BJ57" s="343">
        <f>SUM(AP57:AS57)</f>
        <v>13189.530891329972</v>
      </c>
      <c r="BK57" s="343">
        <f>SUM(AT57:AW57)</f>
        <v>16005.397607729728</v>
      </c>
    </row>
    <row r="58" spans="1:63" outlineLevel="1">
      <c r="A58" s="290" t="s">
        <v>847</v>
      </c>
      <c r="B58" s="214">
        <f t="shared" ref="B58:M58" si="217">SUM(B54:B56)</f>
        <v>397.72419665000001</v>
      </c>
      <c r="C58" s="214">
        <f t="shared" si="217"/>
        <v>358.48732823199998</v>
      </c>
      <c r="D58" s="215">
        <f t="shared" si="217"/>
        <v>371.12964167999996</v>
      </c>
      <c r="E58" s="216">
        <f t="shared" si="217"/>
        <v>371.21630209399996</v>
      </c>
      <c r="F58" s="215">
        <f t="shared" si="217"/>
        <v>349.73655696000003</v>
      </c>
      <c r="G58" s="215">
        <f t="shared" si="217"/>
        <v>388.79622450000005</v>
      </c>
      <c r="H58" s="215">
        <f t="shared" si="217"/>
        <v>415.96691270399998</v>
      </c>
      <c r="I58" s="216">
        <f t="shared" si="217"/>
        <v>364.06924768000005</v>
      </c>
      <c r="J58" s="215">
        <f t="shared" si="217"/>
        <v>363.56934906599997</v>
      </c>
      <c r="K58" s="215">
        <f t="shared" si="217"/>
        <v>364.63535521799997</v>
      </c>
      <c r="L58" s="215">
        <f>SUM(L54:L56)</f>
        <v>351.93163460000005</v>
      </c>
      <c r="M58" s="216">
        <f t="shared" si="217"/>
        <v>348.32353417199994</v>
      </c>
      <c r="N58" s="333">
        <f t="shared" ref="N58:AD58" si="218">SUM(N54:N56)</f>
        <v>355.30555259200003</v>
      </c>
      <c r="O58" s="215">
        <f t="shared" si="218"/>
        <v>364.25784420900004</v>
      </c>
      <c r="P58" s="215">
        <f t="shared" si="218"/>
        <v>360.53911529999999</v>
      </c>
      <c r="Q58" s="216">
        <f t="shared" si="218"/>
        <v>372.84553285000004</v>
      </c>
      <c r="R58" s="215">
        <f t="shared" si="218"/>
        <v>401.60462731199993</v>
      </c>
      <c r="S58" s="215">
        <f t="shared" si="218"/>
        <v>462.20307524999998</v>
      </c>
      <c r="T58" s="215">
        <f t="shared" si="218"/>
        <v>482.41559381399992</v>
      </c>
      <c r="U58" s="216">
        <f t="shared" si="218"/>
        <v>520.40823223999996</v>
      </c>
      <c r="V58" s="215">
        <f t="shared" si="218"/>
        <v>434.45674725000003</v>
      </c>
      <c r="W58" s="215">
        <f t="shared" si="218"/>
        <v>456.67371761999999</v>
      </c>
      <c r="X58" s="215">
        <f>SUM(X54:X56)</f>
        <v>449.8032465</v>
      </c>
      <c r="Y58" s="216">
        <f>SUM(Y54:Y56)</f>
        <v>376.62912735000003</v>
      </c>
      <c r="Z58" s="215">
        <f>SUM(Z54:Z56)</f>
        <v>282.82112208000001</v>
      </c>
      <c r="AA58" s="215">
        <f>SUM(AA54:AA56)</f>
        <v>296.55325980000003</v>
      </c>
      <c r="AB58" s="215">
        <f>SUM(AB54:AB56)</f>
        <v>323.52769548708375</v>
      </c>
      <c r="AC58" s="216">
        <f t="shared" si="218"/>
        <v>365.01087537934075</v>
      </c>
      <c r="AD58" s="215">
        <f t="shared" si="218"/>
        <v>408.12008798101914</v>
      </c>
      <c r="AE58" s="215">
        <f t="shared" ref="AE58:AO58" si="219">SUM(AE54:AE56)</f>
        <v>611.85056398904828</v>
      </c>
      <c r="AF58" s="215">
        <f t="shared" si="219"/>
        <v>443.74156641377027</v>
      </c>
      <c r="AG58" s="216">
        <f t="shared" si="219"/>
        <v>347.09493724999999</v>
      </c>
      <c r="AH58" s="215">
        <f t="shared" si="219"/>
        <v>408.51706604839615</v>
      </c>
      <c r="AI58" s="215">
        <f t="shared" si="219"/>
        <v>386.29357515450573</v>
      </c>
      <c r="AJ58" s="215">
        <f t="shared" ref="AJ58:AL58" si="220">SUM(AJ54:AJ56)</f>
        <v>411.73957088151201</v>
      </c>
      <c r="AK58" s="216">
        <f t="shared" si="220"/>
        <v>441.68817616999314</v>
      </c>
      <c r="AL58" s="215">
        <f t="shared" si="220"/>
        <v>424.71505752111773</v>
      </c>
      <c r="AM58" s="215">
        <f t="shared" si="219"/>
        <v>584.2440912446632</v>
      </c>
      <c r="AN58" s="215">
        <f t="shared" si="219"/>
        <v>528.48541544445811</v>
      </c>
      <c r="AO58" s="216">
        <f t="shared" si="219"/>
        <v>528.48541544445811</v>
      </c>
      <c r="AP58" s="215">
        <f t="shared" ref="AP58:AS58" si="221">SUM(AP54:AP56)</f>
        <v>538.87194373310956</v>
      </c>
      <c r="AQ58" s="215">
        <f t="shared" si="221"/>
        <v>538.87194373310956</v>
      </c>
      <c r="AR58" s="215">
        <f t="shared" si="221"/>
        <v>595.92897306955638</v>
      </c>
      <c r="AS58" s="216">
        <f t="shared" si="221"/>
        <v>595.92897306955638</v>
      </c>
      <c r="AT58" s="215">
        <f t="shared" ref="AT58:AW58" si="222">SUM(AT54:AT56)</f>
        <v>569.87292967257906</v>
      </c>
      <c r="AU58" s="215">
        <f t="shared" si="222"/>
        <v>569.87292967257906</v>
      </c>
      <c r="AV58" s="215">
        <f t="shared" si="222"/>
        <v>601.88826280025205</v>
      </c>
      <c r="AW58" s="216">
        <f t="shared" si="222"/>
        <v>601.88826280025205</v>
      </c>
      <c r="AY58" s="204"/>
      <c r="AZ58" s="335">
        <f t="shared" ref="AZ58:BE58" si="223">SUM(AZ54:AZ56)</f>
        <v>1498.5574686559999</v>
      </c>
      <c r="BA58" s="214">
        <f t="shared" si="223"/>
        <v>1518.5689418440002</v>
      </c>
      <c r="BB58" s="214">
        <f t="shared" si="223"/>
        <v>1428.4598730560001</v>
      </c>
      <c r="BC58" s="214">
        <f t="shared" si="223"/>
        <v>1452.9480449510002</v>
      </c>
      <c r="BD58" s="214">
        <f t="shared" si="223"/>
        <v>1866.631528616</v>
      </c>
      <c r="BE58" s="214">
        <f t="shared" si="223"/>
        <v>1717.5628387200002</v>
      </c>
      <c r="BF58" s="214">
        <f t="shared" ref="BF58:BK58" si="224">SUM(BF54:BF56)</f>
        <v>1267.9129527464245</v>
      </c>
      <c r="BG58" s="214">
        <f t="shared" si="224"/>
        <v>1810.8071556338375</v>
      </c>
      <c r="BH58" s="214">
        <f t="shared" si="224"/>
        <v>1648.238388254407</v>
      </c>
      <c r="BI58" s="214">
        <f t="shared" si="224"/>
        <v>2065.9299796546975</v>
      </c>
      <c r="BJ58" s="214">
        <f t="shared" si="224"/>
        <v>2269.6018336053321</v>
      </c>
      <c r="BK58" s="214">
        <f t="shared" si="224"/>
        <v>2343.5223849456615</v>
      </c>
    </row>
    <row r="59" spans="1:63" s="296" customFormat="1" outlineLevel="1">
      <c r="A59" s="304" t="s">
        <v>848</v>
      </c>
      <c r="B59" s="318">
        <f t="shared" ref="B59:M59" si="225">SUM(B49:B53)</f>
        <v>371.56825335000008</v>
      </c>
      <c r="C59" s="318">
        <f t="shared" si="225"/>
        <v>368.66749576799998</v>
      </c>
      <c r="D59" s="360">
        <f t="shared" si="225"/>
        <v>386.27779031999995</v>
      </c>
      <c r="E59" s="361">
        <f t="shared" si="225"/>
        <v>413.59617590599993</v>
      </c>
      <c r="F59" s="360">
        <f t="shared" si="225"/>
        <v>344.18518304000003</v>
      </c>
      <c r="G59" s="360">
        <f t="shared" si="225"/>
        <v>412.84547549999996</v>
      </c>
      <c r="H59" s="360">
        <f t="shared" si="225"/>
        <v>387.05801529600006</v>
      </c>
      <c r="I59" s="361">
        <f t="shared" si="225"/>
        <v>369.94133232000007</v>
      </c>
      <c r="J59" s="360">
        <f t="shared" si="225"/>
        <v>266.533508934</v>
      </c>
      <c r="K59" s="360">
        <f t="shared" si="225"/>
        <v>378.00284278199996</v>
      </c>
      <c r="L59" s="360">
        <f>SUM(L49:L53)</f>
        <v>403.28646540000005</v>
      </c>
      <c r="M59" s="361">
        <f t="shared" si="225"/>
        <v>420.60258982799996</v>
      </c>
      <c r="N59" s="362">
        <f t="shared" ref="N59:W59" si="226">SUM(N49:N53)</f>
        <v>469.06927940800006</v>
      </c>
      <c r="O59" s="360">
        <f t="shared" si="226"/>
        <v>488.805022791</v>
      </c>
      <c r="P59" s="360">
        <f t="shared" si="226"/>
        <v>563.9201546999999</v>
      </c>
      <c r="Q59" s="361">
        <f t="shared" si="226"/>
        <v>500.32901714999997</v>
      </c>
      <c r="R59" s="360">
        <f t="shared" si="226"/>
        <v>599.890621248</v>
      </c>
      <c r="S59" s="360">
        <f t="shared" si="226"/>
        <v>764.17575107999994</v>
      </c>
      <c r="T59" s="360">
        <f t="shared" si="226"/>
        <v>826.61845551599959</v>
      </c>
      <c r="U59" s="361">
        <f t="shared" si="226"/>
        <v>865.4615166599998</v>
      </c>
      <c r="V59" s="360">
        <f t="shared" si="226"/>
        <v>1201.1451247499999</v>
      </c>
      <c r="W59" s="360">
        <f t="shared" si="226"/>
        <v>1262.5685134199996</v>
      </c>
      <c r="X59" s="360">
        <f t="shared" ref="X59:AO59" si="227">SUM(X49:X53)</f>
        <v>1243.5736814999998</v>
      </c>
      <c r="Y59" s="361">
        <f t="shared" si="227"/>
        <v>1041.2687638499997</v>
      </c>
      <c r="Z59" s="360">
        <f t="shared" si="227"/>
        <v>1008.7286687519997</v>
      </c>
      <c r="AA59" s="360">
        <f t="shared" si="227"/>
        <v>1057.70662662</v>
      </c>
      <c r="AB59" s="360">
        <f t="shared" si="227"/>
        <v>1086.3823973979165</v>
      </c>
      <c r="AC59" s="361">
        <f t="shared" si="227"/>
        <v>1131.7633047806594</v>
      </c>
      <c r="AD59" s="360">
        <f t="shared" si="227"/>
        <v>1154.4370448189811</v>
      </c>
      <c r="AE59" s="360">
        <f t="shared" si="227"/>
        <v>1083.783423850952</v>
      </c>
      <c r="AF59" s="360">
        <f t="shared" si="227"/>
        <v>1472.6358099062295</v>
      </c>
      <c r="AG59" s="361">
        <f t="shared" si="227"/>
        <v>1576.2193620999997</v>
      </c>
      <c r="AH59" s="360">
        <f t="shared" si="227"/>
        <v>1606.7368355356036</v>
      </c>
      <c r="AI59" s="360">
        <f t="shared" si="227"/>
        <v>1582.275827557494</v>
      </c>
      <c r="AJ59" s="360">
        <f t="shared" ref="AJ59:AL59" si="228">SUM(AJ49:AJ53)</f>
        <v>1719.7053004784884</v>
      </c>
      <c r="AK59" s="361">
        <f t="shared" si="228"/>
        <v>1708.4079412300068</v>
      </c>
      <c r="AL59" s="360">
        <f t="shared" si="228"/>
        <v>1756.7943978574303</v>
      </c>
      <c r="AM59" s="360">
        <f t="shared" si="227"/>
        <v>1981.76974213524</v>
      </c>
      <c r="AN59" s="360">
        <f t="shared" si="227"/>
        <v>2117.4009699105345</v>
      </c>
      <c r="AO59" s="361">
        <f t="shared" si="227"/>
        <v>2154.3542015262524</v>
      </c>
      <c r="AP59" s="360">
        <f t="shared" ref="AP59:AS59" si="229">SUM(AP49:AP53)</f>
        <v>2058.1865612863994</v>
      </c>
      <c r="AQ59" s="360">
        <f t="shared" si="229"/>
        <v>2219.7885034941332</v>
      </c>
      <c r="AR59" s="360">
        <f t="shared" si="229"/>
        <v>2507.2609129338325</v>
      </c>
      <c r="AS59" s="361">
        <f t="shared" si="229"/>
        <v>2544.1374242866573</v>
      </c>
      <c r="AT59" s="360">
        <f t="shared" ref="AT59:AW59" si="230">SUM(AT49:AT53)</f>
        <v>2569.5404297432833</v>
      </c>
      <c r="AU59" s="360">
        <f t="shared" si="230"/>
        <v>2675.3808536008678</v>
      </c>
      <c r="AV59" s="360">
        <f t="shared" si="230"/>
        <v>2889.2690809029018</v>
      </c>
      <c r="AW59" s="361">
        <f t="shared" si="230"/>
        <v>2957.7310102093475</v>
      </c>
      <c r="AX59" s="208"/>
      <c r="AY59" s="217"/>
      <c r="AZ59" s="548">
        <f>SUM(AZ49:AZ53)</f>
        <v>1540.1097153440001</v>
      </c>
      <c r="BA59" s="318">
        <f>SUM(BA49:BA53)</f>
        <v>1514.0300061560001</v>
      </c>
      <c r="BB59" s="318">
        <f>SUM(BB49:BB53)</f>
        <v>1468.4254069440001</v>
      </c>
      <c r="BC59" s="318">
        <f>SUM(BC49:BC53)</f>
        <v>2022.1234740489999</v>
      </c>
      <c r="BD59" s="318">
        <f>SUM(BD49:BD53)</f>
        <v>3056.1463445039994</v>
      </c>
      <c r="BE59" s="318">
        <f t="shared" ref="BE59:BJ59" si="231">SUM(BE48:BE53)</f>
        <v>5017.9777052799991</v>
      </c>
      <c r="BF59" s="318">
        <f t="shared" si="231"/>
        <v>4526.4980932535755</v>
      </c>
      <c r="BG59" s="318">
        <f t="shared" si="231"/>
        <v>5674.4783253661617</v>
      </c>
      <c r="BH59" s="318">
        <f t="shared" si="231"/>
        <v>7147.9359837455941</v>
      </c>
      <c r="BI59" s="318">
        <f t="shared" si="231"/>
        <v>8894.6916066622816</v>
      </c>
      <c r="BJ59" s="318">
        <f t="shared" si="231"/>
        <v>10919.929057724639</v>
      </c>
      <c r="BK59" s="318">
        <f t="shared" ref="BK59" si="232">SUM(BK48:BK53)</f>
        <v>13661.875222784063</v>
      </c>
    </row>
    <row r="60" spans="1:63" outlineLevel="1">
      <c r="A60" s="319" t="s">
        <v>845</v>
      </c>
      <c r="B60" s="212"/>
      <c r="C60" s="212"/>
      <c r="D60" s="212"/>
      <c r="E60" s="213"/>
      <c r="F60" s="212"/>
      <c r="G60" s="212"/>
      <c r="H60" s="212"/>
      <c r="I60" s="213"/>
      <c r="J60" s="212"/>
      <c r="K60" s="212"/>
      <c r="L60" s="212"/>
      <c r="M60" s="213"/>
      <c r="N60" s="212"/>
      <c r="O60" s="212"/>
      <c r="P60" s="212"/>
      <c r="Q60" s="213"/>
      <c r="R60" s="686"/>
      <c r="S60" s="212"/>
      <c r="T60" s="212"/>
      <c r="U60" s="213"/>
      <c r="V60" s="212"/>
      <c r="W60" s="212"/>
      <c r="X60" s="212"/>
      <c r="Y60" s="213"/>
      <c r="Z60" s="212"/>
      <c r="AA60" s="212"/>
      <c r="AB60" s="686"/>
      <c r="AC60" s="213"/>
      <c r="AD60" s="212"/>
      <c r="AE60" s="212"/>
      <c r="AF60" s="212"/>
      <c r="AG60" s="213"/>
      <c r="AH60" s="212"/>
      <c r="AI60" s="212"/>
      <c r="AJ60" s="212"/>
      <c r="AK60" s="213"/>
      <c r="AL60" s="212"/>
      <c r="AM60" s="212"/>
      <c r="AN60" s="212"/>
      <c r="AO60" s="213"/>
      <c r="AP60" s="212"/>
      <c r="AQ60" s="212"/>
      <c r="AR60" s="212"/>
      <c r="AS60" s="213"/>
      <c r="AT60" s="212"/>
      <c r="AU60" s="212"/>
      <c r="AV60" s="212"/>
      <c r="AW60" s="213"/>
      <c r="AY60" s="204"/>
      <c r="AZ60" s="324"/>
      <c r="BA60" s="212"/>
      <c r="BB60" s="212"/>
      <c r="BC60" s="212"/>
      <c r="BD60" s="212"/>
      <c r="BE60" s="212"/>
      <c r="BF60" s="212"/>
      <c r="BG60" s="212"/>
      <c r="BH60" s="212"/>
      <c r="BI60" s="212"/>
      <c r="BJ60" s="212"/>
      <c r="BK60" s="212"/>
    </row>
    <row r="61" spans="1:63" outlineLevel="1">
      <c r="A61" s="290" t="s">
        <v>1204</v>
      </c>
      <c r="B61" s="212"/>
      <c r="C61" s="212"/>
      <c r="D61" s="212"/>
      <c r="E61" s="213"/>
      <c r="F61" s="212"/>
      <c r="G61" s="212"/>
      <c r="H61" s="212"/>
      <c r="I61" s="213"/>
      <c r="J61" s="212"/>
      <c r="K61" s="212"/>
      <c r="L61" s="212"/>
      <c r="M61" s="213"/>
      <c r="N61" s="212"/>
      <c r="O61" s="212"/>
      <c r="P61" s="212"/>
      <c r="Q61" s="213"/>
      <c r="R61" s="212"/>
      <c r="S61" s="212"/>
      <c r="T61" s="212"/>
      <c r="U61" s="213"/>
      <c r="V61" s="212"/>
      <c r="W61" s="212"/>
      <c r="X61" s="212"/>
      <c r="Y61" s="213"/>
      <c r="Z61" s="212"/>
      <c r="AA61" s="212"/>
      <c r="AB61" s="212"/>
      <c r="AC61" s="213"/>
      <c r="AD61" s="212"/>
      <c r="AE61" s="212"/>
      <c r="AF61" s="212"/>
      <c r="AG61" s="213"/>
      <c r="AH61" s="212"/>
      <c r="AI61" s="212"/>
      <c r="AJ61" s="212"/>
      <c r="AK61" s="213"/>
      <c r="AL61" s="212"/>
      <c r="AM61" s="212"/>
      <c r="AN61" s="212"/>
      <c r="AO61" s="213"/>
      <c r="AP61" s="212"/>
      <c r="AQ61" s="212"/>
      <c r="AR61" s="212"/>
      <c r="AS61" s="213"/>
      <c r="AT61" s="212"/>
      <c r="AU61" s="212"/>
      <c r="AV61" s="212"/>
      <c r="AW61" s="213"/>
      <c r="AY61" s="204"/>
      <c r="AZ61" s="324"/>
      <c r="BA61" s="212"/>
      <c r="BB61" s="212"/>
      <c r="BC61" s="212"/>
      <c r="BD61" s="212"/>
      <c r="BE61" s="875">
        <f t="shared" ref="BE61" si="233">BE48/BD48-1</f>
        <v>3.5347302890920727</v>
      </c>
      <c r="BF61" s="875">
        <f t="shared" ref="BF61" si="234">BF48/BE48-1</f>
        <v>-0.10208730048214509</v>
      </c>
      <c r="BG61" s="875">
        <f t="shared" ref="BG61" si="235">BG48/BF48-1</f>
        <v>0.60138614248912625</v>
      </c>
      <c r="BH61" s="875">
        <f t="shared" ref="BH61" si="236">BH48/BG48-1</f>
        <v>0.37017656284120681</v>
      </c>
      <c r="BI61" s="875">
        <f t="shared" ref="BI61" si="237">BI48/BH48-1</f>
        <v>0.66608045007774863</v>
      </c>
      <c r="BJ61" s="875">
        <f t="shared" ref="BJ61" si="238">BJ48/BI48-1</f>
        <v>0.79851366251232303</v>
      </c>
      <c r="BK61" s="875">
        <f t="shared" ref="BK61" si="239">BK48/BJ48-1</f>
        <v>0.61575851752164823</v>
      </c>
    </row>
    <row r="62" spans="1:63" outlineLevel="1">
      <c r="A62" s="290" t="s">
        <v>935</v>
      </c>
      <c r="B62" s="264"/>
      <c r="C62" s="264"/>
      <c r="D62" s="264"/>
      <c r="E62" s="291"/>
      <c r="F62" s="264"/>
      <c r="G62" s="264"/>
      <c r="H62" s="264"/>
      <c r="I62" s="291"/>
      <c r="J62" s="264"/>
      <c r="K62" s="264"/>
      <c r="L62" s="264"/>
      <c r="M62" s="291"/>
      <c r="N62" s="264">
        <f>N49/M49-1</f>
        <v>0.39374544335289108</v>
      </c>
      <c r="O62" s="264">
        <f t="shared" ref="O62:Y62" si="240">O49/N49-1</f>
        <v>1.069599492576454</v>
      </c>
      <c r="P62" s="264">
        <f t="shared" si="240"/>
        <v>2.3344436518984741</v>
      </c>
      <c r="Q62" s="291">
        <f t="shared" si="240"/>
        <v>-0.82290163186421394</v>
      </c>
      <c r="R62" s="264">
        <f t="shared" si="240"/>
        <v>1.9202301528371386</v>
      </c>
      <c r="S62" s="264">
        <f t="shared" ref="S62:S72" si="241">S49/R49-1</f>
        <v>2.7058684115927014</v>
      </c>
      <c r="T62" s="264">
        <f t="shared" si="240"/>
        <v>0.2657533276172388</v>
      </c>
      <c r="U62" s="291">
        <f t="shared" si="240"/>
        <v>2.468696230166656E-2</v>
      </c>
      <c r="V62" s="264">
        <f t="shared" si="240"/>
        <v>0.20478631727495689</v>
      </c>
      <c r="W62" s="264">
        <f t="shared" si="240"/>
        <v>5.1137358346090123E-2</v>
      </c>
      <c r="X62" s="264">
        <f t="shared" si="240"/>
        <v>-1.5044594980867632E-2</v>
      </c>
      <c r="Y62" s="291">
        <f t="shared" si="240"/>
        <v>-0.16268028236652565</v>
      </c>
      <c r="Z62" s="264">
        <f t="shared" ref="Z62:Z72" si="242">Z49/Y49-1</f>
        <v>5.2123520403144274E-2</v>
      </c>
      <c r="AA62" s="264">
        <f t="shared" ref="AA62:AA72" si="243">AA49/Z49-1</f>
        <v>-9.1253074488190977E-2</v>
      </c>
      <c r="AB62" s="264">
        <f t="shared" ref="AB62:AB72" si="244">AB49/AA49-1</f>
        <v>-5.1050076070841888E-2</v>
      </c>
      <c r="AC62" s="291">
        <f t="shared" ref="AC62:AD72" si="245">AC49/AB49-1</f>
        <v>3.818077853311852E-2</v>
      </c>
      <c r="AD62" s="264">
        <f t="shared" si="245"/>
        <v>3.4950250494074631E-2</v>
      </c>
      <c r="AE62" s="264">
        <f t="shared" ref="AE62:AE72" si="246">AE49/AD49-1</f>
        <v>-0.10355846132836821</v>
      </c>
      <c r="AF62" s="264">
        <f t="shared" ref="AF62:AG72" si="247">AF49/AE49-1</f>
        <v>0.19704648196850871</v>
      </c>
      <c r="AG62" s="291">
        <f t="shared" si="247"/>
        <v>-1.7797584108415587E-2</v>
      </c>
      <c r="AH62" s="264">
        <f t="shared" ref="AH62:AI72" si="248">AH49/AG49-1</f>
        <v>-7.8275151762366435E-2</v>
      </c>
      <c r="AI62" s="264">
        <f t="shared" si="248"/>
        <v>-5.2827038810884686E-2</v>
      </c>
      <c r="AJ62" s="264">
        <f t="shared" ref="AJ62:AJ72" si="249">AJ49/AI49-1</f>
        <v>7.0443623576268433E-2</v>
      </c>
      <c r="AK62" s="291">
        <f t="shared" ref="AK62:AL72" si="250">AK49/AJ49-1</f>
        <v>-0.12692124751302991</v>
      </c>
      <c r="AL62" s="264">
        <f t="shared" si="250"/>
        <v>3.2048145033480857E-4</v>
      </c>
      <c r="AM62" s="264">
        <f t="shared" ref="AM62:AM72" si="251">AM49/AL49-1</f>
        <v>0.1222644112925253</v>
      </c>
      <c r="AN62" s="264">
        <f t="shared" ref="AN62:AN72" si="252">AN49/AM49-1</f>
        <v>0</v>
      </c>
      <c r="AO62" s="291">
        <f t="shared" ref="AO62:AO72" si="253">AO49/AN49-1</f>
        <v>0</v>
      </c>
      <c r="AP62" s="264">
        <f t="shared" ref="AP62:AP72" si="254">AP49/AO49-1</f>
        <v>-8.736842105263154E-2</v>
      </c>
      <c r="AQ62" s="264">
        <f t="shared" ref="AQ62:AQ72" si="255">AQ49/AP49-1</f>
        <v>0</v>
      </c>
      <c r="AR62" s="264">
        <f t="shared" ref="AR62:AR72" si="256">AR49/AQ49-1</f>
        <v>0.1169411764705881</v>
      </c>
      <c r="AS62" s="291">
        <f t="shared" ref="AS62:AS72" si="257">AS49/AR49-1</f>
        <v>1.0000000000000009E-2</v>
      </c>
      <c r="AT62" s="264">
        <f t="shared" ref="AT62:AT72" si="258">AT49/AS49-1</f>
        <v>-3.2978723404255339E-2</v>
      </c>
      <c r="AU62" s="264">
        <f t="shared" ref="AU62:AU72" si="259">AU49/AT49-1</f>
        <v>-5.5555555555555358E-2</v>
      </c>
      <c r="AV62" s="264">
        <f t="shared" ref="AV62:AV72" si="260">AV49/AU49-1</f>
        <v>0.17647058823529393</v>
      </c>
      <c r="AW62" s="291">
        <f t="shared" ref="AW62:AW72" si="261">AW49/AV49-1</f>
        <v>0</v>
      </c>
      <c r="AY62" s="204"/>
      <c r="AZ62" s="295"/>
      <c r="BA62" s="264"/>
      <c r="BB62" s="875"/>
      <c r="BC62" s="875">
        <f t="shared" ref="BA62:BC72" si="262">BC49/BB49-1</f>
        <v>14.599790859492243</v>
      </c>
      <c r="BD62" s="875">
        <f t="shared" ref="BD62:BK72" si="263">BD49/BC49-1</f>
        <v>3.5288622873563451</v>
      </c>
      <c r="BE62" s="875">
        <f t="shared" si="263"/>
        <v>0.61184508730602971</v>
      </c>
      <c r="BF62" s="875">
        <f t="shared" si="263"/>
        <v>-0.15412570819886284</v>
      </c>
      <c r="BG62" s="875">
        <f t="shared" si="263"/>
        <v>1.6823819952338503E-2</v>
      </c>
      <c r="BH62" s="875">
        <f t="shared" si="263"/>
        <v>-7.1309098842168184E-2</v>
      </c>
      <c r="BI62" s="875">
        <f t="shared" si="263"/>
        <v>5.3274918797010518E-3</v>
      </c>
      <c r="BJ62" s="875">
        <f t="shared" si="263"/>
        <v>-4.3400345108025595E-3</v>
      </c>
      <c r="BK62" s="875">
        <f t="shared" si="263"/>
        <v>7.0763288689890791E-2</v>
      </c>
    </row>
    <row r="63" spans="1:63" outlineLevel="1">
      <c r="A63" s="290" t="s">
        <v>712</v>
      </c>
      <c r="B63" s="264"/>
      <c r="C63" s="264">
        <f t="shared" ref="C63:N63" si="264">C50/B50-1</f>
        <v>0.24769763134943013</v>
      </c>
      <c r="D63" s="264">
        <f t="shared" si="264"/>
        <v>0.38880544097167391</v>
      </c>
      <c r="E63" s="291">
        <f t="shared" si="264"/>
        <v>0.33055278541405886</v>
      </c>
      <c r="F63" s="264">
        <f t="shared" si="264"/>
        <v>-0.74961049061272234</v>
      </c>
      <c r="G63" s="264">
        <f t="shared" si="264"/>
        <v>2.1046902619739214</v>
      </c>
      <c r="H63" s="264">
        <f t="shared" si="264"/>
        <v>-0.17299406884878921</v>
      </c>
      <c r="I63" s="291">
        <f t="shared" si="264"/>
        <v>-0.30480169615939479</v>
      </c>
      <c r="J63" s="264">
        <f t="shared" si="264"/>
        <v>-0.52308978525441252</v>
      </c>
      <c r="K63" s="264">
        <f t="shared" si="264"/>
        <v>0.49289126188981669</v>
      </c>
      <c r="L63" s="264">
        <f t="shared" si="264"/>
        <v>0.15074730189353791</v>
      </c>
      <c r="M63" s="291">
        <f t="shared" si="264"/>
        <v>0.18389660441936795</v>
      </c>
      <c r="N63" s="264">
        <f t="shared" si="264"/>
        <v>0.39374544335289108</v>
      </c>
      <c r="O63" s="264">
        <f t="shared" ref="O63:Y63" si="265">O50/N50-1</f>
        <v>3.4799746288227018E-2</v>
      </c>
      <c r="P63" s="264">
        <f t="shared" si="265"/>
        <v>0.10036640512649364</v>
      </c>
      <c r="Q63" s="291">
        <f t="shared" si="265"/>
        <v>-0.49911572648464553</v>
      </c>
      <c r="R63" s="264">
        <f t="shared" si="265"/>
        <v>-0.14369191007031012</v>
      </c>
      <c r="S63" s="264">
        <f t="shared" si="241"/>
        <v>0.17744982977025114</v>
      </c>
      <c r="T63" s="264">
        <f t="shared" si="265"/>
        <v>0.38013992463153401</v>
      </c>
      <c r="U63" s="291">
        <f t="shared" si="265"/>
        <v>0.19711024922743214</v>
      </c>
      <c r="V63" s="264">
        <f t="shared" si="265"/>
        <v>1.5099714943228308</v>
      </c>
      <c r="W63" s="264">
        <f t="shared" si="265"/>
        <v>6.515252312403641E-2</v>
      </c>
      <c r="X63" s="264">
        <f t="shared" si="265"/>
        <v>4.00800642114989E-2</v>
      </c>
      <c r="Y63" s="291">
        <f t="shared" si="265"/>
        <v>-0.47832800140359599</v>
      </c>
      <c r="Z63" s="264">
        <f t="shared" si="242"/>
        <v>0.34952376883710201</v>
      </c>
      <c r="AA63" s="264">
        <f t="shared" si="243"/>
        <v>0.19025065087825332</v>
      </c>
      <c r="AB63" s="264">
        <f t="shared" si="244"/>
        <v>-5.7293129482430039E-2</v>
      </c>
      <c r="AC63" s="291">
        <f t="shared" si="245"/>
        <v>0.24761668835052664</v>
      </c>
      <c r="AD63" s="264">
        <f t="shared" si="245"/>
        <v>2.056040374206991E-2</v>
      </c>
      <c r="AE63" s="264">
        <f t="shared" si="246"/>
        <v>0.30020355094899998</v>
      </c>
      <c r="AF63" s="264">
        <f t="shared" si="247"/>
        <v>0.1003910829486101</v>
      </c>
      <c r="AG63" s="291">
        <f t="shared" si="247"/>
        <v>-8.419921851940948E-2</v>
      </c>
      <c r="AH63" s="264">
        <f t="shared" si="248"/>
        <v>-1.1365564324690713E-2</v>
      </c>
      <c r="AI63" s="264">
        <f t="shared" si="248"/>
        <v>0.14505746071857817</v>
      </c>
      <c r="AJ63" s="264">
        <f t="shared" si="249"/>
        <v>0.3042764662883779</v>
      </c>
      <c r="AK63" s="291">
        <f t="shared" si="250"/>
        <v>-0.13499981082587109</v>
      </c>
      <c r="AL63" s="264">
        <f t="shared" si="250"/>
        <v>3.2404476586328945E-2</v>
      </c>
      <c r="AM63" s="264">
        <f t="shared" si="251"/>
        <v>0.28822100031140763</v>
      </c>
      <c r="AN63" s="264">
        <f t="shared" si="252"/>
        <v>0</v>
      </c>
      <c r="AO63" s="291">
        <f t="shared" si="253"/>
        <v>-1.0526315789473717E-2</v>
      </c>
      <c r="AP63" s="264">
        <f t="shared" si="254"/>
        <v>-0.13191489361702124</v>
      </c>
      <c r="AQ63" s="264">
        <f t="shared" si="255"/>
        <v>0.11857707509881421</v>
      </c>
      <c r="AR63" s="264">
        <f t="shared" si="256"/>
        <v>0.18749999999999978</v>
      </c>
      <c r="AS63" s="291">
        <f t="shared" si="257"/>
        <v>-1.0526315789473495E-2</v>
      </c>
      <c r="AT63" s="264">
        <f t="shared" si="258"/>
        <v>-8.6702127659574524E-2</v>
      </c>
      <c r="AU63" s="264">
        <f t="shared" si="259"/>
        <v>0.10600706713780927</v>
      </c>
      <c r="AV63" s="264">
        <f t="shared" si="260"/>
        <v>5.8823529411764719E-2</v>
      </c>
      <c r="AW63" s="291">
        <f t="shared" si="261"/>
        <v>-1.1111111111111294E-2</v>
      </c>
      <c r="AY63" s="204"/>
      <c r="AZ63" s="295"/>
      <c r="BA63" s="264">
        <f t="shared" si="262"/>
        <v>-0.22330916272696133</v>
      </c>
      <c r="BB63" s="875">
        <f t="shared" si="262"/>
        <v>-0.37143096704119216</v>
      </c>
      <c r="BC63" s="875">
        <f t="shared" si="262"/>
        <v>0.69944117886857415</v>
      </c>
      <c r="BD63" s="875">
        <f t="shared" si="263"/>
        <v>-0.25018391367477177</v>
      </c>
      <c r="BE63" s="875">
        <f t="shared" si="263"/>
        <v>2.18640826043828</v>
      </c>
      <c r="BF63" s="875">
        <f t="shared" si="263"/>
        <v>-2.0189245190969762E-2</v>
      </c>
      <c r="BG63" s="875">
        <f t="shared" si="263"/>
        <v>0.52842744526374141</v>
      </c>
      <c r="BH63" s="875">
        <f t="shared" si="263"/>
        <v>0.26689799498448252</v>
      </c>
      <c r="BI63" s="875">
        <f t="shared" si="263"/>
        <v>0.31226915109241538</v>
      </c>
      <c r="BJ63" s="875">
        <f t="shared" si="263"/>
        <v>8.601114725626946E-2</v>
      </c>
      <c r="BK63" s="875">
        <f t="shared" si="263"/>
        <v>0.11816150757001886</v>
      </c>
    </row>
    <row r="64" spans="1:63" outlineLevel="1">
      <c r="A64" s="290" t="s">
        <v>711</v>
      </c>
      <c r="B64" s="264"/>
      <c r="C64" s="264">
        <f t="shared" ref="C64:N64" si="266">C51/B51-1</f>
        <v>-9.7309668228253154E-2</v>
      </c>
      <c r="D64" s="264">
        <f t="shared" si="266"/>
        <v>0.12340544832525446</v>
      </c>
      <c r="E64" s="291">
        <f t="shared" si="266"/>
        <v>0.18708309337052875</v>
      </c>
      <c r="F64" s="264">
        <f t="shared" si="266"/>
        <v>-0.18699666847385643</v>
      </c>
      <c r="G64" s="264">
        <f t="shared" si="266"/>
        <v>-6.8360011410676047E-2</v>
      </c>
      <c r="H64" s="264">
        <f t="shared" si="266"/>
        <v>7.0415242235313702E-2</v>
      </c>
      <c r="I64" s="291">
        <f t="shared" si="266"/>
        <v>-7.7348828228717137E-3</v>
      </c>
      <c r="J64" s="264">
        <f t="shared" si="266"/>
        <v>-0.35299963969982862</v>
      </c>
      <c r="K64" s="264">
        <f t="shared" si="266"/>
        <v>0.47902539877628891</v>
      </c>
      <c r="L64" s="264">
        <f t="shared" si="266"/>
        <v>-2.0136442307222224E-2</v>
      </c>
      <c r="M64" s="291">
        <f t="shared" si="266"/>
        <v>-0.10842986525564158</v>
      </c>
      <c r="N64" s="264">
        <f t="shared" si="266"/>
        <v>-1.3921789840547261E-2</v>
      </c>
      <c r="O64" s="264">
        <f t="shared" ref="O64:Y64" si="267">O51/N51-1</f>
        <v>6.9524569989174445E-2</v>
      </c>
      <c r="P64" s="264">
        <f t="shared" si="267"/>
        <v>0.21035974117613399</v>
      </c>
      <c r="Q64" s="291">
        <f t="shared" si="267"/>
        <v>-0.18726950436910605</v>
      </c>
      <c r="R64" s="264">
        <f t="shared" si="267"/>
        <v>0.26955240463847896</v>
      </c>
      <c r="S64" s="264">
        <f t="shared" si="241"/>
        <v>0.11937193632637366</v>
      </c>
      <c r="T64" s="264">
        <f t="shared" si="267"/>
        <v>5.8695969158122363E-3</v>
      </c>
      <c r="U64" s="291">
        <f t="shared" si="267"/>
        <v>0.17127333737359818</v>
      </c>
      <c r="V64" s="264">
        <f t="shared" si="267"/>
        <v>0.18116305615191841</v>
      </c>
      <c r="W64" s="264">
        <f t="shared" si="267"/>
        <v>5.1137358346090123E-2</v>
      </c>
      <c r="X64" s="264">
        <f t="shared" si="267"/>
        <v>-1.5044594980867632E-2</v>
      </c>
      <c r="Y64" s="291">
        <f t="shared" si="267"/>
        <v>4.7836611601692614E-3</v>
      </c>
      <c r="Z64" s="264">
        <f t="shared" si="242"/>
        <v>1.315598261043549E-2</v>
      </c>
      <c r="AA64" s="264">
        <f t="shared" si="243"/>
        <v>4.8554144821318035E-2</v>
      </c>
      <c r="AB64" s="264">
        <f t="shared" si="244"/>
        <v>4.5453306023648832E-2</v>
      </c>
      <c r="AC64" s="291">
        <f t="shared" si="245"/>
        <v>5.6080447128517008E-2</v>
      </c>
      <c r="AD64" s="264">
        <f t="shared" si="245"/>
        <v>-8.2476730048084423E-3</v>
      </c>
      <c r="AE64" s="264">
        <f t="shared" si="246"/>
        <v>-0.11473294034228065</v>
      </c>
      <c r="AF64" s="264">
        <f t="shared" si="247"/>
        <v>0.70691420667793947</v>
      </c>
      <c r="AG64" s="291">
        <f t="shared" si="247"/>
        <v>0.22335673632062059</v>
      </c>
      <c r="AH64" s="264">
        <f t="shared" si="248"/>
        <v>8.5224217340553965E-2</v>
      </c>
      <c r="AI64" s="264">
        <f t="shared" si="248"/>
        <v>-2.3165566797963222E-2</v>
      </c>
      <c r="AJ64" s="264">
        <f t="shared" si="249"/>
        <v>-2.7204007148374121E-2</v>
      </c>
      <c r="AK64" s="291">
        <f t="shared" si="250"/>
        <v>1.4144905479428482E-2</v>
      </c>
      <c r="AL64" s="264">
        <f t="shared" si="250"/>
        <v>7.312047705773983E-2</v>
      </c>
      <c r="AM64" s="264">
        <f t="shared" si="251"/>
        <v>2.2228522367668369E-2</v>
      </c>
      <c r="AN64" s="264">
        <f t="shared" si="252"/>
        <v>0.18587810094765267</v>
      </c>
      <c r="AO64" s="291">
        <f t="shared" si="253"/>
        <v>-9.8946017025560717E-3</v>
      </c>
      <c r="AP64" s="264">
        <f t="shared" si="254"/>
        <v>3.273903103333109E-2</v>
      </c>
      <c r="AQ64" s="264">
        <f t="shared" si="255"/>
        <v>5.3039033182637585E-2</v>
      </c>
      <c r="AR64" s="264">
        <f t="shared" si="256"/>
        <v>0.19698760997936016</v>
      </c>
      <c r="AS64" s="291">
        <f t="shared" si="257"/>
        <v>-8.3819860085070363E-3</v>
      </c>
      <c r="AT64" s="264">
        <f t="shared" si="258"/>
        <v>4.7145345942399608E-2</v>
      </c>
      <c r="AU64" s="264">
        <f t="shared" si="259"/>
        <v>3.5545299862480562E-2</v>
      </c>
      <c r="AV64" s="264">
        <f t="shared" si="260"/>
        <v>0.11593232430781963</v>
      </c>
      <c r="AW64" s="291">
        <f t="shared" si="261"/>
        <v>2.063354120167693E-2</v>
      </c>
      <c r="AY64" s="204"/>
      <c r="AZ64" s="295"/>
      <c r="BA64" s="264">
        <f t="shared" si="262"/>
        <v>-6.9321028738247636E-2</v>
      </c>
      <c r="BB64" s="875">
        <f t="shared" si="262"/>
        <v>-0.14704892598711239</v>
      </c>
      <c r="BC64" s="875">
        <f t="shared" si="262"/>
        <v>7.7823878325135487E-2</v>
      </c>
      <c r="BD64" s="875">
        <f t="shared" si="263"/>
        <v>0.38043700647093148</v>
      </c>
      <c r="BE64" s="875">
        <f t="shared" si="263"/>
        <v>0.40843176621338229</v>
      </c>
      <c r="BF64" s="875">
        <f t="shared" si="263"/>
        <v>9.8841102065901021E-2</v>
      </c>
      <c r="BG64" s="875">
        <f t="shared" si="263"/>
        <v>0.39964634762640516</v>
      </c>
      <c r="BH64" s="875">
        <f t="shared" si="263"/>
        <v>0.48818810818324909</v>
      </c>
      <c r="BI64" s="875">
        <f t="shared" si="263"/>
        <v>0.17873980986649363</v>
      </c>
      <c r="BJ64" s="875">
        <f t="shared" si="263"/>
        <v>0.27551479905710208</v>
      </c>
      <c r="BK64" s="875">
        <f t="shared" si="263"/>
        <v>0.25352923165838592</v>
      </c>
    </row>
    <row r="65" spans="1:63" outlineLevel="1">
      <c r="A65" s="290" t="s">
        <v>710</v>
      </c>
      <c r="B65" s="264"/>
      <c r="C65" s="264">
        <f t="shared" ref="C65:N65" si="268">C52/B52-1</f>
        <v>1.3969149443751716E-2</v>
      </c>
      <c r="D65" s="264">
        <f t="shared" si="268"/>
        <v>-0.10845752412199727</v>
      </c>
      <c r="E65" s="291">
        <f t="shared" si="268"/>
        <v>-0.17926122760755536</v>
      </c>
      <c r="F65" s="264">
        <f t="shared" si="268"/>
        <v>0.15497051624987046</v>
      </c>
      <c r="G65" s="264">
        <f t="shared" si="268"/>
        <v>0.3376388888798294</v>
      </c>
      <c r="H65" s="264">
        <f t="shared" si="268"/>
        <v>-0.13073407539338455</v>
      </c>
      <c r="I65" s="291">
        <f t="shared" si="268"/>
        <v>1.1100795164973309E-3</v>
      </c>
      <c r="J65" s="264">
        <f t="shared" si="268"/>
        <v>-0.18634970319057154</v>
      </c>
      <c r="K65" s="264">
        <f t="shared" si="268"/>
        <v>0.41648060338652337</v>
      </c>
      <c r="L65" s="264">
        <f t="shared" si="268"/>
        <v>0.13726437593490592</v>
      </c>
      <c r="M65" s="291">
        <f t="shared" si="268"/>
        <v>7.7224691939260737E-2</v>
      </c>
      <c r="N65" s="264">
        <f t="shared" si="268"/>
        <v>0.1274466861862098</v>
      </c>
      <c r="O65" s="264">
        <f t="shared" ref="O65:Y65" si="269">O52/N52-1</f>
        <v>-4.7730294826784925E-2</v>
      </c>
      <c r="P65" s="264">
        <f t="shared" si="269"/>
        <v>-6.8022999294376607E-2</v>
      </c>
      <c r="Q65" s="291">
        <f t="shared" si="269"/>
        <v>0.24472238069596397</v>
      </c>
      <c r="R65" s="264">
        <f t="shared" si="269"/>
        <v>0.11203810773674294</v>
      </c>
      <c r="S65" s="264">
        <f t="shared" si="241"/>
        <v>0.11627987519926486</v>
      </c>
      <c r="T65" s="264">
        <f t="shared" si="269"/>
        <v>2.7748428407159631E-2</v>
      </c>
      <c r="U65" s="291">
        <f t="shared" si="269"/>
        <v>6.2548707353049515E-4</v>
      </c>
      <c r="V65" s="264">
        <f t="shared" si="269"/>
        <v>0.43855082659696332</v>
      </c>
      <c r="W65" s="264">
        <f t="shared" si="269"/>
        <v>5.1137358346090123E-2</v>
      </c>
      <c r="X65" s="264">
        <f t="shared" si="269"/>
        <v>-3.0434523184291518E-2</v>
      </c>
      <c r="Y65" s="291">
        <f t="shared" si="269"/>
        <v>-0.16268028236652576</v>
      </c>
      <c r="Z65" s="264">
        <f t="shared" si="242"/>
        <v>-0.16052790012278229</v>
      </c>
      <c r="AA65" s="264">
        <f t="shared" si="243"/>
        <v>8.4711184297915354E-2</v>
      </c>
      <c r="AB65" s="264">
        <f t="shared" si="244"/>
        <v>8.0701025316956665E-2</v>
      </c>
      <c r="AC65" s="291">
        <f t="shared" si="245"/>
        <v>-1.2418781841006421E-2</v>
      </c>
      <c r="AD65" s="264">
        <f t="shared" si="245"/>
        <v>3.5681377280272653E-2</v>
      </c>
      <c r="AE65" s="264">
        <f t="shared" si="246"/>
        <v>-9.5881581251923254E-2</v>
      </c>
      <c r="AF65" s="264">
        <f t="shared" si="247"/>
        <v>0.30785052253977518</v>
      </c>
      <c r="AG65" s="291">
        <f t="shared" si="247"/>
        <v>3.2439821563948978E-2</v>
      </c>
      <c r="AH65" s="264">
        <f t="shared" si="248"/>
        <v>5.7692799616215762E-3</v>
      </c>
      <c r="AI65" s="264">
        <f t="shared" si="248"/>
        <v>-3.9382939252353477E-2</v>
      </c>
      <c r="AJ65" s="264">
        <f t="shared" si="249"/>
        <v>0.135525031959564</v>
      </c>
      <c r="AK65" s="291">
        <f t="shared" si="250"/>
        <v>6.3264951742049602E-2</v>
      </c>
      <c r="AL65" s="264">
        <f t="shared" si="250"/>
        <v>-2.0766019704293592E-3</v>
      </c>
      <c r="AM65" s="264">
        <f t="shared" si="251"/>
        <v>0.17342388578231294</v>
      </c>
      <c r="AN65" s="264">
        <f t="shared" si="252"/>
        <v>1.7569212522238642E-2</v>
      </c>
      <c r="AO65" s="291">
        <f t="shared" si="253"/>
        <v>6.1021505534235576E-2</v>
      </c>
      <c r="AP65" s="264">
        <f t="shared" si="254"/>
        <v>-7.2412567069623068E-2</v>
      </c>
      <c r="AQ65" s="264">
        <f t="shared" si="255"/>
        <v>0.11142975361588325</v>
      </c>
      <c r="AR65" s="264">
        <f t="shared" si="256"/>
        <v>4.9516793778155099E-2</v>
      </c>
      <c r="AS65" s="291">
        <f t="shared" si="257"/>
        <v>5.2351334652974257E-2</v>
      </c>
      <c r="AT65" s="264">
        <f t="shared" si="258"/>
        <v>1.5863139322122688E-2</v>
      </c>
      <c r="AU65" s="264">
        <f t="shared" si="259"/>
        <v>4.4257526122995605E-2</v>
      </c>
      <c r="AV65" s="264">
        <f t="shared" si="260"/>
        <v>3.598048180142821E-2</v>
      </c>
      <c r="AW65" s="291">
        <f t="shared" si="261"/>
        <v>4.5887901408799614E-2</v>
      </c>
      <c r="AY65" s="1053"/>
      <c r="AZ65" s="295"/>
      <c r="BA65" s="264">
        <f t="shared" si="262"/>
        <v>9.2127319295269627E-2</v>
      </c>
      <c r="BB65" s="875">
        <f t="shared" si="262"/>
        <v>0.17013695323107503</v>
      </c>
      <c r="BC65" s="875">
        <f t="shared" si="262"/>
        <v>0.33916393279324808</v>
      </c>
      <c r="BD65" s="875">
        <f t="shared" si="263"/>
        <v>0.37391004055964583</v>
      </c>
      <c r="BE65" s="875">
        <f t="shared" si="263"/>
        <v>0.46878532708819987</v>
      </c>
      <c r="BF65" s="875">
        <f t="shared" si="263"/>
        <v>-0.19398732798587759</v>
      </c>
      <c r="BG65" s="875">
        <f t="shared" si="263"/>
        <v>0.169864596328831</v>
      </c>
      <c r="BH65" s="875">
        <f t="shared" si="263"/>
        <v>0.20044677977252023</v>
      </c>
      <c r="BI65" s="875">
        <f t="shared" si="263"/>
        <v>0.27369793296832445</v>
      </c>
      <c r="BJ65" s="875">
        <f t="shared" si="263"/>
        <v>0.14246596071293927</v>
      </c>
      <c r="BK65" s="875">
        <f t="shared" si="263"/>
        <v>0.17839963779836432</v>
      </c>
    </row>
    <row r="66" spans="1:63" outlineLevel="1">
      <c r="A66" s="290" t="s">
        <v>709</v>
      </c>
      <c r="B66" s="264"/>
      <c r="C66" s="264">
        <f t="shared" ref="C66:N66" si="270">C53/B53-1</f>
        <v>1.7935130471562921E-2</v>
      </c>
      <c r="D66" s="264">
        <f t="shared" si="270"/>
        <v>4.1604080728755433E-2</v>
      </c>
      <c r="E66" s="291">
        <f t="shared" si="270"/>
        <v>0.33223490018702173</v>
      </c>
      <c r="F66" s="264">
        <f t="shared" si="270"/>
        <v>0.86661901616140691</v>
      </c>
      <c r="G66" s="264">
        <f t="shared" si="270"/>
        <v>-0.63518939394186469</v>
      </c>
      <c r="H66" s="264">
        <f t="shared" si="270"/>
        <v>0.16867974308222733</v>
      </c>
      <c r="I66" s="291">
        <f t="shared" si="270"/>
        <v>0.1099263925074212</v>
      </c>
      <c r="J66" s="264">
        <f t="shared" si="270"/>
        <v>0.1109202649367802</v>
      </c>
      <c r="K66" s="264">
        <f t="shared" si="270"/>
        <v>-8.9264900043293571E-2</v>
      </c>
      <c r="L66" s="264">
        <f t="shared" si="270"/>
        <v>-0.22234040063555705</v>
      </c>
      <c r="M66" s="291">
        <f t="shared" si="270"/>
        <v>0.1747897074622955</v>
      </c>
      <c r="N66" s="264">
        <f t="shared" si="270"/>
        <v>0.14358600480237227</v>
      </c>
      <c r="O66" s="264">
        <f t="shared" ref="O66:Y66" si="271">O53/N53-1</f>
        <v>0.81089955600439767</v>
      </c>
      <c r="P66" s="264">
        <f t="shared" si="271"/>
        <v>0.31591436976707632</v>
      </c>
      <c r="Q66" s="291">
        <f t="shared" si="271"/>
        <v>-2.7695233764312044E-2</v>
      </c>
      <c r="R66" s="264">
        <f t="shared" si="271"/>
        <v>0.35033198796604514</v>
      </c>
      <c r="S66" s="264">
        <f t="shared" si="241"/>
        <v>-4.4255357688923747E-2</v>
      </c>
      <c r="T66" s="264">
        <f t="shared" si="271"/>
        <v>4.4539493739689018E-2</v>
      </c>
      <c r="U66" s="291">
        <f t="shared" si="271"/>
        <v>-0.14185645216671849</v>
      </c>
      <c r="V66" s="264">
        <f t="shared" si="271"/>
        <v>0.44574358072994813</v>
      </c>
      <c r="W66" s="264">
        <f t="shared" si="271"/>
        <v>1.6099446401220519E-2</v>
      </c>
      <c r="X66" s="264">
        <f t="shared" si="271"/>
        <v>1.0310678345887725E-2</v>
      </c>
      <c r="Y66" s="291">
        <f t="shared" si="271"/>
        <v>-0.15554560630817893</v>
      </c>
      <c r="Z66" s="264">
        <f t="shared" si="242"/>
        <v>6.381378174095742E-2</v>
      </c>
      <c r="AA66" s="264">
        <f t="shared" si="243"/>
        <v>4.8554144821318035E-2</v>
      </c>
      <c r="AB66" s="264">
        <f t="shared" si="244"/>
        <v>-4.4156977349807058E-2</v>
      </c>
      <c r="AC66" s="291">
        <f t="shared" si="245"/>
        <v>3.5276972142208596E-3</v>
      </c>
      <c r="AD66" s="264">
        <f t="shared" si="245"/>
        <v>-1.6315396488120193E-3</v>
      </c>
      <c r="AE66" s="264">
        <f t="shared" si="246"/>
        <v>-0.28800041702091272</v>
      </c>
      <c r="AF66" s="264">
        <f t="shared" si="247"/>
        <v>0.39552701951901215</v>
      </c>
      <c r="AG66" s="291">
        <f t="shared" si="247"/>
        <v>4.1919985054331921E-2</v>
      </c>
      <c r="AH66" s="264">
        <f t="shared" si="248"/>
        <v>-8.0390267260568971E-2</v>
      </c>
      <c r="AI66" s="264">
        <f t="shared" si="248"/>
        <v>-0.10191345943382113</v>
      </c>
      <c r="AJ66" s="264">
        <f t="shared" si="249"/>
        <v>6.587216915743066E-2</v>
      </c>
      <c r="AK66" s="291">
        <f t="shared" si="250"/>
        <v>2.9464888792485544E-2</v>
      </c>
      <c r="AL66" s="264">
        <f t="shared" si="250"/>
        <v>-3.8712881960373258E-2</v>
      </c>
      <c r="AM66" s="264">
        <f t="shared" si="251"/>
        <v>0.1104511016999723</v>
      </c>
      <c r="AN66" s="264">
        <f t="shared" si="252"/>
        <v>0</v>
      </c>
      <c r="AO66" s="291">
        <f t="shared" si="253"/>
        <v>-1.0638297872340385E-2</v>
      </c>
      <c r="AP66" s="264">
        <f t="shared" si="254"/>
        <v>-6.7741935483870863E-2</v>
      </c>
      <c r="AQ66" s="264">
        <f t="shared" si="255"/>
        <v>0</v>
      </c>
      <c r="AR66" s="264">
        <f t="shared" si="256"/>
        <v>7.058823529411784E-2</v>
      </c>
      <c r="AS66" s="291">
        <f t="shared" si="257"/>
        <v>-1.0989010989011172E-2</v>
      </c>
      <c r="AT66" s="264">
        <f t="shared" si="258"/>
        <v>1.0000000000000231E-2</v>
      </c>
      <c r="AU66" s="264">
        <f t="shared" si="259"/>
        <v>2.2222222222222365E-2</v>
      </c>
      <c r="AV66" s="264">
        <f t="shared" si="260"/>
        <v>2.1739130434782261E-2</v>
      </c>
      <c r="AW66" s="291">
        <f t="shared" si="261"/>
        <v>-1.0638297872340385E-2</v>
      </c>
      <c r="AY66" s="1053"/>
      <c r="AZ66" s="295"/>
      <c r="BA66" s="264">
        <f t="shared" si="262"/>
        <v>0.32949297794686938</v>
      </c>
      <c r="BB66" s="875">
        <f t="shared" si="262"/>
        <v>-0.19880361756389464</v>
      </c>
      <c r="BC66" s="875">
        <f t="shared" si="262"/>
        <v>1.0708797131449277</v>
      </c>
      <c r="BD66" s="875">
        <f t="shared" si="263"/>
        <v>0.58739505577996898</v>
      </c>
      <c r="BE66" s="875">
        <f t="shared" si="263"/>
        <v>0.27068041416648247</v>
      </c>
      <c r="BF66" s="875">
        <f t="shared" si="263"/>
        <v>-4.3102338007980689E-2</v>
      </c>
      <c r="BG66" s="875">
        <f t="shared" si="263"/>
        <v>-7.4002533874162557E-2</v>
      </c>
      <c r="BH66" s="875">
        <f t="shared" si="263"/>
        <v>-2.2533862670152116E-2</v>
      </c>
      <c r="BI66" s="875">
        <f t="shared" si="263"/>
        <v>6.5382967635398304E-2</v>
      </c>
      <c r="BJ66" s="875">
        <f t="shared" si="263"/>
        <v>-2.0867707041797412E-2</v>
      </c>
      <c r="BK66" s="875">
        <f t="shared" si="263"/>
        <v>6.1794871794871753E-2</v>
      </c>
    </row>
    <row r="67" spans="1:63" outlineLevel="1">
      <c r="A67" s="290" t="s">
        <v>708</v>
      </c>
      <c r="B67" s="264"/>
      <c r="C67" s="264">
        <f t="shared" ref="C67:N67" si="272">C54/B54-1</f>
        <v>4.9568550574343506E-2</v>
      </c>
      <c r="D67" s="264">
        <f t="shared" si="272"/>
        <v>-0.50660859333901054</v>
      </c>
      <c r="E67" s="291">
        <f t="shared" si="272"/>
        <v>-0.19408012210908554</v>
      </c>
      <c r="F67" s="264">
        <f t="shared" si="272"/>
        <v>6.6639437806518043E-2</v>
      </c>
      <c r="G67" s="264">
        <f t="shared" si="272"/>
        <v>0.15523358585076186</v>
      </c>
      <c r="H67" s="264">
        <f t="shared" si="272"/>
        <v>0.1467120787385765</v>
      </c>
      <c r="I67" s="291">
        <f t="shared" si="272"/>
        <v>-0.2330326077467314</v>
      </c>
      <c r="J67" s="264">
        <f t="shared" si="272"/>
        <v>-0.12980218350531159</v>
      </c>
      <c r="K67" s="264">
        <f t="shared" si="272"/>
        <v>3.5255320300548565E-2</v>
      </c>
      <c r="L67" s="264">
        <f t="shared" si="272"/>
        <v>3.2584698801071177E-2</v>
      </c>
      <c r="M67" s="291">
        <f t="shared" si="272"/>
        <v>-4.3555046247868656E-2</v>
      </c>
      <c r="N67" s="264">
        <f t="shared" si="272"/>
        <v>-6.6225137207740481E-2</v>
      </c>
      <c r="O67" s="264">
        <f t="shared" ref="O67:Y67" si="273">O54/N54-1</f>
        <v>3.479974628822724E-2</v>
      </c>
      <c r="P67" s="264">
        <f t="shared" si="273"/>
        <v>-0.11698992181207102</v>
      </c>
      <c r="Q67" s="291">
        <f t="shared" si="273"/>
        <v>0.33092106962651324</v>
      </c>
      <c r="R67" s="264">
        <f t="shared" si="273"/>
        <v>0.11553783427564701</v>
      </c>
      <c r="S67" s="264">
        <f t="shared" si="241"/>
        <v>0.20413869257838213</v>
      </c>
      <c r="T67" s="264">
        <f t="shared" si="273"/>
        <v>-1.3141473383169733E-2</v>
      </c>
      <c r="U67" s="291">
        <f t="shared" si="273"/>
        <v>4.4392480807467827E-2</v>
      </c>
      <c r="V67" s="264">
        <f t="shared" si="273"/>
        <v>-0.20438639425238692</v>
      </c>
      <c r="W67" s="264">
        <f t="shared" si="273"/>
        <v>5.1137358346090123E-2</v>
      </c>
      <c r="X67" s="264">
        <f t="shared" si="273"/>
        <v>-1.5044594980867521E-2</v>
      </c>
      <c r="Y67" s="291">
        <f t="shared" si="273"/>
        <v>-0.16268028236652576</v>
      </c>
      <c r="Z67" s="264">
        <f t="shared" si="242"/>
        <v>-0.14026478047057356</v>
      </c>
      <c r="AA67" s="264">
        <f t="shared" si="243"/>
        <v>4.8554144821318035E-2</v>
      </c>
      <c r="AB67" s="264">
        <f t="shared" si="244"/>
        <v>9.1414568129059015E-2</v>
      </c>
      <c r="AC67" s="291">
        <f t="shared" si="245"/>
        <v>0.1329382402285868</v>
      </c>
      <c r="AD67" s="264">
        <f t="shared" si="245"/>
        <v>0.13151253031234766</v>
      </c>
      <c r="AE67" s="264">
        <f t="shared" si="246"/>
        <v>0.76084666589679184</v>
      </c>
      <c r="AF67" s="264">
        <f t="shared" si="247"/>
        <v>-0.29061106489627098</v>
      </c>
      <c r="AG67" s="291">
        <f t="shared" si="247"/>
        <v>-0.24792359185162549</v>
      </c>
      <c r="AH67" s="264">
        <f t="shared" si="248"/>
        <v>0.14330162105015676</v>
      </c>
      <c r="AI67" s="264">
        <f t="shared" si="248"/>
        <v>-3.8872987157410166E-2</v>
      </c>
      <c r="AJ67" s="264">
        <f t="shared" si="249"/>
        <v>6.5872169157430882E-2</v>
      </c>
      <c r="AK67" s="291">
        <f t="shared" si="250"/>
        <v>2.9464888792485322E-2</v>
      </c>
      <c r="AL67" s="264">
        <f t="shared" si="250"/>
        <v>-7.152747419326555E-2</v>
      </c>
      <c r="AM67" s="264">
        <f t="shared" si="251"/>
        <v>0.49216866790933733</v>
      </c>
      <c r="AN67" s="264">
        <f t="shared" si="252"/>
        <v>-4.2553191489361541E-2</v>
      </c>
      <c r="AO67" s="291">
        <f t="shared" si="253"/>
        <v>0</v>
      </c>
      <c r="AP67" s="264">
        <f t="shared" si="254"/>
        <v>-3.6666666666666625E-2</v>
      </c>
      <c r="AQ67" s="264">
        <f t="shared" si="255"/>
        <v>0</v>
      </c>
      <c r="AR67" s="264">
        <f t="shared" si="256"/>
        <v>0.10588235294117632</v>
      </c>
      <c r="AS67" s="291">
        <f t="shared" si="257"/>
        <v>0</v>
      </c>
      <c r="AT67" s="264">
        <f t="shared" si="258"/>
        <v>-4.3723404255319065E-2</v>
      </c>
      <c r="AU67" s="264">
        <f t="shared" si="259"/>
        <v>0</v>
      </c>
      <c r="AV67" s="264">
        <f t="shared" si="260"/>
        <v>5.6179775280898792E-2</v>
      </c>
      <c r="AW67" s="291">
        <f t="shared" si="261"/>
        <v>0</v>
      </c>
      <c r="AY67" s="1053"/>
      <c r="AZ67" s="295"/>
      <c r="BA67" s="264">
        <f t="shared" si="262"/>
        <v>-0.32945814724019862</v>
      </c>
      <c r="BB67" s="875">
        <f t="shared" si="262"/>
        <v>-0.18848672394797827</v>
      </c>
      <c r="BC67" s="875">
        <f t="shared" si="262"/>
        <v>-3.6494936818536994E-2</v>
      </c>
      <c r="BD67" s="875">
        <f t="shared" si="263"/>
        <v>0.50935316594579216</v>
      </c>
      <c r="BE67" s="875">
        <f t="shared" si="263"/>
        <v>-0.15753397675771919</v>
      </c>
      <c r="BF67" s="875">
        <f t="shared" si="263"/>
        <v>-0.15362199930172993</v>
      </c>
      <c r="BG67" s="875">
        <f t="shared" si="263"/>
        <v>0.61733955004749297</v>
      </c>
      <c r="BH67" s="875">
        <f t="shared" si="263"/>
        <v>-0.1232474324508217</v>
      </c>
      <c r="BI67" s="875">
        <f t="shared" si="263"/>
        <v>0.29651950977039188</v>
      </c>
      <c r="BJ67" s="875">
        <f t="shared" si="263"/>
        <v>8.357510887328834E-2</v>
      </c>
      <c r="BK67" s="875">
        <f t="shared" si="263"/>
        <v>3.2569832402234544E-2</v>
      </c>
    </row>
    <row r="68" spans="1:63" outlineLevel="1">
      <c r="A68" s="290" t="s">
        <v>707</v>
      </c>
      <c r="B68" s="264"/>
      <c r="C68" s="264">
        <f t="shared" ref="C68:N68" si="274">C55/B55-1</f>
        <v>-0.17538192694736876</v>
      </c>
      <c r="D68" s="264">
        <f t="shared" si="274"/>
        <v>0.33920524665125718</v>
      </c>
      <c r="E68" s="291">
        <f t="shared" si="274"/>
        <v>3.6182700145461322E-2</v>
      </c>
      <c r="F68" s="264">
        <f t="shared" si="274"/>
        <v>-9.0081707660667587E-2</v>
      </c>
      <c r="G68" s="264">
        <f t="shared" si="274"/>
        <v>0.10177804717386274</v>
      </c>
      <c r="H68" s="264">
        <f t="shared" si="274"/>
        <v>6.6527143282587131E-2</v>
      </c>
      <c r="I68" s="291">
        <f t="shared" si="274"/>
        <v>-0.10445551830153288</v>
      </c>
      <c r="J68" s="264">
        <f t="shared" si="274"/>
        <v>2.0366040851024669E-2</v>
      </c>
      <c r="K68" s="264">
        <f t="shared" si="274"/>
        <v>-1.1002241837295479E-2</v>
      </c>
      <c r="L68" s="264">
        <f t="shared" si="274"/>
        <v>-5.682815429812671E-2</v>
      </c>
      <c r="M68" s="291">
        <f t="shared" si="274"/>
        <v>-4.6008996362301158E-3</v>
      </c>
      <c r="N68" s="264">
        <f t="shared" si="274"/>
        <v>2.3101050724979366E-2</v>
      </c>
      <c r="O68" s="264">
        <f t="shared" ref="O68:Y68" si="275">O55/N55-1</f>
        <v>2.240693495543411E-2</v>
      </c>
      <c r="P68" s="264">
        <f t="shared" si="275"/>
        <v>2.4583594856076196E-2</v>
      </c>
      <c r="Q68" s="291">
        <f t="shared" si="275"/>
        <v>-1.6120177023410953E-2</v>
      </c>
      <c r="R68" s="264">
        <f t="shared" si="275"/>
        <v>7.4691987420631101E-2</v>
      </c>
      <c r="S68" s="264">
        <f t="shared" si="241"/>
        <v>0.1477609957786894</v>
      </c>
      <c r="T68" s="264">
        <f t="shared" si="275"/>
        <v>5.9251317595177655E-2</v>
      </c>
      <c r="U68" s="291">
        <f t="shared" si="275"/>
        <v>9.0795798579193177E-2</v>
      </c>
      <c r="V68" s="264">
        <f t="shared" si="275"/>
        <v>-0.15749208582170837</v>
      </c>
      <c r="W68" s="264">
        <f t="shared" si="275"/>
        <v>5.1137358346090123E-2</v>
      </c>
      <c r="X68" s="264">
        <f t="shared" si="275"/>
        <v>-1.5044594980867632E-2</v>
      </c>
      <c r="Y68" s="291">
        <f t="shared" si="275"/>
        <v>-0.16268028236652576</v>
      </c>
      <c r="Z68" s="264">
        <f t="shared" si="242"/>
        <v>-0.27052769252048658</v>
      </c>
      <c r="AA68" s="264">
        <f t="shared" si="243"/>
        <v>4.8554144821318035E-2</v>
      </c>
      <c r="AB68" s="264">
        <f t="shared" si="244"/>
        <v>9.0371215004540595E-2</v>
      </c>
      <c r="AC68" s="291">
        <f t="shared" si="245"/>
        <v>0.13390387029524775</v>
      </c>
      <c r="AD68" s="264">
        <f t="shared" si="245"/>
        <v>0.11448095776288758</v>
      </c>
      <c r="AE68" s="264">
        <f t="shared" si="246"/>
        <v>0.41832001150468301</v>
      </c>
      <c r="AF68" s="264">
        <f t="shared" si="247"/>
        <v>-0.26567192050699151</v>
      </c>
      <c r="AG68" s="291">
        <f t="shared" si="247"/>
        <v>-0.24440412251726207</v>
      </c>
      <c r="AH68" s="264">
        <f t="shared" si="248"/>
        <v>0.25849548226826591</v>
      </c>
      <c r="AI68" s="264">
        <f t="shared" si="248"/>
        <v>-6.7140058782181211E-2</v>
      </c>
      <c r="AJ68" s="264">
        <f t="shared" si="249"/>
        <v>6.5872169157430882E-2</v>
      </c>
      <c r="AK68" s="291">
        <f t="shared" si="250"/>
        <v>8.7578053107850495E-2</v>
      </c>
      <c r="AL68" s="264">
        <f t="shared" si="250"/>
        <v>-3.289160407801095E-2</v>
      </c>
      <c r="AM68" s="264">
        <f t="shared" si="251"/>
        <v>0.34105572366378434</v>
      </c>
      <c r="AN68" s="264">
        <f t="shared" si="252"/>
        <v>-9.5744680851063912E-2</v>
      </c>
      <c r="AO68" s="291">
        <f t="shared" si="253"/>
        <v>0</v>
      </c>
      <c r="AP68" s="264">
        <f t="shared" si="254"/>
        <v>2.0000000000000018E-2</v>
      </c>
      <c r="AQ68" s="264">
        <f t="shared" si="255"/>
        <v>0</v>
      </c>
      <c r="AR68" s="264">
        <f t="shared" si="256"/>
        <v>0.10588235294117654</v>
      </c>
      <c r="AS68" s="291">
        <f t="shared" si="257"/>
        <v>0</v>
      </c>
      <c r="AT68" s="264">
        <f t="shared" si="258"/>
        <v>-4.3723404255319287E-2</v>
      </c>
      <c r="AU68" s="264">
        <f t="shared" si="259"/>
        <v>0</v>
      </c>
      <c r="AV68" s="264">
        <f t="shared" si="260"/>
        <v>5.6179775280899014E-2</v>
      </c>
      <c r="AW68" s="291">
        <f t="shared" si="261"/>
        <v>0</v>
      </c>
      <c r="AY68" s="1053"/>
      <c r="AZ68" s="295"/>
      <c r="BA68" s="264">
        <f t="shared" si="262"/>
        <v>0.10663635151230633</v>
      </c>
      <c r="BB68" s="875">
        <f t="shared" si="262"/>
        <v>-4.5014218435390441E-2</v>
      </c>
      <c r="BC68" s="875">
        <f t="shared" si="262"/>
        <v>1.1708874082248188E-2</v>
      </c>
      <c r="BD68" s="875">
        <f t="shared" si="263"/>
        <v>0.26675588263800631</v>
      </c>
      <c r="BE68" s="875">
        <f t="shared" si="263"/>
        <v>-5.8130809958681806E-2</v>
      </c>
      <c r="BF68" s="875">
        <f t="shared" si="263"/>
        <v>-0.28205775140535538</v>
      </c>
      <c r="BG68" s="875">
        <f t="shared" si="263"/>
        <v>0.36708635539144141</v>
      </c>
      <c r="BH68" s="875">
        <f t="shared" si="263"/>
        <v>-6.5170124302520227E-2</v>
      </c>
      <c r="BI68" s="875">
        <f t="shared" si="263"/>
        <v>0.24353098830284448</v>
      </c>
      <c r="BJ68" s="875">
        <f t="shared" si="263"/>
        <v>9.2985708552839386E-2</v>
      </c>
      <c r="BK68" s="875">
        <f t="shared" si="263"/>
        <v>3.2569832402234544E-2</v>
      </c>
    </row>
    <row r="69" spans="1:63" outlineLevel="1">
      <c r="A69" s="290" t="s">
        <v>827</v>
      </c>
      <c r="B69" s="264"/>
      <c r="C69" s="264">
        <f t="shared" ref="C69:N69" si="276">C56/B56-1</f>
        <v>1.7935130471562921E-2</v>
      </c>
      <c r="D69" s="264">
        <f t="shared" si="276"/>
        <v>0.1532045179496937</v>
      </c>
      <c r="E69" s="291">
        <f t="shared" si="276"/>
        <v>6.9607948537250497E-2</v>
      </c>
      <c r="F69" s="264">
        <f t="shared" si="276"/>
        <v>7.7604070185285812E-2</v>
      </c>
      <c r="G69" s="264">
        <f t="shared" si="276"/>
        <v>0.12561221185458837</v>
      </c>
      <c r="H69" s="264">
        <f t="shared" si="276"/>
        <v>-5.0996900354281616E-2</v>
      </c>
      <c r="I69" s="291">
        <f t="shared" si="276"/>
        <v>-8.5942970876241476E-2</v>
      </c>
      <c r="J69" s="264">
        <f t="shared" si="276"/>
        <v>2.5356961703013381E-2</v>
      </c>
      <c r="K69" s="264">
        <f t="shared" si="276"/>
        <v>9.6370571767307123E-2</v>
      </c>
      <c r="L69" s="264">
        <f t="shared" si="276"/>
        <v>6.7786449896562129E-2</v>
      </c>
      <c r="M69" s="291">
        <f t="shared" si="276"/>
        <v>-6.0906125755499918E-3</v>
      </c>
      <c r="N69" s="264">
        <f t="shared" si="276"/>
        <v>0.12441001996574719</v>
      </c>
      <c r="O69" s="264">
        <f t="shared" ref="O69:Y69" si="277">O56/N56-1</f>
        <v>3.4799746288227018E-2</v>
      </c>
      <c r="P69" s="264">
        <f t="shared" si="277"/>
        <v>-0.14312552666329914</v>
      </c>
      <c r="Q69" s="291">
        <f t="shared" si="277"/>
        <v>0.11120544712650049</v>
      </c>
      <c r="R69" s="264">
        <f t="shared" si="277"/>
        <v>3.7450185876351627E-2</v>
      </c>
      <c r="S69" s="264">
        <f t="shared" si="241"/>
        <v>8.8486953743170282E-2</v>
      </c>
      <c r="T69" s="264">
        <f t="shared" si="277"/>
        <v>1.0844671360989322E-2</v>
      </c>
      <c r="U69" s="291">
        <f t="shared" si="277"/>
        <v>2.8628066002826857E-2</v>
      </c>
      <c r="V69" s="264">
        <f t="shared" si="277"/>
        <v>-0.16911288463796081</v>
      </c>
      <c r="W69" s="264">
        <f t="shared" si="277"/>
        <v>5.1137358346090123E-2</v>
      </c>
      <c r="X69" s="264">
        <f t="shared" si="277"/>
        <v>-1.5044594980867521E-2</v>
      </c>
      <c r="Y69" s="291">
        <f t="shared" si="277"/>
        <v>-0.16268028236652587</v>
      </c>
      <c r="Z69" s="264">
        <f t="shared" si="242"/>
        <v>-0.22493567330301689</v>
      </c>
      <c r="AA69" s="264">
        <f t="shared" si="243"/>
        <v>4.8554144821318035E-2</v>
      </c>
      <c r="AB69" s="264">
        <f t="shared" si="244"/>
        <v>9.5617075103487048E-2</v>
      </c>
      <c r="AC69" s="291">
        <f t="shared" si="245"/>
        <v>6.5874524636256204E-2</v>
      </c>
      <c r="AD69" s="264">
        <f t="shared" si="245"/>
        <v>0.12664489764710085</v>
      </c>
      <c r="AE69" s="264">
        <f t="shared" si="246"/>
        <v>0.75622068991890079</v>
      </c>
      <c r="AF69" s="264">
        <f t="shared" si="247"/>
        <v>-0.31424275157413872</v>
      </c>
      <c r="AG69" s="291">
        <f t="shared" si="247"/>
        <v>7.3484059430941828E-2</v>
      </c>
      <c r="AH69" s="264">
        <f t="shared" si="248"/>
        <v>-0.26176021427073581</v>
      </c>
      <c r="AI69" s="264">
        <f t="shared" si="248"/>
        <v>3.9834653784238894E-2</v>
      </c>
      <c r="AJ69" s="264">
        <f t="shared" si="249"/>
        <v>6.5872169157431104E-2</v>
      </c>
      <c r="AK69" s="291">
        <f t="shared" si="250"/>
        <v>2.94648887924851E-2</v>
      </c>
      <c r="AL69" s="264">
        <f t="shared" si="250"/>
        <v>-2.1025119730261999E-2</v>
      </c>
      <c r="AM69" s="264">
        <f t="shared" si="251"/>
        <v>0.46921222686457842</v>
      </c>
      <c r="AN69" s="264">
        <f t="shared" si="252"/>
        <v>-0.2021276595744681</v>
      </c>
      <c r="AO69" s="291">
        <f t="shared" si="253"/>
        <v>0</v>
      </c>
      <c r="AP69" s="264">
        <f t="shared" si="254"/>
        <v>0.15600000000000014</v>
      </c>
      <c r="AQ69" s="264">
        <f t="shared" si="255"/>
        <v>0</v>
      </c>
      <c r="AR69" s="264">
        <f t="shared" si="256"/>
        <v>0.10588235294117632</v>
      </c>
      <c r="AS69" s="291">
        <f t="shared" si="257"/>
        <v>0</v>
      </c>
      <c r="AT69" s="264">
        <f t="shared" si="258"/>
        <v>-4.3723404255319065E-2</v>
      </c>
      <c r="AU69" s="264">
        <f t="shared" si="259"/>
        <v>0</v>
      </c>
      <c r="AV69" s="264">
        <f t="shared" si="260"/>
        <v>5.6179775280898792E-2</v>
      </c>
      <c r="AW69" s="291">
        <f t="shared" si="261"/>
        <v>0</v>
      </c>
      <c r="AY69" s="1053"/>
      <c r="AZ69" s="295"/>
      <c r="BA69" s="264">
        <f t="shared" si="262"/>
        <v>0.26870765598837476</v>
      </c>
      <c r="BB69" s="875">
        <f t="shared" si="262"/>
        <v>6.367676602050798E-2</v>
      </c>
      <c r="BC69" s="875">
        <f t="shared" si="262"/>
        <v>0.15363674893356838</v>
      </c>
      <c r="BD69" s="875">
        <f t="shared" si="263"/>
        <v>0.13046147637472894</v>
      </c>
      <c r="BE69" s="875">
        <f t="shared" si="263"/>
        <v>-0.1395349634275469</v>
      </c>
      <c r="BF69" s="875">
        <f t="shared" si="263"/>
        <v>-0.24847411667051511</v>
      </c>
      <c r="BG69" s="875">
        <f t="shared" si="263"/>
        <v>0.6389985037740129</v>
      </c>
      <c r="BH69" s="875">
        <f t="shared" si="263"/>
        <v>-0.22075611673145279</v>
      </c>
      <c r="BI69" s="875">
        <f t="shared" si="263"/>
        <v>0.25360278793732771</v>
      </c>
      <c r="BJ69" s="875">
        <f t="shared" si="263"/>
        <v>0.18566192612765042</v>
      </c>
      <c r="BK69" s="875">
        <f t="shared" si="263"/>
        <v>3.2569832402234766E-2</v>
      </c>
    </row>
    <row r="70" spans="1:63" s="296" customFormat="1" outlineLevel="1">
      <c r="A70" s="336" t="s">
        <v>706</v>
      </c>
      <c r="B70" s="363"/>
      <c r="C70" s="363">
        <f t="shared" ref="C70:N70" si="278">C57/B57-1</f>
        <v>-5.4774521704977319E-2</v>
      </c>
      <c r="D70" s="363">
        <f t="shared" si="278"/>
        <v>4.1604080728755433E-2</v>
      </c>
      <c r="E70" s="364">
        <f t="shared" si="278"/>
        <v>3.6182700145461322E-2</v>
      </c>
      <c r="F70" s="363">
        <f t="shared" si="278"/>
        <v>-0.11581204497617548</v>
      </c>
      <c r="G70" s="363">
        <f t="shared" si="278"/>
        <v>0.15523358585076141</v>
      </c>
      <c r="H70" s="363">
        <f t="shared" si="278"/>
        <v>1.7254940704807264E-3</v>
      </c>
      <c r="I70" s="364">
        <f t="shared" si="278"/>
        <v>-8.5942970876241476E-2</v>
      </c>
      <c r="J70" s="363">
        <f t="shared" si="278"/>
        <v>-0.14156161345794238</v>
      </c>
      <c r="K70" s="363">
        <f t="shared" si="278"/>
        <v>0.17859836464985546</v>
      </c>
      <c r="L70" s="363">
        <f t="shared" si="278"/>
        <v>1.6939476091963668E-2</v>
      </c>
      <c r="M70" s="364">
        <f t="shared" si="278"/>
        <v>1.8151079800656111E-2</v>
      </c>
      <c r="N70" s="363">
        <f t="shared" si="278"/>
        <v>7.2111879502223974E-2</v>
      </c>
      <c r="O70" s="363">
        <f t="shared" ref="O70:Y70" si="279">O57/N57-1</f>
        <v>3.479974628822724E-2</v>
      </c>
      <c r="P70" s="363">
        <f t="shared" si="279"/>
        <v>8.3694186867003806E-2</v>
      </c>
      <c r="Q70" s="364">
        <f t="shared" si="279"/>
        <v>-5.5475369942474595E-2</v>
      </c>
      <c r="R70" s="363">
        <f t="shared" si="279"/>
        <v>0.15272242875150233</v>
      </c>
      <c r="S70" s="363">
        <f t="shared" si="241"/>
        <v>0.22454782296106623</v>
      </c>
      <c r="T70" s="363">
        <f t="shared" si="279"/>
        <v>7.8234316118388492E-2</v>
      </c>
      <c r="U70" s="364">
        <f t="shared" si="279"/>
        <v>6.4097999313269094E-2</v>
      </c>
      <c r="V70" s="363">
        <f t="shared" si="279"/>
        <v>0.20478631727495711</v>
      </c>
      <c r="W70" s="363">
        <f t="shared" si="279"/>
        <v>5.1137358346090123E-2</v>
      </c>
      <c r="X70" s="363">
        <f t="shared" si="279"/>
        <v>-1.5044594980867521E-2</v>
      </c>
      <c r="Y70" s="364">
        <f t="shared" si="279"/>
        <v>-0.16268028236652576</v>
      </c>
      <c r="Z70" s="363">
        <f t="shared" si="242"/>
        <v>-8.8159615650608147E-2</v>
      </c>
      <c r="AA70" s="363">
        <f t="shared" si="243"/>
        <v>4.8554144821317813E-2</v>
      </c>
      <c r="AB70" s="363">
        <f t="shared" si="244"/>
        <v>4.5453306023649276E-2</v>
      </c>
      <c r="AC70" s="364">
        <f t="shared" si="245"/>
        <v>5.6080447128516786E-2</v>
      </c>
      <c r="AD70" s="363">
        <f t="shared" si="245"/>
        <v>4.3949817889675336E-2</v>
      </c>
      <c r="AE70" s="363">
        <f t="shared" si="246"/>
        <v>8.5166073128817299E-2</v>
      </c>
      <c r="AF70" s="363">
        <f t="shared" si="247"/>
        <v>0.16040220190824805</v>
      </c>
      <c r="AG70" s="364">
        <f t="shared" si="247"/>
        <v>-3.8380861389235577E-3</v>
      </c>
      <c r="AH70" s="363">
        <f t="shared" si="248"/>
        <v>4.7802692604673291E-2</v>
      </c>
      <c r="AI70" s="363">
        <f t="shared" si="248"/>
        <v>-2.3165566797963111E-2</v>
      </c>
      <c r="AJ70" s="363">
        <f t="shared" si="249"/>
        <v>8.5041684334505652E-2</v>
      </c>
      <c r="AK70" s="364">
        <f t="shared" si="250"/>
        <v>1.414490547942826E-2</v>
      </c>
      <c r="AL70" s="363">
        <f t="shared" si="250"/>
        <v>2.308444545959154E-2</v>
      </c>
      <c r="AM70" s="363">
        <f t="shared" si="251"/>
        <v>0.17143811508451101</v>
      </c>
      <c r="AN70" s="363">
        <f t="shared" si="252"/>
        <v>5.088569169431123E-2</v>
      </c>
      <c r="AO70" s="364">
        <f t="shared" si="253"/>
        <v>2.0553992531721077E-2</v>
      </c>
      <c r="AP70" s="363">
        <f t="shared" si="254"/>
        <v>-7.4597451412198312E-3</v>
      </c>
      <c r="AQ70" s="363">
        <f t="shared" si="255"/>
        <v>6.5086866441436797E-2</v>
      </c>
      <c r="AR70" s="363">
        <f t="shared" si="256"/>
        <v>0.12925145755628553</v>
      </c>
      <c r="AS70" s="364">
        <f t="shared" si="257"/>
        <v>2.1010244794680277E-2</v>
      </c>
      <c r="AT70" s="363">
        <f t="shared" si="258"/>
        <v>1.8795346274744995E-2</v>
      </c>
      <c r="AU70" s="363">
        <f t="shared" si="259"/>
        <v>4.4957816835748288E-2</v>
      </c>
      <c r="AV70" s="363">
        <f t="shared" si="260"/>
        <v>8.9712030218744854E-2</v>
      </c>
      <c r="AW70" s="364">
        <f t="shared" si="261"/>
        <v>3.3673621167091827E-2</v>
      </c>
      <c r="AX70" s="208"/>
      <c r="AY70" s="1054"/>
      <c r="AZ70" s="365"/>
      <c r="BA70" s="363">
        <f t="shared" si="262"/>
        <v>-1.99700580305473E-3</v>
      </c>
      <c r="BB70" s="877">
        <f t="shared" si="262"/>
        <v>-4.4751604259937849E-2</v>
      </c>
      <c r="BC70" s="877">
        <f t="shared" si="262"/>
        <v>0.19958893194417415</v>
      </c>
      <c r="BD70" s="877">
        <f t="shared" si="263"/>
        <v>0.43369446578575555</v>
      </c>
      <c r="BE70" s="877">
        <f t="shared" si="263"/>
        <v>0.35192344244230545</v>
      </c>
      <c r="BF70" s="877">
        <f t="shared" si="263"/>
        <v>-0.13972590497407877</v>
      </c>
      <c r="BG70" s="877">
        <f t="shared" si="263"/>
        <v>0.29181126806101254</v>
      </c>
      <c r="BH70" s="877">
        <f t="shared" si="263"/>
        <v>0.17512877689534334</v>
      </c>
      <c r="BI70" s="877">
        <f t="shared" si="263"/>
        <v>0.24606688348594496</v>
      </c>
      <c r="BJ70" s="877">
        <f t="shared" si="263"/>
        <v>0.20335610416434036</v>
      </c>
      <c r="BK70" s="877">
        <f t="shared" si="263"/>
        <v>0.21349256009178785</v>
      </c>
    </row>
    <row r="71" spans="1:63" outlineLevel="1">
      <c r="A71" s="290" t="s">
        <v>847</v>
      </c>
      <c r="B71" s="212"/>
      <c r="C71" s="264">
        <f t="shared" ref="C71:U71" si="280">C58/B58-1</f>
        <v>-9.8653460736080723E-2</v>
      </c>
      <c r="D71" s="264">
        <f t="shared" si="280"/>
        <v>3.5265719182738797E-2</v>
      </c>
      <c r="E71" s="291">
        <f t="shared" si="280"/>
        <v>2.3350442612901645E-4</v>
      </c>
      <c r="F71" s="264">
        <f t="shared" si="280"/>
        <v>-5.7863151517954625E-2</v>
      </c>
      <c r="G71" s="264">
        <f t="shared" si="280"/>
        <v>0.11168311336829273</v>
      </c>
      <c r="H71" s="264">
        <f t="shared" si="280"/>
        <v>6.9884135935069924E-2</v>
      </c>
      <c r="I71" s="291">
        <f t="shared" si="280"/>
        <v>-0.12476392578111151</v>
      </c>
      <c r="J71" s="264">
        <f t="shared" si="280"/>
        <v>-1.3730866234531458E-3</v>
      </c>
      <c r="K71" s="264">
        <f t="shared" si="280"/>
        <v>2.9320572670346046E-3</v>
      </c>
      <c r="L71" s="264">
        <f t="shared" si="280"/>
        <v>-3.4839519635732841E-2</v>
      </c>
      <c r="M71" s="291">
        <f t="shared" si="280"/>
        <v>-1.025227650279581E-2</v>
      </c>
      <c r="N71" s="264">
        <f t="shared" si="280"/>
        <v>2.0044635906089514E-2</v>
      </c>
      <c r="O71" s="264">
        <f t="shared" si="280"/>
        <v>2.5196036345877193E-2</v>
      </c>
      <c r="P71" s="264">
        <f t="shared" si="280"/>
        <v>-1.0209056491495505E-2</v>
      </c>
      <c r="Q71" s="291">
        <f t="shared" si="280"/>
        <v>3.4133377011700938E-2</v>
      </c>
      <c r="R71" s="264">
        <f t="shared" si="280"/>
        <v>7.7134072767796935E-2</v>
      </c>
      <c r="S71" s="264">
        <f t="shared" si="241"/>
        <v>0.150890811053634</v>
      </c>
      <c r="T71" s="264">
        <f t="shared" si="280"/>
        <v>4.3730818002600369E-2</v>
      </c>
      <c r="U71" s="291">
        <f t="shared" si="280"/>
        <v>7.8754996548989098E-2</v>
      </c>
      <c r="V71" s="264">
        <f t="shared" ref="V71:Y72" si="281">V58/U58-1</f>
        <v>-0.16516165514914671</v>
      </c>
      <c r="W71" s="264">
        <f t="shared" si="281"/>
        <v>5.1137358346090123E-2</v>
      </c>
      <c r="X71" s="264">
        <f t="shared" si="281"/>
        <v>-1.5044594980867632E-2</v>
      </c>
      <c r="Y71" s="291">
        <f t="shared" si="281"/>
        <v>-0.16268028236652576</v>
      </c>
      <c r="Z71" s="264">
        <f t="shared" si="242"/>
        <v>-0.24907262465344215</v>
      </c>
      <c r="AA71" s="264">
        <f t="shared" si="243"/>
        <v>4.8554144821318257E-2</v>
      </c>
      <c r="AB71" s="264">
        <f t="shared" si="244"/>
        <v>9.0959835360689301E-2</v>
      </c>
      <c r="AC71" s="291">
        <f t="shared" si="245"/>
        <v>0.12822141804522302</v>
      </c>
      <c r="AD71" s="264">
        <f t="shared" si="245"/>
        <v>0.11810391281321886</v>
      </c>
      <c r="AE71" s="264">
        <f t="shared" si="246"/>
        <v>0.49919247301912817</v>
      </c>
      <c r="AF71" s="264">
        <f t="shared" si="247"/>
        <v>-0.2747549932442116</v>
      </c>
      <c r="AG71" s="291">
        <f t="shared" si="247"/>
        <v>-0.21779935998524735</v>
      </c>
      <c r="AH71" s="264">
        <f t="shared" si="248"/>
        <v>0.17696060128401125</v>
      </c>
      <c r="AI71" s="264">
        <f t="shared" si="248"/>
        <v>-5.4400397782298882E-2</v>
      </c>
      <c r="AJ71" s="264">
        <f t="shared" si="249"/>
        <v>6.587216915743066E-2</v>
      </c>
      <c r="AK71" s="291">
        <f t="shared" si="250"/>
        <v>7.2736767137447478E-2</v>
      </c>
      <c r="AL71" s="264">
        <f t="shared" si="250"/>
        <v>-3.8427831136559454E-2</v>
      </c>
      <c r="AM71" s="264">
        <f t="shared" si="251"/>
        <v>0.37561426396005126</v>
      </c>
      <c r="AN71" s="264">
        <f t="shared" si="252"/>
        <v>-9.5437295191839744E-2</v>
      </c>
      <c r="AO71" s="291">
        <f t="shared" si="253"/>
        <v>0</v>
      </c>
      <c r="AP71" s="264">
        <f t="shared" si="254"/>
        <v>1.9653386801443462E-2</v>
      </c>
      <c r="AQ71" s="264">
        <f t="shared" si="255"/>
        <v>0</v>
      </c>
      <c r="AR71" s="264">
        <f t="shared" si="256"/>
        <v>0.10588235294117632</v>
      </c>
      <c r="AS71" s="291">
        <f t="shared" si="257"/>
        <v>0</v>
      </c>
      <c r="AT71" s="264">
        <f t="shared" si="258"/>
        <v>-4.3723404255318954E-2</v>
      </c>
      <c r="AU71" s="264">
        <f t="shared" si="259"/>
        <v>0</v>
      </c>
      <c r="AV71" s="264">
        <f t="shared" si="260"/>
        <v>5.6179775280898792E-2</v>
      </c>
      <c r="AW71" s="291">
        <f t="shared" si="261"/>
        <v>0</v>
      </c>
      <c r="AY71" s="1053"/>
      <c r="AZ71" s="324"/>
      <c r="BA71" s="264">
        <f t="shared" si="262"/>
        <v>1.3353824332107855E-2</v>
      </c>
      <c r="BB71" s="875">
        <f t="shared" si="262"/>
        <v>-5.9338148111063416E-2</v>
      </c>
      <c r="BC71" s="875">
        <f t="shared" si="262"/>
        <v>1.7143059008448702E-2</v>
      </c>
      <c r="BD71" s="875">
        <f t="shared" si="263"/>
        <v>0.28472008004866489</v>
      </c>
      <c r="BE71" s="875">
        <f t="shared" si="263"/>
        <v>-7.9859730006020868E-2</v>
      </c>
      <c r="BF71" s="875">
        <f t="shared" si="263"/>
        <v>-0.26179530427467423</v>
      </c>
      <c r="BG71" s="875">
        <f t="shared" si="263"/>
        <v>0.42817939647311798</v>
      </c>
      <c r="BH71" s="875">
        <f t="shared" si="263"/>
        <v>-8.9776963203200055E-2</v>
      </c>
      <c r="BI71" s="875">
        <f t="shared" si="263"/>
        <v>0.25341697801533036</v>
      </c>
      <c r="BJ71" s="875">
        <f t="shared" si="263"/>
        <v>9.8586039196099318E-2</v>
      </c>
      <c r="BK71" s="875">
        <f t="shared" si="263"/>
        <v>3.2569832402234322E-2</v>
      </c>
    </row>
    <row r="72" spans="1:63" outlineLevel="1">
      <c r="A72" s="304" t="s">
        <v>848</v>
      </c>
      <c r="B72" s="212"/>
      <c r="C72" s="264">
        <f t="shared" ref="C72:U72" si="282">C59/B59-1</f>
        <v>-7.8067960754110155E-3</v>
      </c>
      <c r="D72" s="264">
        <f t="shared" si="282"/>
        <v>4.7767418484546909E-2</v>
      </c>
      <c r="E72" s="291">
        <f t="shared" si="282"/>
        <v>7.0722123483643484E-2</v>
      </c>
      <c r="F72" s="264">
        <f t="shared" si="282"/>
        <v>-0.16782310115404764</v>
      </c>
      <c r="G72" s="264">
        <f t="shared" si="282"/>
        <v>0.19948648530875457</v>
      </c>
      <c r="H72" s="264">
        <f t="shared" si="282"/>
        <v>-6.2462741471899452E-2</v>
      </c>
      <c r="I72" s="291">
        <f t="shared" si="282"/>
        <v>-4.4222525563538895E-2</v>
      </c>
      <c r="J72" s="264">
        <f t="shared" si="282"/>
        <v>-0.27952492558077313</v>
      </c>
      <c r="K72" s="264">
        <f t="shared" si="282"/>
        <v>0.41821883594982578</v>
      </c>
      <c r="L72" s="264">
        <f t="shared" si="282"/>
        <v>6.6887387491372685E-2</v>
      </c>
      <c r="M72" s="291">
        <f t="shared" si="282"/>
        <v>4.2937529308911815E-2</v>
      </c>
      <c r="N72" s="264">
        <f t="shared" si="282"/>
        <v>0.11523155290085096</v>
      </c>
      <c r="O72" s="264">
        <f t="shared" si="282"/>
        <v>4.2074261200622409E-2</v>
      </c>
      <c r="P72" s="264">
        <f t="shared" si="282"/>
        <v>0.15367094936975945</v>
      </c>
      <c r="Q72" s="291">
        <f t="shared" si="282"/>
        <v>-0.11276620815907845</v>
      </c>
      <c r="R72" s="264">
        <f t="shared" si="282"/>
        <v>0.19899226446055041</v>
      </c>
      <c r="S72" s="264">
        <f t="shared" si="241"/>
        <v>0.2738584735501024</v>
      </c>
      <c r="T72" s="264">
        <f t="shared" si="282"/>
        <v>8.1712491331673576E-2</v>
      </c>
      <c r="U72" s="291">
        <f t="shared" si="282"/>
        <v>4.69903144368502E-2</v>
      </c>
      <c r="V72" s="264">
        <f t="shared" si="281"/>
        <v>0.3878665909785044</v>
      </c>
      <c r="W72" s="264">
        <f t="shared" si="281"/>
        <v>5.1137358346089901E-2</v>
      </c>
      <c r="X72" s="264">
        <f t="shared" si="281"/>
        <v>-1.504459498086741E-2</v>
      </c>
      <c r="Y72" s="291">
        <f t="shared" si="281"/>
        <v>-0.16268028236652587</v>
      </c>
      <c r="Z72" s="264">
        <f t="shared" si="242"/>
        <v>-3.1250428542277442E-2</v>
      </c>
      <c r="AA72" s="264">
        <f t="shared" si="243"/>
        <v>4.8554144821318257E-2</v>
      </c>
      <c r="AB72" s="264">
        <f t="shared" si="244"/>
        <v>2.7111270796849052E-2</v>
      </c>
      <c r="AC72" s="291">
        <f t="shared" si="245"/>
        <v>4.1772498791805113E-2</v>
      </c>
      <c r="AD72" s="264">
        <f t="shared" si="245"/>
        <v>2.0033994690008106E-2</v>
      </c>
      <c r="AE72" s="293">
        <f t="shared" si="246"/>
        <v>-6.1201796395149333E-2</v>
      </c>
      <c r="AF72" s="264">
        <f t="shared" si="247"/>
        <v>0.35879159756253554</v>
      </c>
      <c r="AG72" s="291">
        <f t="shared" si="247"/>
        <v>7.033887910166059E-2</v>
      </c>
      <c r="AH72" s="264">
        <f t="shared" si="248"/>
        <v>1.9361184216735827E-2</v>
      </c>
      <c r="AI72" s="264">
        <f t="shared" si="248"/>
        <v>-1.5224028874620044E-2</v>
      </c>
      <c r="AJ72" s="264">
        <f t="shared" si="249"/>
        <v>8.6855572541444603E-2</v>
      </c>
      <c r="AK72" s="294">
        <f t="shared" si="250"/>
        <v>-6.5693576947970511E-3</v>
      </c>
      <c r="AL72" s="264">
        <f t="shared" si="250"/>
        <v>2.8322542561226127E-2</v>
      </c>
      <c r="AM72" s="264">
        <f t="shared" si="251"/>
        <v>0.12806014440402791</v>
      </c>
      <c r="AN72" s="264">
        <f t="shared" si="252"/>
        <v>6.8439448282805904E-2</v>
      </c>
      <c r="AO72" s="291">
        <f t="shared" si="253"/>
        <v>1.7452165244488116E-2</v>
      </c>
      <c r="AP72" s="264">
        <f t="shared" si="254"/>
        <v>-4.4638732187921137E-2</v>
      </c>
      <c r="AQ72" s="264">
        <f t="shared" si="255"/>
        <v>7.8516663769648831E-2</v>
      </c>
      <c r="AR72" s="264">
        <f t="shared" si="256"/>
        <v>0.12950441404088431</v>
      </c>
      <c r="AS72" s="291">
        <f t="shared" si="257"/>
        <v>1.4707887465000402E-2</v>
      </c>
      <c r="AT72" s="264">
        <f t="shared" si="258"/>
        <v>9.9849187446108267E-3</v>
      </c>
      <c r="AU72" s="264">
        <f t="shared" si="259"/>
        <v>4.1190410017467149E-2</v>
      </c>
      <c r="AV72" s="264">
        <f t="shared" si="260"/>
        <v>7.9946833369221482E-2</v>
      </c>
      <c r="AW72" s="291">
        <f t="shared" si="261"/>
        <v>2.3695241733958206E-2</v>
      </c>
      <c r="AY72" s="1053"/>
      <c r="AZ72" s="341"/>
      <c r="BA72" s="293">
        <f t="shared" si="262"/>
        <v>-1.6933669678315555E-2</v>
      </c>
      <c r="BB72" s="878">
        <f t="shared" si="262"/>
        <v>-3.0121331166867993E-2</v>
      </c>
      <c r="BC72" s="878">
        <f t="shared" si="262"/>
        <v>0.37706925015505099</v>
      </c>
      <c r="BD72" s="878">
        <f t="shared" si="263"/>
        <v>0.51135496112140144</v>
      </c>
      <c r="BE72" s="878">
        <f t="shared" si="263"/>
        <v>0.64192978333777972</v>
      </c>
      <c r="BF72" s="878">
        <f t="shared" si="263"/>
        <v>-9.7943761589311285E-2</v>
      </c>
      <c r="BG72" s="878">
        <f t="shared" si="263"/>
        <v>0.2536133250168755</v>
      </c>
      <c r="BH72" s="878">
        <f t="shared" si="263"/>
        <v>0.25966398563772009</v>
      </c>
      <c r="BI72" s="878">
        <f t="shared" si="263"/>
        <v>0.24437202947659431</v>
      </c>
      <c r="BJ72" s="878">
        <f t="shared" si="263"/>
        <v>0.22769057552770233</v>
      </c>
      <c r="BK72" s="878">
        <f t="shared" si="263"/>
        <v>0.25109560241325934</v>
      </c>
    </row>
    <row r="73" spans="1:63" s="249" customFormat="1">
      <c r="A73" s="1008" t="s">
        <v>933</v>
      </c>
      <c r="B73" s="906"/>
      <c r="C73" s="631"/>
      <c r="D73" s="631"/>
      <c r="E73" s="460"/>
      <c r="F73" s="907"/>
      <c r="G73" s="907"/>
      <c r="H73" s="907"/>
      <c r="I73" s="908"/>
      <c r="J73" s="907"/>
      <c r="K73" s="907"/>
      <c r="L73" s="631"/>
      <c r="M73" s="460"/>
      <c r="N73" s="631"/>
      <c r="O73" s="631"/>
      <c r="P73" s="631"/>
      <c r="Q73" s="460"/>
      <c r="R73" s="631"/>
      <c r="S73" s="631"/>
      <c r="T73" s="631"/>
      <c r="U73" s="460"/>
      <c r="V73" s="631"/>
      <c r="W73" s="631"/>
      <c r="X73" s="631"/>
      <c r="Y73" s="460"/>
      <c r="Z73" s="631"/>
      <c r="AA73" s="631"/>
      <c r="AB73" s="631"/>
      <c r="AC73" s="460"/>
      <c r="AD73" s="631"/>
      <c r="AE73" s="631"/>
      <c r="AF73" s="631"/>
      <c r="AG73" s="460"/>
      <c r="AH73" s="631"/>
      <c r="AI73" s="631"/>
      <c r="AJ73" s="631"/>
      <c r="AK73" s="460"/>
      <c r="AL73" s="631"/>
      <c r="AM73" s="631"/>
      <c r="AN73" s="631"/>
      <c r="AO73" s="460"/>
      <c r="AP73" s="631"/>
      <c r="AQ73" s="631"/>
      <c r="AR73" s="631"/>
      <c r="AS73" s="460"/>
      <c r="AT73" s="631"/>
      <c r="AU73" s="631"/>
      <c r="AV73" s="631"/>
      <c r="AW73" s="460"/>
      <c r="AX73" s="626"/>
      <c r="AY73" s="910"/>
      <c r="AZ73" s="909">
        <v>2017</v>
      </c>
      <c r="BA73" s="517">
        <v>2018</v>
      </c>
      <c r="BB73" s="517">
        <v>2019</v>
      </c>
      <c r="BC73" s="867">
        <v>2020</v>
      </c>
      <c r="BD73" s="867">
        <v>2021</v>
      </c>
      <c r="BE73" s="867">
        <v>2022</v>
      </c>
      <c r="BF73" s="867">
        <v>2023</v>
      </c>
      <c r="BG73" s="867">
        <v>2024</v>
      </c>
      <c r="BH73" s="867">
        <v>2025</v>
      </c>
      <c r="BI73" s="871">
        <v>2026</v>
      </c>
      <c r="BJ73" s="871">
        <v>2027</v>
      </c>
      <c r="BK73" s="871">
        <v>2028</v>
      </c>
    </row>
    <row r="74" spans="1:63" s="249" customFormat="1" outlineLevel="1">
      <c r="A74" s="227" t="s">
        <v>742</v>
      </c>
      <c r="B74" s="911">
        <f>B104/3</f>
        <v>110</v>
      </c>
      <c r="C74" s="381">
        <f t="shared" ref="C74:U74" si="283">C104/3</f>
        <v>112</v>
      </c>
      <c r="D74" s="381">
        <f t="shared" si="283"/>
        <v>114</v>
      </c>
      <c r="E74" s="912">
        <f t="shared" si="283"/>
        <v>109</v>
      </c>
      <c r="F74" s="381">
        <f t="shared" si="283"/>
        <v>109</v>
      </c>
      <c r="G74" s="381">
        <f t="shared" si="283"/>
        <v>108</v>
      </c>
      <c r="H74" s="381">
        <f t="shared" si="283"/>
        <v>106</v>
      </c>
      <c r="I74" s="912">
        <f t="shared" si="283"/>
        <v>109</v>
      </c>
      <c r="J74" s="381">
        <f t="shared" si="283"/>
        <v>112</v>
      </c>
      <c r="K74" s="381">
        <f t="shared" si="283"/>
        <v>115</v>
      </c>
      <c r="L74" s="381">
        <f t="shared" si="283"/>
        <v>112</v>
      </c>
      <c r="M74" s="913">
        <f t="shared" si="283"/>
        <v>115</v>
      </c>
      <c r="N74" s="629">
        <f t="shared" si="283"/>
        <v>115</v>
      </c>
      <c r="O74" s="629">
        <f t="shared" si="283"/>
        <v>115</v>
      </c>
      <c r="P74" s="629">
        <f t="shared" si="283"/>
        <v>115</v>
      </c>
      <c r="Q74" s="913">
        <f t="shared" si="283"/>
        <v>115</v>
      </c>
      <c r="R74" s="629">
        <f t="shared" si="283"/>
        <v>115</v>
      </c>
      <c r="S74" s="629">
        <f t="shared" si="283"/>
        <v>115</v>
      </c>
      <c r="T74" s="629">
        <f t="shared" si="283"/>
        <v>115</v>
      </c>
      <c r="U74" s="913">
        <f t="shared" si="283"/>
        <v>115</v>
      </c>
      <c r="V74" s="629">
        <f t="shared" ref="V74:AG74" si="284">V104/3</f>
        <v>115</v>
      </c>
      <c r="W74" s="629">
        <f t="shared" si="284"/>
        <v>115</v>
      </c>
      <c r="X74" s="629">
        <f t="shared" si="284"/>
        <v>115</v>
      </c>
      <c r="Y74" s="913">
        <f t="shared" si="284"/>
        <v>115</v>
      </c>
      <c r="Z74" s="629">
        <f t="shared" si="284"/>
        <v>115</v>
      </c>
      <c r="AA74" s="629">
        <f t="shared" si="284"/>
        <v>115</v>
      </c>
      <c r="AB74" s="629">
        <f t="shared" si="284"/>
        <v>115</v>
      </c>
      <c r="AC74" s="913">
        <f t="shared" si="284"/>
        <v>115</v>
      </c>
      <c r="AD74" s="629">
        <f>AD104/3</f>
        <v>115</v>
      </c>
      <c r="AE74" s="629">
        <f t="shared" si="284"/>
        <v>115</v>
      </c>
      <c r="AF74" s="629">
        <f t="shared" si="284"/>
        <v>115</v>
      </c>
      <c r="AG74" s="913">
        <f t="shared" si="284"/>
        <v>115</v>
      </c>
      <c r="AH74" s="629">
        <f t="shared" ref="AH74:AO74" si="285">AH104/3</f>
        <v>115</v>
      </c>
      <c r="AI74" s="629">
        <f t="shared" si="285"/>
        <v>115</v>
      </c>
      <c r="AJ74" s="629">
        <f t="shared" si="285"/>
        <v>115</v>
      </c>
      <c r="AK74" s="913">
        <f t="shared" si="285"/>
        <v>115</v>
      </c>
      <c r="AL74" s="629">
        <f t="shared" ref="AL74" si="286">AL104/3</f>
        <v>115</v>
      </c>
      <c r="AM74" s="629">
        <f t="shared" si="285"/>
        <v>115</v>
      </c>
      <c r="AN74" s="629">
        <f t="shared" si="285"/>
        <v>115</v>
      </c>
      <c r="AO74" s="913">
        <f t="shared" si="285"/>
        <v>115</v>
      </c>
      <c r="AP74" s="629">
        <f t="shared" ref="AP74:AS74" si="287">AP104/3</f>
        <v>115</v>
      </c>
      <c r="AQ74" s="629">
        <f t="shared" si="287"/>
        <v>115</v>
      </c>
      <c r="AR74" s="629">
        <f t="shared" si="287"/>
        <v>115</v>
      </c>
      <c r="AS74" s="913">
        <f t="shared" si="287"/>
        <v>115</v>
      </c>
      <c r="AT74" s="629">
        <f t="shared" ref="AT74:AW74" si="288">AT104/3</f>
        <v>115</v>
      </c>
      <c r="AU74" s="629">
        <f t="shared" si="288"/>
        <v>115</v>
      </c>
      <c r="AV74" s="629">
        <f t="shared" si="288"/>
        <v>115</v>
      </c>
      <c r="AW74" s="913">
        <f t="shared" si="288"/>
        <v>115</v>
      </c>
      <c r="AY74" s="1055"/>
      <c r="AZ74" s="914">
        <f>E74</f>
        <v>109</v>
      </c>
      <c r="BA74" s="685">
        <f>I74</f>
        <v>109</v>
      </c>
      <c r="BB74" s="685">
        <f>M74</f>
        <v>115</v>
      </c>
      <c r="BC74" s="685">
        <f>Q74</f>
        <v>115</v>
      </c>
      <c r="BD74" s="685">
        <f>U74</f>
        <v>115</v>
      </c>
      <c r="BE74" s="685">
        <f t="shared" ref="BE74:BE88" si="289">Y74</f>
        <v>115</v>
      </c>
      <c r="BF74" s="685">
        <f>AC74</f>
        <v>115</v>
      </c>
      <c r="BG74" s="685">
        <f>AG74</f>
        <v>115</v>
      </c>
      <c r="BH74" s="685">
        <f t="shared" ref="BH74:BH88" si="290">AK74</f>
        <v>115</v>
      </c>
      <c r="BI74" s="685">
        <f>AO74</f>
        <v>115</v>
      </c>
      <c r="BJ74" s="685">
        <f>AS74</f>
        <v>115</v>
      </c>
      <c r="BK74" s="685">
        <f>AW74</f>
        <v>115</v>
      </c>
    </row>
    <row r="75" spans="1:63" s="249" customFormat="1" outlineLevel="1">
      <c r="A75" s="227" t="s">
        <v>741</v>
      </c>
      <c r="B75" s="911">
        <f>B105/3/2.25</f>
        <v>20</v>
      </c>
      <c r="C75" s="381">
        <f t="shared" ref="C75:U75" si="291">C105/3/2.25</f>
        <v>20</v>
      </c>
      <c r="D75" s="381">
        <f t="shared" si="291"/>
        <v>18</v>
      </c>
      <c r="E75" s="912">
        <f t="shared" si="291"/>
        <v>17</v>
      </c>
      <c r="F75" s="381">
        <f t="shared" si="291"/>
        <v>17</v>
      </c>
      <c r="G75" s="381">
        <f t="shared" si="291"/>
        <v>17</v>
      </c>
      <c r="H75" s="381">
        <f t="shared" si="291"/>
        <v>15</v>
      </c>
      <c r="I75" s="912">
        <f t="shared" si="291"/>
        <v>10</v>
      </c>
      <c r="J75" s="381">
        <f t="shared" si="291"/>
        <v>10</v>
      </c>
      <c r="K75" s="381">
        <f t="shared" si="291"/>
        <v>8</v>
      </c>
      <c r="L75" s="381">
        <f t="shared" si="291"/>
        <v>8</v>
      </c>
      <c r="M75" s="913">
        <f t="shared" si="291"/>
        <v>2</v>
      </c>
      <c r="N75" s="629">
        <f t="shared" si="291"/>
        <v>2</v>
      </c>
      <c r="O75" s="629">
        <f t="shared" si="291"/>
        <v>1.4</v>
      </c>
      <c r="P75" s="629">
        <f t="shared" si="291"/>
        <v>1.4</v>
      </c>
      <c r="Q75" s="913">
        <f t="shared" si="291"/>
        <v>1.4</v>
      </c>
      <c r="R75" s="629">
        <f t="shared" si="291"/>
        <v>1.4</v>
      </c>
      <c r="S75" s="629">
        <f t="shared" si="291"/>
        <v>1.4</v>
      </c>
      <c r="T75" s="629">
        <f t="shared" si="291"/>
        <v>1.4</v>
      </c>
      <c r="U75" s="913">
        <f t="shared" si="291"/>
        <v>1.4</v>
      </c>
      <c r="V75" s="629">
        <f t="shared" ref="V75:AG75" si="292">V105/3/2.25</f>
        <v>1.4</v>
      </c>
      <c r="W75" s="629">
        <f t="shared" si="292"/>
        <v>1.4</v>
      </c>
      <c r="X75" s="629">
        <f t="shared" si="292"/>
        <v>1.4</v>
      </c>
      <c r="Y75" s="913">
        <f t="shared" si="292"/>
        <v>1.4</v>
      </c>
      <c r="Z75" s="629">
        <f t="shared" si="292"/>
        <v>1.4</v>
      </c>
      <c r="AA75" s="629">
        <f t="shared" si="292"/>
        <v>1.4</v>
      </c>
      <c r="AB75" s="629">
        <f t="shared" si="292"/>
        <v>1.4</v>
      </c>
      <c r="AC75" s="913">
        <f t="shared" si="292"/>
        <v>1.4</v>
      </c>
      <c r="AD75" s="629">
        <f>AD105/3/2.25</f>
        <v>1.4</v>
      </c>
      <c r="AE75" s="629">
        <f t="shared" si="292"/>
        <v>1.4</v>
      </c>
      <c r="AF75" s="629">
        <f t="shared" si="292"/>
        <v>1.4</v>
      </c>
      <c r="AG75" s="913">
        <f t="shared" si="292"/>
        <v>1.4</v>
      </c>
      <c r="AH75" s="629">
        <f t="shared" ref="AH75:AO76" si="293">AH105/3/2.25</f>
        <v>1.4</v>
      </c>
      <c r="AI75" s="629">
        <f t="shared" si="293"/>
        <v>1.4</v>
      </c>
      <c r="AJ75" s="629">
        <f t="shared" si="293"/>
        <v>1.4</v>
      </c>
      <c r="AK75" s="913">
        <f t="shared" si="293"/>
        <v>1.4</v>
      </c>
      <c r="AL75" s="629">
        <f t="shared" ref="AL75" si="294">AL105/3/2.25</f>
        <v>1.4</v>
      </c>
      <c r="AM75" s="629">
        <f t="shared" si="293"/>
        <v>1.4</v>
      </c>
      <c r="AN75" s="629">
        <f t="shared" si="293"/>
        <v>1.4</v>
      </c>
      <c r="AO75" s="913">
        <f t="shared" si="293"/>
        <v>1.4</v>
      </c>
      <c r="AP75" s="629">
        <f t="shared" ref="AP75:AS75" si="295">AP105/3/2.25</f>
        <v>1.4</v>
      </c>
      <c r="AQ75" s="629">
        <f t="shared" si="295"/>
        <v>1.4</v>
      </c>
      <c r="AR75" s="629">
        <f t="shared" si="295"/>
        <v>1.4</v>
      </c>
      <c r="AS75" s="913">
        <f t="shared" si="295"/>
        <v>1.4</v>
      </c>
      <c r="AT75" s="629">
        <f t="shared" ref="AT75:AW75" si="296">AT105/3/2.25</f>
        <v>1.4</v>
      </c>
      <c r="AU75" s="629">
        <f t="shared" si="296"/>
        <v>1.4</v>
      </c>
      <c r="AV75" s="629">
        <f t="shared" si="296"/>
        <v>1.4</v>
      </c>
      <c r="AW75" s="913">
        <f t="shared" si="296"/>
        <v>1.4</v>
      </c>
      <c r="AY75" s="1055"/>
      <c r="AZ75" s="914">
        <f t="shared" ref="AZ75:AZ102" si="297">E75</f>
        <v>17</v>
      </c>
      <c r="BA75" s="685">
        <f t="shared" ref="BA75:BA102" si="298">I75</f>
        <v>10</v>
      </c>
      <c r="BB75" s="685">
        <f t="shared" ref="BB75:BB102" si="299">M75</f>
        <v>2</v>
      </c>
      <c r="BC75" s="685">
        <f t="shared" ref="BC75:BC102" si="300">Q75</f>
        <v>1.4</v>
      </c>
      <c r="BD75" s="685">
        <f t="shared" ref="BD75:BD102" si="301">U75</f>
        <v>1.4</v>
      </c>
      <c r="BE75" s="685">
        <f t="shared" si="289"/>
        <v>1.4</v>
      </c>
      <c r="BF75" s="685">
        <f t="shared" ref="BF75:BF88" si="302">AC75</f>
        <v>1.4</v>
      </c>
      <c r="BG75" s="685">
        <f t="shared" ref="BG75:BG86" si="303">AG75</f>
        <v>1.4</v>
      </c>
      <c r="BH75" s="685">
        <f t="shared" si="290"/>
        <v>1.4</v>
      </c>
      <c r="BI75" s="685">
        <f t="shared" ref="BI75:BI102" si="304">AO75</f>
        <v>1.4</v>
      </c>
      <c r="BJ75" s="685">
        <f t="shared" ref="BJ75:BJ88" si="305">AS75</f>
        <v>1.4</v>
      </c>
      <c r="BK75" s="685">
        <f t="shared" ref="BK75:BK85" si="306">AW75</f>
        <v>1.4</v>
      </c>
    </row>
    <row r="76" spans="1:63" s="249" customFormat="1" outlineLevel="1">
      <c r="A76" s="227" t="s">
        <v>740</v>
      </c>
      <c r="B76" s="911">
        <f>B106/3/2.25</f>
        <v>48</v>
      </c>
      <c r="C76" s="381">
        <f t="shared" ref="C76:U76" si="307">C106/3/2.25</f>
        <v>50</v>
      </c>
      <c r="D76" s="381">
        <f t="shared" si="307"/>
        <v>50</v>
      </c>
      <c r="E76" s="912">
        <f t="shared" si="307"/>
        <v>46</v>
      </c>
      <c r="F76" s="381">
        <f t="shared" si="307"/>
        <v>46</v>
      </c>
      <c r="G76" s="381">
        <f t="shared" si="307"/>
        <v>43</v>
      </c>
      <c r="H76" s="381">
        <f t="shared" si="307"/>
        <v>42</v>
      </c>
      <c r="I76" s="912">
        <f t="shared" si="307"/>
        <v>42</v>
      </c>
      <c r="J76" s="381">
        <f t="shared" si="307"/>
        <v>47</v>
      </c>
      <c r="K76" s="381">
        <f t="shared" si="307"/>
        <v>50</v>
      </c>
      <c r="L76" s="381">
        <f t="shared" si="307"/>
        <v>50</v>
      </c>
      <c r="M76" s="913">
        <f t="shared" si="307"/>
        <v>52</v>
      </c>
      <c r="N76" s="629">
        <f t="shared" si="307"/>
        <v>52</v>
      </c>
      <c r="O76" s="629">
        <f t="shared" si="307"/>
        <v>52</v>
      </c>
      <c r="P76" s="629">
        <f t="shared" si="307"/>
        <v>52</v>
      </c>
      <c r="Q76" s="913">
        <f t="shared" si="307"/>
        <v>52</v>
      </c>
      <c r="R76" s="629">
        <f t="shared" si="307"/>
        <v>52</v>
      </c>
      <c r="S76" s="629">
        <f t="shared" si="307"/>
        <v>52</v>
      </c>
      <c r="T76" s="629">
        <f t="shared" si="307"/>
        <v>52</v>
      </c>
      <c r="U76" s="913">
        <f t="shared" si="307"/>
        <v>52</v>
      </c>
      <c r="V76" s="629">
        <f t="shared" ref="V76:AG76" si="308">V106/3/2.25</f>
        <v>52</v>
      </c>
      <c r="W76" s="629">
        <f t="shared" si="308"/>
        <v>52</v>
      </c>
      <c r="X76" s="629">
        <f t="shared" si="308"/>
        <v>52</v>
      </c>
      <c r="Y76" s="913">
        <f t="shared" si="308"/>
        <v>52</v>
      </c>
      <c r="Z76" s="629">
        <f t="shared" si="308"/>
        <v>52</v>
      </c>
      <c r="AA76" s="629">
        <f t="shared" si="308"/>
        <v>52</v>
      </c>
      <c r="AB76" s="629">
        <f t="shared" si="308"/>
        <v>52</v>
      </c>
      <c r="AC76" s="913">
        <f t="shared" si="308"/>
        <v>52</v>
      </c>
      <c r="AD76" s="629">
        <f>AD106/3/2.25</f>
        <v>52</v>
      </c>
      <c r="AE76" s="629">
        <f t="shared" si="308"/>
        <v>52</v>
      </c>
      <c r="AF76" s="629">
        <f t="shared" si="308"/>
        <v>52</v>
      </c>
      <c r="AG76" s="913">
        <f t="shared" si="308"/>
        <v>52</v>
      </c>
      <c r="AH76" s="629">
        <f t="shared" si="293"/>
        <v>52</v>
      </c>
      <c r="AI76" s="629">
        <f t="shared" si="293"/>
        <v>52</v>
      </c>
      <c r="AJ76" s="629">
        <f t="shared" si="293"/>
        <v>52</v>
      </c>
      <c r="AK76" s="913">
        <f t="shared" si="293"/>
        <v>52</v>
      </c>
      <c r="AL76" s="629">
        <f t="shared" ref="AL76" si="309">AL106/3/2.25</f>
        <v>52</v>
      </c>
      <c r="AM76" s="629">
        <f t="shared" si="293"/>
        <v>52</v>
      </c>
      <c r="AN76" s="629">
        <f t="shared" si="293"/>
        <v>52</v>
      </c>
      <c r="AO76" s="913">
        <f t="shared" si="293"/>
        <v>52</v>
      </c>
      <c r="AP76" s="629">
        <f t="shared" ref="AP76:AS76" si="310">AP106/3/2.25</f>
        <v>52</v>
      </c>
      <c r="AQ76" s="629">
        <f t="shared" si="310"/>
        <v>52</v>
      </c>
      <c r="AR76" s="629">
        <f t="shared" si="310"/>
        <v>52</v>
      </c>
      <c r="AS76" s="913">
        <f t="shared" si="310"/>
        <v>52</v>
      </c>
      <c r="AT76" s="629">
        <f t="shared" ref="AT76:AW76" si="311">AT106/3/2.25</f>
        <v>52</v>
      </c>
      <c r="AU76" s="629">
        <f t="shared" si="311"/>
        <v>52</v>
      </c>
      <c r="AV76" s="629">
        <f t="shared" si="311"/>
        <v>52</v>
      </c>
      <c r="AW76" s="913">
        <f t="shared" si="311"/>
        <v>52</v>
      </c>
      <c r="AY76" s="1055"/>
      <c r="AZ76" s="914">
        <f t="shared" si="297"/>
        <v>46</v>
      </c>
      <c r="BA76" s="685">
        <f t="shared" si="298"/>
        <v>42</v>
      </c>
      <c r="BB76" s="685">
        <f t="shared" si="299"/>
        <v>52</v>
      </c>
      <c r="BC76" s="685">
        <f t="shared" si="300"/>
        <v>52</v>
      </c>
      <c r="BD76" s="685">
        <f t="shared" si="301"/>
        <v>52</v>
      </c>
      <c r="BE76" s="685">
        <f t="shared" si="289"/>
        <v>52</v>
      </c>
      <c r="BF76" s="685">
        <f t="shared" si="302"/>
        <v>52</v>
      </c>
      <c r="BG76" s="685">
        <f t="shared" si="303"/>
        <v>52</v>
      </c>
      <c r="BH76" s="685">
        <f t="shared" si="290"/>
        <v>52</v>
      </c>
      <c r="BI76" s="685">
        <f t="shared" si="304"/>
        <v>52</v>
      </c>
      <c r="BJ76" s="685">
        <f t="shared" si="305"/>
        <v>52</v>
      </c>
      <c r="BK76" s="685">
        <f t="shared" si="306"/>
        <v>52</v>
      </c>
    </row>
    <row r="77" spans="1:63" s="249" customFormat="1" outlineLevel="1">
      <c r="A77" s="227" t="s">
        <v>739</v>
      </c>
      <c r="B77" s="911">
        <f>B107/3</f>
        <v>45</v>
      </c>
      <c r="C77" s="381">
        <f t="shared" ref="C77:U77" si="312">C107/3</f>
        <v>45</v>
      </c>
      <c r="D77" s="381">
        <f t="shared" si="312"/>
        <v>47</v>
      </c>
      <c r="E77" s="912">
        <f t="shared" si="312"/>
        <v>50</v>
      </c>
      <c r="F77" s="381">
        <f t="shared" si="312"/>
        <v>50</v>
      </c>
      <c r="G77" s="381">
        <f t="shared" si="312"/>
        <v>50</v>
      </c>
      <c r="H77" s="381">
        <f t="shared" si="312"/>
        <v>53</v>
      </c>
      <c r="I77" s="912">
        <f t="shared" si="312"/>
        <v>60</v>
      </c>
      <c r="J77" s="381">
        <f t="shared" si="312"/>
        <v>58</v>
      </c>
      <c r="K77" s="381">
        <f t="shared" si="312"/>
        <v>57</v>
      </c>
      <c r="L77" s="381">
        <f t="shared" si="312"/>
        <v>58</v>
      </c>
      <c r="M77" s="913">
        <f t="shared" si="312"/>
        <v>58</v>
      </c>
      <c r="N77" s="629">
        <f t="shared" si="312"/>
        <v>63</v>
      </c>
      <c r="O77" s="629">
        <f t="shared" si="312"/>
        <v>73</v>
      </c>
      <c r="P77" s="629">
        <f t="shared" si="312"/>
        <v>96.25</v>
      </c>
      <c r="Q77" s="913">
        <f t="shared" si="312"/>
        <v>93.34999999999998</v>
      </c>
      <c r="R77" s="629">
        <f t="shared" si="312"/>
        <v>93.34999999999998</v>
      </c>
      <c r="S77" s="629">
        <f t="shared" si="312"/>
        <v>93.34999999999998</v>
      </c>
      <c r="T77" s="629">
        <f t="shared" si="312"/>
        <v>93.34999999999998</v>
      </c>
      <c r="U77" s="913">
        <f t="shared" si="312"/>
        <v>93.34999999999998</v>
      </c>
      <c r="V77" s="629">
        <f t="shared" ref="V77:AG77" si="313">V107/3</f>
        <v>93.34999999999998</v>
      </c>
      <c r="W77" s="629">
        <f t="shared" si="313"/>
        <v>93.34999999999998</v>
      </c>
      <c r="X77" s="629">
        <f t="shared" si="313"/>
        <v>98.724000000000004</v>
      </c>
      <c r="Y77" s="913">
        <f t="shared" si="313"/>
        <v>99.974000000000004</v>
      </c>
      <c r="Z77" s="629">
        <f t="shared" si="313"/>
        <v>104.724</v>
      </c>
      <c r="AA77" s="629">
        <f t="shared" si="313"/>
        <v>108.724</v>
      </c>
      <c r="AB77" s="629">
        <f t="shared" si="313"/>
        <v>123.224</v>
      </c>
      <c r="AC77" s="913">
        <f t="shared" si="313"/>
        <v>126.224</v>
      </c>
      <c r="AD77" s="629">
        <f>AD107/3</f>
        <v>126.224</v>
      </c>
      <c r="AE77" s="629">
        <f t="shared" si="313"/>
        <v>126.224</v>
      </c>
      <c r="AF77" s="629">
        <f t="shared" si="313"/>
        <v>126.224</v>
      </c>
      <c r="AG77" s="913">
        <f t="shared" si="313"/>
        <v>126.224</v>
      </c>
      <c r="AH77" s="629">
        <f t="shared" ref="AH77:AO78" si="314">AH107/3</f>
        <v>126.224</v>
      </c>
      <c r="AI77" s="629">
        <f t="shared" si="314"/>
        <v>126.224</v>
      </c>
      <c r="AJ77" s="629">
        <f t="shared" si="314"/>
        <v>126.224</v>
      </c>
      <c r="AK77" s="913">
        <f t="shared" si="314"/>
        <v>126.224</v>
      </c>
      <c r="AL77" s="629">
        <f t="shared" ref="AL77" si="315">AL107/3</f>
        <v>126.224</v>
      </c>
      <c r="AM77" s="629">
        <f t="shared" si="314"/>
        <v>126.224</v>
      </c>
      <c r="AN77" s="629">
        <f t="shared" si="314"/>
        <v>126.224</v>
      </c>
      <c r="AO77" s="913">
        <f t="shared" si="314"/>
        <v>126.224</v>
      </c>
      <c r="AP77" s="629">
        <f t="shared" ref="AP77:AS77" si="316">AP107/3</f>
        <v>126.224</v>
      </c>
      <c r="AQ77" s="629">
        <f t="shared" si="316"/>
        <v>126.224</v>
      </c>
      <c r="AR77" s="629">
        <f t="shared" si="316"/>
        <v>126.224</v>
      </c>
      <c r="AS77" s="913">
        <f t="shared" si="316"/>
        <v>126.224</v>
      </c>
      <c r="AT77" s="629">
        <f t="shared" ref="AT77:AW77" si="317">AT107/3</f>
        <v>126.224</v>
      </c>
      <c r="AU77" s="629">
        <f t="shared" si="317"/>
        <v>126.224</v>
      </c>
      <c r="AV77" s="629">
        <f t="shared" si="317"/>
        <v>126.224</v>
      </c>
      <c r="AW77" s="913">
        <f t="shared" si="317"/>
        <v>126.224</v>
      </c>
      <c r="AY77" s="1055"/>
      <c r="AZ77" s="914">
        <f t="shared" si="297"/>
        <v>50</v>
      </c>
      <c r="BA77" s="685">
        <f t="shared" si="298"/>
        <v>60</v>
      </c>
      <c r="BB77" s="685">
        <f t="shared" si="299"/>
        <v>58</v>
      </c>
      <c r="BC77" s="685">
        <f t="shared" si="300"/>
        <v>93.34999999999998</v>
      </c>
      <c r="BD77" s="685">
        <f t="shared" si="301"/>
        <v>93.34999999999998</v>
      </c>
      <c r="BE77" s="685">
        <f t="shared" si="289"/>
        <v>99.974000000000004</v>
      </c>
      <c r="BF77" s="685">
        <f t="shared" si="302"/>
        <v>126.224</v>
      </c>
      <c r="BG77" s="685">
        <f t="shared" si="303"/>
        <v>126.224</v>
      </c>
      <c r="BH77" s="685">
        <f t="shared" si="290"/>
        <v>126.224</v>
      </c>
      <c r="BI77" s="685">
        <f t="shared" si="304"/>
        <v>126.224</v>
      </c>
      <c r="BJ77" s="685">
        <f t="shared" si="305"/>
        <v>126.224</v>
      </c>
      <c r="BK77" s="685">
        <f t="shared" si="306"/>
        <v>126.224</v>
      </c>
    </row>
    <row r="78" spans="1:63" s="249" customFormat="1" outlineLevel="1">
      <c r="A78" s="227" t="s">
        <v>738</v>
      </c>
      <c r="B78" s="911">
        <f>B108/3</f>
        <v>31</v>
      </c>
      <c r="C78" s="381">
        <f t="shared" ref="C78:U78" si="318">C108/3</f>
        <v>32</v>
      </c>
      <c r="D78" s="381">
        <f t="shared" si="318"/>
        <v>32.075000000000003</v>
      </c>
      <c r="E78" s="912">
        <f t="shared" si="318"/>
        <v>30</v>
      </c>
      <c r="F78" s="381">
        <f t="shared" si="318"/>
        <v>35</v>
      </c>
      <c r="G78" s="381">
        <f t="shared" si="318"/>
        <v>35</v>
      </c>
      <c r="H78" s="381">
        <f t="shared" si="318"/>
        <v>40.299999999999997</v>
      </c>
      <c r="I78" s="912">
        <f t="shared" si="318"/>
        <v>42</v>
      </c>
      <c r="J78" s="381">
        <f t="shared" si="318"/>
        <v>45</v>
      </c>
      <c r="K78" s="381">
        <f t="shared" si="318"/>
        <v>50</v>
      </c>
      <c r="L78" s="381">
        <f t="shared" si="318"/>
        <v>52</v>
      </c>
      <c r="M78" s="913">
        <f t="shared" si="318"/>
        <v>55</v>
      </c>
      <c r="N78" s="629">
        <f t="shared" si="318"/>
        <v>55</v>
      </c>
      <c r="O78" s="629">
        <f t="shared" si="318"/>
        <v>46</v>
      </c>
      <c r="P78" s="629">
        <f t="shared" si="318"/>
        <v>46</v>
      </c>
      <c r="Q78" s="913">
        <f t="shared" si="318"/>
        <v>46</v>
      </c>
      <c r="R78" s="629">
        <f t="shared" si="318"/>
        <v>66</v>
      </c>
      <c r="S78" s="629">
        <f t="shared" si="318"/>
        <v>80</v>
      </c>
      <c r="T78" s="629">
        <f t="shared" si="318"/>
        <v>85.375</v>
      </c>
      <c r="U78" s="913">
        <f t="shared" si="318"/>
        <v>92.248999999999981</v>
      </c>
      <c r="V78" s="629">
        <f t="shared" ref="V78:AG78" si="319">V108/3</f>
        <v>100.12399999999998</v>
      </c>
      <c r="W78" s="629">
        <f t="shared" si="319"/>
        <v>106.75</v>
      </c>
      <c r="X78" s="629">
        <f t="shared" si="319"/>
        <v>113.37600000000002</v>
      </c>
      <c r="Y78" s="913">
        <f t="shared" si="319"/>
        <v>113.37600000000002</v>
      </c>
      <c r="Z78" s="629">
        <f t="shared" si="319"/>
        <v>113.37600000000002</v>
      </c>
      <c r="AA78" s="629">
        <f t="shared" si="319"/>
        <v>113.37600000000002</v>
      </c>
      <c r="AB78" s="629">
        <f t="shared" si="319"/>
        <v>113.37600000000002</v>
      </c>
      <c r="AC78" s="913">
        <f t="shared" si="319"/>
        <v>113.37600000000002</v>
      </c>
      <c r="AD78" s="629">
        <f>AD108/3</f>
        <v>113.37600000000002</v>
      </c>
      <c r="AE78" s="629">
        <f t="shared" si="319"/>
        <v>113.37600000000002</v>
      </c>
      <c r="AF78" s="629">
        <f t="shared" si="319"/>
        <v>113.37600000000002</v>
      </c>
      <c r="AG78" s="913">
        <f t="shared" si="319"/>
        <v>113.37600000000002</v>
      </c>
      <c r="AH78" s="629">
        <f t="shared" si="314"/>
        <v>113.37600000000002</v>
      </c>
      <c r="AI78" s="629">
        <f t="shared" si="314"/>
        <v>113.37600000000002</v>
      </c>
      <c r="AJ78" s="629">
        <f t="shared" si="314"/>
        <v>113.37600000000002</v>
      </c>
      <c r="AK78" s="913">
        <f t="shared" si="314"/>
        <v>113.37600000000002</v>
      </c>
      <c r="AL78" s="629">
        <f t="shared" ref="AL78" si="320">AL108/3</f>
        <v>113.37600000000002</v>
      </c>
      <c r="AM78" s="629">
        <f t="shared" si="314"/>
        <v>113.37600000000002</v>
      </c>
      <c r="AN78" s="629">
        <f t="shared" si="314"/>
        <v>113.37600000000002</v>
      </c>
      <c r="AO78" s="913">
        <f t="shared" si="314"/>
        <v>113.37600000000002</v>
      </c>
      <c r="AP78" s="629">
        <f t="shared" ref="AP78:AS78" si="321">AP108/3</f>
        <v>113.37600000000002</v>
      </c>
      <c r="AQ78" s="629">
        <f t="shared" si="321"/>
        <v>113.37600000000002</v>
      </c>
      <c r="AR78" s="629">
        <f t="shared" si="321"/>
        <v>113.37600000000002</v>
      </c>
      <c r="AS78" s="913">
        <f t="shared" si="321"/>
        <v>113.37600000000002</v>
      </c>
      <c r="AT78" s="629">
        <f t="shared" ref="AT78:AW78" si="322">AT108/3</f>
        <v>113.37600000000002</v>
      </c>
      <c r="AU78" s="629">
        <f t="shared" si="322"/>
        <v>113.37600000000002</v>
      </c>
      <c r="AV78" s="629">
        <f t="shared" si="322"/>
        <v>113.37600000000002</v>
      </c>
      <c r="AW78" s="913">
        <f t="shared" si="322"/>
        <v>113.37600000000002</v>
      </c>
      <c r="AY78" s="1055"/>
      <c r="AZ78" s="914">
        <f t="shared" si="297"/>
        <v>30</v>
      </c>
      <c r="BA78" s="685">
        <f t="shared" si="298"/>
        <v>42</v>
      </c>
      <c r="BB78" s="685">
        <f t="shared" si="299"/>
        <v>55</v>
      </c>
      <c r="BC78" s="685">
        <f t="shared" si="300"/>
        <v>46</v>
      </c>
      <c r="BD78" s="685">
        <f t="shared" si="301"/>
        <v>92.248999999999981</v>
      </c>
      <c r="BE78" s="685">
        <f t="shared" si="289"/>
        <v>113.37600000000002</v>
      </c>
      <c r="BF78" s="685">
        <f t="shared" si="302"/>
        <v>113.37600000000002</v>
      </c>
      <c r="BG78" s="685">
        <f t="shared" si="303"/>
        <v>113.37600000000002</v>
      </c>
      <c r="BH78" s="685">
        <f t="shared" si="290"/>
        <v>113.37600000000002</v>
      </c>
      <c r="BI78" s="685">
        <f t="shared" si="304"/>
        <v>113.37600000000002</v>
      </c>
      <c r="BJ78" s="685">
        <f t="shared" si="305"/>
        <v>113.37600000000002</v>
      </c>
      <c r="BK78" s="685">
        <f t="shared" si="306"/>
        <v>113.37600000000002</v>
      </c>
    </row>
    <row r="79" spans="1:63" s="249" customFormat="1" outlineLevel="1">
      <c r="A79" s="227" t="s">
        <v>737</v>
      </c>
      <c r="B79" s="911">
        <f>B109/3/2.25</f>
        <v>0</v>
      </c>
      <c r="C79" s="381">
        <f t="shared" ref="C79:U79" si="323">C109/3/2.25</f>
        <v>0</v>
      </c>
      <c r="D79" s="381">
        <f t="shared" si="323"/>
        <v>0</v>
      </c>
      <c r="E79" s="912">
        <f t="shared" si="323"/>
        <v>3</v>
      </c>
      <c r="F79" s="381">
        <f t="shared" si="323"/>
        <v>3</v>
      </c>
      <c r="G79" s="381">
        <f t="shared" si="323"/>
        <v>3</v>
      </c>
      <c r="H79" s="381">
        <f t="shared" si="323"/>
        <v>3</v>
      </c>
      <c r="I79" s="912">
        <f t="shared" si="323"/>
        <v>3</v>
      </c>
      <c r="J79" s="381">
        <f t="shared" si="323"/>
        <v>3</v>
      </c>
      <c r="K79" s="381">
        <f t="shared" si="323"/>
        <v>3</v>
      </c>
      <c r="L79" s="381">
        <f t="shared" si="323"/>
        <v>3</v>
      </c>
      <c r="M79" s="913">
        <f t="shared" si="323"/>
        <v>0</v>
      </c>
      <c r="N79" s="629">
        <f t="shared" si="323"/>
        <v>0</v>
      </c>
      <c r="O79" s="629">
        <f t="shared" si="323"/>
        <v>0</v>
      </c>
      <c r="P79" s="629">
        <f t="shared" si="323"/>
        <v>0</v>
      </c>
      <c r="Q79" s="913">
        <f t="shared" si="323"/>
        <v>0</v>
      </c>
      <c r="R79" s="629">
        <f t="shared" si="323"/>
        <v>0</v>
      </c>
      <c r="S79" s="629">
        <f t="shared" si="323"/>
        <v>0</v>
      </c>
      <c r="T79" s="629">
        <f t="shared" si="323"/>
        <v>0</v>
      </c>
      <c r="U79" s="913">
        <f t="shared" si="323"/>
        <v>0</v>
      </c>
      <c r="V79" s="629">
        <f t="shared" ref="V79:AG79" si="324">V109/3/2.25</f>
        <v>0</v>
      </c>
      <c r="W79" s="629">
        <f t="shared" si="324"/>
        <v>8</v>
      </c>
      <c r="X79" s="629">
        <f t="shared" si="324"/>
        <v>17</v>
      </c>
      <c r="Y79" s="913">
        <f t="shared" si="324"/>
        <v>20</v>
      </c>
      <c r="Z79" s="629">
        <f t="shared" si="324"/>
        <v>26</v>
      </c>
      <c r="AA79" s="629">
        <f t="shared" si="324"/>
        <v>34</v>
      </c>
      <c r="AB79" s="629">
        <f t="shared" si="324"/>
        <v>40</v>
      </c>
      <c r="AC79" s="913">
        <f t="shared" si="324"/>
        <v>40</v>
      </c>
      <c r="AD79" s="629">
        <f>AD109/3/2.25</f>
        <v>40</v>
      </c>
      <c r="AE79" s="629">
        <f t="shared" si="324"/>
        <v>40</v>
      </c>
      <c r="AF79" s="629">
        <f t="shared" si="324"/>
        <v>40</v>
      </c>
      <c r="AG79" s="913">
        <f t="shared" si="324"/>
        <v>40</v>
      </c>
      <c r="AH79" s="629">
        <f t="shared" ref="AH79:AO80" si="325">AH109/3/2.25</f>
        <v>40</v>
      </c>
      <c r="AI79" s="629">
        <f t="shared" si="325"/>
        <v>40</v>
      </c>
      <c r="AJ79" s="629">
        <f t="shared" si="325"/>
        <v>40</v>
      </c>
      <c r="AK79" s="913">
        <f t="shared" si="325"/>
        <v>40</v>
      </c>
      <c r="AL79" s="629">
        <f t="shared" ref="AL79" si="326">AL109/3/2.25</f>
        <v>40</v>
      </c>
      <c r="AM79" s="629">
        <f t="shared" si="325"/>
        <v>40</v>
      </c>
      <c r="AN79" s="629">
        <f t="shared" si="325"/>
        <v>40</v>
      </c>
      <c r="AO79" s="913">
        <f t="shared" si="325"/>
        <v>40</v>
      </c>
      <c r="AP79" s="629">
        <f t="shared" ref="AP79:AS79" si="327">AP109/3/2.25</f>
        <v>40</v>
      </c>
      <c r="AQ79" s="629">
        <f t="shared" si="327"/>
        <v>40</v>
      </c>
      <c r="AR79" s="629">
        <f t="shared" si="327"/>
        <v>40</v>
      </c>
      <c r="AS79" s="913">
        <f t="shared" si="327"/>
        <v>40</v>
      </c>
      <c r="AT79" s="629">
        <f t="shared" ref="AT79:AW79" si="328">AT109/3/2.25</f>
        <v>40</v>
      </c>
      <c r="AU79" s="629">
        <f t="shared" si="328"/>
        <v>40</v>
      </c>
      <c r="AV79" s="629">
        <f t="shared" si="328"/>
        <v>40</v>
      </c>
      <c r="AW79" s="913">
        <f t="shared" si="328"/>
        <v>40</v>
      </c>
      <c r="AY79" s="1055"/>
      <c r="AZ79" s="914">
        <f t="shared" si="297"/>
        <v>3</v>
      </c>
      <c r="BA79" s="685">
        <f t="shared" si="298"/>
        <v>3</v>
      </c>
      <c r="BB79" s="685">
        <f t="shared" si="299"/>
        <v>0</v>
      </c>
      <c r="BC79" s="685">
        <f t="shared" si="300"/>
        <v>0</v>
      </c>
      <c r="BD79" s="685">
        <f t="shared" si="301"/>
        <v>0</v>
      </c>
      <c r="BE79" s="685">
        <f t="shared" si="289"/>
        <v>20</v>
      </c>
      <c r="BF79" s="685">
        <f t="shared" si="302"/>
        <v>40</v>
      </c>
      <c r="BG79" s="685">
        <f t="shared" si="303"/>
        <v>40</v>
      </c>
      <c r="BH79" s="685">
        <f t="shared" si="290"/>
        <v>40</v>
      </c>
      <c r="BI79" s="685">
        <f t="shared" si="304"/>
        <v>40</v>
      </c>
      <c r="BJ79" s="685">
        <f t="shared" si="305"/>
        <v>40</v>
      </c>
      <c r="BK79" s="685">
        <f t="shared" si="306"/>
        <v>40</v>
      </c>
    </row>
    <row r="80" spans="1:63" s="249" customFormat="1" outlineLevel="1">
      <c r="A80" s="227" t="s">
        <v>736</v>
      </c>
      <c r="B80" s="911">
        <f>B110/3/2.25</f>
        <v>19</v>
      </c>
      <c r="C80" s="381">
        <f t="shared" ref="C80:U80" si="329">C110/3/2.25</f>
        <v>23</v>
      </c>
      <c r="D80" s="381">
        <f t="shared" si="329"/>
        <v>27.5</v>
      </c>
      <c r="E80" s="912">
        <f t="shared" si="329"/>
        <v>29</v>
      </c>
      <c r="F80" s="381">
        <f t="shared" si="329"/>
        <v>29</v>
      </c>
      <c r="G80" s="381">
        <f t="shared" si="329"/>
        <v>32</v>
      </c>
      <c r="H80" s="381">
        <f t="shared" si="329"/>
        <v>33</v>
      </c>
      <c r="I80" s="912">
        <f t="shared" si="329"/>
        <v>33</v>
      </c>
      <c r="J80" s="381">
        <f t="shared" si="329"/>
        <v>33</v>
      </c>
      <c r="K80" s="381">
        <f t="shared" si="329"/>
        <v>36</v>
      </c>
      <c r="L80" s="381">
        <f t="shared" si="329"/>
        <v>37.599999999999994</v>
      </c>
      <c r="M80" s="913">
        <f t="shared" si="329"/>
        <v>41</v>
      </c>
      <c r="N80" s="629">
        <f t="shared" si="329"/>
        <v>50</v>
      </c>
      <c r="O80" s="629">
        <f t="shared" si="329"/>
        <v>50</v>
      </c>
      <c r="P80" s="629">
        <f t="shared" si="329"/>
        <v>50</v>
      </c>
      <c r="Q80" s="913">
        <f t="shared" si="329"/>
        <v>50</v>
      </c>
      <c r="R80" s="629">
        <f t="shared" si="329"/>
        <v>50</v>
      </c>
      <c r="S80" s="629">
        <f t="shared" si="329"/>
        <v>53</v>
      </c>
      <c r="T80" s="629">
        <f t="shared" si="329"/>
        <v>65</v>
      </c>
      <c r="U80" s="913">
        <f t="shared" si="329"/>
        <v>74</v>
      </c>
      <c r="V80" s="629">
        <f t="shared" ref="V80:AG80" si="330">V110/3/2.25</f>
        <v>83</v>
      </c>
      <c r="W80" s="629">
        <f t="shared" si="330"/>
        <v>83</v>
      </c>
      <c r="X80" s="629">
        <f t="shared" si="330"/>
        <v>83</v>
      </c>
      <c r="Y80" s="913">
        <f t="shared" si="330"/>
        <v>83</v>
      </c>
      <c r="Z80" s="629">
        <f t="shared" si="330"/>
        <v>83</v>
      </c>
      <c r="AA80" s="629">
        <f t="shared" si="330"/>
        <v>83</v>
      </c>
      <c r="AB80" s="629">
        <f t="shared" si="330"/>
        <v>83</v>
      </c>
      <c r="AC80" s="913">
        <f t="shared" si="330"/>
        <v>83</v>
      </c>
      <c r="AD80" s="629">
        <f>AD110/3/2.25</f>
        <v>83</v>
      </c>
      <c r="AE80" s="629">
        <f t="shared" si="330"/>
        <v>83</v>
      </c>
      <c r="AF80" s="629">
        <f t="shared" si="330"/>
        <v>83</v>
      </c>
      <c r="AG80" s="913">
        <f t="shared" si="330"/>
        <v>83</v>
      </c>
      <c r="AH80" s="629">
        <f t="shared" si="325"/>
        <v>83</v>
      </c>
      <c r="AI80" s="629">
        <f t="shared" si="325"/>
        <v>83</v>
      </c>
      <c r="AJ80" s="629">
        <f t="shared" si="325"/>
        <v>83</v>
      </c>
      <c r="AK80" s="913">
        <f t="shared" si="325"/>
        <v>83</v>
      </c>
      <c r="AL80" s="629">
        <f t="shared" ref="AL80" si="331">AL110/3/2.25</f>
        <v>83</v>
      </c>
      <c r="AM80" s="629">
        <f t="shared" si="325"/>
        <v>83</v>
      </c>
      <c r="AN80" s="629">
        <f t="shared" si="325"/>
        <v>83</v>
      </c>
      <c r="AO80" s="913">
        <f t="shared" si="325"/>
        <v>83</v>
      </c>
      <c r="AP80" s="629">
        <f t="shared" ref="AP80:AS80" si="332">AP110/3/2.25</f>
        <v>83</v>
      </c>
      <c r="AQ80" s="629">
        <f t="shared" si="332"/>
        <v>83</v>
      </c>
      <c r="AR80" s="629">
        <f t="shared" si="332"/>
        <v>83</v>
      </c>
      <c r="AS80" s="913">
        <f t="shared" si="332"/>
        <v>83</v>
      </c>
      <c r="AT80" s="629">
        <f t="shared" ref="AT80:AW80" si="333">AT110/3/2.25</f>
        <v>83</v>
      </c>
      <c r="AU80" s="629">
        <f t="shared" si="333"/>
        <v>83</v>
      </c>
      <c r="AV80" s="629">
        <f t="shared" si="333"/>
        <v>83</v>
      </c>
      <c r="AW80" s="913">
        <f t="shared" si="333"/>
        <v>83</v>
      </c>
      <c r="AY80" s="1055"/>
      <c r="AZ80" s="914">
        <f t="shared" si="297"/>
        <v>29</v>
      </c>
      <c r="BA80" s="685">
        <f t="shared" si="298"/>
        <v>33</v>
      </c>
      <c r="BB80" s="685">
        <f t="shared" si="299"/>
        <v>41</v>
      </c>
      <c r="BC80" s="685">
        <f t="shared" si="300"/>
        <v>50</v>
      </c>
      <c r="BD80" s="685">
        <f t="shared" si="301"/>
        <v>74</v>
      </c>
      <c r="BE80" s="685">
        <f t="shared" si="289"/>
        <v>83</v>
      </c>
      <c r="BF80" s="685">
        <f t="shared" si="302"/>
        <v>83</v>
      </c>
      <c r="BG80" s="685">
        <f t="shared" si="303"/>
        <v>83</v>
      </c>
      <c r="BH80" s="685">
        <f t="shared" si="290"/>
        <v>83</v>
      </c>
      <c r="BI80" s="685">
        <f t="shared" si="304"/>
        <v>83</v>
      </c>
      <c r="BJ80" s="685">
        <f t="shared" si="305"/>
        <v>83</v>
      </c>
      <c r="BK80" s="685">
        <f t="shared" si="306"/>
        <v>83</v>
      </c>
    </row>
    <row r="81" spans="1:63" s="249" customFormat="1" outlineLevel="1">
      <c r="A81" s="227" t="s">
        <v>735</v>
      </c>
      <c r="B81" s="911">
        <f>B111/3</f>
        <v>40</v>
      </c>
      <c r="C81" s="381">
        <f t="shared" ref="C81:U81" si="334">C111/3</f>
        <v>40</v>
      </c>
      <c r="D81" s="381">
        <f t="shared" si="334"/>
        <v>40</v>
      </c>
      <c r="E81" s="912">
        <f t="shared" si="334"/>
        <v>40</v>
      </c>
      <c r="F81" s="381">
        <f t="shared" si="334"/>
        <v>40</v>
      </c>
      <c r="G81" s="381">
        <f t="shared" si="334"/>
        <v>42.325000000000003</v>
      </c>
      <c r="H81" s="381">
        <f t="shared" si="334"/>
        <v>42.325000000000003</v>
      </c>
      <c r="I81" s="912">
        <f t="shared" si="334"/>
        <v>42.325000000000003</v>
      </c>
      <c r="J81" s="381">
        <f t="shared" si="334"/>
        <v>42.325000000000003</v>
      </c>
      <c r="K81" s="381">
        <f t="shared" si="334"/>
        <v>42.325000000000003</v>
      </c>
      <c r="L81" s="629">
        <f t="shared" si="334"/>
        <v>0</v>
      </c>
      <c r="M81" s="913">
        <f t="shared" si="334"/>
        <v>0</v>
      </c>
      <c r="N81" s="629">
        <f t="shared" si="334"/>
        <v>0</v>
      </c>
      <c r="O81" s="629">
        <f t="shared" si="334"/>
        <v>0</v>
      </c>
      <c r="P81" s="629">
        <f t="shared" si="334"/>
        <v>0</v>
      </c>
      <c r="Q81" s="913">
        <f t="shared" si="334"/>
        <v>0</v>
      </c>
      <c r="R81" s="629">
        <f t="shared" si="334"/>
        <v>0</v>
      </c>
      <c r="S81" s="629">
        <f t="shared" si="334"/>
        <v>0</v>
      </c>
      <c r="T81" s="629">
        <f t="shared" si="334"/>
        <v>0</v>
      </c>
      <c r="U81" s="913">
        <f t="shared" si="334"/>
        <v>0</v>
      </c>
      <c r="V81" s="629">
        <f t="shared" ref="V81:AG81" si="335">V111/3</f>
        <v>0</v>
      </c>
      <c r="W81" s="629">
        <f t="shared" si="335"/>
        <v>0</v>
      </c>
      <c r="X81" s="629">
        <f t="shared" si="335"/>
        <v>0</v>
      </c>
      <c r="Y81" s="913">
        <f t="shared" si="335"/>
        <v>0</v>
      </c>
      <c r="Z81" s="629">
        <f t="shared" si="335"/>
        <v>0</v>
      </c>
      <c r="AA81" s="629">
        <f t="shared" si="335"/>
        <v>0</v>
      </c>
      <c r="AB81" s="629">
        <f t="shared" si="335"/>
        <v>0</v>
      </c>
      <c r="AC81" s="913">
        <f t="shared" si="335"/>
        <v>0</v>
      </c>
      <c r="AD81" s="629">
        <f>AD111/3</f>
        <v>0</v>
      </c>
      <c r="AE81" s="629">
        <f t="shared" si="335"/>
        <v>0</v>
      </c>
      <c r="AF81" s="629">
        <f t="shared" si="335"/>
        <v>0</v>
      </c>
      <c r="AG81" s="913">
        <f t="shared" si="335"/>
        <v>0</v>
      </c>
      <c r="AH81" s="629">
        <f t="shared" ref="AH81:AO81" si="336">AH111/3</f>
        <v>0</v>
      </c>
      <c r="AI81" s="629">
        <f t="shared" si="336"/>
        <v>0</v>
      </c>
      <c r="AJ81" s="629">
        <f t="shared" si="336"/>
        <v>0</v>
      </c>
      <c r="AK81" s="913">
        <f t="shared" si="336"/>
        <v>0</v>
      </c>
      <c r="AL81" s="629">
        <f t="shared" ref="AL81" si="337">AL111/3</f>
        <v>0</v>
      </c>
      <c r="AM81" s="629">
        <f t="shared" si="336"/>
        <v>0</v>
      </c>
      <c r="AN81" s="629">
        <f t="shared" si="336"/>
        <v>0</v>
      </c>
      <c r="AO81" s="913">
        <f t="shared" si="336"/>
        <v>0</v>
      </c>
      <c r="AP81" s="629">
        <f t="shared" ref="AP81:AS81" si="338">AP111/3</f>
        <v>0</v>
      </c>
      <c r="AQ81" s="629">
        <f t="shared" si="338"/>
        <v>0</v>
      </c>
      <c r="AR81" s="629">
        <f t="shared" si="338"/>
        <v>0</v>
      </c>
      <c r="AS81" s="913">
        <f t="shared" si="338"/>
        <v>0</v>
      </c>
      <c r="AT81" s="629">
        <f t="shared" ref="AT81:AW81" si="339">AT111/3</f>
        <v>0</v>
      </c>
      <c r="AU81" s="629">
        <f t="shared" si="339"/>
        <v>0</v>
      </c>
      <c r="AV81" s="629">
        <f t="shared" si="339"/>
        <v>0</v>
      </c>
      <c r="AW81" s="913">
        <f t="shared" si="339"/>
        <v>0</v>
      </c>
      <c r="AY81" s="1055"/>
      <c r="AZ81" s="914">
        <f t="shared" si="297"/>
        <v>40</v>
      </c>
      <c r="BA81" s="685">
        <f t="shared" si="298"/>
        <v>42.325000000000003</v>
      </c>
      <c r="BB81" s="685">
        <f t="shared" si="299"/>
        <v>0</v>
      </c>
      <c r="BC81" s="685">
        <f t="shared" si="300"/>
        <v>0</v>
      </c>
      <c r="BD81" s="685">
        <f t="shared" si="301"/>
        <v>0</v>
      </c>
      <c r="BE81" s="685">
        <f t="shared" si="289"/>
        <v>0</v>
      </c>
      <c r="BF81" s="685">
        <f t="shared" si="302"/>
        <v>0</v>
      </c>
      <c r="BG81" s="685">
        <f t="shared" si="303"/>
        <v>0</v>
      </c>
      <c r="BH81" s="685">
        <f t="shared" si="290"/>
        <v>0</v>
      </c>
      <c r="BI81" s="685">
        <f t="shared" si="304"/>
        <v>0</v>
      </c>
      <c r="BJ81" s="685">
        <f t="shared" si="305"/>
        <v>0</v>
      </c>
      <c r="BK81" s="685">
        <f t="shared" si="306"/>
        <v>0</v>
      </c>
    </row>
    <row r="82" spans="1:63" s="249" customFormat="1" outlineLevel="1">
      <c r="A82" s="290" t="s">
        <v>734</v>
      </c>
      <c r="B82" s="911"/>
      <c r="C82" s="629"/>
      <c r="D82" s="629"/>
      <c r="E82" s="913"/>
      <c r="F82" s="629"/>
      <c r="G82" s="629"/>
      <c r="H82" s="629"/>
      <c r="I82" s="913"/>
      <c r="J82" s="629"/>
      <c r="K82" s="629"/>
      <c r="L82" s="629"/>
      <c r="M82" s="913">
        <f t="shared" ref="M82:U82" si="340">M112/3/2.25</f>
        <v>3</v>
      </c>
      <c r="N82" s="629">
        <f t="shared" si="340"/>
        <v>4</v>
      </c>
      <c r="O82" s="629">
        <f t="shared" si="340"/>
        <v>6</v>
      </c>
      <c r="P82" s="629">
        <f t="shared" si="340"/>
        <v>9</v>
      </c>
      <c r="Q82" s="913">
        <f t="shared" si="340"/>
        <v>15</v>
      </c>
      <c r="R82" s="629">
        <f t="shared" si="340"/>
        <v>15</v>
      </c>
      <c r="S82" s="629">
        <f t="shared" si="340"/>
        <v>15</v>
      </c>
      <c r="T82" s="629">
        <f t="shared" si="340"/>
        <v>15</v>
      </c>
      <c r="U82" s="913">
        <f t="shared" si="340"/>
        <v>15</v>
      </c>
      <c r="V82" s="629">
        <f t="shared" ref="V82:AG82" si="341">V112/3/2.25</f>
        <v>15</v>
      </c>
      <c r="W82" s="629">
        <f t="shared" si="341"/>
        <v>15</v>
      </c>
      <c r="X82" s="629">
        <f t="shared" si="341"/>
        <v>15</v>
      </c>
      <c r="Y82" s="913">
        <f t="shared" si="341"/>
        <v>15</v>
      </c>
      <c r="Z82" s="629">
        <f t="shared" si="341"/>
        <v>15</v>
      </c>
      <c r="AA82" s="629">
        <f t="shared" si="341"/>
        <v>15</v>
      </c>
      <c r="AB82" s="629">
        <f t="shared" si="341"/>
        <v>15</v>
      </c>
      <c r="AC82" s="913">
        <f t="shared" si="341"/>
        <v>15</v>
      </c>
      <c r="AD82" s="629">
        <f>AD112/3/2.25</f>
        <v>15</v>
      </c>
      <c r="AE82" s="629">
        <f t="shared" si="341"/>
        <v>15</v>
      </c>
      <c r="AF82" s="629">
        <f t="shared" si="341"/>
        <v>15</v>
      </c>
      <c r="AG82" s="913">
        <f t="shared" si="341"/>
        <v>15</v>
      </c>
      <c r="AH82" s="629">
        <f t="shared" ref="AH82:AO82" si="342">AH112/3/2.25</f>
        <v>15</v>
      </c>
      <c r="AI82" s="629">
        <f t="shared" si="342"/>
        <v>15</v>
      </c>
      <c r="AJ82" s="629">
        <f t="shared" si="342"/>
        <v>15</v>
      </c>
      <c r="AK82" s="913">
        <f t="shared" si="342"/>
        <v>15</v>
      </c>
      <c r="AL82" s="629">
        <f t="shared" ref="AL82" si="343">AL112/3/2.25</f>
        <v>15</v>
      </c>
      <c r="AM82" s="629">
        <f t="shared" si="342"/>
        <v>15</v>
      </c>
      <c r="AN82" s="629">
        <f t="shared" si="342"/>
        <v>15</v>
      </c>
      <c r="AO82" s="913">
        <f t="shared" si="342"/>
        <v>15</v>
      </c>
      <c r="AP82" s="629">
        <f t="shared" ref="AP82:AS82" si="344">AP112/3/2.25</f>
        <v>15</v>
      </c>
      <c r="AQ82" s="629">
        <f t="shared" si="344"/>
        <v>15</v>
      </c>
      <c r="AR82" s="629">
        <f t="shared" si="344"/>
        <v>15</v>
      </c>
      <c r="AS82" s="913">
        <f t="shared" si="344"/>
        <v>15</v>
      </c>
      <c r="AT82" s="629">
        <f t="shared" ref="AT82:AW82" si="345">AT112/3/2.25</f>
        <v>15</v>
      </c>
      <c r="AU82" s="629">
        <f t="shared" si="345"/>
        <v>15</v>
      </c>
      <c r="AV82" s="629">
        <f t="shared" si="345"/>
        <v>15</v>
      </c>
      <c r="AW82" s="913">
        <f t="shared" si="345"/>
        <v>15</v>
      </c>
      <c r="AY82" s="1055"/>
      <c r="AZ82" s="914">
        <f t="shared" si="297"/>
        <v>0</v>
      </c>
      <c r="BA82" s="685">
        <f t="shared" si="298"/>
        <v>0</v>
      </c>
      <c r="BB82" s="685">
        <f t="shared" si="299"/>
        <v>3</v>
      </c>
      <c r="BC82" s="685">
        <f t="shared" si="300"/>
        <v>15</v>
      </c>
      <c r="BD82" s="685">
        <f t="shared" si="301"/>
        <v>15</v>
      </c>
      <c r="BE82" s="685">
        <f t="shared" si="289"/>
        <v>15</v>
      </c>
      <c r="BF82" s="685">
        <f t="shared" si="302"/>
        <v>15</v>
      </c>
      <c r="BG82" s="685">
        <f t="shared" si="303"/>
        <v>15</v>
      </c>
      <c r="BH82" s="685">
        <f t="shared" si="290"/>
        <v>15</v>
      </c>
      <c r="BI82" s="685">
        <f t="shared" si="304"/>
        <v>15</v>
      </c>
      <c r="BJ82" s="685">
        <f t="shared" si="305"/>
        <v>15</v>
      </c>
      <c r="BK82" s="685">
        <f t="shared" si="306"/>
        <v>15</v>
      </c>
    </row>
    <row r="83" spans="1:63" s="249" customFormat="1" outlineLevel="1">
      <c r="A83" s="227" t="s">
        <v>1101</v>
      </c>
      <c r="B83" s="911"/>
      <c r="C83" s="629"/>
      <c r="D83" s="629"/>
      <c r="E83" s="913"/>
      <c r="F83" s="629"/>
      <c r="G83" s="629"/>
      <c r="H83" s="629"/>
      <c r="I83" s="913"/>
      <c r="J83" s="629"/>
      <c r="K83" s="629"/>
      <c r="L83" s="629"/>
      <c r="M83" s="913"/>
      <c r="N83" s="629"/>
      <c r="O83" s="629"/>
      <c r="P83" s="629"/>
      <c r="Q83" s="913"/>
      <c r="R83" s="629"/>
      <c r="S83" s="629"/>
      <c r="T83" s="629"/>
      <c r="U83" s="913"/>
      <c r="V83" s="629"/>
      <c r="W83" s="629"/>
      <c r="X83" s="629"/>
      <c r="Y83" s="913"/>
      <c r="Z83" s="629"/>
      <c r="AA83" s="629"/>
      <c r="AB83" s="629">
        <f>AB113/3/2.25</f>
        <v>6</v>
      </c>
      <c r="AC83" s="913">
        <f t="shared" ref="AC83:AO85" si="346">AC113/3/2.25</f>
        <v>9</v>
      </c>
      <c r="AD83" s="629">
        <f>AD113/3/2.25</f>
        <v>12</v>
      </c>
      <c r="AE83" s="629">
        <f t="shared" si="346"/>
        <v>18</v>
      </c>
      <c r="AF83" s="629">
        <f t="shared" si="346"/>
        <v>30</v>
      </c>
      <c r="AG83" s="913">
        <f t="shared" si="346"/>
        <v>45</v>
      </c>
      <c r="AH83" s="629">
        <f t="shared" si="346"/>
        <v>50</v>
      </c>
      <c r="AI83" s="629">
        <f>AI113/3/2.25</f>
        <v>53</v>
      </c>
      <c r="AJ83" s="629">
        <f t="shared" si="346"/>
        <v>58</v>
      </c>
      <c r="AK83" s="913">
        <f t="shared" si="346"/>
        <v>59</v>
      </c>
      <c r="AL83" s="629">
        <f t="shared" ref="AL83" si="347">AL113/3/2.25</f>
        <v>60</v>
      </c>
      <c r="AM83" s="629">
        <f t="shared" si="346"/>
        <v>64</v>
      </c>
      <c r="AN83" s="629">
        <f t="shared" si="346"/>
        <v>69</v>
      </c>
      <c r="AO83" s="913">
        <f t="shared" si="346"/>
        <v>72</v>
      </c>
      <c r="AP83" s="629">
        <f t="shared" ref="AP83:AS83" si="348">AP113/3/2.25</f>
        <v>75</v>
      </c>
      <c r="AQ83" s="629">
        <f t="shared" si="348"/>
        <v>81</v>
      </c>
      <c r="AR83" s="629">
        <f t="shared" si="348"/>
        <v>87</v>
      </c>
      <c r="AS83" s="913">
        <f t="shared" si="348"/>
        <v>90</v>
      </c>
      <c r="AT83" s="629">
        <f t="shared" ref="AT83:AW83" si="349">AT113/3/2.25</f>
        <v>93</v>
      </c>
      <c r="AU83" s="629">
        <f t="shared" si="349"/>
        <v>99</v>
      </c>
      <c r="AV83" s="629">
        <f t="shared" si="349"/>
        <v>103</v>
      </c>
      <c r="AW83" s="913">
        <f t="shared" si="349"/>
        <v>106</v>
      </c>
      <c r="AY83" s="1056"/>
      <c r="AZ83" s="968"/>
      <c r="BA83" s="969"/>
      <c r="BB83" s="969"/>
      <c r="BC83" s="969"/>
      <c r="BD83" s="969"/>
      <c r="BE83" s="969"/>
      <c r="BF83" s="969">
        <f>AC83</f>
        <v>9</v>
      </c>
      <c r="BG83" s="969">
        <f>AG83</f>
        <v>45</v>
      </c>
      <c r="BH83" s="969">
        <f>AK83</f>
        <v>59</v>
      </c>
      <c r="BI83" s="969">
        <f>AO83</f>
        <v>72</v>
      </c>
      <c r="BJ83" s="969">
        <f t="shared" si="305"/>
        <v>90</v>
      </c>
      <c r="BK83" s="969">
        <f t="shared" si="306"/>
        <v>106</v>
      </c>
    </row>
    <row r="84" spans="1:63" s="967" customFormat="1" outlineLevel="1">
      <c r="A84" s="963" t="s">
        <v>1108</v>
      </c>
      <c r="B84" s="964"/>
      <c r="C84" s="965"/>
      <c r="D84" s="965"/>
      <c r="E84" s="966"/>
      <c r="F84" s="965"/>
      <c r="G84" s="965"/>
      <c r="H84" s="965"/>
      <c r="I84" s="966"/>
      <c r="J84" s="965"/>
      <c r="K84" s="965"/>
      <c r="L84" s="965"/>
      <c r="M84" s="966"/>
      <c r="N84" s="965"/>
      <c r="O84" s="965"/>
      <c r="P84" s="965"/>
      <c r="Q84" s="966"/>
      <c r="R84" s="965"/>
      <c r="S84" s="965"/>
      <c r="T84" s="965"/>
      <c r="U84" s="966"/>
      <c r="V84" s="965"/>
      <c r="W84" s="965"/>
      <c r="X84" s="965"/>
      <c r="Y84" s="966"/>
      <c r="Z84" s="965"/>
      <c r="AA84" s="965"/>
      <c r="AB84" s="629">
        <f>AB114/3/2.25</f>
        <v>0</v>
      </c>
      <c r="AC84" s="913">
        <f t="shared" si="346"/>
        <v>0</v>
      </c>
      <c r="AD84" s="629">
        <f>AD114/3/2.25</f>
        <v>1</v>
      </c>
      <c r="AE84" s="629">
        <f t="shared" si="346"/>
        <v>5</v>
      </c>
      <c r="AF84" s="629">
        <f t="shared" si="346"/>
        <v>14</v>
      </c>
      <c r="AG84" s="913">
        <f t="shared" si="346"/>
        <v>27.166666666666668</v>
      </c>
      <c r="AH84" s="629">
        <f t="shared" si="346"/>
        <v>31.666666666666668</v>
      </c>
      <c r="AI84" s="629">
        <f>AI114/3/2.25</f>
        <v>34.666666666666664</v>
      </c>
      <c r="AJ84" s="629">
        <f t="shared" si="346"/>
        <v>38.666666666666664</v>
      </c>
      <c r="AK84" s="913">
        <f t="shared" si="346"/>
        <v>52.666666666666664</v>
      </c>
      <c r="AL84" s="629">
        <f t="shared" ref="AL84" si="350">AL114/3/2.25</f>
        <v>59.333333333333336</v>
      </c>
      <c r="AM84" s="629">
        <f t="shared" si="346"/>
        <v>63.333333333333336</v>
      </c>
      <c r="AN84" s="629">
        <f t="shared" si="346"/>
        <v>70.333333333333329</v>
      </c>
      <c r="AO84" s="913">
        <f t="shared" si="346"/>
        <v>73.333333333333329</v>
      </c>
      <c r="AP84" s="629">
        <f t="shared" ref="AP84:AS84" si="351">AP114/3/2.25</f>
        <v>76.333333333333329</v>
      </c>
      <c r="AQ84" s="629">
        <f t="shared" si="351"/>
        <v>82.333333333333329</v>
      </c>
      <c r="AR84" s="629">
        <f t="shared" si="351"/>
        <v>91.333333333333329</v>
      </c>
      <c r="AS84" s="913">
        <f t="shared" si="351"/>
        <v>94.333333333333329</v>
      </c>
      <c r="AT84" s="629">
        <f t="shared" ref="AT84:AW84" si="352">AT114/3/2.25</f>
        <v>96.333333333333329</v>
      </c>
      <c r="AU84" s="629">
        <f t="shared" si="352"/>
        <v>100.33333333333333</v>
      </c>
      <c r="AV84" s="629">
        <f t="shared" si="352"/>
        <v>104.33333333333333</v>
      </c>
      <c r="AW84" s="913">
        <f t="shared" si="352"/>
        <v>108.33333333333333</v>
      </c>
      <c r="AX84" s="249"/>
      <c r="AY84" s="1056"/>
      <c r="AZ84" s="968"/>
      <c r="BA84" s="969"/>
      <c r="BB84" s="969"/>
      <c r="BC84" s="969"/>
      <c r="BD84" s="969"/>
      <c r="BE84" s="969"/>
      <c r="BF84" s="969">
        <f>AC84</f>
        <v>0</v>
      </c>
      <c r="BG84" s="969">
        <f>AG84</f>
        <v>27.166666666666668</v>
      </c>
      <c r="BH84" s="969">
        <f>AK84</f>
        <v>52.666666666666664</v>
      </c>
      <c r="BI84" s="969">
        <f>AO84</f>
        <v>73.333333333333329</v>
      </c>
      <c r="BJ84" s="969">
        <f t="shared" si="305"/>
        <v>94.333333333333329</v>
      </c>
      <c r="BK84" s="969">
        <f t="shared" si="306"/>
        <v>108.33333333333333</v>
      </c>
    </row>
    <row r="85" spans="1:63" s="967" customFormat="1" outlineLevel="1">
      <c r="A85" s="963" t="s">
        <v>1109</v>
      </c>
      <c r="B85" s="964"/>
      <c r="C85" s="965"/>
      <c r="D85" s="965"/>
      <c r="E85" s="966"/>
      <c r="F85" s="965"/>
      <c r="G85" s="965"/>
      <c r="H85" s="965"/>
      <c r="I85" s="966"/>
      <c r="J85" s="965"/>
      <c r="K85" s="965"/>
      <c r="L85" s="965"/>
      <c r="M85" s="966"/>
      <c r="N85" s="965"/>
      <c r="O85" s="965"/>
      <c r="P85" s="965"/>
      <c r="Q85" s="966"/>
      <c r="R85" s="965"/>
      <c r="S85" s="965"/>
      <c r="T85" s="965"/>
      <c r="U85" s="966"/>
      <c r="V85" s="965"/>
      <c r="W85" s="965"/>
      <c r="X85" s="965"/>
      <c r="Y85" s="966"/>
      <c r="Z85" s="965"/>
      <c r="AA85" s="965"/>
      <c r="AB85" s="629"/>
      <c r="AC85" s="913"/>
      <c r="AD85" s="629"/>
      <c r="AE85" s="629"/>
      <c r="AF85" s="629"/>
      <c r="AG85" s="913">
        <f t="shared" si="346"/>
        <v>0</v>
      </c>
      <c r="AH85" s="629">
        <f t="shared" si="346"/>
        <v>1.8888888888888888</v>
      </c>
      <c r="AI85" s="629">
        <f>AI115/3/2.25</f>
        <v>3.8888888888888888</v>
      </c>
      <c r="AJ85" s="629">
        <f t="shared" si="346"/>
        <v>8.8888888888888893</v>
      </c>
      <c r="AK85" s="913">
        <f t="shared" si="346"/>
        <v>9.8888888888888893</v>
      </c>
      <c r="AL85" s="629">
        <f t="shared" ref="AL85" si="353">AL115/3/2.25</f>
        <v>10.888888888888889</v>
      </c>
      <c r="AM85" s="629">
        <f t="shared" si="346"/>
        <v>17.888888888888889</v>
      </c>
      <c r="AN85" s="629">
        <f t="shared" si="346"/>
        <v>24.888888888888889</v>
      </c>
      <c r="AO85" s="913">
        <f t="shared" si="346"/>
        <v>30.888888888888889</v>
      </c>
      <c r="AP85" s="629">
        <f t="shared" ref="AP85:AS85" si="354">AP115/3/2.25</f>
        <v>33.888888888888886</v>
      </c>
      <c r="AQ85" s="629">
        <f t="shared" si="354"/>
        <v>42.888888888888886</v>
      </c>
      <c r="AR85" s="629">
        <f t="shared" si="354"/>
        <v>51.888888888888886</v>
      </c>
      <c r="AS85" s="913">
        <f t="shared" si="354"/>
        <v>57.888888888888886</v>
      </c>
      <c r="AT85" s="629">
        <f t="shared" ref="AT85:AW85" si="355">AT115/3/2.25</f>
        <v>63.888888888888886</v>
      </c>
      <c r="AU85" s="629">
        <f t="shared" si="355"/>
        <v>73.888888888888886</v>
      </c>
      <c r="AV85" s="629">
        <f t="shared" si="355"/>
        <v>83.888888888888886</v>
      </c>
      <c r="AW85" s="913">
        <f t="shared" si="355"/>
        <v>93.888888888888886</v>
      </c>
      <c r="AX85" s="249"/>
      <c r="AY85" s="1056"/>
      <c r="AZ85" s="968"/>
      <c r="BA85" s="969"/>
      <c r="BB85" s="969"/>
      <c r="BC85" s="969"/>
      <c r="BD85" s="969"/>
      <c r="BE85" s="969"/>
      <c r="BF85" s="969"/>
      <c r="BG85" s="969">
        <f>AG85</f>
        <v>0</v>
      </c>
      <c r="BH85" s="969">
        <f>AK85</f>
        <v>9.8888888888888893</v>
      </c>
      <c r="BI85" s="969">
        <f>AO85</f>
        <v>30.888888888888889</v>
      </c>
      <c r="BJ85" s="969">
        <f t="shared" si="305"/>
        <v>57.888888888888886</v>
      </c>
      <c r="BK85" s="969">
        <f t="shared" si="306"/>
        <v>93.888888888888886</v>
      </c>
    </row>
    <row r="86" spans="1:63" s="249" customFormat="1" outlineLevel="1">
      <c r="A86" s="229" t="s">
        <v>934</v>
      </c>
      <c r="B86" s="915">
        <f>B116/3</f>
        <v>421.75</v>
      </c>
      <c r="C86" s="916">
        <f t="shared" ref="C86:U86" si="356">C116/3</f>
        <v>438.25</v>
      </c>
      <c r="D86" s="916">
        <f t="shared" si="356"/>
        <v>447.95</v>
      </c>
      <c r="E86" s="917">
        <f t="shared" si="356"/>
        <v>442.75</v>
      </c>
      <c r="F86" s="916">
        <f t="shared" si="356"/>
        <v>447.75</v>
      </c>
      <c r="G86" s="916">
        <f t="shared" si="356"/>
        <v>449.07499999999999</v>
      </c>
      <c r="H86" s="916">
        <f t="shared" si="356"/>
        <v>450.875</v>
      </c>
      <c r="I86" s="917">
        <f t="shared" si="356"/>
        <v>451.32499999999999</v>
      </c>
      <c r="J86" s="916">
        <f t="shared" si="356"/>
        <v>466.57499999999999</v>
      </c>
      <c r="K86" s="916">
        <f t="shared" si="356"/>
        <v>482.57499999999999</v>
      </c>
      <c r="L86" s="916">
        <f t="shared" si="356"/>
        <v>443.84999999999997</v>
      </c>
      <c r="M86" s="917">
        <f t="shared" si="356"/>
        <v>448.5</v>
      </c>
      <c r="N86" s="916">
        <f t="shared" si="356"/>
        <v>476</v>
      </c>
      <c r="O86" s="916">
        <f t="shared" si="356"/>
        <v>480.15000000000003</v>
      </c>
      <c r="P86" s="916">
        <f t="shared" si="356"/>
        <v>510.15000000000003</v>
      </c>
      <c r="Q86" s="917">
        <f t="shared" si="356"/>
        <v>520.75</v>
      </c>
      <c r="R86" s="916">
        <f t="shared" si="356"/>
        <v>540.75</v>
      </c>
      <c r="S86" s="916">
        <f t="shared" si="356"/>
        <v>561.5</v>
      </c>
      <c r="T86" s="916">
        <f t="shared" si="356"/>
        <v>593.875</v>
      </c>
      <c r="U86" s="917">
        <f t="shared" si="356"/>
        <v>620.99899999999991</v>
      </c>
      <c r="V86" s="916">
        <f t="shared" ref="V86:AG86" si="357">V116/3</f>
        <v>649.12399999999991</v>
      </c>
      <c r="W86" s="916">
        <f t="shared" si="357"/>
        <v>673.75</v>
      </c>
      <c r="X86" s="916">
        <f t="shared" si="357"/>
        <v>706</v>
      </c>
      <c r="Y86" s="917">
        <f t="shared" si="357"/>
        <v>714</v>
      </c>
      <c r="Z86" s="916">
        <f t="shared" si="357"/>
        <v>732.25</v>
      </c>
      <c r="AA86" s="916">
        <f t="shared" si="357"/>
        <v>754.25</v>
      </c>
      <c r="AB86" s="916">
        <f t="shared" si="357"/>
        <v>795.75</v>
      </c>
      <c r="AC86" s="917">
        <f t="shared" si="357"/>
        <v>805.5</v>
      </c>
      <c r="AD86" s="916">
        <f t="shared" si="357"/>
        <v>814.5</v>
      </c>
      <c r="AE86" s="916">
        <f t="shared" si="357"/>
        <v>837</v>
      </c>
      <c r="AF86" s="916">
        <f t="shared" si="357"/>
        <v>884.25</v>
      </c>
      <c r="AG86" s="917">
        <f t="shared" si="357"/>
        <v>947.625</v>
      </c>
      <c r="AH86" s="916">
        <f t="shared" ref="AH86:AO87" si="358">AH116/3</f>
        <v>973.25</v>
      </c>
      <c r="AI86" s="916">
        <f t="shared" si="358"/>
        <v>991.25</v>
      </c>
      <c r="AJ86" s="916">
        <f t="shared" si="358"/>
        <v>1022.75</v>
      </c>
      <c r="AK86" s="917">
        <f t="shared" si="358"/>
        <v>1058.75</v>
      </c>
      <c r="AL86" s="916">
        <f t="shared" ref="AL86" si="359">AL116/3</f>
        <v>1078.25</v>
      </c>
      <c r="AM86" s="916">
        <f t="shared" si="358"/>
        <v>1112</v>
      </c>
      <c r="AN86" s="916">
        <f t="shared" si="358"/>
        <v>1154.75</v>
      </c>
      <c r="AO86" s="917">
        <f t="shared" si="358"/>
        <v>1181.75</v>
      </c>
      <c r="AP86" s="916">
        <f t="shared" ref="AP86:AS86" si="360">AP116/3</f>
        <v>1202</v>
      </c>
      <c r="AQ86" s="916">
        <f t="shared" si="360"/>
        <v>1249.25</v>
      </c>
      <c r="AR86" s="916">
        <f t="shared" si="360"/>
        <v>1303.25</v>
      </c>
      <c r="AS86" s="917">
        <f t="shared" si="360"/>
        <v>1330.25</v>
      </c>
      <c r="AT86" s="916">
        <f t="shared" ref="AT86:AW86" si="361">AT116/3</f>
        <v>1355</v>
      </c>
      <c r="AU86" s="916">
        <f t="shared" si="361"/>
        <v>1400</v>
      </c>
      <c r="AV86" s="916">
        <f t="shared" si="361"/>
        <v>1440.5</v>
      </c>
      <c r="AW86" s="917">
        <f t="shared" si="361"/>
        <v>1478.75</v>
      </c>
      <c r="AY86" s="1057"/>
      <c r="AZ86" s="918">
        <f t="shared" si="297"/>
        <v>442.75</v>
      </c>
      <c r="BA86" s="919">
        <f t="shared" si="298"/>
        <v>451.32499999999999</v>
      </c>
      <c r="BB86" s="919">
        <f t="shared" si="299"/>
        <v>448.5</v>
      </c>
      <c r="BC86" s="919">
        <f t="shared" si="300"/>
        <v>520.75</v>
      </c>
      <c r="BD86" s="919">
        <f t="shared" si="301"/>
        <v>620.99899999999991</v>
      </c>
      <c r="BE86" s="919">
        <f t="shared" si="289"/>
        <v>714</v>
      </c>
      <c r="BF86" s="919">
        <f t="shared" si="302"/>
        <v>805.5</v>
      </c>
      <c r="BG86" s="919">
        <f t="shared" si="303"/>
        <v>947.625</v>
      </c>
      <c r="BH86" s="919">
        <f t="shared" si="290"/>
        <v>1058.75</v>
      </c>
      <c r="BI86" s="919">
        <f t="shared" si="304"/>
        <v>1181.75</v>
      </c>
      <c r="BJ86" s="919">
        <f>AS86</f>
        <v>1330.25</v>
      </c>
      <c r="BK86" s="919">
        <f>AW86</f>
        <v>1478.75</v>
      </c>
    </row>
    <row r="87" spans="1:63" s="249" customFormat="1" outlineLevel="1">
      <c r="A87" s="1009" t="s">
        <v>733</v>
      </c>
      <c r="B87" s="920">
        <f>B117/3</f>
        <v>226</v>
      </c>
      <c r="C87" s="921">
        <f t="shared" ref="C87:U87" si="362">C117/3</f>
        <v>229</v>
      </c>
      <c r="D87" s="921">
        <f t="shared" si="362"/>
        <v>233.07500000000002</v>
      </c>
      <c r="E87" s="922">
        <f t="shared" si="362"/>
        <v>229</v>
      </c>
      <c r="F87" s="921">
        <f t="shared" si="362"/>
        <v>234</v>
      </c>
      <c r="G87" s="921">
        <f t="shared" si="362"/>
        <v>235.32500000000002</v>
      </c>
      <c r="H87" s="921">
        <f t="shared" si="362"/>
        <v>241.625</v>
      </c>
      <c r="I87" s="922">
        <f t="shared" si="362"/>
        <v>253.32500000000002</v>
      </c>
      <c r="J87" s="921">
        <f t="shared" si="362"/>
        <v>257.32499999999999</v>
      </c>
      <c r="K87" s="921">
        <f t="shared" si="362"/>
        <v>264.32499999999999</v>
      </c>
      <c r="L87" s="921">
        <f t="shared" si="362"/>
        <v>222</v>
      </c>
      <c r="M87" s="922">
        <f t="shared" si="362"/>
        <v>228</v>
      </c>
      <c r="N87" s="921">
        <f t="shared" si="362"/>
        <v>233</v>
      </c>
      <c r="O87" s="921">
        <f t="shared" si="362"/>
        <v>234</v>
      </c>
      <c r="P87" s="921">
        <f t="shared" si="362"/>
        <v>257.25</v>
      </c>
      <c r="Q87" s="922">
        <f t="shared" si="362"/>
        <v>254.35</v>
      </c>
      <c r="R87" s="921">
        <f t="shared" si="362"/>
        <v>274.34999999999997</v>
      </c>
      <c r="S87" s="921">
        <f t="shared" si="362"/>
        <v>288.34999999999997</v>
      </c>
      <c r="T87" s="921">
        <f t="shared" si="362"/>
        <v>293.72499999999997</v>
      </c>
      <c r="U87" s="922">
        <f t="shared" si="362"/>
        <v>300.59899999999999</v>
      </c>
      <c r="V87" s="921">
        <f t="shared" ref="V87:AG87" si="363">V117/3</f>
        <v>308.47399999999999</v>
      </c>
      <c r="W87" s="921">
        <f t="shared" si="363"/>
        <v>315.09999999999997</v>
      </c>
      <c r="X87" s="921">
        <f t="shared" si="363"/>
        <v>327.10000000000002</v>
      </c>
      <c r="Y87" s="922">
        <f t="shared" si="363"/>
        <v>328.35</v>
      </c>
      <c r="Z87" s="921">
        <f t="shared" si="363"/>
        <v>333.1</v>
      </c>
      <c r="AA87" s="921">
        <f t="shared" si="363"/>
        <v>337.1</v>
      </c>
      <c r="AB87" s="921">
        <f t="shared" si="363"/>
        <v>351.60000000000008</v>
      </c>
      <c r="AC87" s="922">
        <f t="shared" si="363"/>
        <v>354.60000000000008</v>
      </c>
      <c r="AD87" s="921">
        <f t="shared" si="363"/>
        <v>354.60000000000008</v>
      </c>
      <c r="AE87" s="921">
        <f t="shared" si="363"/>
        <v>354.60000000000008</v>
      </c>
      <c r="AF87" s="921">
        <f t="shared" si="363"/>
        <v>354.60000000000008</v>
      </c>
      <c r="AG87" s="922">
        <f t="shared" si="363"/>
        <v>354.60000000000008</v>
      </c>
      <c r="AH87" s="921">
        <f t="shared" si="358"/>
        <v>354.60000000000008</v>
      </c>
      <c r="AI87" s="921">
        <f t="shared" si="358"/>
        <v>354.60000000000008</v>
      </c>
      <c r="AJ87" s="921">
        <f t="shared" si="358"/>
        <v>354.60000000000008</v>
      </c>
      <c r="AK87" s="922">
        <f t="shared" si="358"/>
        <v>354.60000000000008</v>
      </c>
      <c r="AL87" s="921">
        <f t="shared" ref="AL87" si="364">AL117/3</f>
        <v>354.60000000000008</v>
      </c>
      <c r="AM87" s="921">
        <f t="shared" si="358"/>
        <v>354.60000000000008</v>
      </c>
      <c r="AN87" s="921">
        <f t="shared" si="358"/>
        <v>354.60000000000008</v>
      </c>
      <c r="AO87" s="922">
        <f t="shared" si="358"/>
        <v>354.60000000000008</v>
      </c>
      <c r="AP87" s="921">
        <f t="shared" ref="AP87:AS87" si="365">AP117/3</f>
        <v>354.60000000000008</v>
      </c>
      <c r="AQ87" s="921">
        <f t="shared" si="365"/>
        <v>354.60000000000008</v>
      </c>
      <c r="AR87" s="921">
        <f t="shared" si="365"/>
        <v>354.60000000000008</v>
      </c>
      <c r="AS87" s="922">
        <f t="shared" si="365"/>
        <v>354.60000000000008</v>
      </c>
      <c r="AT87" s="921">
        <f t="shared" ref="AT87:AW87" si="366">AT117/3</f>
        <v>354.60000000000008</v>
      </c>
      <c r="AU87" s="921">
        <f t="shared" si="366"/>
        <v>354.60000000000008</v>
      </c>
      <c r="AV87" s="921">
        <f t="shared" si="366"/>
        <v>354.60000000000008</v>
      </c>
      <c r="AW87" s="922">
        <f t="shared" si="366"/>
        <v>354.60000000000008</v>
      </c>
      <c r="AY87" s="1055"/>
      <c r="AZ87" s="914">
        <f t="shared" si="297"/>
        <v>229</v>
      </c>
      <c r="BA87" s="685">
        <f t="shared" si="298"/>
        <v>253.32500000000002</v>
      </c>
      <c r="BB87" s="923">
        <f t="shared" si="299"/>
        <v>228</v>
      </c>
      <c r="BC87" s="923">
        <f t="shared" si="300"/>
        <v>254.35</v>
      </c>
      <c r="BD87" s="923">
        <f t="shared" si="301"/>
        <v>300.59899999999999</v>
      </c>
      <c r="BE87" s="923">
        <f t="shared" si="289"/>
        <v>328.35</v>
      </c>
      <c r="BF87" s="923">
        <f t="shared" si="302"/>
        <v>354.60000000000008</v>
      </c>
      <c r="BG87" s="923">
        <f>AG87</f>
        <v>354.60000000000008</v>
      </c>
      <c r="BH87" s="923">
        <f t="shared" si="290"/>
        <v>354.60000000000008</v>
      </c>
      <c r="BI87" s="923">
        <f t="shared" si="304"/>
        <v>354.60000000000008</v>
      </c>
      <c r="BJ87" s="923">
        <f t="shared" si="305"/>
        <v>354.60000000000008</v>
      </c>
      <c r="BK87" s="923">
        <f>AW87</f>
        <v>354.60000000000008</v>
      </c>
    </row>
    <row r="88" spans="1:63" s="249" customFormat="1" outlineLevel="1">
      <c r="A88" s="228" t="s">
        <v>732</v>
      </c>
      <c r="B88" s="924">
        <f>B118/3/2.25</f>
        <v>87</v>
      </c>
      <c r="C88" s="925">
        <f t="shared" ref="C88:U88" si="367">C118/3/2.25</f>
        <v>93</v>
      </c>
      <c r="D88" s="925">
        <f t="shared" si="367"/>
        <v>95.5</v>
      </c>
      <c r="E88" s="926">
        <f t="shared" si="367"/>
        <v>95</v>
      </c>
      <c r="F88" s="925">
        <f t="shared" si="367"/>
        <v>95</v>
      </c>
      <c r="G88" s="925">
        <f t="shared" si="367"/>
        <v>95</v>
      </c>
      <c r="H88" s="925">
        <f t="shared" si="367"/>
        <v>93</v>
      </c>
      <c r="I88" s="926">
        <f t="shared" si="367"/>
        <v>88</v>
      </c>
      <c r="J88" s="925">
        <f t="shared" si="367"/>
        <v>93</v>
      </c>
      <c r="K88" s="925">
        <f t="shared" si="367"/>
        <v>97</v>
      </c>
      <c r="L88" s="925">
        <f t="shared" si="367"/>
        <v>98.6</v>
      </c>
      <c r="M88" s="926">
        <f t="shared" si="367"/>
        <v>98</v>
      </c>
      <c r="N88" s="925">
        <f t="shared" si="367"/>
        <v>108</v>
      </c>
      <c r="O88" s="925">
        <f t="shared" si="367"/>
        <v>109.4</v>
      </c>
      <c r="P88" s="925">
        <f t="shared" si="367"/>
        <v>112.4</v>
      </c>
      <c r="Q88" s="926">
        <f t="shared" si="367"/>
        <v>118.40000000000002</v>
      </c>
      <c r="R88" s="925">
        <f t="shared" si="367"/>
        <v>118.40000000000002</v>
      </c>
      <c r="S88" s="925">
        <f t="shared" si="367"/>
        <v>121.40000000000002</v>
      </c>
      <c r="T88" s="925">
        <f t="shared" si="367"/>
        <v>133.4</v>
      </c>
      <c r="U88" s="926">
        <f t="shared" si="367"/>
        <v>142.4</v>
      </c>
      <c r="V88" s="925">
        <f t="shared" ref="V88:AG88" si="368">V118/3/2.25</f>
        <v>151.4</v>
      </c>
      <c r="W88" s="925">
        <f t="shared" si="368"/>
        <v>159.4</v>
      </c>
      <c r="X88" s="925">
        <f t="shared" si="368"/>
        <v>168.4</v>
      </c>
      <c r="Y88" s="926">
        <f t="shared" si="368"/>
        <v>171.4</v>
      </c>
      <c r="Z88" s="925">
        <f t="shared" si="368"/>
        <v>177.4</v>
      </c>
      <c r="AA88" s="925">
        <f t="shared" si="368"/>
        <v>185.4</v>
      </c>
      <c r="AB88" s="925">
        <f t="shared" si="368"/>
        <v>197.4</v>
      </c>
      <c r="AC88" s="926">
        <f t="shared" si="368"/>
        <v>200.4</v>
      </c>
      <c r="AD88" s="925">
        <f t="shared" si="368"/>
        <v>204.4</v>
      </c>
      <c r="AE88" s="925">
        <f t="shared" si="368"/>
        <v>214.4</v>
      </c>
      <c r="AF88" s="925">
        <f t="shared" si="368"/>
        <v>235.39999999999998</v>
      </c>
      <c r="AG88" s="926">
        <f t="shared" si="368"/>
        <v>263.56666666666666</v>
      </c>
      <c r="AH88" s="925">
        <f t="shared" ref="AH88:AO88" si="369">AH118/3/2.25</f>
        <v>274.95555555555552</v>
      </c>
      <c r="AI88" s="925">
        <f t="shared" si="369"/>
        <v>282.95555555555552</v>
      </c>
      <c r="AJ88" s="925">
        <f t="shared" si="369"/>
        <v>296.95555555555552</v>
      </c>
      <c r="AK88" s="926">
        <f t="shared" si="369"/>
        <v>312.95555555555552</v>
      </c>
      <c r="AL88" s="925">
        <f t="shared" ref="AL88" si="370">AL118/3/2.25</f>
        <v>321.62222222222221</v>
      </c>
      <c r="AM88" s="925">
        <f t="shared" si="369"/>
        <v>336.62222222222221</v>
      </c>
      <c r="AN88" s="925">
        <f t="shared" si="369"/>
        <v>355.62222222222221</v>
      </c>
      <c r="AO88" s="926">
        <f t="shared" si="369"/>
        <v>367.62222222222221</v>
      </c>
      <c r="AP88" s="925">
        <f t="shared" ref="AP88:AS88" si="371">AP118/3/2.25</f>
        <v>376.62222222222221</v>
      </c>
      <c r="AQ88" s="925">
        <f t="shared" si="371"/>
        <v>397.62222222222221</v>
      </c>
      <c r="AR88" s="925">
        <f t="shared" si="371"/>
        <v>421.62222222222221</v>
      </c>
      <c r="AS88" s="926">
        <f t="shared" si="371"/>
        <v>433.62222222222221</v>
      </c>
      <c r="AT88" s="925">
        <f t="shared" ref="AT88:AW88" si="372">AT118/3/2.25</f>
        <v>444.62222222222221</v>
      </c>
      <c r="AU88" s="925">
        <f t="shared" si="372"/>
        <v>464.62222222222215</v>
      </c>
      <c r="AV88" s="925">
        <f t="shared" si="372"/>
        <v>482.62222222222215</v>
      </c>
      <c r="AW88" s="926">
        <f t="shared" si="372"/>
        <v>499.62222222222215</v>
      </c>
      <c r="AY88" s="1055"/>
      <c r="AZ88" s="927">
        <f t="shared" si="297"/>
        <v>95</v>
      </c>
      <c r="BA88" s="928">
        <f t="shared" si="298"/>
        <v>88</v>
      </c>
      <c r="BB88" s="929">
        <f t="shared" si="299"/>
        <v>98</v>
      </c>
      <c r="BC88" s="929">
        <f t="shared" si="300"/>
        <v>118.40000000000002</v>
      </c>
      <c r="BD88" s="929">
        <f t="shared" si="301"/>
        <v>142.4</v>
      </c>
      <c r="BE88" s="929">
        <f t="shared" si="289"/>
        <v>171.4</v>
      </c>
      <c r="BF88" s="929">
        <f t="shared" si="302"/>
        <v>200.4</v>
      </c>
      <c r="BG88" s="929">
        <f>AG88</f>
        <v>263.56666666666666</v>
      </c>
      <c r="BH88" s="929">
        <f t="shared" si="290"/>
        <v>312.95555555555552</v>
      </c>
      <c r="BI88" s="929">
        <f t="shared" si="304"/>
        <v>367.62222222222221</v>
      </c>
      <c r="BJ88" s="929">
        <f t="shared" si="305"/>
        <v>433.62222222222221</v>
      </c>
      <c r="BK88" s="929">
        <f>AW88</f>
        <v>499.62222222222215</v>
      </c>
    </row>
    <row r="89" spans="1:63">
      <c r="A89" s="319" t="s">
        <v>1137</v>
      </c>
      <c r="B89" s="384"/>
      <c r="C89" s="384"/>
      <c r="D89" s="384"/>
      <c r="E89" s="385"/>
      <c r="F89" s="384"/>
      <c r="G89" s="384"/>
      <c r="H89" s="384"/>
      <c r="I89" s="385"/>
      <c r="J89" s="384"/>
      <c r="K89" s="384"/>
      <c r="L89" s="384"/>
      <c r="M89" s="385"/>
      <c r="N89" s="384"/>
      <c r="O89" s="384"/>
      <c r="P89" s="384"/>
      <c r="Q89" s="385"/>
      <c r="R89" s="384"/>
      <c r="S89" s="384"/>
      <c r="T89" s="384"/>
      <c r="U89" s="385"/>
      <c r="V89" s="384"/>
      <c r="W89" s="384"/>
      <c r="X89" s="384"/>
      <c r="Y89" s="385"/>
      <c r="Z89" s="384">
        <f t="shared" ref="Z89:AO89" si="373">(Z86-Y86)</f>
        <v>18.25</v>
      </c>
      <c r="AA89" s="384">
        <f t="shared" si="373"/>
        <v>22</v>
      </c>
      <c r="AB89" s="384">
        <f t="shared" si="373"/>
        <v>41.5</v>
      </c>
      <c r="AC89" s="385">
        <f t="shared" si="373"/>
        <v>9.75</v>
      </c>
      <c r="AD89" s="384">
        <f t="shared" si="373"/>
        <v>9</v>
      </c>
      <c r="AE89" s="384">
        <f t="shared" si="373"/>
        <v>22.5</v>
      </c>
      <c r="AF89" s="384">
        <f t="shared" si="373"/>
        <v>47.25</v>
      </c>
      <c r="AG89" s="385">
        <f t="shared" si="373"/>
        <v>63.375</v>
      </c>
      <c r="AH89" s="384">
        <f t="shared" si="373"/>
        <v>25.625</v>
      </c>
      <c r="AI89" s="384">
        <f t="shared" si="373"/>
        <v>18</v>
      </c>
      <c r="AJ89" s="384">
        <f t="shared" si="373"/>
        <v>31.5</v>
      </c>
      <c r="AK89" s="1146">
        <f t="shared" si="373"/>
        <v>36</v>
      </c>
      <c r="AL89" s="1145">
        <f t="shared" si="373"/>
        <v>19.5</v>
      </c>
      <c r="AM89" s="384">
        <f t="shared" si="373"/>
        <v>33.75</v>
      </c>
      <c r="AN89" s="384">
        <f t="shared" si="373"/>
        <v>42.75</v>
      </c>
      <c r="AO89" s="385">
        <f t="shared" si="373"/>
        <v>27</v>
      </c>
      <c r="AP89" s="384">
        <f t="shared" ref="AP89:AP91" si="374">(AP86-AO86)</f>
        <v>20.25</v>
      </c>
      <c r="AQ89" s="384">
        <f t="shared" ref="AQ89:AQ91" si="375">(AQ86-AP86)</f>
        <v>47.25</v>
      </c>
      <c r="AR89" s="384">
        <f t="shared" ref="AR89:AR91" si="376">(AR86-AQ86)</f>
        <v>54</v>
      </c>
      <c r="AS89" s="385">
        <f t="shared" ref="AS89:AS91" si="377">(AS86-AR86)</f>
        <v>27</v>
      </c>
      <c r="AT89" s="384">
        <f t="shared" ref="AT89:AT91" si="378">(AT86-AS86)</f>
        <v>24.75</v>
      </c>
      <c r="AU89" s="384">
        <f t="shared" ref="AU89:AU91" si="379">(AU86-AT86)</f>
        <v>45</v>
      </c>
      <c r="AV89" s="384">
        <f t="shared" ref="AV89:AV91" si="380">(AV86-AU86)</f>
        <v>40.5</v>
      </c>
      <c r="AW89" s="385">
        <f t="shared" ref="AW89:AW91" si="381">(AW86-AV86)</f>
        <v>38.25</v>
      </c>
      <c r="AX89" s="249"/>
      <c r="AY89" s="1053"/>
      <c r="AZ89" s="335"/>
      <c r="BA89" s="215"/>
      <c r="BB89" s="215"/>
      <c r="BC89" s="215"/>
      <c r="BD89" s="215">
        <f t="shared" ref="BD89:BK89" si="382">(BD86-BC86)</f>
        <v>100.24899999999991</v>
      </c>
      <c r="BE89" s="215">
        <f t="shared" si="382"/>
        <v>93.00100000000009</v>
      </c>
      <c r="BF89" s="215">
        <f t="shared" si="382"/>
        <v>91.5</v>
      </c>
      <c r="BG89" s="215">
        <f t="shared" si="382"/>
        <v>142.125</v>
      </c>
      <c r="BH89" s="215">
        <f t="shared" si="382"/>
        <v>111.125</v>
      </c>
      <c r="BI89" s="215">
        <f t="shared" si="382"/>
        <v>123</v>
      </c>
      <c r="BJ89" s="215">
        <f t="shared" si="382"/>
        <v>148.5</v>
      </c>
      <c r="BK89" s="215">
        <f t="shared" si="382"/>
        <v>148.5</v>
      </c>
    </row>
    <row r="90" spans="1:63">
      <c r="A90" s="290" t="s">
        <v>733</v>
      </c>
      <c r="B90" s="384"/>
      <c r="C90" s="384"/>
      <c r="D90" s="384"/>
      <c r="E90" s="385"/>
      <c r="F90" s="384"/>
      <c r="G90" s="384"/>
      <c r="H90" s="384"/>
      <c r="I90" s="385"/>
      <c r="J90" s="384"/>
      <c r="K90" s="384"/>
      <c r="L90" s="384"/>
      <c r="M90" s="385"/>
      <c r="N90" s="384"/>
      <c r="O90" s="384"/>
      <c r="P90" s="384"/>
      <c r="Q90" s="385"/>
      <c r="R90" s="384"/>
      <c r="S90" s="384"/>
      <c r="T90" s="384"/>
      <c r="U90" s="385"/>
      <c r="V90" s="384"/>
      <c r="W90" s="384"/>
      <c r="X90" s="384"/>
      <c r="Y90" s="385"/>
      <c r="Z90" s="384">
        <f t="shared" ref="Z90:AO90" si="383">(Z87-Y87)</f>
        <v>4.75</v>
      </c>
      <c r="AA90" s="384">
        <f t="shared" si="383"/>
        <v>4</v>
      </c>
      <c r="AB90" s="384">
        <f t="shared" si="383"/>
        <v>14.500000000000057</v>
      </c>
      <c r="AC90" s="385">
        <f t="shared" si="383"/>
        <v>3</v>
      </c>
      <c r="AD90" s="384">
        <f t="shared" si="383"/>
        <v>0</v>
      </c>
      <c r="AE90" s="384">
        <f t="shared" si="383"/>
        <v>0</v>
      </c>
      <c r="AF90" s="384">
        <f t="shared" si="383"/>
        <v>0</v>
      </c>
      <c r="AG90" s="385">
        <f t="shared" si="383"/>
        <v>0</v>
      </c>
      <c r="AH90" s="384">
        <f t="shared" si="383"/>
        <v>0</v>
      </c>
      <c r="AI90" s="384">
        <f t="shared" si="383"/>
        <v>0</v>
      </c>
      <c r="AJ90" s="384">
        <f t="shared" si="383"/>
        <v>0</v>
      </c>
      <c r="AK90" s="385">
        <f t="shared" si="383"/>
        <v>0</v>
      </c>
      <c r="AL90" s="384">
        <f t="shared" si="383"/>
        <v>0</v>
      </c>
      <c r="AM90" s="384">
        <f t="shared" si="383"/>
        <v>0</v>
      </c>
      <c r="AN90" s="384">
        <f t="shared" si="383"/>
        <v>0</v>
      </c>
      <c r="AO90" s="385">
        <f t="shared" si="383"/>
        <v>0</v>
      </c>
      <c r="AP90" s="384">
        <f t="shared" si="374"/>
        <v>0</v>
      </c>
      <c r="AQ90" s="384">
        <f t="shared" si="375"/>
        <v>0</v>
      </c>
      <c r="AR90" s="384">
        <f t="shared" si="376"/>
        <v>0</v>
      </c>
      <c r="AS90" s="385">
        <f t="shared" si="377"/>
        <v>0</v>
      </c>
      <c r="AT90" s="384">
        <f t="shared" si="378"/>
        <v>0</v>
      </c>
      <c r="AU90" s="384">
        <f t="shared" si="379"/>
        <v>0</v>
      </c>
      <c r="AV90" s="384">
        <f t="shared" si="380"/>
        <v>0</v>
      </c>
      <c r="AW90" s="385">
        <f t="shared" si="381"/>
        <v>0</v>
      </c>
      <c r="AX90" s="249"/>
      <c r="AY90" s="1053"/>
      <c r="AZ90" s="335"/>
      <c r="BA90" s="215"/>
      <c r="BB90" s="215"/>
      <c r="BC90" s="215"/>
      <c r="BD90" s="215">
        <f t="shared" ref="BD90:BI90" si="384">(BD87-BC87)</f>
        <v>46.248999999999995</v>
      </c>
      <c r="BE90" s="215">
        <f t="shared" si="384"/>
        <v>27.751000000000033</v>
      </c>
      <c r="BF90" s="215">
        <f t="shared" si="384"/>
        <v>26.250000000000057</v>
      </c>
      <c r="BG90" s="215">
        <f t="shared" si="384"/>
        <v>0</v>
      </c>
      <c r="BH90" s="215">
        <f t="shared" si="384"/>
        <v>0</v>
      </c>
      <c r="BI90" s="215">
        <f t="shared" si="384"/>
        <v>0</v>
      </c>
      <c r="BJ90" s="215"/>
      <c r="BK90" s="215"/>
    </row>
    <row r="91" spans="1:63">
      <c r="A91" s="304" t="s">
        <v>732</v>
      </c>
      <c r="B91" s="376"/>
      <c r="C91" s="376"/>
      <c r="D91" s="376"/>
      <c r="E91" s="377"/>
      <c r="F91" s="376"/>
      <c r="G91" s="376"/>
      <c r="H91" s="376"/>
      <c r="I91" s="377"/>
      <c r="J91" s="376"/>
      <c r="K91" s="376"/>
      <c r="L91" s="376"/>
      <c r="M91" s="377"/>
      <c r="N91" s="376"/>
      <c r="O91" s="376"/>
      <c r="P91" s="376"/>
      <c r="Q91" s="377"/>
      <c r="R91" s="376"/>
      <c r="S91" s="376"/>
      <c r="T91" s="376"/>
      <c r="U91" s="377"/>
      <c r="V91" s="376"/>
      <c r="W91" s="376"/>
      <c r="X91" s="376"/>
      <c r="Y91" s="377"/>
      <c r="Z91" s="376">
        <f t="shared" ref="Z91:AO91" si="385">(Z88-Y88)</f>
        <v>6</v>
      </c>
      <c r="AA91" s="376">
        <f t="shared" si="385"/>
        <v>8</v>
      </c>
      <c r="AB91" s="376">
        <f t="shared" si="385"/>
        <v>12</v>
      </c>
      <c r="AC91" s="377">
        <f t="shared" si="385"/>
        <v>3</v>
      </c>
      <c r="AD91" s="376">
        <f t="shared" si="385"/>
        <v>4</v>
      </c>
      <c r="AE91" s="376">
        <f t="shared" si="385"/>
        <v>10</v>
      </c>
      <c r="AF91" s="376">
        <f t="shared" si="385"/>
        <v>20.999999999999972</v>
      </c>
      <c r="AG91" s="377">
        <f t="shared" si="385"/>
        <v>28.166666666666686</v>
      </c>
      <c r="AH91" s="376">
        <f t="shared" si="385"/>
        <v>11.388888888888857</v>
      </c>
      <c r="AI91" s="376">
        <f t="shared" si="385"/>
        <v>8</v>
      </c>
      <c r="AJ91" s="376">
        <f t="shared" si="385"/>
        <v>14</v>
      </c>
      <c r="AK91" s="377">
        <f t="shared" si="385"/>
        <v>16</v>
      </c>
      <c r="AL91" s="376">
        <f t="shared" si="385"/>
        <v>8.6666666666666856</v>
      </c>
      <c r="AM91" s="376">
        <f t="shared" si="385"/>
        <v>15</v>
      </c>
      <c r="AN91" s="376">
        <f t="shared" si="385"/>
        <v>19</v>
      </c>
      <c r="AO91" s="377">
        <f t="shared" si="385"/>
        <v>12</v>
      </c>
      <c r="AP91" s="376">
        <f t="shared" si="374"/>
        <v>9</v>
      </c>
      <c r="AQ91" s="376">
        <f t="shared" si="375"/>
        <v>21</v>
      </c>
      <c r="AR91" s="376">
        <f t="shared" si="376"/>
        <v>24</v>
      </c>
      <c r="AS91" s="377">
        <f t="shared" si="377"/>
        <v>12</v>
      </c>
      <c r="AT91" s="376">
        <f t="shared" si="378"/>
        <v>11</v>
      </c>
      <c r="AU91" s="376">
        <f t="shared" si="379"/>
        <v>19.999999999999943</v>
      </c>
      <c r="AV91" s="376">
        <f t="shared" si="380"/>
        <v>18</v>
      </c>
      <c r="AW91" s="377">
        <f t="shared" si="381"/>
        <v>17</v>
      </c>
      <c r="AX91" s="249"/>
      <c r="AY91" s="1053"/>
      <c r="AZ91" s="548"/>
      <c r="BA91" s="360"/>
      <c r="BB91" s="360"/>
      <c r="BC91" s="360"/>
      <c r="BD91" s="360">
        <f t="shared" ref="BD91:BK91" si="386">(BD88-BC88)</f>
        <v>23.999999999999986</v>
      </c>
      <c r="BE91" s="360">
        <f t="shared" si="386"/>
        <v>29</v>
      </c>
      <c r="BF91" s="360">
        <f t="shared" si="386"/>
        <v>29</v>
      </c>
      <c r="BG91" s="360">
        <f t="shared" si="386"/>
        <v>63.166666666666657</v>
      </c>
      <c r="BH91" s="1097">
        <f t="shared" si="386"/>
        <v>49.388888888888857</v>
      </c>
      <c r="BI91" s="1097">
        <f t="shared" si="386"/>
        <v>54.666666666666686</v>
      </c>
      <c r="BJ91" s="1097">
        <f t="shared" si="386"/>
        <v>66</v>
      </c>
      <c r="BK91" s="1097">
        <f t="shared" si="386"/>
        <v>65.999999999999943</v>
      </c>
    </row>
    <row r="92" spans="1:63" s="249" customFormat="1" outlineLevel="1">
      <c r="A92" s="226" t="s">
        <v>731</v>
      </c>
      <c r="B92" s="930"/>
      <c r="C92" s="931"/>
      <c r="D92" s="931"/>
      <c r="E92" s="932"/>
      <c r="F92" s="931"/>
      <c r="G92" s="931"/>
      <c r="H92" s="931"/>
      <c r="I92" s="932"/>
      <c r="J92" s="931"/>
      <c r="K92" s="931"/>
      <c r="L92" s="931"/>
      <c r="M92" s="932"/>
      <c r="N92" s="931"/>
      <c r="O92" s="931"/>
      <c r="P92" s="931"/>
      <c r="Q92" s="932"/>
      <c r="R92" s="931"/>
      <c r="S92" s="931"/>
      <c r="T92" s="931"/>
      <c r="U92" s="932"/>
      <c r="V92" s="931"/>
      <c r="W92" s="931"/>
      <c r="X92" s="931"/>
      <c r="Y92" s="932"/>
      <c r="Z92" s="931"/>
      <c r="AA92" s="931"/>
      <c r="AB92" s="931"/>
      <c r="AC92" s="932"/>
      <c r="AD92" s="931"/>
      <c r="AE92" s="931"/>
      <c r="AF92" s="931"/>
      <c r="AG92" s="932"/>
      <c r="AH92" s="931"/>
      <c r="AI92" s="931"/>
      <c r="AJ92" s="931"/>
      <c r="AK92" s="932"/>
      <c r="AL92" s="931"/>
      <c r="AM92" s="931"/>
      <c r="AN92" s="931"/>
      <c r="AO92" s="932"/>
      <c r="AP92" s="931"/>
      <c r="AQ92" s="931"/>
      <c r="AR92" s="931"/>
      <c r="AS92" s="932"/>
      <c r="AT92" s="931"/>
      <c r="AU92" s="931"/>
      <c r="AV92" s="931"/>
      <c r="AW92" s="932"/>
      <c r="AY92" s="1058"/>
      <c r="AZ92" s="630"/>
      <c r="BA92" s="627"/>
      <c r="BB92" s="627"/>
      <c r="BC92" s="243">
        <f t="shared" ref="BC92:BK92" si="387">BC86-BB86</f>
        <v>72.25</v>
      </c>
      <c r="BD92" s="243">
        <f t="shared" si="387"/>
        <v>100.24899999999991</v>
      </c>
      <c r="BE92" s="243">
        <f t="shared" si="387"/>
        <v>93.00100000000009</v>
      </c>
      <c r="BF92" s="243">
        <f t="shared" si="387"/>
        <v>91.5</v>
      </c>
      <c r="BG92" s="243">
        <f t="shared" si="387"/>
        <v>142.125</v>
      </c>
      <c r="BH92" s="243">
        <f t="shared" si="387"/>
        <v>111.125</v>
      </c>
      <c r="BI92" s="243">
        <f t="shared" si="387"/>
        <v>123</v>
      </c>
      <c r="BJ92" s="243">
        <f t="shared" si="387"/>
        <v>148.5</v>
      </c>
      <c r="BK92" s="243">
        <f t="shared" si="387"/>
        <v>148.5</v>
      </c>
    </row>
    <row r="93" spans="1:63" s="249" customFormat="1" outlineLevel="1">
      <c r="A93" s="227" t="s">
        <v>1204</v>
      </c>
      <c r="B93" s="905"/>
      <c r="C93" s="627"/>
      <c r="D93" s="627"/>
      <c r="E93" s="628"/>
      <c r="F93" s="627"/>
      <c r="G93" s="627"/>
      <c r="H93" s="627"/>
      <c r="I93" s="628"/>
      <c r="J93" s="627"/>
      <c r="K93" s="627"/>
      <c r="L93" s="627"/>
      <c r="M93" s="628"/>
      <c r="N93" s="627"/>
      <c r="O93" s="627"/>
      <c r="P93" s="627"/>
      <c r="Q93" s="628"/>
      <c r="R93" s="1088">
        <f t="shared" ref="R93:AG93" si="388">R121/3/2.25</f>
        <v>3</v>
      </c>
      <c r="S93" s="1088">
        <f t="shared" si="388"/>
        <v>6</v>
      </c>
      <c r="T93" s="1088">
        <f t="shared" si="388"/>
        <v>8</v>
      </c>
      <c r="U93" s="1089">
        <f t="shared" si="388"/>
        <v>10</v>
      </c>
      <c r="V93" s="1088">
        <f t="shared" si="388"/>
        <v>10</v>
      </c>
      <c r="W93" s="1088">
        <f t="shared" si="388"/>
        <v>10</v>
      </c>
      <c r="X93" s="1088">
        <f t="shared" si="388"/>
        <v>10</v>
      </c>
      <c r="Y93" s="162">
        <f t="shared" ref="V93:Y94" si="389">Y121/3/2.25</f>
        <v>10</v>
      </c>
      <c r="Z93" s="1088">
        <f t="shared" si="388"/>
        <v>10</v>
      </c>
      <c r="AA93" s="1088">
        <f t="shared" si="388"/>
        <v>14.444444444444445</v>
      </c>
      <c r="AB93" s="1088">
        <f t="shared" si="388"/>
        <v>18.888888888888889</v>
      </c>
      <c r="AC93" s="162">
        <f t="shared" si="388"/>
        <v>20.222222222222221</v>
      </c>
      <c r="AD93" s="1088">
        <f t="shared" si="388"/>
        <v>20.222222222222221</v>
      </c>
      <c r="AE93" s="1088">
        <f t="shared" si="388"/>
        <v>20.222222222222221</v>
      </c>
      <c r="AF93" s="1088">
        <f t="shared" si="388"/>
        <v>20.222222222222221</v>
      </c>
      <c r="AG93" s="162">
        <f t="shared" si="388"/>
        <v>20.222222222222221</v>
      </c>
      <c r="AH93" s="1088">
        <f t="shared" ref="AG93:AV98" si="390">AH121/3/2.25</f>
        <v>20.222222222222221</v>
      </c>
      <c r="AI93" s="1088">
        <f t="shared" si="390"/>
        <v>20.222222222222221</v>
      </c>
      <c r="AJ93" s="1088">
        <f t="shared" si="390"/>
        <v>20.222222222222221</v>
      </c>
      <c r="AK93" s="162">
        <f t="shared" si="390"/>
        <v>20.222222222222221</v>
      </c>
      <c r="AL93" s="1088">
        <f t="shared" ref="AL93" si="391">AL121/3/2.25</f>
        <v>22.722222222222221</v>
      </c>
      <c r="AM93" s="1088">
        <f t="shared" si="390"/>
        <v>25.222222222222221</v>
      </c>
      <c r="AN93" s="1088">
        <f t="shared" si="390"/>
        <v>27.722222222222221</v>
      </c>
      <c r="AO93" s="162">
        <f t="shared" si="390"/>
        <v>30.222222222222221</v>
      </c>
      <c r="AP93" s="1088">
        <f t="shared" si="390"/>
        <v>32.722222222222221</v>
      </c>
      <c r="AQ93" s="1088">
        <f t="shared" si="390"/>
        <v>35.222222222222221</v>
      </c>
      <c r="AR93" s="1088">
        <f t="shared" si="390"/>
        <v>37.722222222222221</v>
      </c>
      <c r="AS93" s="162">
        <f t="shared" si="390"/>
        <v>40.222222222222221</v>
      </c>
      <c r="AT93" s="1088">
        <f t="shared" si="390"/>
        <v>42.722222222222221</v>
      </c>
      <c r="AU93" s="1088">
        <f t="shared" si="390"/>
        <v>45.222222222222221</v>
      </c>
      <c r="AV93" s="1088">
        <f t="shared" si="390"/>
        <v>47.722222222222221</v>
      </c>
      <c r="AW93" s="162">
        <f t="shared" ref="AW93" si="392">AW121/3/2.25</f>
        <v>50.222222222222221</v>
      </c>
      <c r="AX93" s="629"/>
      <c r="AY93" s="1058"/>
      <c r="AZ93" s="630"/>
      <c r="BA93" s="1141"/>
      <c r="BB93" s="1141"/>
      <c r="BC93" s="934">
        <f t="shared" si="300"/>
        <v>0</v>
      </c>
      <c r="BD93" s="934">
        <f t="shared" si="301"/>
        <v>10</v>
      </c>
      <c r="BE93" s="934">
        <f t="shared" ref="BE93:BE102" si="393">Y93</f>
        <v>10</v>
      </c>
      <c r="BF93" s="934">
        <f t="shared" ref="BF93:BF102" si="394">AC93</f>
        <v>20.222222222222221</v>
      </c>
      <c r="BG93" s="934">
        <f>AG93</f>
        <v>20.222222222222221</v>
      </c>
      <c r="BH93" s="934">
        <f t="shared" ref="BH93:BH101" si="395">AK93</f>
        <v>20.222222222222221</v>
      </c>
      <c r="BI93" s="934">
        <f t="shared" si="304"/>
        <v>30.222222222222221</v>
      </c>
      <c r="BJ93" s="934">
        <f>AS93</f>
        <v>40.222222222222221</v>
      </c>
      <c r="BK93" s="934">
        <f>AW93</f>
        <v>50.222222222222221</v>
      </c>
    </row>
    <row r="94" spans="1:63" s="249" customFormat="1" outlineLevel="1">
      <c r="A94" s="227" t="s">
        <v>936</v>
      </c>
      <c r="B94" s="935"/>
      <c r="C94" s="936"/>
      <c r="D94" s="936"/>
      <c r="E94" s="933"/>
      <c r="F94" s="936"/>
      <c r="G94" s="936"/>
      <c r="H94" s="936"/>
      <c r="I94" s="933"/>
      <c r="J94" s="936"/>
      <c r="K94" s="936"/>
      <c r="L94" s="936"/>
      <c r="M94" s="933">
        <f>M122/3/2.25</f>
        <v>3</v>
      </c>
      <c r="N94" s="936">
        <f>N122/3/2.25</f>
        <v>4</v>
      </c>
      <c r="O94" s="936">
        <f>O122/3/2.25</f>
        <v>6</v>
      </c>
      <c r="P94" s="936">
        <f>P122/3/2.25</f>
        <v>9</v>
      </c>
      <c r="Q94" s="933">
        <f>Q122/3/2.25</f>
        <v>15</v>
      </c>
      <c r="R94" s="936">
        <f t="shared" ref="C94:U97" si="396">R122/3/2.25</f>
        <v>15</v>
      </c>
      <c r="S94" s="936">
        <f t="shared" si="396"/>
        <v>15</v>
      </c>
      <c r="T94" s="936">
        <f t="shared" si="396"/>
        <v>15</v>
      </c>
      <c r="U94" s="933">
        <f t="shared" si="396"/>
        <v>15</v>
      </c>
      <c r="V94" s="936">
        <f t="shared" si="389"/>
        <v>15</v>
      </c>
      <c r="W94" s="936">
        <f t="shared" si="389"/>
        <v>15</v>
      </c>
      <c r="X94" s="936">
        <f t="shared" si="389"/>
        <v>15</v>
      </c>
      <c r="Y94" s="933">
        <f t="shared" si="389"/>
        <v>15</v>
      </c>
      <c r="Z94" s="936">
        <f t="shared" ref="Z94:AB98" si="397">Z122/3/2.25</f>
        <v>15</v>
      </c>
      <c r="AA94" s="936">
        <f t="shared" si="397"/>
        <v>15</v>
      </c>
      <c r="AB94" s="936">
        <f t="shared" si="397"/>
        <v>15</v>
      </c>
      <c r="AC94" s="933">
        <f t="shared" ref="AC94:AC98" si="398">AC122/3/2.25</f>
        <v>15</v>
      </c>
      <c r="AD94" s="936">
        <f t="shared" ref="AD94:AF98" si="399">AD122/3/2.25</f>
        <v>15</v>
      </c>
      <c r="AE94" s="936">
        <f t="shared" si="399"/>
        <v>15</v>
      </c>
      <c r="AF94" s="936">
        <f t="shared" si="399"/>
        <v>15</v>
      </c>
      <c r="AG94" s="933">
        <f t="shared" si="390"/>
        <v>15</v>
      </c>
      <c r="AH94" s="936">
        <f t="shared" si="390"/>
        <v>15</v>
      </c>
      <c r="AI94" s="936">
        <f t="shared" si="390"/>
        <v>15</v>
      </c>
      <c r="AJ94" s="936">
        <f t="shared" si="390"/>
        <v>15</v>
      </c>
      <c r="AK94" s="933">
        <f t="shared" ref="AK94:AN98" si="400">AK122/3/2.25</f>
        <v>15</v>
      </c>
      <c r="AL94" s="936">
        <f t="shared" si="400"/>
        <v>15</v>
      </c>
      <c r="AM94" s="936">
        <f t="shared" si="400"/>
        <v>15</v>
      </c>
      <c r="AN94" s="936">
        <f t="shared" si="400"/>
        <v>15</v>
      </c>
      <c r="AO94" s="933">
        <f t="shared" ref="AO94:AR98" si="401">AO122/3/2.25</f>
        <v>15</v>
      </c>
      <c r="AP94" s="936">
        <f t="shared" si="401"/>
        <v>15</v>
      </c>
      <c r="AQ94" s="936">
        <f t="shared" si="401"/>
        <v>15</v>
      </c>
      <c r="AR94" s="936">
        <f t="shared" si="401"/>
        <v>15</v>
      </c>
      <c r="AS94" s="933">
        <f t="shared" ref="AS94:AV98" si="402">AS122/3/2.25</f>
        <v>15</v>
      </c>
      <c r="AT94" s="936">
        <f t="shared" si="402"/>
        <v>15</v>
      </c>
      <c r="AU94" s="936">
        <f t="shared" si="402"/>
        <v>15</v>
      </c>
      <c r="AV94" s="936">
        <f t="shared" si="402"/>
        <v>15</v>
      </c>
      <c r="AW94" s="933">
        <f t="shared" ref="AW94:AW98" si="403">AW122/3/2.25</f>
        <v>15</v>
      </c>
      <c r="AX94" s="629"/>
      <c r="AY94" s="1058"/>
      <c r="AZ94" s="630"/>
      <c r="BA94" s="629"/>
      <c r="BB94" s="629">
        <f t="shared" si="299"/>
        <v>3</v>
      </c>
      <c r="BC94" s="629">
        <f t="shared" si="300"/>
        <v>15</v>
      </c>
      <c r="BD94" s="629">
        <f t="shared" si="301"/>
        <v>15</v>
      </c>
      <c r="BE94" s="629">
        <f t="shared" si="393"/>
        <v>15</v>
      </c>
      <c r="BF94" s="629">
        <f t="shared" si="394"/>
        <v>15</v>
      </c>
      <c r="BG94" s="629">
        <f t="shared" ref="BG94:BG101" si="404">AG94</f>
        <v>15</v>
      </c>
      <c r="BH94" s="629">
        <f t="shared" si="395"/>
        <v>15</v>
      </c>
      <c r="BI94" s="629">
        <f t="shared" si="304"/>
        <v>15</v>
      </c>
      <c r="BJ94" s="629">
        <f t="shared" ref="BJ94:BJ101" si="405">AS94</f>
        <v>15</v>
      </c>
      <c r="BK94" s="629">
        <f>AW94</f>
        <v>15</v>
      </c>
    </row>
    <row r="95" spans="1:63" s="249" customFormat="1" outlineLevel="1">
      <c r="A95" s="227" t="s">
        <v>730</v>
      </c>
      <c r="B95" s="935">
        <f>B123/3/2.25</f>
        <v>13.333333333333334</v>
      </c>
      <c r="C95" s="936">
        <f t="shared" si="396"/>
        <v>13.333333333333334</v>
      </c>
      <c r="D95" s="936">
        <f t="shared" si="396"/>
        <v>20.74074074074074</v>
      </c>
      <c r="E95" s="933">
        <f t="shared" si="396"/>
        <v>20.74074074074074</v>
      </c>
      <c r="F95" s="936">
        <f t="shared" si="396"/>
        <v>14.814814814814817</v>
      </c>
      <c r="G95" s="936">
        <f t="shared" si="396"/>
        <v>14.814814814814817</v>
      </c>
      <c r="H95" s="936">
        <f t="shared" si="396"/>
        <v>13.333333333333334</v>
      </c>
      <c r="I95" s="933">
        <f t="shared" si="396"/>
        <v>8.8888888888888893</v>
      </c>
      <c r="J95" s="936">
        <f t="shared" si="396"/>
        <v>8.8888888888888893</v>
      </c>
      <c r="K95" s="936">
        <f t="shared" si="396"/>
        <v>7.4074074074074083</v>
      </c>
      <c r="L95" s="936">
        <f t="shared" si="396"/>
        <v>7.4074074074074083</v>
      </c>
      <c r="M95" s="933">
        <f t="shared" si="396"/>
        <v>7.4074074074074083</v>
      </c>
      <c r="N95" s="936">
        <f t="shared" si="396"/>
        <v>10.37037037037037</v>
      </c>
      <c r="O95" s="936">
        <f t="shared" si="396"/>
        <v>10.37037037037037</v>
      </c>
      <c r="P95" s="936">
        <f t="shared" si="396"/>
        <v>10.37037037037037</v>
      </c>
      <c r="Q95" s="933">
        <f t="shared" si="396"/>
        <v>6.666666666666667</v>
      </c>
      <c r="R95" s="936">
        <f t="shared" si="396"/>
        <v>4.8888888888888893</v>
      </c>
      <c r="S95" s="936">
        <f t="shared" si="396"/>
        <v>5.333333333333333</v>
      </c>
      <c r="T95" s="936">
        <f t="shared" si="396"/>
        <v>9.3333333333333339</v>
      </c>
      <c r="U95" s="933">
        <f t="shared" si="396"/>
        <v>11.555555555555555</v>
      </c>
      <c r="V95" s="936">
        <f t="shared" ref="V95:Y98" si="406">V123/3/2.25</f>
        <v>13.037037037037036</v>
      </c>
      <c r="W95" s="936">
        <f t="shared" si="406"/>
        <v>13.037037037037036</v>
      </c>
      <c r="X95" s="936">
        <f t="shared" si="406"/>
        <v>13.037037037037036</v>
      </c>
      <c r="Y95" s="933">
        <f t="shared" si="406"/>
        <v>13.037037037037036</v>
      </c>
      <c r="Z95" s="936">
        <f t="shared" si="397"/>
        <v>13.037037037037036</v>
      </c>
      <c r="AA95" s="936">
        <f t="shared" si="397"/>
        <v>13.777777777777779</v>
      </c>
      <c r="AB95" s="936">
        <f t="shared" si="397"/>
        <v>13.777777777777779</v>
      </c>
      <c r="AC95" s="933">
        <f t="shared" si="398"/>
        <v>18.222222222222221</v>
      </c>
      <c r="AD95" s="936">
        <f t="shared" si="399"/>
        <v>18.222222222222221</v>
      </c>
      <c r="AE95" s="936">
        <f t="shared" si="399"/>
        <v>22.666666666666668</v>
      </c>
      <c r="AF95" s="936">
        <f t="shared" si="399"/>
        <v>22.666666666666668</v>
      </c>
      <c r="AG95" s="933">
        <f t="shared" si="390"/>
        <v>22.666666666666668</v>
      </c>
      <c r="AH95" s="936">
        <f t="shared" si="390"/>
        <v>22.666666666666668</v>
      </c>
      <c r="AI95" s="936">
        <f t="shared" si="390"/>
        <v>27.111111111111111</v>
      </c>
      <c r="AJ95" s="936">
        <f t="shared" si="390"/>
        <v>33.037037037037038</v>
      </c>
      <c r="AK95" s="933">
        <f t="shared" si="400"/>
        <v>33.037037037037038</v>
      </c>
      <c r="AL95" s="936">
        <f t="shared" si="400"/>
        <v>33.037037037037038</v>
      </c>
      <c r="AM95" s="936">
        <f t="shared" si="400"/>
        <v>37.481481481481481</v>
      </c>
      <c r="AN95" s="936">
        <f t="shared" si="400"/>
        <v>37.481481481481481</v>
      </c>
      <c r="AO95" s="933">
        <f t="shared" si="401"/>
        <v>37.481481481481481</v>
      </c>
      <c r="AP95" s="936">
        <f t="shared" si="401"/>
        <v>37.481481481481481</v>
      </c>
      <c r="AQ95" s="936">
        <f t="shared" si="401"/>
        <v>41.925925925925924</v>
      </c>
      <c r="AR95" s="936">
        <f t="shared" si="401"/>
        <v>41.925925925925924</v>
      </c>
      <c r="AS95" s="933">
        <f t="shared" si="402"/>
        <v>41.925925925925924</v>
      </c>
      <c r="AT95" s="936">
        <f t="shared" si="402"/>
        <v>41.925925925925924</v>
      </c>
      <c r="AU95" s="936">
        <f t="shared" si="402"/>
        <v>46.370370370370367</v>
      </c>
      <c r="AV95" s="936">
        <f t="shared" si="402"/>
        <v>46.370370370370367</v>
      </c>
      <c r="AW95" s="933">
        <f t="shared" si="403"/>
        <v>46.370370370370367</v>
      </c>
      <c r="AX95" s="629"/>
      <c r="AY95" s="1058"/>
      <c r="AZ95" s="630">
        <f t="shared" si="297"/>
        <v>20.74074074074074</v>
      </c>
      <c r="BA95" s="629">
        <f t="shared" si="298"/>
        <v>8.8888888888888893</v>
      </c>
      <c r="BB95" s="629">
        <f t="shared" si="299"/>
        <v>7.4074074074074083</v>
      </c>
      <c r="BC95" s="629">
        <f t="shared" si="300"/>
        <v>6.666666666666667</v>
      </c>
      <c r="BD95" s="629">
        <f t="shared" si="301"/>
        <v>11.555555555555555</v>
      </c>
      <c r="BE95" s="629">
        <f t="shared" si="393"/>
        <v>13.037037037037036</v>
      </c>
      <c r="BF95" s="629">
        <f t="shared" si="394"/>
        <v>18.222222222222221</v>
      </c>
      <c r="BG95" s="629">
        <f t="shared" si="404"/>
        <v>22.666666666666668</v>
      </c>
      <c r="BH95" s="629">
        <f t="shared" si="395"/>
        <v>33.037037037037038</v>
      </c>
      <c r="BI95" s="629">
        <f t="shared" si="304"/>
        <v>37.481481481481481</v>
      </c>
      <c r="BJ95" s="629">
        <f t="shared" si="405"/>
        <v>41.925925925925924</v>
      </c>
      <c r="BK95" s="629">
        <f>AW95</f>
        <v>46.370370370370367</v>
      </c>
    </row>
    <row r="96" spans="1:63" s="249" customFormat="1" outlineLevel="1">
      <c r="A96" s="227" t="s">
        <v>729</v>
      </c>
      <c r="B96" s="935">
        <f>B124/3/2.25</f>
        <v>31.444444444444443</v>
      </c>
      <c r="C96" s="936">
        <f t="shared" si="396"/>
        <v>37.444444444444443</v>
      </c>
      <c r="D96" s="936">
        <f t="shared" si="396"/>
        <v>36.981481481481481</v>
      </c>
      <c r="E96" s="933">
        <f t="shared" si="396"/>
        <v>36.481481481481481</v>
      </c>
      <c r="F96" s="936">
        <f t="shared" si="396"/>
        <v>31.296296296296298</v>
      </c>
      <c r="G96" s="936">
        <f t="shared" si="396"/>
        <v>29.074074074074076</v>
      </c>
      <c r="H96" s="936">
        <f t="shared" si="396"/>
        <v>33</v>
      </c>
      <c r="I96" s="933">
        <f t="shared" si="396"/>
        <v>32.444444444444443</v>
      </c>
      <c r="J96" s="936">
        <f t="shared" si="396"/>
        <v>32.111111111111114</v>
      </c>
      <c r="K96" s="936">
        <f t="shared" si="396"/>
        <v>33</v>
      </c>
      <c r="L96" s="936">
        <f t="shared" si="396"/>
        <v>30.599999999999991</v>
      </c>
      <c r="M96" s="933">
        <f t="shared" si="396"/>
        <v>26.25925925925926</v>
      </c>
      <c r="N96" s="936">
        <f t="shared" si="396"/>
        <v>26.074074074074073</v>
      </c>
      <c r="O96" s="936">
        <f t="shared" si="396"/>
        <v>25.622222222222227</v>
      </c>
      <c r="P96" s="936">
        <f t="shared" si="396"/>
        <v>29.325925925925933</v>
      </c>
      <c r="Q96" s="933">
        <f t="shared" si="396"/>
        <v>23.25185185185186</v>
      </c>
      <c r="R96" s="936">
        <f t="shared" si="396"/>
        <v>23.066666666666674</v>
      </c>
      <c r="S96" s="936">
        <f t="shared" si="396"/>
        <v>21.14074074074075</v>
      </c>
      <c r="T96" s="936">
        <f t="shared" si="396"/>
        <v>21.807407407407414</v>
      </c>
      <c r="U96" s="933">
        <f t="shared" si="396"/>
        <v>25.103703703703712</v>
      </c>
      <c r="V96" s="936">
        <f t="shared" si="406"/>
        <v>30.400000000000009</v>
      </c>
      <c r="W96" s="936">
        <f t="shared" si="406"/>
        <v>33.214814814814822</v>
      </c>
      <c r="X96" s="936">
        <f t="shared" si="406"/>
        <v>37.029629629629632</v>
      </c>
      <c r="Y96" s="933">
        <f t="shared" si="406"/>
        <v>37.80740740740741</v>
      </c>
      <c r="Z96" s="936">
        <f t="shared" si="397"/>
        <v>42.32592592592593</v>
      </c>
      <c r="AA96" s="936">
        <f t="shared" si="397"/>
        <v>40.696296296296303</v>
      </c>
      <c r="AB96" s="936">
        <f t="shared" si="397"/>
        <v>46.770370370370379</v>
      </c>
      <c r="AC96" s="933">
        <f t="shared" si="398"/>
        <v>42.51111111111112</v>
      </c>
      <c r="AD96" s="936">
        <f t="shared" si="399"/>
        <v>46.51111111111112</v>
      </c>
      <c r="AE96" s="936">
        <f t="shared" si="399"/>
        <v>46.733333333333341</v>
      </c>
      <c r="AF96" s="936">
        <f t="shared" si="399"/>
        <v>66.251851851851868</v>
      </c>
      <c r="AG96" s="933">
        <f t="shared" si="390"/>
        <v>85.529629629629639</v>
      </c>
      <c r="AH96" s="936">
        <f t="shared" si="390"/>
        <v>96.918518518518525</v>
      </c>
      <c r="AI96" s="936">
        <f t="shared" si="390"/>
        <v>93.066666666666663</v>
      </c>
      <c r="AJ96" s="936">
        <f t="shared" si="390"/>
        <v>92.992592592592601</v>
      </c>
      <c r="AK96" s="933">
        <f t="shared" si="400"/>
        <v>98.622222222222206</v>
      </c>
      <c r="AL96" s="936">
        <f t="shared" si="400"/>
        <v>104.78888888888886</v>
      </c>
      <c r="AM96" s="936">
        <f t="shared" si="400"/>
        <v>105.437037037037</v>
      </c>
      <c r="AN96" s="936">
        <f t="shared" si="400"/>
        <v>119.7148148148148</v>
      </c>
      <c r="AO96" s="933">
        <f t="shared" si="401"/>
        <v>118.84444444444441</v>
      </c>
      <c r="AP96" s="936">
        <f t="shared" si="401"/>
        <v>125.34444444444441</v>
      </c>
      <c r="AQ96" s="936">
        <f t="shared" si="401"/>
        <v>131.99259259259259</v>
      </c>
      <c r="AR96" s="936">
        <f t="shared" si="401"/>
        <v>151.27037037037036</v>
      </c>
      <c r="AS96" s="933">
        <f t="shared" si="402"/>
        <v>150.39999999999998</v>
      </c>
      <c r="AT96" s="936">
        <f t="shared" si="402"/>
        <v>158.89999999999998</v>
      </c>
      <c r="AU96" s="936">
        <f t="shared" si="402"/>
        <v>164.54814814814813</v>
      </c>
      <c r="AV96" s="936">
        <f t="shared" si="402"/>
        <v>177.8259259259259</v>
      </c>
      <c r="AW96" s="933">
        <f t="shared" si="403"/>
        <v>181.95555555555552</v>
      </c>
      <c r="AX96" s="936"/>
      <c r="AY96" s="1059"/>
      <c r="AZ96" s="630">
        <f t="shared" si="297"/>
        <v>36.481481481481481</v>
      </c>
      <c r="BA96" s="629">
        <f t="shared" si="298"/>
        <v>32.444444444444443</v>
      </c>
      <c r="BB96" s="629">
        <f t="shared" si="299"/>
        <v>26.25925925925926</v>
      </c>
      <c r="BC96" s="629">
        <f t="shared" si="300"/>
        <v>23.25185185185186</v>
      </c>
      <c r="BD96" s="629">
        <f t="shared" si="301"/>
        <v>25.103703703703712</v>
      </c>
      <c r="BE96" s="629">
        <f t="shared" si="393"/>
        <v>37.80740740740741</v>
      </c>
      <c r="BF96" s="629">
        <f t="shared" si="394"/>
        <v>42.51111111111112</v>
      </c>
      <c r="BG96" s="629">
        <f t="shared" si="404"/>
        <v>85.529629629629639</v>
      </c>
      <c r="BH96" s="629">
        <f t="shared" si="395"/>
        <v>98.622222222222206</v>
      </c>
      <c r="BI96" s="629">
        <f t="shared" si="304"/>
        <v>118.84444444444441</v>
      </c>
      <c r="BJ96" s="629">
        <f t="shared" si="405"/>
        <v>150.39999999999998</v>
      </c>
      <c r="BK96" s="629">
        <f t="shared" ref="BK96:BK102" si="407">AW96</f>
        <v>181.95555555555552</v>
      </c>
    </row>
    <row r="97" spans="1:63" s="249" customFormat="1" outlineLevel="1">
      <c r="A97" s="227" t="s">
        <v>728</v>
      </c>
      <c r="B97" s="935">
        <f>B125/3/2.25</f>
        <v>38.518518518518519</v>
      </c>
      <c r="C97" s="936">
        <f t="shared" si="396"/>
        <v>38.518518518518519</v>
      </c>
      <c r="D97" s="936">
        <f t="shared" si="396"/>
        <v>34.074074074074076</v>
      </c>
      <c r="E97" s="933">
        <f t="shared" si="396"/>
        <v>34.074074074074076</v>
      </c>
      <c r="F97" s="936">
        <f t="shared" si="396"/>
        <v>41.481481481481481</v>
      </c>
      <c r="G97" s="936">
        <f t="shared" si="396"/>
        <v>47.407407407407412</v>
      </c>
      <c r="H97" s="936">
        <f t="shared" si="396"/>
        <v>42.962962962962962</v>
      </c>
      <c r="I97" s="933">
        <f t="shared" si="396"/>
        <v>42.962962962962962</v>
      </c>
      <c r="J97" s="936">
        <f t="shared" si="396"/>
        <v>46.962962962962962</v>
      </c>
      <c r="K97" s="936">
        <f t="shared" si="396"/>
        <v>51.851851851851855</v>
      </c>
      <c r="L97" s="936">
        <f t="shared" si="396"/>
        <v>57.481481481481488</v>
      </c>
      <c r="M97" s="933">
        <f t="shared" si="396"/>
        <v>57.777777777777779</v>
      </c>
      <c r="N97" s="936">
        <f t="shared" si="396"/>
        <v>63.703703703703709</v>
      </c>
      <c r="O97" s="936">
        <f t="shared" si="396"/>
        <v>60.740740740740733</v>
      </c>
      <c r="P97" s="936">
        <f t="shared" si="396"/>
        <v>54.81481481481481</v>
      </c>
      <c r="Q97" s="933">
        <f t="shared" si="396"/>
        <v>65.185185185185176</v>
      </c>
      <c r="R97" s="936">
        <f t="shared" si="396"/>
        <v>62.962962962962962</v>
      </c>
      <c r="S97" s="936">
        <f t="shared" si="396"/>
        <v>65.185185185185176</v>
      </c>
      <c r="T97" s="936">
        <f t="shared" si="396"/>
        <v>70.370370370370381</v>
      </c>
      <c r="U97" s="933">
        <f t="shared" si="396"/>
        <v>71.851851851851848</v>
      </c>
      <c r="V97" s="936">
        <f t="shared" si="406"/>
        <v>74.074074074074076</v>
      </c>
      <c r="W97" s="936">
        <f t="shared" si="406"/>
        <v>78.518518518518519</v>
      </c>
      <c r="X97" s="936">
        <f t="shared" si="406"/>
        <v>82.962962962962962</v>
      </c>
      <c r="Y97" s="933">
        <f t="shared" si="406"/>
        <v>85.185185185185176</v>
      </c>
      <c r="Z97" s="936">
        <f t="shared" si="397"/>
        <v>86.666666666666671</v>
      </c>
      <c r="AA97" s="936">
        <f t="shared" si="397"/>
        <v>91.111111111111114</v>
      </c>
      <c r="AB97" s="936">
        <f t="shared" si="397"/>
        <v>92.592592592592595</v>
      </c>
      <c r="AC97" s="933">
        <f t="shared" si="398"/>
        <v>94.074074074074076</v>
      </c>
      <c r="AD97" s="936">
        <f t="shared" si="399"/>
        <v>94.074074074074076</v>
      </c>
      <c r="AE97" s="936">
        <f t="shared" si="399"/>
        <v>99.407407407407405</v>
      </c>
      <c r="AF97" s="936">
        <f t="shared" si="399"/>
        <v>100.88888888888889</v>
      </c>
      <c r="AG97" s="933">
        <f t="shared" si="390"/>
        <v>109.77777777777777</v>
      </c>
      <c r="AH97" s="936">
        <f t="shared" si="390"/>
        <v>109.77777777777777</v>
      </c>
      <c r="AI97" s="936">
        <f t="shared" si="390"/>
        <v>117.18518518518519</v>
      </c>
      <c r="AJ97" s="936">
        <f t="shared" si="390"/>
        <v>125.33333333333333</v>
      </c>
      <c r="AK97" s="933">
        <f t="shared" si="400"/>
        <v>135.7037037037037</v>
      </c>
      <c r="AL97" s="936">
        <f t="shared" si="400"/>
        <v>135.7037037037037</v>
      </c>
      <c r="AM97" s="936">
        <f t="shared" si="400"/>
        <v>143.11111111111111</v>
      </c>
      <c r="AN97" s="936">
        <f t="shared" si="400"/>
        <v>145.33333333333334</v>
      </c>
      <c r="AO97" s="933">
        <f t="shared" si="401"/>
        <v>155.7037037037037</v>
      </c>
      <c r="AP97" s="936">
        <f t="shared" si="401"/>
        <v>155.7037037037037</v>
      </c>
      <c r="AQ97" s="936">
        <f t="shared" si="401"/>
        <v>163.11111111111111</v>
      </c>
      <c r="AR97" s="936">
        <f t="shared" si="401"/>
        <v>165.33333333333334</v>
      </c>
      <c r="AS97" s="933">
        <f t="shared" si="402"/>
        <v>175.7037037037037</v>
      </c>
      <c r="AT97" s="936">
        <f t="shared" si="402"/>
        <v>175.7037037037037</v>
      </c>
      <c r="AU97" s="936">
        <f t="shared" si="402"/>
        <v>183.11111111111111</v>
      </c>
      <c r="AV97" s="936">
        <f t="shared" si="402"/>
        <v>185.33333333333334</v>
      </c>
      <c r="AW97" s="933">
        <f t="shared" si="403"/>
        <v>195.7037037037037</v>
      </c>
      <c r="AX97" s="936"/>
      <c r="AY97" s="1059"/>
      <c r="AZ97" s="630">
        <f t="shared" si="297"/>
        <v>34.074074074074076</v>
      </c>
      <c r="BA97" s="629">
        <f t="shared" si="298"/>
        <v>42.962962962962962</v>
      </c>
      <c r="BB97" s="629">
        <f t="shared" si="299"/>
        <v>57.777777777777779</v>
      </c>
      <c r="BC97" s="629">
        <f t="shared" si="300"/>
        <v>65.185185185185176</v>
      </c>
      <c r="BD97" s="629">
        <f t="shared" si="301"/>
        <v>71.851851851851848</v>
      </c>
      <c r="BE97" s="629">
        <f t="shared" si="393"/>
        <v>85.185185185185176</v>
      </c>
      <c r="BF97" s="629">
        <f t="shared" si="394"/>
        <v>94.074074074074076</v>
      </c>
      <c r="BG97" s="629">
        <f t="shared" si="404"/>
        <v>109.77777777777777</v>
      </c>
      <c r="BH97" s="629">
        <f t="shared" si="395"/>
        <v>135.7037037037037</v>
      </c>
      <c r="BI97" s="629">
        <f t="shared" si="304"/>
        <v>155.7037037037037</v>
      </c>
      <c r="BJ97" s="629">
        <f t="shared" si="405"/>
        <v>175.7037037037037</v>
      </c>
      <c r="BK97" s="629">
        <f t="shared" si="407"/>
        <v>195.7037037037037</v>
      </c>
    </row>
    <row r="98" spans="1:63" s="249" customFormat="1" outlineLevel="1">
      <c r="A98" s="227" t="s">
        <v>727</v>
      </c>
      <c r="B98" s="935">
        <f>B126/3/2.25</f>
        <v>3.7037037037037042</v>
      </c>
      <c r="C98" s="936">
        <f t="shared" ref="C98:U98" si="408">C126/3/2.25</f>
        <v>3.7037037037037042</v>
      </c>
      <c r="D98" s="936">
        <f t="shared" si="408"/>
        <v>3.7037037037037042</v>
      </c>
      <c r="E98" s="933">
        <f t="shared" si="408"/>
        <v>3.7037037037037042</v>
      </c>
      <c r="F98" s="936">
        <f t="shared" si="408"/>
        <v>7.4074074074074083</v>
      </c>
      <c r="G98" s="936">
        <f t="shared" si="408"/>
        <v>3.7037037037037042</v>
      </c>
      <c r="H98" s="936">
        <f t="shared" si="408"/>
        <v>3.7037037037037042</v>
      </c>
      <c r="I98" s="933">
        <f t="shared" si="408"/>
        <v>3.7037037037037042</v>
      </c>
      <c r="J98" s="936">
        <f t="shared" si="408"/>
        <v>5.0370370370370372</v>
      </c>
      <c r="K98" s="936">
        <f t="shared" si="408"/>
        <v>4.7407407407407405</v>
      </c>
      <c r="L98" s="936">
        <f t="shared" si="408"/>
        <v>3.1111111111111112</v>
      </c>
      <c r="M98" s="933">
        <f t="shared" si="408"/>
        <v>3.5555555555555554</v>
      </c>
      <c r="N98" s="936">
        <f t="shared" si="408"/>
        <v>3.8518518518518516</v>
      </c>
      <c r="O98" s="936">
        <f t="shared" si="408"/>
        <v>6.666666666666667</v>
      </c>
      <c r="P98" s="936">
        <f t="shared" si="408"/>
        <v>8.8888888888888893</v>
      </c>
      <c r="Q98" s="933">
        <f t="shared" si="408"/>
        <v>8.2962962962962976</v>
      </c>
      <c r="R98" s="936">
        <f t="shared" si="408"/>
        <v>9.481481481481481</v>
      </c>
      <c r="S98" s="936">
        <f t="shared" si="408"/>
        <v>8.7407407407407405</v>
      </c>
      <c r="T98" s="936">
        <f t="shared" si="408"/>
        <v>8.8888888888888893</v>
      </c>
      <c r="U98" s="933">
        <f t="shared" si="408"/>
        <v>8.8888888888888893</v>
      </c>
      <c r="V98" s="936">
        <f t="shared" si="406"/>
        <v>8.8888888888888893</v>
      </c>
      <c r="W98" s="936">
        <f t="shared" si="406"/>
        <v>9.6296296296296298</v>
      </c>
      <c r="X98" s="936">
        <f t="shared" si="406"/>
        <v>10.37037037037037</v>
      </c>
      <c r="Y98" s="933">
        <f t="shared" si="406"/>
        <v>10.37037037037037</v>
      </c>
      <c r="Z98" s="936">
        <f t="shared" si="397"/>
        <v>10.37037037037037</v>
      </c>
      <c r="AA98" s="936">
        <f t="shared" si="397"/>
        <v>10.37037037037037</v>
      </c>
      <c r="AB98" s="936">
        <f t="shared" si="397"/>
        <v>10.37037037037037</v>
      </c>
      <c r="AC98" s="933">
        <f t="shared" si="398"/>
        <v>10.37037037037037</v>
      </c>
      <c r="AD98" s="936">
        <f t="shared" si="399"/>
        <v>10.37037037037037</v>
      </c>
      <c r="AE98" s="936">
        <f t="shared" si="399"/>
        <v>10.37037037037037</v>
      </c>
      <c r="AF98" s="936">
        <f t="shared" si="399"/>
        <v>10.37037037037037</v>
      </c>
      <c r="AG98" s="933">
        <f t="shared" si="390"/>
        <v>10.37037037037037</v>
      </c>
      <c r="AH98" s="936">
        <f t="shared" si="390"/>
        <v>10.37037037037037</v>
      </c>
      <c r="AI98" s="936">
        <f t="shared" si="390"/>
        <v>10.37037037037037</v>
      </c>
      <c r="AJ98" s="936">
        <f t="shared" si="390"/>
        <v>10.37037037037037</v>
      </c>
      <c r="AK98" s="933">
        <f t="shared" si="400"/>
        <v>10.37037037037037</v>
      </c>
      <c r="AL98" s="936">
        <f t="shared" si="400"/>
        <v>10.37037037037037</v>
      </c>
      <c r="AM98" s="936">
        <f t="shared" si="400"/>
        <v>10.37037037037037</v>
      </c>
      <c r="AN98" s="936">
        <f t="shared" si="400"/>
        <v>10.37037037037037</v>
      </c>
      <c r="AO98" s="933">
        <f t="shared" si="401"/>
        <v>10.37037037037037</v>
      </c>
      <c r="AP98" s="936">
        <f t="shared" si="401"/>
        <v>10.37037037037037</v>
      </c>
      <c r="AQ98" s="936">
        <f t="shared" si="401"/>
        <v>10.37037037037037</v>
      </c>
      <c r="AR98" s="936">
        <f t="shared" si="401"/>
        <v>10.37037037037037</v>
      </c>
      <c r="AS98" s="933">
        <f t="shared" si="402"/>
        <v>10.37037037037037</v>
      </c>
      <c r="AT98" s="936">
        <f t="shared" si="402"/>
        <v>10.37037037037037</v>
      </c>
      <c r="AU98" s="936">
        <f t="shared" si="402"/>
        <v>10.37037037037037</v>
      </c>
      <c r="AV98" s="936">
        <f t="shared" si="402"/>
        <v>10.37037037037037</v>
      </c>
      <c r="AW98" s="933">
        <f t="shared" si="403"/>
        <v>10.37037037037037</v>
      </c>
      <c r="AX98" s="936"/>
      <c r="AY98" s="1059"/>
      <c r="AZ98" s="630">
        <f t="shared" si="297"/>
        <v>3.7037037037037042</v>
      </c>
      <c r="BA98" s="629">
        <f t="shared" si="298"/>
        <v>3.7037037037037042</v>
      </c>
      <c r="BB98" s="629">
        <f t="shared" si="299"/>
        <v>3.5555555555555554</v>
      </c>
      <c r="BC98" s="629">
        <f t="shared" si="300"/>
        <v>8.2962962962962976</v>
      </c>
      <c r="BD98" s="629">
        <f t="shared" si="301"/>
        <v>8.8888888888888893</v>
      </c>
      <c r="BE98" s="629">
        <f t="shared" si="393"/>
        <v>10.37037037037037</v>
      </c>
      <c r="BF98" s="629">
        <f t="shared" si="394"/>
        <v>10.37037037037037</v>
      </c>
      <c r="BG98" s="629">
        <f t="shared" si="404"/>
        <v>10.37037037037037</v>
      </c>
      <c r="BH98" s="629">
        <f t="shared" si="395"/>
        <v>10.37037037037037</v>
      </c>
      <c r="BI98" s="629">
        <f t="shared" si="304"/>
        <v>10.37037037037037</v>
      </c>
      <c r="BJ98" s="629">
        <f t="shared" si="405"/>
        <v>10.37037037037037</v>
      </c>
      <c r="BK98" s="629">
        <f t="shared" si="407"/>
        <v>10.37037037037037</v>
      </c>
    </row>
    <row r="99" spans="1:63" s="249" customFormat="1" outlineLevel="1">
      <c r="A99" s="227" t="s">
        <v>726</v>
      </c>
      <c r="B99" s="935">
        <f>B127/3</f>
        <v>60</v>
      </c>
      <c r="C99" s="936">
        <f t="shared" ref="C99:U102" si="409">C127/3</f>
        <v>60</v>
      </c>
      <c r="D99" s="936">
        <f t="shared" si="409"/>
        <v>33.333333333333336</v>
      </c>
      <c r="E99" s="933">
        <f t="shared" si="409"/>
        <v>33.333333333333336</v>
      </c>
      <c r="F99" s="936">
        <f t="shared" si="409"/>
        <v>33.333333333333336</v>
      </c>
      <c r="G99" s="936">
        <f t="shared" si="409"/>
        <v>33.333333333333336</v>
      </c>
      <c r="H99" s="936">
        <f t="shared" si="409"/>
        <v>34</v>
      </c>
      <c r="I99" s="933">
        <f t="shared" si="409"/>
        <v>31.666666666666668</v>
      </c>
      <c r="J99" s="936">
        <f t="shared" si="409"/>
        <v>31.666666666666668</v>
      </c>
      <c r="K99" s="936">
        <f t="shared" si="409"/>
        <v>32.666666666666664</v>
      </c>
      <c r="L99" s="936">
        <f t="shared" si="409"/>
        <v>27.666666666666668</v>
      </c>
      <c r="M99" s="933">
        <f t="shared" si="409"/>
        <v>26.333333333333332</v>
      </c>
      <c r="N99" s="936">
        <f t="shared" si="409"/>
        <v>26.333333333333332</v>
      </c>
      <c r="O99" s="936">
        <f t="shared" si="409"/>
        <v>24.666666666666668</v>
      </c>
      <c r="P99" s="936">
        <f t="shared" si="409"/>
        <v>24.666666666666668</v>
      </c>
      <c r="Q99" s="933">
        <f t="shared" si="409"/>
        <v>29.666666666666668</v>
      </c>
      <c r="R99" s="936">
        <f t="shared" si="409"/>
        <v>33.666666666666664</v>
      </c>
      <c r="S99" s="936">
        <f t="shared" si="409"/>
        <v>38.333333333333336</v>
      </c>
      <c r="T99" s="936">
        <f t="shared" si="409"/>
        <v>38.333333333333336</v>
      </c>
      <c r="U99" s="933">
        <f t="shared" si="409"/>
        <v>38.333333333333336</v>
      </c>
      <c r="V99" s="936">
        <f t="shared" ref="V99:AG99" si="410">V127/3</f>
        <v>41.666666666666664</v>
      </c>
      <c r="W99" s="936">
        <f t="shared" si="410"/>
        <v>46</v>
      </c>
      <c r="X99" s="936">
        <f t="shared" si="410"/>
        <v>47.5</v>
      </c>
      <c r="Y99" s="933">
        <f t="shared" si="410"/>
        <v>47.5</v>
      </c>
      <c r="Z99" s="936">
        <f t="shared" si="410"/>
        <v>47.5</v>
      </c>
      <c r="AA99" s="936">
        <f t="shared" si="410"/>
        <v>49.166666666666664</v>
      </c>
      <c r="AB99" s="936">
        <f t="shared" si="410"/>
        <v>50.666666666666664</v>
      </c>
      <c r="AC99" s="933">
        <f t="shared" si="410"/>
        <v>50.666666666666664</v>
      </c>
      <c r="AD99" s="936">
        <f t="shared" si="410"/>
        <v>50.666666666666664</v>
      </c>
      <c r="AE99" s="936">
        <f>AE127/3</f>
        <v>50.666666666666664</v>
      </c>
      <c r="AF99" s="936">
        <f t="shared" si="410"/>
        <v>50.666666666666664</v>
      </c>
      <c r="AG99" s="933">
        <f t="shared" si="410"/>
        <v>50.666666666666664</v>
      </c>
      <c r="AH99" s="936">
        <f t="shared" ref="AH99:AO102" si="411">AH127/3</f>
        <v>50.666666666666664</v>
      </c>
      <c r="AI99" s="936">
        <f t="shared" si="411"/>
        <v>50.666666666666664</v>
      </c>
      <c r="AJ99" s="936">
        <f t="shared" si="411"/>
        <v>50.666666666666664</v>
      </c>
      <c r="AK99" s="933">
        <f t="shared" si="411"/>
        <v>50.666666666666664</v>
      </c>
      <c r="AL99" s="936">
        <f t="shared" ref="AL99" si="412">AL127/3</f>
        <v>50.666666666666664</v>
      </c>
      <c r="AM99" s="936">
        <f t="shared" si="411"/>
        <v>50.666666666666664</v>
      </c>
      <c r="AN99" s="936">
        <f t="shared" si="411"/>
        <v>50.666666666666664</v>
      </c>
      <c r="AO99" s="933">
        <f t="shared" si="411"/>
        <v>50.666666666666664</v>
      </c>
      <c r="AP99" s="936">
        <f t="shared" ref="AP99:AS99" si="413">AP127/3</f>
        <v>50.666666666666664</v>
      </c>
      <c r="AQ99" s="936">
        <f t="shared" si="413"/>
        <v>50.666666666666664</v>
      </c>
      <c r="AR99" s="936">
        <f t="shared" si="413"/>
        <v>50.666666666666664</v>
      </c>
      <c r="AS99" s="933">
        <f t="shared" si="413"/>
        <v>50.666666666666664</v>
      </c>
      <c r="AT99" s="936">
        <f t="shared" ref="AT99:AW99" si="414">AT127/3</f>
        <v>50.666666666666664</v>
      </c>
      <c r="AU99" s="936">
        <f t="shared" si="414"/>
        <v>50.666666666666664</v>
      </c>
      <c r="AV99" s="936">
        <f t="shared" si="414"/>
        <v>50.666666666666664</v>
      </c>
      <c r="AW99" s="933">
        <f t="shared" si="414"/>
        <v>50.666666666666664</v>
      </c>
      <c r="AX99" s="936"/>
      <c r="AY99" s="1058"/>
      <c r="AZ99" s="630">
        <f t="shared" si="297"/>
        <v>33.333333333333336</v>
      </c>
      <c r="BA99" s="629">
        <f t="shared" si="298"/>
        <v>31.666666666666668</v>
      </c>
      <c r="BB99" s="629">
        <f t="shared" si="299"/>
        <v>26.333333333333332</v>
      </c>
      <c r="BC99" s="629">
        <f t="shared" si="300"/>
        <v>29.666666666666668</v>
      </c>
      <c r="BD99" s="629">
        <f t="shared" si="301"/>
        <v>38.333333333333336</v>
      </c>
      <c r="BE99" s="629">
        <f t="shared" si="393"/>
        <v>47.5</v>
      </c>
      <c r="BF99" s="629">
        <f t="shared" si="394"/>
        <v>50.666666666666664</v>
      </c>
      <c r="BG99" s="629">
        <f t="shared" si="404"/>
        <v>50.666666666666664</v>
      </c>
      <c r="BH99" s="629">
        <f t="shared" si="395"/>
        <v>50.666666666666664</v>
      </c>
      <c r="BI99" s="629">
        <f t="shared" si="304"/>
        <v>50.666666666666664</v>
      </c>
      <c r="BJ99" s="629">
        <f t="shared" si="405"/>
        <v>50.666666666666664</v>
      </c>
      <c r="BK99" s="629">
        <f t="shared" si="407"/>
        <v>50.666666666666664</v>
      </c>
    </row>
    <row r="100" spans="1:63" s="249" customFormat="1" outlineLevel="1">
      <c r="A100" s="227" t="s">
        <v>725</v>
      </c>
      <c r="B100" s="935">
        <f>B128/3</f>
        <v>149.33333333333334</v>
      </c>
      <c r="C100" s="936">
        <f t="shared" ref="C100:Q100" si="415">C128/3</f>
        <v>152.33333333333334</v>
      </c>
      <c r="D100" s="936">
        <f t="shared" si="415"/>
        <v>179.74166666666667</v>
      </c>
      <c r="E100" s="933">
        <f t="shared" si="415"/>
        <v>175.66666666666666</v>
      </c>
      <c r="F100" s="936">
        <f t="shared" si="415"/>
        <v>177.33333333333334</v>
      </c>
      <c r="G100" s="936">
        <f t="shared" si="415"/>
        <v>177.65833333333333</v>
      </c>
      <c r="H100" s="936">
        <f t="shared" si="415"/>
        <v>183.29166666666666</v>
      </c>
      <c r="I100" s="933">
        <f t="shared" si="415"/>
        <v>196.65833333333333</v>
      </c>
      <c r="J100" s="936">
        <f t="shared" si="415"/>
        <v>197.65833333333333</v>
      </c>
      <c r="K100" s="936">
        <f t="shared" si="415"/>
        <v>203.65833333333333</v>
      </c>
      <c r="L100" s="936">
        <f t="shared" si="415"/>
        <v>166.33333333333334</v>
      </c>
      <c r="M100" s="933">
        <f t="shared" si="415"/>
        <v>173</v>
      </c>
      <c r="N100" s="936">
        <f t="shared" si="415"/>
        <v>175</v>
      </c>
      <c r="O100" s="936">
        <f t="shared" si="415"/>
        <v>176.66666666666666</v>
      </c>
      <c r="P100" s="936">
        <f t="shared" si="415"/>
        <v>199.91666666666666</v>
      </c>
      <c r="Q100" s="933">
        <f t="shared" si="415"/>
        <v>192.01666666666665</v>
      </c>
      <c r="R100" s="936">
        <f t="shared" si="409"/>
        <v>205.68333333333331</v>
      </c>
      <c r="S100" s="936">
        <f t="shared" si="409"/>
        <v>214.68333333333331</v>
      </c>
      <c r="T100" s="936">
        <f t="shared" si="409"/>
        <v>220.05833333333331</v>
      </c>
      <c r="U100" s="933">
        <f t="shared" si="409"/>
        <v>226.9323333333333</v>
      </c>
      <c r="V100" s="936">
        <f t="shared" ref="V100:AG100" si="416">V128/3</f>
        <v>229.8073333333333</v>
      </c>
      <c r="W100" s="936">
        <f t="shared" si="416"/>
        <v>232.1</v>
      </c>
      <c r="X100" s="936">
        <f t="shared" si="416"/>
        <v>240.60000000000002</v>
      </c>
      <c r="Y100" s="933">
        <f t="shared" si="416"/>
        <v>241.85000000000002</v>
      </c>
      <c r="Z100" s="936">
        <f t="shared" si="416"/>
        <v>246.60000000000002</v>
      </c>
      <c r="AA100" s="936">
        <f t="shared" si="416"/>
        <v>248.26666666666668</v>
      </c>
      <c r="AB100" s="936">
        <f t="shared" si="416"/>
        <v>259.60000000000008</v>
      </c>
      <c r="AC100" s="933">
        <f t="shared" si="416"/>
        <v>262.60000000000008</v>
      </c>
      <c r="AD100" s="936">
        <f t="shared" si="416"/>
        <v>262.60000000000008</v>
      </c>
      <c r="AE100" s="936">
        <f>AE128/3</f>
        <v>262.60000000000008</v>
      </c>
      <c r="AF100" s="936">
        <f t="shared" si="416"/>
        <v>262.60000000000008</v>
      </c>
      <c r="AG100" s="933">
        <f t="shared" si="416"/>
        <v>262.60000000000008</v>
      </c>
      <c r="AH100" s="936">
        <f t="shared" si="411"/>
        <v>262.60000000000008</v>
      </c>
      <c r="AI100" s="936">
        <f t="shared" si="411"/>
        <v>262.60000000000008</v>
      </c>
      <c r="AJ100" s="936">
        <f t="shared" si="411"/>
        <v>262.60000000000008</v>
      </c>
      <c r="AK100" s="933">
        <f t="shared" si="411"/>
        <v>262.60000000000008</v>
      </c>
      <c r="AL100" s="936">
        <f t="shared" ref="AL100" si="417">AL128/3</f>
        <v>262.60000000000008</v>
      </c>
      <c r="AM100" s="936">
        <f t="shared" si="411"/>
        <v>262.60000000000008</v>
      </c>
      <c r="AN100" s="936">
        <f t="shared" si="411"/>
        <v>262.60000000000008</v>
      </c>
      <c r="AO100" s="933">
        <f t="shared" si="411"/>
        <v>262.60000000000008</v>
      </c>
      <c r="AP100" s="936">
        <f t="shared" ref="AP100:AS100" si="418">AP128/3</f>
        <v>262.60000000000008</v>
      </c>
      <c r="AQ100" s="936">
        <f t="shared" si="418"/>
        <v>262.60000000000008</v>
      </c>
      <c r="AR100" s="936">
        <f t="shared" si="418"/>
        <v>262.60000000000008</v>
      </c>
      <c r="AS100" s="933">
        <f t="shared" si="418"/>
        <v>262.60000000000008</v>
      </c>
      <c r="AT100" s="936">
        <f t="shared" ref="AT100:AW100" si="419">AT128/3</f>
        <v>262.60000000000008</v>
      </c>
      <c r="AU100" s="936">
        <f t="shared" si="419"/>
        <v>262.60000000000008</v>
      </c>
      <c r="AV100" s="936">
        <f t="shared" si="419"/>
        <v>262.60000000000008</v>
      </c>
      <c r="AW100" s="933">
        <f t="shared" si="419"/>
        <v>262.60000000000008</v>
      </c>
      <c r="AX100" s="936"/>
      <c r="AY100" s="1058"/>
      <c r="AZ100" s="630">
        <f t="shared" si="297"/>
        <v>175.66666666666666</v>
      </c>
      <c r="BA100" s="629">
        <f t="shared" si="298"/>
        <v>196.65833333333333</v>
      </c>
      <c r="BB100" s="629">
        <f t="shared" si="299"/>
        <v>173</v>
      </c>
      <c r="BC100" s="629">
        <f t="shared" si="300"/>
        <v>192.01666666666665</v>
      </c>
      <c r="BD100" s="629">
        <f t="shared" si="301"/>
        <v>226.9323333333333</v>
      </c>
      <c r="BE100" s="629">
        <f t="shared" si="393"/>
        <v>241.85000000000002</v>
      </c>
      <c r="BF100" s="629">
        <f t="shared" si="394"/>
        <v>262.60000000000008</v>
      </c>
      <c r="BG100" s="629">
        <f t="shared" si="404"/>
        <v>262.60000000000008</v>
      </c>
      <c r="BH100" s="629">
        <f t="shared" si="395"/>
        <v>262.60000000000008</v>
      </c>
      <c r="BI100" s="629">
        <f t="shared" si="304"/>
        <v>262.60000000000008</v>
      </c>
      <c r="BJ100" s="629">
        <f t="shared" si="405"/>
        <v>262.60000000000008</v>
      </c>
      <c r="BK100" s="629">
        <f t="shared" si="407"/>
        <v>262.60000000000008</v>
      </c>
    </row>
    <row r="101" spans="1:63" s="249" customFormat="1" outlineLevel="1">
      <c r="A101" s="227" t="s">
        <v>724</v>
      </c>
      <c r="B101" s="935">
        <f>B129/3</f>
        <v>16.666666666666668</v>
      </c>
      <c r="C101" s="936">
        <f t="shared" si="409"/>
        <v>16.666666666666668</v>
      </c>
      <c r="D101" s="936">
        <f t="shared" si="409"/>
        <v>20</v>
      </c>
      <c r="E101" s="933">
        <f t="shared" si="409"/>
        <v>20</v>
      </c>
      <c r="F101" s="936">
        <f t="shared" si="409"/>
        <v>23.333333333333332</v>
      </c>
      <c r="G101" s="936">
        <f t="shared" si="409"/>
        <v>24.333333333333332</v>
      </c>
      <c r="H101" s="936">
        <f t="shared" si="409"/>
        <v>24.333333333333332</v>
      </c>
      <c r="I101" s="933">
        <f t="shared" si="409"/>
        <v>25</v>
      </c>
      <c r="J101" s="936">
        <f t="shared" si="409"/>
        <v>28</v>
      </c>
      <c r="K101" s="936">
        <f t="shared" si="409"/>
        <v>28</v>
      </c>
      <c r="L101" s="936">
        <f t="shared" si="409"/>
        <v>28</v>
      </c>
      <c r="M101" s="933">
        <f t="shared" si="409"/>
        <v>28.666666666666668</v>
      </c>
      <c r="N101" s="936">
        <f t="shared" si="409"/>
        <v>31.666666666666668</v>
      </c>
      <c r="O101" s="936">
        <f t="shared" si="409"/>
        <v>32.666666666666664</v>
      </c>
      <c r="P101" s="936">
        <f t="shared" si="409"/>
        <v>32.666666666666664</v>
      </c>
      <c r="Q101" s="933">
        <f t="shared" si="409"/>
        <v>32.666666666666664</v>
      </c>
      <c r="R101" s="936">
        <f t="shared" si="409"/>
        <v>35</v>
      </c>
      <c r="S101" s="936">
        <f t="shared" si="409"/>
        <v>35.333333333333336</v>
      </c>
      <c r="T101" s="936">
        <f t="shared" si="409"/>
        <v>35.333333333333336</v>
      </c>
      <c r="U101" s="933">
        <f t="shared" si="409"/>
        <v>35.333333333333336</v>
      </c>
      <c r="V101" s="936">
        <f t="shared" ref="V101:AG101" si="420">V129/3</f>
        <v>37</v>
      </c>
      <c r="W101" s="936">
        <f t="shared" si="420"/>
        <v>37</v>
      </c>
      <c r="X101" s="936">
        <f t="shared" si="420"/>
        <v>39</v>
      </c>
      <c r="Y101" s="933">
        <f t="shared" si="420"/>
        <v>39</v>
      </c>
      <c r="Z101" s="936">
        <f t="shared" si="420"/>
        <v>39</v>
      </c>
      <c r="AA101" s="936">
        <f t="shared" si="420"/>
        <v>39.666666666666664</v>
      </c>
      <c r="AB101" s="936">
        <f t="shared" si="420"/>
        <v>41.333333333333336</v>
      </c>
      <c r="AC101" s="933">
        <f t="shared" si="420"/>
        <v>41.333333333333336</v>
      </c>
      <c r="AD101" s="936">
        <f t="shared" si="420"/>
        <v>41.333333333333336</v>
      </c>
      <c r="AE101" s="936">
        <f t="shared" si="420"/>
        <v>41.333333333333336</v>
      </c>
      <c r="AF101" s="936">
        <f t="shared" si="420"/>
        <v>41.333333333333336</v>
      </c>
      <c r="AG101" s="933">
        <f t="shared" si="420"/>
        <v>41.333333333333336</v>
      </c>
      <c r="AH101" s="936">
        <f t="shared" si="411"/>
        <v>41.333333333333336</v>
      </c>
      <c r="AI101" s="936">
        <f t="shared" si="411"/>
        <v>41.333333333333336</v>
      </c>
      <c r="AJ101" s="936">
        <f t="shared" si="411"/>
        <v>41.333333333333336</v>
      </c>
      <c r="AK101" s="933">
        <f t="shared" si="411"/>
        <v>41.333333333333336</v>
      </c>
      <c r="AL101" s="936">
        <f t="shared" ref="AL101" si="421">AL129/3</f>
        <v>41.333333333333336</v>
      </c>
      <c r="AM101" s="936">
        <f t="shared" si="411"/>
        <v>41.333333333333336</v>
      </c>
      <c r="AN101" s="936">
        <f t="shared" si="411"/>
        <v>41.333333333333336</v>
      </c>
      <c r="AO101" s="933">
        <f t="shared" si="411"/>
        <v>41.333333333333336</v>
      </c>
      <c r="AP101" s="936">
        <f t="shared" ref="AP101:AS101" si="422">AP129/3</f>
        <v>41.333333333333336</v>
      </c>
      <c r="AQ101" s="936">
        <f t="shared" si="422"/>
        <v>41.333333333333336</v>
      </c>
      <c r="AR101" s="936">
        <f t="shared" si="422"/>
        <v>41.333333333333336</v>
      </c>
      <c r="AS101" s="933">
        <f t="shared" si="422"/>
        <v>41.333333333333336</v>
      </c>
      <c r="AT101" s="936">
        <f t="shared" ref="AT101:AW101" si="423">AT129/3</f>
        <v>41.333333333333336</v>
      </c>
      <c r="AU101" s="936">
        <f t="shared" si="423"/>
        <v>41.333333333333336</v>
      </c>
      <c r="AV101" s="936">
        <f t="shared" si="423"/>
        <v>41.333333333333336</v>
      </c>
      <c r="AW101" s="933">
        <f t="shared" si="423"/>
        <v>41.333333333333336</v>
      </c>
      <c r="AX101" s="937"/>
      <c r="AY101" s="630"/>
      <c r="AZ101" s="630">
        <f t="shared" si="297"/>
        <v>20</v>
      </c>
      <c r="BA101" s="629">
        <f t="shared" si="298"/>
        <v>25</v>
      </c>
      <c r="BB101" s="629">
        <f t="shared" si="299"/>
        <v>28.666666666666668</v>
      </c>
      <c r="BC101" s="629">
        <f t="shared" si="300"/>
        <v>32.666666666666664</v>
      </c>
      <c r="BD101" s="629">
        <f t="shared" si="301"/>
        <v>35.333333333333336</v>
      </c>
      <c r="BE101" s="629">
        <f t="shared" si="393"/>
        <v>39</v>
      </c>
      <c r="BF101" s="629">
        <f t="shared" si="394"/>
        <v>41.333333333333336</v>
      </c>
      <c r="BG101" s="629">
        <f t="shared" si="404"/>
        <v>41.333333333333336</v>
      </c>
      <c r="BH101" s="629">
        <f t="shared" si="395"/>
        <v>41.333333333333336</v>
      </c>
      <c r="BI101" s="629">
        <f t="shared" si="304"/>
        <v>41.333333333333336</v>
      </c>
      <c r="BJ101" s="629">
        <f t="shared" si="405"/>
        <v>41.333333333333336</v>
      </c>
      <c r="BK101" s="629">
        <f t="shared" si="407"/>
        <v>41.333333333333336</v>
      </c>
    </row>
    <row r="102" spans="1:63" s="249" customFormat="1" outlineLevel="1">
      <c r="A102" s="229" t="s">
        <v>932</v>
      </c>
      <c r="B102" s="938">
        <f>B130/3</f>
        <v>421.75</v>
      </c>
      <c r="C102" s="939">
        <f t="shared" si="409"/>
        <v>438.25</v>
      </c>
      <c r="D102" s="939">
        <f t="shared" si="409"/>
        <v>447.95</v>
      </c>
      <c r="E102" s="940">
        <f t="shared" si="409"/>
        <v>442.75</v>
      </c>
      <c r="F102" s="939">
        <f t="shared" si="409"/>
        <v>447.75</v>
      </c>
      <c r="G102" s="939">
        <f t="shared" si="409"/>
        <v>449.07499999999999</v>
      </c>
      <c r="H102" s="939">
        <f t="shared" si="409"/>
        <v>450.875</v>
      </c>
      <c r="I102" s="940">
        <f t="shared" si="409"/>
        <v>451.32499999999999</v>
      </c>
      <c r="J102" s="939">
        <f t="shared" si="409"/>
        <v>466.57499999999999</v>
      </c>
      <c r="K102" s="939">
        <f t="shared" si="409"/>
        <v>482.57499999999999</v>
      </c>
      <c r="L102" s="939">
        <f t="shared" si="409"/>
        <v>443.84999999999997</v>
      </c>
      <c r="M102" s="940">
        <f t="shared" si="409"/>
        <v>448.5</v>
      </c>
      <c r="N102" s="939">
        <f t="shared" si="409"/>
        <v>476</v>
      </c>
      <c r="O102" s="939">
        <f t="shared" si="409"/>
        <v>480.15000000000003</v>
      </c>
      <c r="P102" s="939">
        <f t="shared" si="409"/>
        <v>510.15000000000003</v>
      </c>
      <c r="Q102" s="940">
        <f t="shared" si="409"/>
        <v>520.75</v>
      </c>
      <c r="R102" s="939">
        <f t="shared" si="409"/>
        <v>534</v>
      </c>
      <c r="S102" s="939">
        <f t="shared" si="409"/>
        <v>548</v>
      </c>
      <c r="T102" s="939">
        <f t="shared" si="409"/>
        <v>575.875</v>
      </c>
      <c r="U102" s="940">
        <f>U130/3</f>
        <v>598.49899999999991</v>
      </c>
      <c r="V102" s="939">
        <f t="shared" ref="V102:AG102" si="424">V130/3</f>
        <v>649.12399999999991</v>
      </c>
      <c r="W102" s="939">
        <f t="shared" si="424"/>
        <v>673.75</v>
      </c>
      <c r="X102" s="939">
        <f t="shared" si="424"/>
        <v>706</v>
      </c>
      <c r="Y102" s="940">
        <f t="shared" si="424"/>
        <v>714</v>
      </c>
      <c r="Z102" s="939">
        <f t="shared" si="424"/>
        <v>732.25</v>
      </c>
      <c r="AA102" s="939">
        <f t="shared" si="424"/>
        <v>754.25</v>
      </c>
      <c r="AB102" s="939">
        <f t="shared" si="424"/>
        <v>795.75</v>
      </c>
      <c r="AC102" s="940">
        <f t="shared" si="424"/>
        <v>805.5</v>
      </c>
      <c r="AD102" s="939">
        <f t="shared" si="424"/>
        <v>814.5</v>
      </c>
      <c r="AE102" s="939">
        <f t="shared" si="424"/>
        <v>837</v>
      </c>
      <c r="AF102" s="939">
        <f t="shared" si="424"/>
        <v>884.25</v>
      </c>
      <c r="AG102" s="940">
        <f t="shared" si="424"/>
        <v>947.625</v>
      </c>
      <c r="AH102" s="939">
        <f t="shared" si="411"/>
        <v>973.25</v>
      </c>
      <c r="AI102" s="939">
        <f t="shared" si="411"/>
        <v>991.25</v>
      </c>
      <c r="AJ102" s="939">
        <f t="shared" si="411"/>
        <v>1022.75</v>
      </c>
      <c r="AK102" s="940">
        <f t="shared" si="411"/>
        <v>1058.75</v>
      </c>
      <c r="AL102" s="939">
        <f t="shared" ref="AL102" si="425">AL130/3</f>
        <v>1078.25</v>
      </c>
      <c r="AM102" s="939">
        <f t="shared" si="411"/>
        <v>1112</v>
      </c>
      <c r="AN102" s="939">
        <f t="shared" si="411"/>
        <v>1154.75</v>
      </c>
      <c r="AO102" s="940">
        <f t="shared" si="411"/>
        <v>1181.75</v>
      </c>
      <c r="AP102" s="939">
        <f t="shared" ref="AP102:AS102" si="426">AP130/3</f>
        <v>1202</v>
      </c>
      <c r="AQ102" s="939">
        <f t="shared" si="426"/>
        <v>1249.25</v>
      </c>
      <c r="AR102" s="939">
        <f t="shared" si="426"/>
        <v>1303.25</v>
      </c>
      <c r="AS102" s="940">
        <f t="shared" si="426"/>
        <v>1330.25</v>
      </c>
      <c r="AT102" s="939">
        <f t="shared" ref="AT102:AW102" si="427">AT130/3</f>
        <v>1355</v>
      </c>
      <c r="AU102" s="939">
        <f t="shared" si="427"/>
        <v>1400</v>
      </c>
      <c r="AV102" s="939">
        <f t="shared" si="427"/>
        <v>1440.5</v>
      </c>
      <c r="AW102" s="940">
        <f t="shared" si="427"/>
        <v>1478.75</v>
      </c>
      <c r="AX102" s="629"/>
      <c r="AY102" s="924"/>
      <c r="AZ102" s="941">
        <f t="shared" si="297"/>
        <v>442.75</v>
      </c>
      <c r="BA102" s="942">
        <f t="shared" si="298"/>
        <v>451.32499999999999</v>
      </c>
      <c r="BB102" s="942">
        <f t="shared" si="299"/>
        <v>448.5</v>
      </c>
      <c r="BC102" s="942">
        <f t="shared" si="300"/>
        <v>520.75</v>
      </c>
      <c r="BD102" s="942">
        <f t="shared" si="301"/>
        <v>598.49899999999991</v>
      </c>
      <c r="BE102" s="942">
        <f t="shared" si="393"/>
        <v>714</v>
      </c>
      <c r="BF102" s="962">
        <f t="shared" si="394"/>
        <v>805.5</v>
      </c>
      <c r="BG102" s="962">
        <f>AG102</f>
        <v>947.625</v>
      </c>
      <c r="BH102" s="962">
        <f>AK102</f>
        <v>1058.75</v>
      </c>
      <c r="BI102" s="962">
        <f t="shared" si="304"/>
        <v>1181.75</v>
      </c>
      <c r="BJ102" s="962">
        <f>AS102</f>
        <v>1330.25</v>
      </c>
      <c r="BK102" s="962">
        <f t="shared" si="407"/>
        <v>1478.75</v>
      </c>
    </row>
    <row r="103" spans="1:63">
      <c r="A103" s="283" t="s">
        <v>743</v>
      </c>
      <c r="B103" s="286"/>
      <c r="C103" s="286"/>
      <c r="D103" s="286"/>
      <c r="E103" s="287"/>
      <c r="F103" s="517"/>
      <c r="G103" s="517"/>
      <c r="H103" s="517"/>
      <c r="I103" s="639"/>
      <c r="J103" s="517"/>
      <c r="K103" s="517"/>
      <c r="L103" s="352"/>
      <c r="M103" s="353"/>
      <c r="N103" s="352"/>
      <c r="O103" s="352"/>
      <c r="P103" s="352"/>
      <c r="Q103" s="353"/>
      <c r="R103" s="352"/>
      <c r="S103" s="352"/>
      <c r="T103" s="352"/>
      <c r="U103" s="353"/>
      <c r="V103" s="867" t="str">
        <f>V$3</f>
        <v>1Q22</v>
      </c>
      <c r="W103" s="867" t="str">
        <f t="shared" ref="W103:AW103" si="428">W$3</f>
        <v>2Q22</v>
      </c>
      <c r="X103" s="867" t="str">
        <f t="shared" si="428"/>
        <v>3Q22</v>
      </c>
      <c r="Y103" s="869" t="str">
        <f t="shared" si="428"/>
        <v>4Q22</v>
      </c>
      <c r="Z103" s="867" t="str">
        <f t="shared" si="428"/>
        <v>1Q23</v>
      </c>
      <c r="AA103" s="867" t="str">
        <f t="shared" si="428"/>
        <v>2Q23</v>
      </c>
      <c r="AB103" s="867" t="str">
        <f t="shared" si="428"/>
        <v>3Q23</v>
      </c>
      <c r="AC103" s="869" t="str">
        <f t="shared" si="428"/>
        <v>4Q23</v>
      </c>
      <c r="AD103" s="867" t="str">
        <f t="shared" si="428"/>
        <v>1Q24</v>
      </c>
      <c r="AE103" s="867" t="str">
        <f t="shared" si="428"/>
        <v>2Q24</v>
      </c>
      <c r="AF103" s="867" t="str">
        <f t="shared" si="428"/>
        <v>3Q24</v>
      </c>
      <c r="AG103" s="869" t="str">
        <f t="shared" si="428"/>
        <v>4Q24</v>
      </c>
      <c r="AH103" s="867" t="str">
        <f t="shared" si="428"/>
        <v>1Q25</v>
      </c>
      <c r="AI103" s="867" t="str">
        <f t="shared" si="428"/>
        <v>2Q25</v>
      </c>
      <c r="AJ103" s="867" t="str">
        <f t="shared" si="428"/>
        <v>3Q25</v>
      </c>
      <c r="AK103" s="869" t="str">
        <f t="shared" si="428"/>
        <v>4Q25</v>
      </c>
      <c r="AL103" s="867" t="str">
        <f t="shared" si="428"/>
        <v>1Q26</v>
      </c>
      <c r="AM103" s="868" t="str">
        <f t="shared" si="428"/>
        <v>2Q26</v>
      </c>
      <c r="AN103" s="868" t="str">
        <f t="shared" si="428"/>
        <v>3Q26</v>
      </c>
      <c r="AO103" s="870" t="str">
        <f t="shared" si="428"/>
        <v>4Q26</v>
      </c>
      <c r="AP103" s="868" t="str">
        <f t="shared" si="428"/>
        <v>1Q27</v>
      </c>
      <c r="AQ103" s="868" t="str">
        <f t="shared" si="428"/>
        <v>2Q27</v>
      </c>
      <c r="AR103" s="868" t="str">
        <f t="shared" si="428"/>
        <v>3Q27</v>
      </c>
      <c r="AS103" s="870" t="str">
        <f t="shared" si="428"/>
        <v>4Q27</v>
      </c>
      <c r="AT103" s="868" t="str">
        <f t="shared" si="428"/>
        <v>1Q28</v>
      </c>
      <c r="AU103" s="868" t="str">
        <f t="shared" si="428"/>
        <v>2Q28</v>
      </c>
      <c r="AV103" s="868" t="str">
        <f t="shared" si="428"/>
        <v>3Q28</v>
      </c>
      <c r="AW103" s="870" t="str">
        <f t="shared" si="428"/>
        <v>4Q28</v>
      </c>
      <c r="AX103" s="865"/>
      <c r="AY103" s="866"/>
      <c r="AZ103" s="866"/>
      <c r="BA103" s="862"/>
      <c r="BB103" s="867">
        <f t="shared" ref="BB103:BK103" si="429">BB$3</f>
        <v>2019</v>
      </c>
      <c r="BC103" s="867">
        <f t="shared" si="429"/>
        <v>2020</v>
      </c>
      <c r="BD103" s="867">
        <f t="shared" si="429"/>
        <v>2021</v>
      </c>
      <c r="BE103" s="867">
        <f t="shared" si="429"/>
        <v>2022</v>
      </c>
      <c r="BF103" s="867">
        <f t="shared" si="429"/>
        <v>2023</v>
      </c>
      <c r="BG103" s="867">
        <f t="shared" si="429"/>
        <v>2024</v>
      </c>
      <c r="BH103" s="867">
        <f t="shared" si="429"/>
        <v>2025</v>
      </c>
      <c r="BI103" s="871">
        <f t="shared" si="429"/>
        <v>2026</v>
      </c>
      <c r="BJ103" s="871">
        <f t="shared" si="429"/>
        <v>2027</v>
      </c>
      <c r="BK103" s="871">
        <f t="shared" si="429"/>
        <v>2028</v>
      </c>
    </row>
    <row r="104" spans="1:63">
      <c r="A104" s="290" t="s">
        <v>742</v>
      </c>
      <c r="B104" s="366">
        <f>Capacity!BG11/1000*3</f>
        <v>330</v>
      </c>
      <c r="C104" s="366">
        <f>Capacity!BH11/1000*3</f>
        <v>336</v>
      </c>
      <c r="D104" s="366">
        <f>Capacity!BI11/1000*3</f>
        <v>342</v>
      </c>
      <c r="E104" s="367">
        <f>Capacity!BJ11/1000*3</f>
        <v>327</v>
      </c>
      <c r="F104" s="366">
        <f>Capacity!BK11/1000*3</f>
        <v>327</v>
      </c>
      <c r="G104" s="366">
        <f>Capacity!BL11/1000*3</f>
        <v>324</v>
      </c>
      <c r="H104" s="366">
        <f>Capacity!BM11/1000*3</f>
        <v>318</v>
      </c>
      <c r="I104" s="367">
        <f>Capacity!BN11/1000*3</f>
        <v>327</v>
      </c>
      <c r="J104" s="366">
        <f>Capacity!BO11/1000*3</f>
        <v>336</v>
      </c>
      <c r="K104" s="366">
        <f>Capacity!BP11/1000*3</f>
        <v>345</v>
      </c>
      <c r="L104" s="366">
        <f>Capacity!BQ11/1000*3</f>
        <v>336</v>
      </c>
      <c r="M104" s="367">
        <f>Capacity!BR11/1000*3</f>
        <v>345</v>
      </c>
      <c r="N104" s="366">
        <f>Capacity!BS11/1000*3</f>
        <v>345</v>
      </c>
      <c r="O104" s="366">
        <f>Capacity!BT11/1000*3</f>
        <v>345</v>
      </c>
      <c r="P104" s="811">
        <f>Capacity!BU11/1000*3</f>
        <v>345</v>
      </c>
      <c r="Q104" s="857">
        <f>Capacity!BV11/1000*3</f>
        <v>345</v>
      </c>
      <c r="R104" s="811">
        <f>Capacity!BW11/1000*3</f>
        <v>345</v>
      </c>
      <c r="S104" s="811">
        <f>Capacity!BX11/1000*3</f>
        <v>345</v>
      </c>
      <c r="T104" s="811">
        <f>Capacity!BY11/1000*3</f>
        <v>345</v>
      </c>
      <c r="U104" s="857">
        <f>Capacity!BZ11/1000*3</f>
        <v>345</v>
      </c>
      <c r="V104" s="811">
        <f>Capacity!CA11/1000*3</f>
        <v>345</v>
      </c>
      <c r="W104" s="811">
        <f>Capacity!CB11/1000*3</f>
        <v>345</v>
      </c>
      <c r="X104" s="811">
        <f>Capacity!CC11/1000*3</f>
        <v>345</v>
      </c>
      <c r="Y104" s="857">
        <f>Capacity!CD11/1000*3</f>
        <v>345</v>
      </c>
      <c r="Z104" s="811">
        <f>Capacity!CE11/1000*3</f>
        <v>345</v>
      </c>
      <c r="AA104" s="811">
        <f>Capacity!CF11/1000*3</f>
        <v>345</v>
      </c>
      <c r="AB104" s="811">
        <f>Capacity!CG11/1000*3</f>
        <v>345</v>
      </c>
      <c r="AC104" s="857">
        <f>Capacity!CH11/1000*3</f>
        <v>345</v>
      </c>
      <c r="AD104" s="811">
        <f>Capacity!CI11/1000*3</f>
        <v>345</v>
      </c>
      <c r="AE104" s="811">
        <f>Capacity!CJ11/1000*3</f>
        <v>345</v>
      </c>
      <c r="AF104" s="811">
        <f>Capacity!CK11/1000*3</f>
        <v>345</v>
      </c>
      <c r="AG104" s="857">
        <f>Capacity!CL11/1000*3</f>
        <v>345</v>
      </c>
      <c r="AH104" s="372">
        <f t="shared" ref="AH104:AO106" si="430">AG104</f>
        <v>345</v>
      </c>
      <c r="AI104" s="372">
        <f t="shared" si="430"/>
        <v>345</v>
      </c>
      <c r="AJ104" s="372">
        <f t="shared" si="430"/>
        <v>345</v>
      </c>
      <c r="AK104" s="373">
        <f t="shared" si="430"/>
        <v>345</v>
      </c>
      <c r="AL104" s="372">
        <f t="shared" si="430"/>
        <v>345</v>
      </c>
      <c r="AM104" s="368">
        <f t="shared" si="430"/>
        <v>345</v>
      </c>
      <c r="AN104" s="368">
        <f t="shared" si="430"/>
        <v>345</v>
      </c>
      <c r="AO104" s="369">
        <f t="shared" si="430"/>
        <v>345</v>
      </c>
      <c r="AP104" s="368">
        <f t="shared" ref="AP104:AP110" si="431">AO104</f>
        <v>345</v>
      </c>
      <c r="AQ104" s="368">
        <f t="shared" ref="AQ104:AQ110" si="432">AP104</f>
        <v>345</v>
      </c>
      <c r="AR104" s="368">
        <f t="shared" ref="AR104:AR110" si="433">AQ104</f>
        <v>345</v>
      </c>
      <c r="AS104" s="369">
        <f t="shared" ref="AS104:AS106" si="434">AR104</f>
        <v>345</v>
      </c>
      <c r="AT104" s="368">
        <f t="shared" ref="AT104:AT110" si="435">AS104</f>
        <v>345</v>
      </c>
      <c r="AU104" s="368">
        <f t="shared" ref="AU104:AU110" si="436">AT104</f>
        <v>345</v>
      </c>
      <c r="AV104" s="368">
        <f t="shared" ref="AV104:AV110" si="437">AU104</f>
        <v>345</v>
      </c>
      <c r="AW104" s="369">
        <f t="shared" ref="AW104:AW106" si="438">AV104</f>
        <v>345</v>
      </c>
      <c r="AY104" s="204"/>
      <c r="AZ104" s="335">
        <f t="shared" ref="AZ104:AZ118" si="439">SUM(B104:E104)</f>
        <v>1335</v>
      </c>
      <c r="BA104" s="215">
        <f t="shared" ref="BA104:BA118" si="440">SUM(F104:I104)</f>
        <v>1296</v>
      </c>
      <c r="BB104" s="215">
        <f t="shared" ref="BB104:BB118" si="441">SUM(J104:M104)</f>
        <v>1362</v>
      </c>
      <c r="BC104" s="215">
        <f t="shared" ref="BC104:BC118" si="442">SUM(N104:Q104)</f>
        <v>1380</v>
      </c>
      <c r="BD104" s="215">
        <f t="shared" ref="BD104:BD118" si="443">SUM(R104:U104)</f>
        <v>1380</v>
      </c>
      <c r="BE104" s="215">
        <f t="shared" ref="BE104:BE118" si="444">SUM(V104:Y104)</f>
        <v>1380</v>
      </c>
      <c r="BF104" s="215">
        <f t="shared" ref="BF104:BF118" si="445">SUM(Z104:AC104)</f>
        <v>1380</v>
      </c>
      <c r="BG104" s="215">
        <f t="shared" ref="BG104:BG118" si="446">SUM(AD104:AG104)</f>
        <v>1380</v>
      </c>
      <c r="BH104" s="215">
        <f t="shared" ref="BH104:BH118" si="447">SUM(AH104:AK104)</f>
        <v>1380</v>
      </c>
      <c r="BI104" s="215">
        <f t="shared" ref="BI104:BI116" si="448">SUM(AL104:AO104)</f>
        <v>1380</v>
      </c>
      <c r="BJ104" s="215">
        <f>SUM(AP104:AS104)</f>
        <v>1380</v>
      </c>
      <c r="BK104" s="215">
        <f>SUM(AT104:AW104)</f>
        <v>1380</v>
      </c>
    </row>
    <row r="105" spans="1:63">
      <c r="A105" s="290" t="s">
        <v>741</v>
      </c>
      <c r="B105" s="366">
        <f>Capacity!BG12/1000*3</f>
        <v>135</v>
      </c>
      <c r="C105" s="366">
        <f>Capacity!BH12/1000*3</f>
        <v>135</v>
      </c>
      <c r="D105" s="366">
        <f>Capacity!BI12/1000*3</f>
        <v>121.5</v>
      </c>
      <c r="E105" s="367">
        <f>Capacity!BJ12/1000*3</f>
        <v>114.75</v>
      </c>
      <c r="F105" s="366">
        <f>Capacity!BK12/1000*3</f>
        <v>114.75</v>
      </c>
      <c r="G105" s="366">
        <f>Capacity!BL12/1000*3</f>
        <v>114.75</v>
      </c>
      <c r="H105" s="366">
        <f>Capacity!BM12/1000*3</f>
        <v>101.25</v>
      </c>
      <c r="I105" s="367">
        <f>Capacity!BN12/1000*3</f>
        <v>67.5</v>
      </c>
      <c r="J105" s="366">
        <f>Capacity!BO12/1000*3</f>
        <v>67.5</v>
      </c>
      <c r="K105" s="366">
        <f>Capacity!BP12/1000*3</f>
        <v>54</v>
      </c>
      <c r="L105" s="366">
        <f>Capacity!BQ12/1000*3</f>
        <v>54</v>
      </c>
      <c r="M105" s="367">
        <f>Capacity!BR12/1000*3</f>
        <v>13.5</v>
      </c>
      <c r="N105" s="366">
        <f>Capacity!BS12/1000*3</f>
        <v>13.5</v>
      </c>
      <c r="O105" s="366">
        <f>Capacity!BT12/1000*3</f>
        <v>9.4499999999999993</v>
      </c>
      <c r="P105" s="811">
        <f>Capacity!BU12/1000*3</f>
        <v>9.4499999999999993</v>
      </c>
      <c r="Q105" s="857">
        <f>Capacity!BV12/1000*3</f>
        <v>9.4499999999999993</v>
      </c>
      <c r="R105" s="811">
        <f>Capacity!BW12/1000*3</f>
        <v>9.4499999999999993</v>
      </c>
      <c r="S105" s="811">
        <f>Capacity!BX12/1000*3</f>
        <v>9.4499999999999993</v>
      </c>
      <c r="T105" s="811">
        <f>Capacity!BY12/1000*3</f>
        <v>9.4499999999999993</v>
      </c>
      <c r="U105" s="857">
        <f>Capacity!BZ12/1000*3</f>
        <v>9.4499999999999993</v>
      </c>
      <c r="V105" s="811">
        <f>Capacity!CA12/1000*3</f>
        <v>9.4499999999999993</v>
      </c>
      <c r="W105" s="811">
        <f>Capacity!CB12/1000*3</f>
        <v>9.4499999999999993</v>
      </c>
      <c r="X105" s="811">
        <f>Capacity!CC12/1000*3</f>
        <v>9.4499999999999993</v>
      </c>
      <c r="Y105" s="857">
        <f>Capacity!CD12/1000*3</f>
        <v>9.4499999999999993</v>
      </c>
      <c r="Z105" s="811">
        <f>Capacity!CE12/1000*3</f>
        <v>9.4499999999999993</v>
      </c>
      <c r="AA105" s="811">
        <f>Capacity!CF12/1000*3</f>
        <v>9.4499999999999993</v>
      </c>
      <c r="AB105" s="811">
        <f>Capacity!CG12/1000*3</f>
        <v>9.4499999999999993</v>
      </c>
      <c r="AC105" s="857">
        <f>Capacity!CH12/1000*3</f>
        <v>9.4499999999999993</v>
      </c>
      <c r="AD105" s="811">
        <f>Capacity!CI12/1000*3</f>
        <v>9.4499999999999993</v>
      </c>
      <c r="AE105" s="811">
        <f>Capacity!CJ12/1000*3</f>
        <v>9.4499999999999993</v>
      </c>
      <c r="AF105" s="811">
        <f>Capacity!CK12/1000*3</f>
        <v>9.4499999999999993</v>
      </c>
      <c r="AG105" s="857">
        <f>Capacity!CL12/1000*3</f>
        <v>9.4499999999999993</v>
      </c>
      <c r="AH105" s="372">
        <f t="shared" si="430"/>
        <v>9.4499999999999993</v>
      </c>
      <c r="AI105" s="372">
        <f t="shared" si="430"/>
        <v>9.4499999999999993</v>
      </c>
      <c r="AJ105" s="372">
        <f t="shared" si="430"/>
        <v>9.4499999999999993</v>
      </c>
      <c r="AK105" s="373">
        <f t="shared" si="430"/>
        <v>9.4499999999999993</v>
      </c>
      <c r="AL105" s="372">
        <f t="shared" si="430"/>
        <v>9.4499999999999993</v>
      </c>
      <c r="AM105" s="368">
        <f t="shared" si="430"/>
        <v>9.4499999999999993</v>
      </c>
      <c r="AN105" s="368">
        <f t="shared" si="430"/>
        <v>9.4499999999999993</v>
      </c>
      <c r="AO105" s="369">
        <f t="shared" si="430"/>
        <v>9.4499999999999993</v>
      </c>
      <c r="AP105" s="368">
        <f t="shared" si="431"/>
        <v>9.4499999999999993</v>
      </c>
      <c r="AQ105" s="368">
        <f t="shared" si="432"/>
        <v>9.4499999999999993</v>
      </c>
      <c r="AR105" s="368">
        <f t="shared" si="433"/>
        <v>9.4499999999999993</v>
      </c>
      <c r="AS105" s="369">
        <f t="shared" si="434"/>
        <v>9.4499999999999993</v>
      </c>
      <c r="AT105" s="368">
        <f t="shared" si="435"/>
        <v>9.4499999999999993</v>
      </c>
      <c r="AU105" s="368">
        <f t="shared" si="436"/>
        <v>9.4499999999999993</v>
      </c>
      <c r="AV105" s="368">
        <f t="shared" si="437"/>
        <v>9.4499999999999993</v>
      </c>
      <c r="AW105" s="369">
        <f t="shared" si="438"/>
        <v>9.4499999999999993</v>
      </c>
      <c r="AY105" s="204"/>
      <c r="AZ105" s="335">
        <f t="shared" si="439"/>
        <v>506.25</v>
      </c>
      <c r="BA105" s="215">
        <f t="shared" si="440"/>
        <v>398.25</v>
      </c>
      <c r="BB105" s="215">
        <f t="shared" si="441"/>
        <v>189</v>
      </c>
      <c r="BC105" s="215">
        <f t="shared" si="442"/>
        <v>41.849999999999994</v>
      </c>
      <c r="BD105" s="215">
        <f t="shared" si="443"/>
        <v>37.799999999999997</v>
      </c>
      <c r="BE105" s="215">
        <f t="shared" si="444"/>
        <v>37.799999999999997</v>
      </c>
      <c r="BF105" s="215">
        <f t="shared" si="445"/>
        <v>37.799999999999997</v>
      </c>
      <c r="BG105" s="215">
        <f t="shared" si="446"/>
        <v>37.799999999999997</v>
      </c>
      <c r="BH105" s="215">
        <f t="shared" si="447"/>
        <v>37.799999999999997</v>
      </c>
      <c r="BI105" s="215">
        <f t="shared" si="448"/>
        <v>37.799999999999997</v>
      </c>
      <c r="BJ105" s="215">
        <f t="shared" ref="BJ105:BJ118" si="449">SUM(AP105:AS105)</f>
        <v>37.799999999999997</v>
      </c>
      <c r="BK105" s="215">
        <f t="shared" ref="BK105:BK115" si="450">SUM(AT105:AW105)</f>
        <v>37.799999999999997</v>
      </c>
    </row>
    <row r="106" spans="1:63">
      <c r="A106" s="290" t="s">
        <v>740</v>
      </c>
      <c r="B106" s="366">
        <f>Capacity!BG13/1000*3</f>
        <v>324</v>
      </c>
      <c r="C106" s="366">
        <f>Capacity!BH13/1000*3</f>
        <v>337.5</v>
      </c>
      <c r="D106" s="366">
        <f>Capacity!BI13/1000*3</f>
        <v>337.5</v>
      </c>
      <c r="E106" s="367">
        <f>Capacity!BJ13/1000*3</f>
        <v>310.5</v>
      </c>
      <c r="F106" s="366">
        <f>Capacity!BK13/1000*3</f>
        <v>310.5</v>
      </c>
      <c r="G106" s="366">
        <f>Capacity!BL13/1000*3</f>
        <v>290.25</v>
      </c>
      <c r="H106" s="366">
        <f>Capacity!BM13/1000*3</f>
        <v>283.5</v>
      </c>
      <c r="I106" s="367">
        <f>Capacity!BN13/1000*3</f>
        <v>283.5</v>
      </c>
      <c r="J106" s="366">
        <f>Capacity!BO13/1000*3</f>
        <v>317.25</v>
      </c>
      <c r="K106" s="366">
        <f>Capacity!BP13/1000*3</f>
        <v>337.5</v>
      </c>
      <c r="L106" s="366">
        <f>Capacity!BQ13/1000*3</f>
        <v>337.5</v>
      </c>
      <c r="M106" s="367">
        <f>Capacity!BR13/1000*3</f>
        <v>351</v>
      </c>
      <c r="N106" s="366">
        <f>Capacity!BS13/1000*3</f>
        <v>351</v>
      </c>
      <c r="O106" s="366">
        <f>Capacity!BT13/1000*3</f>
        <v>351</v>
      </c>
      <c r="P106" s="811">
        <f>Capacity!BU13/1000*3</f>
        <v>351</v>
      </c>
      <c r="Q106" s="857">
        <f>Capacity!BV13/1000*3</f>
        <v>351</v>
      </c>
      <c r="R106" s="811">
        <f>Capacity!BW13/1000*3</f>
        <v>351</v>
      </c>
      <c r="S106" s="811">
        <f>Capacity!BX13/1000*3</f>
        <v>351</v>
      </c>
      <c r="T106" s="811">
        <f>Capacity!BY13/1000*3</f>
        <v>351</v>
      </c>
      <c r="U106" s="857">
        <f>Capacity!BZ13/1000*3</f>
        <v>351</v>
      </c>
      <c r="V106" s="811">
        <f>Capacity!CA13/1000*3</f>
        <v>351</v>
      </c>
      <c r="W106" s="811">
        <f>Capacity!CB13/1000*3</f>
        <v>351</v>
      </c>
      <c r="X106" s="811">
        <f>Capacity!CC13/1000*3</f>
        <v>351</v>
      </c>
      <c r="Y106" s="857">
        <f>Capacity!CD13/1000*3</f>
        <v>351</v>
      </c>
      <c r="Z106" s="811">
        <f>Capacity!CE13/1000*3</f>
        <v>351</v>
      </c>
      <c r="AA106" s="811">
        <f>Capacity!CF13/1000*3</f>
        <v>351</v>
      </c>
      <c r="AB106" s="811">
        <f>Capacity!CG13/1000*3</f>
        <v>351</v>
      </c>
      <c r="AC106" s="857">
        <f>Capacity!CH13/1000*3</f>
        <v>351</v>
      </c>
      <c r="AD106" s="811">
        <f>Capacity!CI13/1000*3</f>
        <v>351</v>
      </c>
      <c r="AE106" s="811">
        <f>Capacity!CJ13/1000*3</f>
        <v>351</v>
      </c>
      <c r="AF106" s="811">
        <f>Capacity!CK13/1000*3</f>
        <v>351</v>
      </c>
      <c r="AG106" s="857">
        <f>Capacity!CL13/1000*3</f>
        <v>351</v>
      </c>
      <c r="AH106" s="372">
        <f t="shared" si="430"/>
        <v>351</v>
      </c>
      <c r="AI106" s="372">
        <f t="shared" si="430"/>
        <v>351</v>
      </c>
      <c r="AJ106" s="372">
        <f t="shared" si="430"/>
        <v>351</v>
      </c>
      <c r="AK106" s="373">
        <f t="shared" si="430"/>
        <v>351</v>
      </c>
      <c r="AL106" s="372">
        <f t="shared" si="430"/>
        <v>351</v>
      </c>
      <c r="AM106" s="368">
        <f t="shared" si="430"/>
        <v>351</v>
      </c>
      <c r="AN106" s="368">
        <f t="shared" si="430"/>
        <v>351</v>
      </c>
      <c r="AO106" s="369">
        <f t="shared" si="430"/>
        <v>351</v>
      </c>
      <c r="AP106" s="368">
        <f t="shared" si="431"/>
        <v>351</v>
      </c>
      <c r="AQ106" s="368">
        <f t="shared" si="432"/>
        <v>351</v>
      </c>
      <c r="AR106" s="368">
        <f t="shared" si="433"/>
        <v>351</v>
      </c>
      <c r="AS106" s="369">
        <f t="shared" si="434"/>
        <v>351</v>
      </c>
      <c r="AT106" s="368">
        <f t="shared" si="435"/>
        <v>351</v>
      </c>
      <c r="AU106" s="368">
        <f t="shared" si="436"/>
        <v>351</v>
      </c>
      <c r="AV106" s="368">
        <f t="shared" si="437"/>
        <v>351</v>
      </c>
      <c r="AW106" s="369">
        <f t="shared" si="438"/>
        <v>351</v>
      </c>
      <c r="AY106" s="204"/>
      <c r="AZ106" s="335">
        <f t="shared" si="439"/>
        <v>1309.5</v>
      </c>
      <c r="BA106" s="215">
        <f t="shared" si="440"/>
        <v>1167.75</v>
      </c>
      <c r="BB106" s="215">
        <f t="shared" si="441"/>
        <v>1343.25</v>
      </c>
      <c r="BC106" s="215">
        <f t="shared" si="442"/>
        <v>1404</v>
      </c>
      <c r="BD106" s="215">
        <f t="shared" si="443"/>
        <v>1404</v>
      </c>
      <c r="BE106" s="215">
        <f t="shared" si="444"/>
        <v>1404</v>
      </c>
      <c r="BF106" s="215">
        <f t="shared" si="445"/>
        <v>1404</v>
      </c>
      <c r="BG106" s="215">
        <f t="shared" si="446"/>
        <v>1404</v>
      </c>
      <c r="BH106" s="215">
        <f t="shared" si="447"/>
        <v>1404</v>
      </c>
      <c r="BI106" s="215">
        <f t="shared" si="448"/>
        <v>1404</v>
      </c>
      <c r="BJ106" s="215">
        <f t="shared" si="449"/>
        <v>1404</v>
      </c>
      <c r="BK106" s="215">
        <f t="shared" si="450"/>
        <v>1404</v>
      </c>
    </row>
    <row r="107" spans="1:63">
      <c r="A107" s="290" t="s">
        <v>739</v>
      </c>
      <c r="B107" s="366">
        <f>Capacity!BG14/1000*3</f>
        <v>135</v>
      </c>
      <c r="C107" s="366">
        <f>Capacity!BH14/1000*3</f>
        <v>135</v>
      </c>
      <c r="D107" s="366">
        <f>Capacity!BI14/1000*3</f>
        <v>141</v>
      </c>
      <c r="E107" s="367">
        <f>Capacity!BJ14/1000*3</f>
        <v>150</v>
      </c>
      <c r="F107" s="366">
        <f>Capacity!BK14/1000*3</f>
        <v>150</v>
      </c>
      <c r="G107" s="366">
        <f>Capacity!BL14/1000*3</f>
        <v>150</v>
      </c>
      <c r="H107" s="366">
        <f>Capacity!BM14/1000*3</f>
        <v>159</v>
      </c>
      <c r="I107" s="367">
        <f>Capacity!BN14/1000*3</f>
        <v>180</v>
      </c>
      <c r="J107" s="366">
        <f>Capacity!BO14/1000*3</f>
        <v>174</v>
      </c>
      <c r="K107" s="366">
        <f>Capacity!BP14/1000*3</f>
        <v>171</v>
      </c>
      <c r="L107" s="366">
        <f>Capacity!BQ14/1000*3</f>
        <v>174</v>
      </c>
      <c r="M107" s="367">
        <f>Capacity!BR14/1000*3</f>
        <v>174</v>
      </c>
      <c r="N107" s="366">
        <f>Capacity!BS14/1000*3</f>
        <v>189</v>
      </c>
      <c r="O107" s="366">
        <f>Capacity!BT14/1000*3</f>
        <v>219</v>
      </c>
      <c r="P107" s="811">
        <f>Capacity!BU14/1000*3</f>
        <v>288.75</v>
      </c>
      <c r="Q107" s="857">
        <f>Capacity!BV14/1000*3</f>
        <v>280.04999999999995</v>
      </c>
      <c r="R107" s="811">
        <f>Capacity!BW14/1000*3</f>
        <v>280.04999999999995</v>
      </c>
      <c r="S107" s="811">
        <f>Capacity!BX14/1000*3</f>
        <v>280.04999999999995</v>
      </c>
      <c r="T107" s="811">
        <f>Capacity!BY14/1000*3</f>
        <v>280.04999999999995</v>
      </c>
      <c r="U107" s="857">
        <f>Capacity!BZ14/1000*3</f>
        <v>280.04999999999995</v>
      </c>
      <c r="V107" s="811">
        <f>Capacity!CA14/1000*3</f>
        <v>280.04999999999995</v>
      </c>
      <c r="W107" s="811">
        <f>Capacity!CB14/1000*3</f>
        <v>280.04999999999995</v>
      </c>
      <c r="X107" s="811">
        <f>Capacity!CC14/1000*3</f>
        <v>296.17200000000003</v>
      </c>
      <c r="Y107" s="857">
        <f>Capacity!CD14/1000*3</f>
        <v>299.92200000000003</v>
      </c>
      <c r="Z107" s="811">
        <f>Capacity!CE14/1000*3</f>
        <v>314.17200000000003</v>
      </c>
      <c r="AA107" s="811">
        <f>Capacity!CF14/1000*3</f>
        <v>326.17200000000003</v>
      </c>
      <c r="AB107" s="961">
        <f>Capacity!CG14/1000*3</f>
        <v>369.67200000000003</v>
      </c>
      <c r="AC107" s="991">
        <f>Capacity!CH14/1000*3</f>
        <v>378.67200000000003</v>
      </c>
      <c r="AD107" s="961">
        <f>Capacity!CI14/1000*3</f>
        <v>378.67200000000003</v>
      </c>
      <c r="AE107" s="961">
        <f>Capacity!CJ14/1000*3</f>
        <v>378.67200000000003</v>
      </c>
      <c r="AF107" s="961">
        <f>Capacity!CK14/1000*3</f>
        <v>378.67200000000003</v>
      </c>
      <c r="AG107" s="991">
        <f>Capacity!CL14/1000*3</f>
        <v>378.67200000000003</v>
      </c>
      <c r="AH107" s="961">
        <f>Capacity!CM14/1000*3</f>
        <v>378.67200000000003</v>
      </c>
      <c r="AI107" s="961">
        <f>Capacity!CN14/1000*3</f>
        <v>378.67200000000003</v>
      </c>
      <c r="AJ107" s="961">
        <f>Capacity!CO14/1000*3</f>
        <v>378.67200000000003</v>
      </c>
      <c r="AK107" s="991">
        <f>Capacity!CP14/1000*3</f>
        <v>378.67200000000003</v>
      </c>
      <c r="AL107" s="961">
        <f>Capacity!CQ14/1000*3</f>
        <v>378.67200000000003</v>
      </c>
      <c r="AM107" s="370">
        <f t="shared" ref="AM107:AN108" si="451">AL107</f>
        <v>378.67200000000003</v>
      </c>
      <c r="AN107" s="370">
        <f t="shared" si="451"/>
        <v>378.67200000000003</v>
      </c>
      <c r="AO107" s="371">
        <f>AN107</f>
        <v>378.67200000000003</v>
      </c>
      <c r="AP107" s="370">
        <f t="shared" si="431"/>
        <v>378.67200000000003</v>
      </c>
      <c r="AQ107" s="370">
        <f t="shared" si="432"/>
        <v>378.67200000000003</v>
      </c>
      <c r="AR107" s="370">
        <f t="shared" si="433"/>
        <v>378.67200000000003</v>
      </c>
      <c r="AS107" s="371">
        <f>AR107</f>
        <v>378.67200000000003</v>
      </c>
      <c r="AT107" s="370">
        <f t="shared" si="435"/>
        <v>378.67200000000003</v>
      </c>
      <c r="AU107" s="370">
        <f t="shared" si="436"/>
        <v>378.67200000000003</v>
      </c>
      <c r="AV107" s="370">
        <f t="shared" si="437"/>
        <v>378.67200000000003</v>
      </c>
      <c r="AW107" s="371">
        <f>AV107</f>
        <v>378.67200000000003</v>
      </c>
      <c r="AY107" s="204"/>
      <c r="AZ107" s="335">
        <f t="shared" si="439"/>
        <v>561</v>
      </c>
      <c r="BA107" s="215">
        <f t="shared" si="440"/>
        <v>639</v>
      </c>
      <c r="BB107" s="215">
        <f t="shared" si="441"/>
        <v>693</v>
      </c>
      <c r="BC107" s="957">
        <f t="shared" si="442"/>
        <v>976.8</v>
      </c>
      <c r="BD107" s="957">
        <f t="shared" si="443"/>
        <v>1120.1999999999998</v>
      </c>
      <c r="BE107" s="957">
        <f t="shared" si="444"/>
        <v>1156.194</v>
      </c>
      <c r="BF107" s="957">
        <f t="shared" si="445"/>
        <v>1388.6880000000001</v>
      </c>
      <c r="BG107" s="957">
        <f t="shared" si="446"/>
        <v>1514.6880000000001</v>
      </c>
      <c r="BH107" s="957">
        <f t="shared" si="447"/>
        <v>1514.6880000000001</v>
      </c>
      <c r="BI107" s="957">
        <f t="shared" si="448"/>
        <v>1514.6880000000001</v>
      </c>
      <c r="BJ107" s="957">
        <f t="shared" si="449"/>
        <v>1514.6880000000001</v>
      </c>
      <c r="BK107" s="957">
        <f t="shared" si="450"/>
        <v>1514.6880000000001</v>
      </c>
    </row>
    <row r="108" spans="1:63">
      <c r="A108" s="290" t="s">
        <v>738</v>
      </c>
      <c r="B108" s="366">
        <f>Capacity!BG15/1000*3</f>
        <v>93</v>
      </c>
      <c r="C108" s="366">
        <f>Capacity!BH15/1000*3</f>
        <v>96</v>
      </c>
      <c r="D108" s="366">
        <f>Capacity!BI15/1000*3</f>
        <v>96.225000000000009</v>
      </c>
      <c r="E108" s="367">
        <f>Capacity!BJ15/1000*3</f>
        <v>90</v>
      </c>
      <c r="F108" s="366">
        <f>Capacity!BK15/1000*3</f>
        <v>105</v>
      </c>
      <c r="G108" s="366">
        <f>Capacity!BL15/1000*3</f>
        <v>105</v>
      </c>
      <c r="H108" s="366">
        <f>Capacity!BM15/1000*3</f>
        <v>120.89999999999999</v>
      </c>
      <c r="I108" s="367">
        <f>Capacity!BN15/1000*3</f>
        <v>126</v>
      </c>
      <c r="J108" s="366">
        <f>Capacity!BO15/1000*3</f>
        <v>135</v>
      </c>
      <c r="K108" s="366">
        <f>Capacity!BP15/1000*3</f>
        <v>150</v>
      </c>
      <c r="L108" s="366">
        <f>Capacity!BQ15/1000*3</f>
        <v>156</v>
      </c>
      <c r="M108" s="367">
        <f>Capacity!BR15/1000*3</f>
        <v>165</v>
      </c>
      <c r="N108" s="366">
        <f>Capacity!BS15/1000*3</f>
        <v>165</v>
      </c>
      <c r="O108" s="366">
        <f>Capacity!BT15/1000*3</f>
        <v>138</v>
      </c>
      <c r="P108" s="811">
        <f>Capacity!BU15/1000*3</f>
        <v>138</v>
      </c>
      <c r="Q108" s="857">
        <f>Capacity!BV15/1000*3</f>
        <v>138</v>
      </c>
      <c r="R108" s="811">
        <f>Capacity!BW15/1000*3</f>
        <v>198</v>
      </c>
      <c r="S108" s="811">
        <f>Capacity!BX15/1000*3</f>
        <v>240</v>
      </c>
      <c r="T108" s="811">
        <f>Capacity!BY15/1000*3</f>
        <v>256.125</v>
      </c>
      <c r="U108" s="857">
        <f>Capacity!BZ15/1000*3</f>
        <v>276.74699999999996</v>
      </c>
      <c r="V108" s="811">
        <f>Capacity!CA15/1000*3</f>
        <v>300.37199999999996</v>
      </c>
      <c r="W108" s="811">
        <f>Capacity!CB15/1000*3</f>
        <v>320.25</v>
      </c>
      <c r="X108" s="811">
        <f>Capacity!CC15/1000*3</f>
        <v>340.12800000000004</v>
      </c>
      <c r="Y108" s="857">
        <f>Capacity!CD15/1000*3</f>
        <v>340.12800000000004</v>
      </c>
      <c r="Z108" s="811">
        <f>Capacity!CE15/1000*3</f>
        <v>340.12800000000004</v>
      </c>
      <c r="AA108" s="811">
        <f>Capacity!CF15/1000*3</f>
        <v>340.12800000000004</v>
      </c>
      <c r="AB108" s="811">
        <f>Capacity!CG15/1000*3</f>
        <v>340.12800000000004</v>
      </c>
      <c r="AC108" s="857">
        <f>Capacity!CH15/1000*3</f>
        <v>340.12800000000004</v>
      </c>
      <c r="AD108" s="811">
        <f>Capacity!CI15/1000*3</f>
        <v>340.12800000000004</v>
      </c>
      <c r="AE108" s="811">
        <f>Capacity!CJ15/1000*3</f>
        <v>340.12800000000004</v>
      </c>
      <c r="AF108" s="811">
        <f>Capacity!CK15/1000*3</f>
        <v>340.12800000000004</v>
      </c>
      <c r="AG108" s="857">
        <f>Capacity!CL15/1000*3</f>
        <v>340.12800000000004</v>
      </c>
      <c r="AH108" s="811">
        <f>Capacity!CM15/1000*3</f>
        <v>340.12800000000004</v>
      </c>
      <c r="AI108" s="811">
        <f>Capacity!CN15/1000*3</f>
        <v>340.12800000000004</v>
      </c>
      <c r="AJ108" s="811">
        <f>Capacity!CO15/1000*3</f>
        <v>340.12800000000004</v>
      </c>
      <c r="AK108" s="857">
        <f>Capacity!CP15/1000*3</f>
        <v>340.12800000000004</v>
      </c>
      <c r="AL108" s="811">
        <f>Capacity!CQ15/1000*3</f>
        <v>340.12800000000004</v>
      </c>
      <c r="AM108" s="370">
        <f t="shared" si="451"/>
        <v>340.12800000000004</v>
      </c>
      <c r="AN108" s="370">
        <f t="shared" si="451"/>
        <v>340.12800000000004</v>
      </c>
      <c r="AO108" s="371">
        <f>AN108</f>
        <v>340.12800000000004</v>
      </c>
      <c r="AP108" s="370">
        <f t="shared" si="431"/>
        <v>340.12800000000004</v>
      </c>
      <c r="AQ108" s="370">
        <f t="shared" si="432"/>
        <v>340.12800000000004</v>
      </c>
      <c r="AR108" s="370">
        <f t="shared" si="433"/>
        <v>340.12800000000004</v>
      </c>
      <c r="AS108" s="371">
        <f>AR108</f>
        <v>340.12800000000004</v>
      </c>
      <c r="AT108" s="370">
        <f t="shared" si="435"/>
        <v>340.12800000000004</v>
      </c>
      <c r="AU108" s="370">
        <f t="shared" si="436"/>
        <v>340.12800000000004</v>
      </c>
      <c r="AV108" s="370">
        <f t="shared" si="437"/>
        <v>340.12800000000004</v>
      </c>
      <c r="AW108" s="371">
        <f>AV108</f>
        <v>340.12800000000004</v>
      </c>
      <c r="AY108" s="204"/>
      <c r="AZ108" s="335">
        <f t="shared" si="439"/>
        <v>375.22500000000002</v>
      </c>
      <c r="BA108" s="215">
        <f t="shared" si="440"/>
        <v>456.9</v>
      </c>
      <c r="BB108" s="215">
        <f t="shared" si="441"/>
        <v>606</v>
      </c>
      <c r="BC108" s="957">
        <f t="shared" si="442"/>
        <v>579</v>
      </c>
      <c r="BD108" s="957">
        <f t="shared" si="443"/>
        <v>970.87199999999996</v>
      </c>
      <c r="BE108" s="957">
        <f t="shared" si="444"/>
        <v>1300.8780000000002</v>
      </c>
      <c r="BF108" s="957">
        <f t="shared" si="445"/>
        <v>1360.5120000000002</v>
      </c>
      <c r="BG108" s="957">
        <f t="shared" si="446"/>
        <v>1360.5120000000002</v>
      </c>
      <c r="BH108" s="957">
        <f t="shared" si="447"/>
        <v>1360.5120000000002</v>
      </c>
      <c r="BI108" s="957">
        <f t="shared" si="448"/>
        <v>1360.5120000000002</v>
      </c>
      <c r="BJ108" s="957">
        <f t="shared" si="449"/>
        <v>1360.5120000000002</v>
      </c>
      <c r="BK108" s="957">
        <f t="shared" si="450"/>
        <v>1360.5120000000002</v>
      </c>
    </row>
    <row r="109" spans="1:63">
      <c r="A109" s="290" t="s">
        <v>1099</v>
      </c>
      <c r="B109" s="366">
        <f>Capacity!BG16/1000*3</f>
        <v>0</v>
      </c>
      <c r="C109" s="366">
        <f>Capacity!BH16/1000*3</f>
        <v>0</v>
      </c>
      <c r="D109" s="366">
        <f>Capacity!BI16/1000*3</f>
        <v>0</v>
      </c>
      <c r="E109" s="367">
        <f>Capacity!BJ16/1000*3</f>
        <v>20.25</v>
      </c>
      <c r="F109" s="366">
        <f>Capacity!BK16/1000*3</f>
        <v>20.25</v>
      </c>
      <c r="G109" s="366">
        <f>Capacity!BL16/1000*3</f>
        <v>20.25</v>
      </c>
      <c r="H109" s="366">
        <f>Capacity!BM16/1000*3</f>
        <v>20.25</v>
      </c>
      <c r="I109" s="367">
        <f>Capacity!BN16/1000*3</f>
        <v>20.25</v>
      </c>
      <c r="J109" s="366">
        <f>Capacity!BO16/1000*3</f>
        <v>20.25</v>
      </c>
      <c r="K109" s="366">
        <f>Capacity!BP16/1000*3</f>
        <v>20.25</v>
      </c>
      <c r="L109" s="366">
        <f>Capacity!BQ16/1000*3</f>
        <v>20.25</v>
      </c>
      <c r="M109" s="367">
        <f>Capacity!BR16/1000*3</f>
        <v>0</v>
      </c>
      <c r="N109" s="366">
        <f>Capacity!BS16/1000*3</f>
        <v>0</v>
      </c>
      <c r="O109" s="366">
        <f>Capacity!BT16/1000*3</f>
        <v>0</v>
      </c>
      <c r="P109" s="811">
        <f>Capacity!BU16/1000*3</f>
        <v>0</v>
      </c>
      <c r="Q109" s="857">
        <f>Capacity!BV16/1000*3</f>
        <v>0</v>
      </c>
      <c r="R109" s="811">
        <f>Capacity!BW16/1000*3</f>
        <v>0</v>
      </c>
      <c r="S109" s="811">
        <f>Capacity!BX16/1000*3</f>
        <v>0</v>
      </c>
      <c r="T109" s="811">
        <f>Capacity!BY16/1000*3</f>
        <v>0</v>
      </c>
      <c r="U109" s="857">
        <f>Capacity!BZ16/1000*3</f>
        <v>0</v>
      </c>
      <c r="V109" s="811">
        <f>Capacity!CA16/1000*3</f>
        <v>0</v>
      </c>
      <c r="W109" s="811">
        <f>Capacity!CB16/1000*3</f>
        <v>54</v>
      </c>
      <c r="X109" s="811">
        <f>Capacity!CC16/1000*3</f>
        <v>114.75</v>
      </c>
      <c r="Y109" s="857">
        <f>Capacity!CD16/1000*3</f>
        <v>135</v>
      </c>
      <c r="Z109" s="811">
        <f>Capacity!CE16/1000*3</f>
        <v>175.5</v>
      </c>
      <c r="AA109" s="811">
        <f>Capacity!CF16/1000*3</f>
        <v>229.5</v>
      </c>
      <c r="AB109" s="961">
        <f>Capacity!CG16/1000*3</f>
        <v>270</v>
      </c>
      <c r="AC109" s="991">
        <f>Capacity!CH16/1000*3</f>
        <v>270</v>
      </c>
      <c r="AD109" s="961">
        <f>Capacity!CI16/1000*3</f>
        <v>270</v>
      </c>
      <c r="AE109" s="961">
        <f>Capacity!CJ16/1000*3</f>
        <v>270</v>
      </c>
      <c r="AF109" s="961">
        <f>Capacity!CK16/1000*3</f>
        <v>270</v>
      </c>
      <c r="AG109" s="991">
        <f>Capacity!CL16/1000*3</f>
        <v>270</v>
      </c>
      <c r="AH109" s="961">
        <f>Capacity!CM16/1000*3</f>
        <v>270</v>
      </c>
      <c r="AI109" s="961">
        <f>Capacity!CN16/1000*3</f>
        <v>270</v>
      </c>
      <c r="AJ109" s="961">
        <f>Capacity!CO16/1000*3</f>
        <v>270</v>
      </c>
      <c r="AK109" s="991">
        <f>Capacity!CP16/1000*3</f>
        <v>270</v>
      </c>
      <c r="AL109" s="961">
        <f>Capacity!CQ16/1000*3</f>
        <v>270</v>
      </c>
      <c r="AM109" s="370">
        <f t="shared" ref="AM109:AO109" si="452">AL109</f>
        <v>270</v>
      </c>
      <c r="AN109" s="370">
        <f t="shared" si="452"/>
        <v>270</v>
      </c>
      <c r="AO109" s="371">
        <f t="shared" si="452"/>
        <v>270</v>
      </c>
      <c r="AP109" s="370">
        <f t="shared" si="431"/>
        <v>270</v>
      </c>
      <c r="AQ109" s="370">
        <f t="shared" si="432"/>
        <v>270</v>
      </c>
      <c r="AR109" s="370">
        <f t="shared" si="433"/>
        <v>270</v>
      </c>
      <c r="AS109" s="371">
        <f t="shared" ref="AS109:AS110" si="453">AR109</f>
        <v>270</v>
      </c>
      <c r="AT109" s="370">
        <f t="shared" si="435"/>
        <v>270</v>
      </c>
      <c r="AU109" s="370">
        <f t="shared" si="436"/>
        <v>270</v>
      </c>
      <c r="AV109" s="370">
        <f t="shared" si="437"/>
        <v>270</v>
      </c>
      <c r="AW109" s="371">
        <f t="shared" ref="AW109:AW110" si="454">AV109</f>
        <v>270</v>
      </c>
      <c r="AY109" s="204"/>
      <c r="AZ109" s="335">
        <f t="shared" si="439"/>
        <v>20.25</v>
      </c>
      <c r="BA109" s="215">
        <f t="shared" si="440"/>
        <v>81</v>
      </c>
      <c r="BB109" s="215">
        <f t="shared" si="441"/>
        <v>60.75</v>
      </c>
      <c r="BC109" s="957">
        <f t="shared" si="442"/>
        <v>0</v>
      </c>
      <c r="BD109" s="957">
        <f t="shared" si="443"/>
        <v>0</v>
      </c>
      <c r="BE109" s="957">
        <f t="shared" si="444"/>
        <v>303.75</v>
      </c>
      <c r="BF109" s="957">
        <f t="shared" si="445"/>
        <v>945</v>
      </c>
      <c r="BG109" s="957">
        <f t="shared" si="446"/>
        <v>1080</v>
      </c>
      <c r="BH109" s="957">
        <f t="shared" si="447"/>
        <v>1080</v>
      </c>
      <c r="BI109" s="957">
        <f t="shared" si="448"/>
        <v>1080</v>
      </c>
      <c r="BJ109" s="957">
        <f t="shared" si="449"/>
        <v>1080</v>
      </c>
      <c r="BK109" s="957">
        <f t="shared" si="450"/>
        <v>1080</v>
      </c>
    </row>
    <row r="110" spans="1:63">
      <c r="A110" s="290" t="s">
        <v>736</v>
      </c>
      <c r="B110" s="366">
        <f>Capacity!BG17/1000*3</f>
        <v>128.25</v>
      </c>
      <c r="C110" s="366">
        <f>Capacity!BH17/1000*3</f>
        <v>155.25</v>
      </c>
      <c r="D110" s="366">
        <f>Capacity!BI17/1000*3</f>
        <v>185.625</v>
      </c>
      <c r="E110" s="367">
        <f>Capacity!BJ17/1000*3</f>
        <v>195.75</v>
      </c>
      <c r="F110" s="366">
        <f>Capacity!BK17/1000*3</f>
        <v>195.75</v>
      </c>
      <c r="G110" s="366">
        <f>Capacity!BL17/1000*3</f>
        <v>216</v>
      </c>
      <c r="H110" s="366">
        <f>Capacity!BM17/1000*3</f>
        <v>222.75</v>
      </c>
      <c r="I110" s="367">
        <f>Capacity!BN17/1000*3</f>
        <v>222.75</v>
      </c>
      <c r="J110" s="366">
        <f>Capacity!BO17/1000*3</f>
        <v>222.75</v>
      </c>
      <c r="K110" s="366">
        <f>Capacity!BP17/1000*3</f>
        <v>243</v>
      </c>
      <c r="L110" s="366">
        <f>Capacity!BQ17/1000*3</f>
        <v>253.79999999999998</v>
      </c>
      <c r="M110" s="367">
        <f>Capacity!BR17/1000*3</f>
        <v>276.75</v>
      </c>
      <c r="N110" s="366">
        <f>Capacity!BS17/1000*3</f>
        <v>337.5</v>
      </c>
      <c r="O110" s="366">
        <f>Capacity!BT17/1000*3</f>
        <v>337.5</v>
      </c>
      <c r="P110" s="811">
        <f>Capacity!BU17/1000*3</f>
        <v>337.5</v>
      </c>
      <c r="Q110" s="857">
        <f>Capacity!BV17/1000*3</f>
        <v>337.5</v>
      </c>
      <c r="R110" s="811">
        <f>Capacity!BW17/1000*3</f>
        <v>337.5</v>
      </c>
      <c r="S110" s="811">
        <f>Capacity!BX17/1000*3</f>
        <v>357.75</v>
      </c>
      <c r="T110" s="811">
        <f>Capacity!BY17/1000*3</f>
        <v>438.75</v>
      </c>
      <c r="U110" s="857">
        <f>Capacity!BZ17/1000*3</f>
        <v>499.5</v>
      </c>
      <c r="V110" s="811">
        <f>Capacity!CA17/1000*3</f>
        <v>560.25</v>
      </c>
      <c r="W110" s="811">
        <f>Capacity!CB17/1000*3</f>
        <v>560.25</v>
      </c>
      <c r="X110" s="811">
        <f>Capacity!CC17/1000*3</f>
        <v>560.25</v>
      </c>
      <c r="Y110" s="857">
        <f>Capacity!CD17/1000*3</f>
        <v>560.25</v>
      </c>
      <c r="Z110" s="811">
        <f>Capacity!CE17/1000*3</f>
        <v>560.25</v>
      </c>
      <c r="AA110" s="811">
        <f>Capacity!CF17/1000*3</f>
        <v>560.25</v>
      </c>
      <c r="AB110" s="811">
        <f>Capacity!CG17/1000*3</f>
        <v>560.25</v>
      </c>
      <c r="AC110" s="857">
        <f>Capacity!CH17/1000*3</f>
        <v>560.25</v>
      </c>
      <c r="AD110" s="811">
        <f>Capacity!CI17/1000*3</f>
        <v>560.25</v>
      </c>
      <c r="AE110" s="811">
        <f>Capacity!CJ17/1000*3</f>
        <v>560.25</v>
      </c>
      <c r="AF110" s="811">
        <f>Capacity!CK17/1000*3</f>
        <v>560.25</v>
      </c>
      <c r="AG110" s="857">
        <f>Capacity!CL17/1000*3</f>
        <v>560.25</v>
      </c>
      <c r="AH110" s="811">
        <f>Capacity!CM17/1000*3</f>
        <v>560.25</v>
      </c>
      <c r="AI110" s="811">
        <f>Capacity!CN17/1000*3</f>
        <v>560.25</v>
      </c>
      <c r="AJ110" s="811">
        <f>Capacity!CO17/1000*3</f>
        <v>560.25</v>
      </c>
      <c r="AK110" s="857">
        <f>Capacity!CP17/1000*3</f>
        <v>560.25</v>
      </c>
      <c r="AL110" s="811">
        <f>Capacity!CQ17/1000*3</f>
        <v>560.25</v>
      </c>
      <c r="AM110" s="370">
        <f t="shared" ref="AM110:AO110" si="455">AL110</f>
        <v>560.25</v>
      </c>
      <c r="AN110" s="370">
        <f t="shared" si="455"/>
        <v>560.25</v>
      </c>
      <c r="AO110" s="371">
        <f t="shared" si="455"/>
        <v>560.25</v>
      </c>
      <c r="AP110" s="370">
        <f t="shared" si="431"/>
        <v>560.25</v>
      </c>
      <c r="AQ110" s="370">
        <f t="shared" si="432"/>
        <v>560.25</v>
      </c>
      <c r="AR110" s="370">
        <f t="shared" si="433"/>
        <v>560.25</v>
      </c>
      <c r="AS110" s="371">
        <f t="shared" si="453"/>
        <v>560.25</v>
      </c>
      <c r="AT110" s="370">
        <f t="shared" si="435"/>
        <v>560.25</v>
      </c>
      <c r="AU110" s="370">
        <f t="shared" si="436"/>
        <v>560.25</v>
      </c>
      <c r="AV110" s="370">
        <f t="shared" si="437"/>
        <v>560.25</v>
      </c>
      <c r="AW110" s="371">
        <f t="shared" si="454"/>
        <v>560.25</v>
      </c>
      <c r="AY110" s="204"/>
      <c r="AZ110" s="335">
        <f t="shared" si="439"/>
        <v>664.875</v>
      </c>
      <c r="BA110" s="215">
        <f t="shared" si="440"/>
        <v>857.25</v>
      </c>
      <c r="BB110" s="215">
        <f t="shared" si="441"/>
        <v>996.3</v>
      </c>
      <c r="BC110" s="215">
        <f t="shared" si="442"/>
        <v>1350</v>
      </c>
      <c r="BD110" s="215">
        <f t="shared" si="443"/>
        <v>1633.5</v>
      </c>
      <c r="BE110" s="215">
        <f t="shared" si="444"/>
        <v>2241</v>
      </c>
      <c r="BF110" s="215">
        <f t="shared" si="445"/>
        <v>2241</v>
      </c>
      <c r="BG110" s="215">
        <f t="shared" si="446"/>
        <v>2241</v>
      </c>
      <c r="BH110" s="215">
        <f t="shared" si="447"/>
        <v>2241</v>
      </c>
      <c r="BI110" s="215">
        <f t="shared" si="448"/>
        <v>2241</v>
      </c>
      <c r="BJ110" s="215">
        <f t="shared" si="449"/>
        <v>2241</v>
      </c>
      <c r="BK110" s="215">
        <f t="shared" si="450"/>
        <v>2241</v>
      </c>
    </row>
    <row r="111" spans="1:63">
      <c r="A111" s="791" t="s">
        <v>735</v>
      </c>
      <c r="B111" s="792">
        <f>Capacity!BG22/1000*3</f>
        <v>120</v>
      </c>
      <c r="C111" s="792">
        <f>Capacity!BH22/1000*3</f>
        <v>120</v>
      </c>
      <c r="D111" s="792">
        <f>Capacity!BI22/1000*3</f>
        <v>120</v>
      </c>
      <c r="E111" s="793">
        <f>Capacity!BJ22/1000*3</f>
        <v>120</v>
      </c>
      <c r="F111" s="792">
        <f>Capacity!BK22/1000*3</f>
        <v>120</v>
      </c>
      <c r="G111" s="792">
        <f>Capacity!BL22/1000*3</f>
        <v>126.97500000000001</v>
      </c>
      <c r="H111" s="792">
        <f>Capacity!BM22/1000*3</f>
        <v>126.97500000000001</v>
      </c>
      <c r="I111" s="793">
        <f>Capacity!BN22/1000*3</f>
        <v>126.97500000000001</v>
      </c>
      <c r="J111" s="792">
        <f>Capacity!BO22/1000*3</f>
        <v>126.97500000000001</v>
      </c>
      <c r="K111" s="792">
        <f>Capacity!BP22/1000*3</f>
        <v>126.97500000000001</v>
      </c>
      <c r="L111" s="794">
        <v>0</v>
      </c>
      <c r="M111" s="795"/>
      <c r="N111" s="796"/>
      <c r="O111" s="796"/>
      <c r="P111" s="812"/>
      <c r="Q111" s="858"/>
      <c r="R111" s="812"/>
      <c r="S111" s="812"/>
      <c r="T111" s="812"/>
      <c r="U111" s="858"/>
      <c r="V111" s="812"/>
      <c r="W111" s="812"/>
      <c r="X111" s="812"/>
      <c r="Y111" s="858"/>
      <c r="Z111" s="812"/>
      <c r="AA111" s="812"/>
      <c r="AB111" s="812"/>
      <c r="AC111" s="858"/>
      <c r="AD111" s="812"/>
      <c r="AE111" s="796"/>
      <c r="AF111" s="796"/>
      <c r="AG111" s="795"/>
      <c r="AH111" s="796"/>
      <c r="AI111" s="796"/>
      <c r="AJ111" s="796"/>
      <c r="AK111" s="795"/>
      <c r="AL111" s="796"/>
      <c r="AM111" s="796"/>
      <c r="AN111" s="796"/>
      <c r="AO111" s="795"/>
      <c r="AP111" s="796"/>
      <c r="AQ111" s="796"/>
      <c r="AR111" s="796"/>
      <c r="AS111" s="795"/>
      <c r="AT111" s="796"/>
      <c r="AU111" s="796"/>
      <c r="AV111" s="796"/>
      <c r="AW111" s="795"/>
      <c r="AY111" s="204"/>
      <c r="AZ111" s="335">
        <f t="shared" si="439"/>
        <v>480</v>
      </c>
      <c r="BA111" s="215">
        <f t="shared" si="440"/>
        <v>500.92500000000007</v>
      </c>
      <c r="BB111" s="215">
        <f t="shared" si="441"/>
        <v>253.95000000000002</v>
      </c>
      <c r="BC111" s="215">
        <f t="shared" si="442"/>
        <v>0</v>
      </c>
      <c r="BD111" s="215">
        <f t="shared" si="443"/>
        <v>0</v>
      </c>
      <c r="BE111" s="215">
        <f t="shared" si="444"/>
        <v>0</v>
      </c>
      <c r="BF111" s="215">
        <f t="shared" si="445"/>
        <v>0</v>
      </c>
      <c r="BG111" s="215">
        <f t="shared" si="446"/>
        <v>0</v>
      </c>
      <c r="BH111" s="215">
        <f t="shared" si="447"/>
        <v>0</v>
      </c>
      <c r="BI111" s="215">
        <f t="shared" si="448"/>
        <v>0</v>
      </c>
      <c r="BJ111" s="215">
        <f t="shared" si="449"/>
        <v>0</v>
      </c>
      <c r="BK111" s="215">
        <f t="shared" si="450"/>
        <v>0</v>
      </c>
    </row>
    <row r="112" spans="1:63">
      <c r="A112" s="290" t="s">
        <v>734</v>
      </c>
      <c r="B112" s="372"/>
      <c r="C112" s="372"/>
      <c r="D112" s="372"/>
      <c r="E112" s="373"/>
      <c r="F112" s="372"/>
      <c r="G112" s="372"/>
      <c r="H112" s="372"/>
      <c r="I112" s="373"/>
      <c r="J112" s="372"/>
      <c r="K112" s="372"/>
      <c r="L112" s="372"/>
      <c r="M112" s="367">
        <f>Capacity!BR18/1000*3</f>
        <v>20.25</v>
      </c>
      <c r="N112" s="366">
        <f>Capacity!BS18/1000*3</f>
        <v>27</v>
      </c>
      <c r="O112" s="366">
        <f>Capacity!BT18/1000*3</f>
        <v>40.5</v>
      </c>
      <c r="P112" s="811">
        <f>Capacity!BU18/1000*3</f>
        <v>60.75</v>
      </c>
      <c r="Q112" s="857">
        <f>Capacity!BV18/1000*3</f>
        <v>101.25</v>
      </c>
      <c r="R112" s="811">
        <f>Capacity!BW18/1000*3</f>
        <v>101.25</v>
      </c>
      <c r="S112" s="811">
        <f>Capacity!BX18/1000*3</f>
        <v>101.25</v>
      </c>
      <c r="T112" s="811">
        <f>Capacity!BY18/1000*3</f>
        <v>101.25</v>
      </c>
      <c r="U112" s="857">
        <f>Capacity!BZ18/1000*3</f>
        <v>101.25</v>
      </c>
      <c r="V112" s="811">
        <f>Capacity!CA18/1000*3</f>
        <v>101.25</v>
      </c>
      <c r="W112" s="811">
        <f>Capacity!CB18/1000*3</f>
        <v>101.25</v>
      </c>
      <c r="X112" s="811">
        <f>Capacity!CC18/1000*3</f>
        <v>101.25</v>
      </c>
      <c r="Y112" s="857">
        <f>Capacity!CD18/1000*3</f>
        <v>101.25</v>
      </c>
      <c r="Z112" s="811">
        <f>Capacity!CE18/1000*3</f>
        <v>101.25</v>
      </c>
      <c r="AA112" s="811">
        <f>Capacity!CF18/1000*3</f>
        <v>101.25</v>
      </c>
      <c r="AB112" s="811">
        <f>Capacity!CG18/1000*3</f>
        <v>101.25</v>
      </c>
      <c r="AC112" s="857">
        <f>Capacity!CH18/1000*3</f>
        <v>101.25</v>
      </c>
      <c r="AD112" s="811">
        <f>Capacity!CI18/1000*3</f>
        <v>101.25</v>
      </c>
      <c r="AE112" s="811">
        <f>Capacity!CJ18/1000*3</f>
        <v>101.25</v>
      </c>
      <c r="AF112" s="811">
        <f>Capacity!CK18/1000*3</f>
        <v>101.25</v>
      </c>
      <c r="AG112" s="857">
        <f>Capacity!CL18/1000*3</f>
        <v>101.25</v>
      </c>
      <c r="AH112" s="811">
        <f>Capacity!CM18/1000*3</f>
        <v>101.25</v>
      </c>
      <c r="AI112" s="811">
        <f>Capacity!CN18/1000*3</f>
        <v>101.25</v>
      </c>
      <c r="AJ112" s="811">
        <f>Capacity!CO18/1000*3</f>
        <v>101.25</v>
      </c>
      <c r="AK112" s="857">
        <f>Capacity!CP18/1000*3</f>
        <v>101.25</v>
      </c>
      <c r="AL112" s="811">
        <f>Capacity!CQ18/1000*3</f>
        <v>101.25</v>
      </c>
      <c r="AM112" s="370">
        <f t="shared" ref="AM112:AO112" si="456">AL112</f>
        <v>101.25</v>
      </c>
      <c r="AN112" s="370">
        <f t="shared" si="456"/>
        <v>101.25</v>
      </c>
      <c r="AO112" s="371">
        <f t="shared" si="456"/>
        <v>101.25</v>
      </c>
      <c r="AP112" s="370">
        <f t="shared" ref="AP112" si="457">AO112</f>
        <v>101.25</v>
      </c>
      <c r="AQ112" s="370">
        <f t="shared" ref="AQ112" si="458">AP112</f>
        <v>101.25</v>
      </c>
      <c r="AR112" s="370">
        <f t="shared" ref="AR112" si="459">AQ112</f>
        <v>101.25</v>
      </c>
      <c r="AS112" s="371">
        <f t="shared" ref="AS112" si="460">AR112</f>
        <v>101.25</v>
      </c>
      <c r="AT112" s="370">
        <f t="shared" ref="AT112" si="461">AS112</f>
        <v>101.25</v>
      </c>
      <c r="AU112" s="370">
        <f t="shared" ref="AU112" si="462">AT112</f>
        <v>101.25</v>
      </c>
      <c r="AV112" s="370">
        <f t="shared" ref="AV112" si="463">AU112</f>
        <v>101.25</v>
      </c>
      <c r="AW112" s="371">
        <f t="shared" ref="AW112" si="464">AV112</f>
        <v>101.25</v>
      </c>
      <c r="AY112" s="204"/>
      <c r="AZ112" s="335">
        <f t="shared" si="439"/>
        <v>0</v>
      </c>
      <c r="BA112" s="215">
        <f t="shared" si="440"/>
        <v>0</v>
      </c>
      <c r="BB112" s="215">
        <f t="shared" si="441"/>
        <v>20.25</v>
      </c>
      <c r="BC112" s="215">
        <f t="shared" si="442"/>
        <v>229.5</v>
      </c>
      <c r="BD112" s="215">
        <f t="shared" si="443"/>
        <v>405</v>
      </c>
      <c r="BE112" s="215">
        <f t="shared" si="444"/>
        <v>405</v>
      </c>
      <c r="BF112" s="215">
        <f t="shared" si="445"/>
        <v>405</v>
      </c>
      <c r="BG112" s="215">
        <f t="shared" si="446"/>
        <v>405</v>
      </c>
      <c r="BH112" s="215">
        <f t="shared" si="447"/>
        <v>405</v>
      </c>
      <c r="BI112" s="215">
        <f t="shared" si="448"/>
        <v>405</v>
      </c>
      <c r="BJ112" s="215">
        <f t="shared" si="449"/>
        <v>405</v>
      </c>
      <c r="BK112" s="215">
        <f t="shared" si="450"/>
        <v>405</v>
      </c>
    </row>
    <row r="113" spans="1:63">
      <c r="A113" s="290" t="s">
        <v>1101</v>
      </c>
      <c r="B113" s="372"/>
      <c r="C113" s="372"/>
      <c r="D113" s="372"/>
      <c r="E113" s="373"/>
      <c r="F113" s="372"/>
      <c r="G113" s="372"/>
      <c r="H113" s="372"/>
      <c r="I113" s="373"/>
      <c r="J113" s="372"/>
      <c r="K113" s="372"/>
      <c r="L113" s="372"/>
      <c r="M113" s="367"/>
      <c r="N113" s="366"/>
      <c r="O113" s="366"/>
      <c r="P113" s="366"/>
      <c r="Q113" s="369"/>
      <c r="R113" s="368"/>
      <c r="S113" s="368"/>
      <c r="T113" s="368"/>
      <c r="U113" s="369"/>
      <c r="V113" s="368"/>
      <c r="W113" s="368"/>
      <c r="X113" s="368"/>
      <c r="Y113" s="369"/>
      <c r="Z113" s="368"/>
      <c r="AA113" s="368"/>
      <c r="AB113" s="961">
        <f>Capacity!CG19/1000*3</f>
        <v>40.5</v>
      </c>
      <c r="AC113" s="991">
        <f>Capacity!CH19/1000*3</f>
        <v>60.75</v>
      </c>
      <c r="AD113" s="961">
        <f>Capacity!CI19/1000*3</f>
        <v>81</v>
      </c>
      <c r="AE113" s="961">
        <f>Capacity!CJ19/1000*3</f>
        <v>121.5</v>
      </c>
      <c r="AF113" s="961">
        <f>Capacity!CK19/1000*3</f>
        <v>202.5</v>
      </c>
      <c r="AG113" s="991">
        <f>Capacity!CL19/1000*3</f>
        <v>303.75</v>
      </c>
      <c r="AH113" s="961">
        <f>Capacity!CM19/1000*3</f>
        <v>337.5</v>
      </c>
      <c r="AI113" s="961">
        <f>Capacity!CN19/1000*3</f>
        <v>357.75</v>
      </c>
      <c r="AJ113" s="961">
        <f>Capacity!CO19/1000*3</f>
        <v>391.5</v>
      </c>
      <c r="AK113" s="991">
        <f>Capacity!CP19/1000*3</f>
        <v>398.25</v>
      </c>
      <c r="AL113" s="961">
        <f>Capacity!CQ19/1000*3</f>
        <v>405</v>
      </c>
      <c r="AM113" s="370">
        <f>AL113+4*3*2.25</f>
        <v>432</v>
      </c>
      <c r="AN113" s="370">
        <f>AM113+5*3*2.25</f>
        <v>465.75</v>
      </c>
      <c r="AO113" s="371">
        <f>AN113+3*3*2.25</f>
        <v>486</v>
      </c>
      <c r="AP113" s="370">
        <f>AO113+3*3*2.25</f>
        <v>506.25</v>
      </c>
      <c r="AQ113" s="370">
        <f>AP113+6*3*2.25</f>
        <v>546.75</v>
      </c>
      <c r="AR113" s="370">
        <f>AQ113+6*3*2.25</f>
        <v>587.25</v>
      </c>
      <c r="AS113" s="371">
        <f>AR113+3*3*2.25</f>
        <v>607.5</v>
      </c>
      <c r="AT113" s="370">
        <f>AS113+3*3*2.25</f>
        <v>627.75</v>
      </c>
      <c r="AU113" s="370">
        <f>AT113+6*3*2.25</f>
        <v>668.25</v>
      </c>
      <c r="AV113" s="370">
        <f>AU113+4*3*2.25</f>
        <v>695.25</v>
      </c>
      <c r="AW113" s="371">
        <f>AV113+3*3*2.25</f>
        <v>715.5</v>
      </c>
      <c r="AY113" s="204"/>
      <c r="AZ113" s="335"/>
      <c r="BA113" s="215"/>
      <c r="BB113" s="215"/>
      <c r="BC113" s="957"/>
      <c r="BD113" s="957"/>
      <c r="BE113" s="957">
        <f t="shared" si="444"/>
        <v>0</v>
      </c>
      <c r="BF113" s="957">
        <f t="shared" si="445"/>
        <v>101.25</v>
      </c>
      <c r="BG113" s="957">
        <f t="shared" si="446"/>
        <v>708.75</v>
      </c>
      <c r="BH113" s="957">
        <f t="shared" si="447"/>
        <v>1485</v>
      </c>
      <c r="BI113" s="957">
        <f t="shared" si="448"/>
        <v>1788.75</v>
      </c>
      <c r="BJ113" s="957">
        <f t="shared" si="449"/>
        <v>2247.75</v>
      </c>
      <c r="BK113" s="957">
        <f t="shared" si="450"/>
        <v>2706.75</v>
      </c>
    </row>
    <row r="114" spans="1:63" s="976" customFormat="1">
      <c r="A114" s="963" t="s">
        <v>1108</v>
      </c>
      <c r="B114" s="970"/>
      <c r="C114" s="970"/>
      <c r="D114" s="970"/>
      <c r="E114" s="971"/>
      <c r="F114" s="970"/>
      <c r="G114" s="970"/>
      <c r="H114" s="970"/>
      <c r="I114" s="971"/>
      <c r="J114" s="970"/>
      <c r="K114" s="970"/>
      <c r="L114" s="970"/>
      <c r="M114" s="972"/>
      <c r="N114" s="973"/>
      <c r="O114" s="973"/>
      <c r="P114" s="973"/>
      <c r="Q114" s="974"/>
      <c r="R114" s="975"/>
      <c r="S114" s="975"/>
      <c r="T114" s="975"/>
      <c r="U114" s="974"/>
      <c r="V114" s="975"/>
      <c r="W114" s="975"/>
      <c r="X114" s="975"/>
      <c r="Y114" s="974"/>
      <c r="Z114" s="975"/>
      <c r="AA114" s="975"/>
      <c r="AB114" s="975"/>
      <c r="AC114" s="974"/>
      <c r="AD114" s="961">
        <f>Capacity!CI20/1000*3</f>
        <v>6.75</v>
      </c>
      <c r="AE114" s="961">
        <f>Capacity!CJ20/1000*3</f>
        <v>33.75</v>
      </c>
      <c r="AF114" s="961">
        <f>Capacity!CK20/1000*3</f>
        <v>94.5</v>
      </c>
      <c r="AG114" s="991">
        <f>Capacity!CL20/1000*3</f>
        <v>183.375</v>
      </c>
      <c r="AH114" s="961">
        <f>Capacity!CM20/1000*3</f>
        <v>213.75</v>
      </c>
      <c r="AI114" s="961">
        <f>Capacity!CN20/1000*3</f>
        <v>234</v>
      </c>
      <c r="AJ114" s="961">
        <f>Capacity!CO20/1000*3</f>
        <v>261</v>
      </c>
      <c r="AK114" s="991">
        <f>Capacity!CP20/1000*3</f>
        <v>355.5</v>
      </c>
      <c r="AL114" s="961">
        <f>Capacity!CQ20/1000*3</f>
        <v>400.5</v>
      </c>
      <c r="AM114" s="370">
        <f>AL114+4*3*2.25</f>
        <v>427.5</v>
      </c>
      <c r="AN114" s="370">
        <f>AM114+7*3*2.25</f>
        <v>474.75</v>
      </c>
      <c r="AO114" s="371">
        <f>AN114+3*3*2.25</f>
        <v>495</v>
      </c>
      <c r="AP114" s="370">
        <f>AO114+3*3*2.25</f>
        <v>515.25</v>
      </c>
      <c r="AQ114" s="370">
        <f>AP114+6*3*2.25</f>
        <v>555.75</v>
      </c>
      <c r="AR114" s="370">
        <f>AQ114+9*3*2.25</f>
        <v>616.5</v>
      </c>
      <c r="AS114" s="371">
        <f>AR114+3*3*2.25</f>
        <v>636.75</v>
      </c>
      <c r="AT114" s="370">
        <f>AS114+2*3*2.25</f>
        <v>650.25</v>
      </c>
      <c r="AU114" s="370">
        <f>AT114+4*3*2.25</f>
        <v>677.25</v>
      </c>
      <c r="AV114" s="370">
        <f>AU114+4*3*2.25</f>
        <v>704.25</v>
      </c>
      <c r="AW114" s="371">
        <f>AV114+4*3*2.25</f>
        <v>731.25</v>
      </c>
      <c r="AX114" s="208"/>
      <c r="AY114" s="204"/>
      <c r="AZ114" s="335"/>
      <c r="BA114" s="215"/>
      <c r="BB114" s="215"/>
      <c r="BC114" s="215"/>
      <c r="BD114" s="215"/>
      <c r="BE114" s="215"/>
      <c r="BF114" s="215">
        <f t="shared" si="445"/>
        <v>0</v>
      </c>
      <c r="BG114" s="215">
        <f t="shared" si="446"/>
        <v>318.375</v>
      </c>
      <c r="BH114" s="215">
        <f t="shared" si="447"/>
        <v>1064.25</v>
      </c>
      <c r="BI114" s="215">
        <f t="shared" si="448"/>
        <v>1797.75</v>
      </c>
      <c r="BJ114" s="215">
        <f t="shared" si="449"/>
        <v>2324.25</v>
      </c>
      <c r="BK114" s="215">
        <f t="shared" si="450"/>
        <v>2763</v>
      </c>
    </row>
    <row r="115" spans="1:63" s="976" customFormat="1">
      <c r="A115" s="963" t="s">
        <v>1109</v>
      </c>
      <c r="B115" s="970"/>
      <c r="C115" s="970"/>
      <c r="D115" s="970"/>
      <c r="E115" s="971"/>
      <c r="F115" s="970"/>
      <c r="G115" s="970"/>
      <c r="H115" s="970"/>
      <c r="I115" s="971"/>
      <c r="J115" s="970"/>
      <c r="K115" s="970"/>
      <c r="L115" s="970"/>
      <c r="M115" s="972"/>
      <c r="N115" s="973"/>
      <c r="O115" s="973"/>
      <c r="P115" s="973"/>
      <c r="Q115" s="974"/>
      <c r="R115" s="975"/>
      <c r="S115" s="975"/>
      <c r="T115" s="975"/>
      <c r="U115" s="974"/>
      <c r="V115" s="975"/>
      <c r="W115" s="975"/>
      <c r="X115" s="975"/>
      <c r="Y115" s="974"/>
      <c r="Z115" s="975"/>
      <c r="AA115" s="975"/>
      <c r="AB115" s="975"/>
      <c r="AC115" s="974"/>
      <c r="AD115" s="975"/>
      <c r="AE115" s="975"/>
      <c r="AF115" s="975"/>
      <c r="AG115" s="974"/>
      <c r="AH115" s="961">
        <f>Capacity!CM21/1000*3</f>
        <v>12.75</v>
      </c>
      <c r="AI115" s="961">
        <f>Capacity!CN21/1000*3</f>
        <v>26.25</v>
      </c>
      <c r="AJ115" s="961">
        <f>Capacity!CO21/1000*3</f>
        <v>60</v>
      </c>
      <c r="AK115" s="991">
        <f>Capacity!CP21/1000*3</f>
        <v>66.75</v>
      </c>
      <c r="AL115" s="961">
        <f>Capacity!CQ21/1000*3</f>
        <v>73.5</v>
      </c>
      <c r="AM115" s="370">
        <f>AL115+7*3*2.25</f>
        <v>120.75</v>
      </c>
      <c r="AN115" s="370">
        <f>AM115+7*3*2.25</f>
        <v>168</v>
      </c>
      <c r="AO115" s="371">
        <f>AN115+6*3*2.25</f>
        <v>208.5</v>
      </c>
      <c r="AP115" s="370">
        <f>AO115+3*3*2.25</f>
        <v>228.75</v>
      </c>
      <c r="AQ115" s="370">
        <f>AP115+9*3*2.25</f>
        <v>289.5</v>
      </c>
      <c r="AR115" s="370">
        <f>AQ115+9*3*2.25</f>
        <v>350.25</v>
      </c>
      <c r="AS115" s="371">
        <f>AR115+6*3*2.25</f>
        <v>390.75</v>
      </c>
      <c r="AT115" s="370">
        <f>AS115+6*3*2.25</f>
        <v>431.25</v>
      </c>
      <c r="AU115" s="370">
        <f>AT115+10*3*2.25</f>
        <v>498.75</v>
      </c>
      <c r="AV115" s="370">
        <f>AU115+10*3*2.25</f>
        <v>566.25</v>
      </c>
      <c r="AW115" s="371">
        <f>AV115+10*3*2.25</f>
        <v>633.75</v>
      </c>
      <c r="AX115" s="208"/>
      <c r="AY115" s="204"/>
      <c r="AZ115" s="335"/>
      <c r="BA115" s="215"/>
      <c r="BB115" s="215"/>
      <c r="BC115" s="215"/>
      <c r="BD115" s="215"/>
      <c r="BE115" s="215"/>
      <c r="BF115" s="215"/>
      <c r="BG115" s="215">
        <f>SUM(AD115:AG115)</f>
        <v>0</v>
      </c>
      <c r="BH115" s="215">
        <f>SUM(AH115:AK115)</f>
        <v>165.75</v>
      </c>
      <c r="BI115" s="215">
        <f>SUM(AL115:AO115)</f>
        <v>570.75</v>
      </c>
      <c r="BJ115" s="215">
        <f t="shared" si="449"/>
        <v>1259.25</v>
      </c>
      <c r="BK115" s="215">
        <f t="shared" si="450"/>
        <v>2130</v>
      </c>
    </row>
    <row r="116" spans="1:63">
      <c r="A116" s="336" t="s">
        <v>706</v>
      </c>
      <c r="B116" s="374">
        <f>SUM(B104:B112)</f>
        <v>1265.25</v>
      </c>
      <c r="C116" s="374">
        <f t="shared" ref="C116:S116" si="465">SUM(C104:C112)</f>
        <v>1314.75</v>
      </c>
      <c r="D116" s="374">
        <f t="shared" si="465"/>
        <v>1343.85</v>
      </c>
      <c r="E116" s="375">
        <f t="shared" si="465"/>
        <v>1328.25</v>
      </c>
      <c r="F116" s="374">
        <f t="shared" si="465"/>
        <v>1343.25</v>
      </c>
      <c r="G116" s="374">
        <f t="shared" si="465"/>
        <v>1347.2249999999999</v>
      </c>
      <c r="H116" s="374">
        <f t="shared" si="465"/>
        <v>1352.625</v>
      </c>
      <c r="I116" s="375">
        <f t="shared" si="465"/>
        <v>1353.9749999999999</v>
      </c>
      <c r="J116" s="374">
        <f t="shared" si="465"/>
        <v>1399.7249999999999</v>
      </c>
      <c r="K116" s="374">
        <f t="shared" si="465"/>
        <v>1447.7249999999999</v>
      </c>
      <c r="L116" s="374">
        <f t="shared" si="465"/>
        <v>1331.55</v>
      </c>
      <c r="M116" s="375">
        <f t="shared" si="465"/>
        <v>1345.5</v>
      </c>
      <c r="N116" s="374">
        <f t="shared" si="465"/>
        <v>1428</v>
      </c>
      <c r="O116" s="374">
        <f>SUM(O104:O112)</f>
        <v>1440.45</v>
      </c>
      <c r="P116" s="374">
        <f t="shared" si="465"/>
        <v>1530.45</v>
      </c>
      <c r="Q116" s="375">
        <f t="shared" si="465"/>
        <v>1562.25</v>
      </c>
      <c r="R116" s="374">
        <f t="shared" si="465"/>
        <v>1622.25</v>
      </c>
      <c r="S116" s="374">
        <f t="shared" si="465"/>
        <v>1684.5</v>
      </c>
      <c r="T116" s="374">
        <f>SUM(T104:T112)</f>
        <v>1781.625</v>
      </c>
      <c r="U116" s="375">
        <f>SUM(U104:U112)</f>
        <v>1862.9969999999998</v>
      </c>
      <c r="V116" s="374">
        <f t="shared" ref="V116:AC116" si="466">SUM(V104:V113)</f>
        <v>1947.3719999999998</v>
      </c>
      <c r="W116" s="374">
        <f t="shared" si="466"/>
        <v>2021.25</v>
      </c>
      <c r="X116" s="374">
        <f t="shared" si="466"/>
        <v>2118</v>
      </c>
      <c r="Y116" s="375">
        <f t="shared" si="466"/>
        <v>2142</v>
      </c>
      <c r="Z116" s="374">
        <f t="shared" si="466"/>
        <v>2196.75</v>
      </c>
      <c r="AA116" s="374">
        <f t="shared" si="466"/>
        <v>2262.75</v>
      </c>
      <c r="AB116" s="374">
        <f t="shared" si="466"/>
        <v>2387.25</v>
      </c>
      <c r="AC116" s="375">
        <f t="shared" si="466"/>
        <v>2416.5</v>
      </c>
      <c r="AD116" s="374">
        <f>SUM(AD104:AD115)</f>
        <v>2443.5</v>
      </c>
      <c r="AE116" s="374">
        <f>SUM(AE104:AE115)</f>
        <v>2511</v>
      </c>
      <c r="AF116" s="374">
        <f>SUM(AF104:AF115)</f>
        <v>2652.75</v>
      </c>
      <c r="AG116" s="375">
        <f>SUM(AG104:AG115)</f>
        <v>2842.875</v>
      </c>
      <c r="AH116" s="374">
        <f t="shared" ref="AH116:AO116" si="467">SUM(AH104:AH115)</f>
        <v>2919.75</v>
      </c>
      <c r="AI116" s="374">
        <f t="shared" si="467"/>
        <v>2973.75</v>
      </c>
      <c r="AJ116" s="374">
        <f t="shared" si="467"/>
        <v>3068.25</v>
      </c>
      <c r="AK116" s="375">
        <f t="shared" si="467"/>
        <v>3176.25</v>
      </c>
      <c r="AL116" s="374">
        <f t="shared" si="467"/>
        <v>3234.75</v>
      </c>
      <c r="AM116" s="374">
        <f t="shared" si="467"/>
        <v>3336</v>
      </c>
      <c r="AN116" s="374">
        <f t="shared" si="467"/>
        <v>3464.25</v>
      </c>
      <c r="AO116" s="375">
        <f t="shared" si="467"/>
        <v>3545.25</v>
      </c>
      <c r="AP116" s="374">
        <f t="shared" ref="AP116:AS116" si="468">SUM(AP104:AP115)</f>
        <v>3606</v>
      </c>
      <c r="AQ116" s="374">
        <f t="shared" si="468"/>
        <v>3747.75</v>
      </c>
      <c r="AR116" s="374">
        <f t="shared" si="468"/>
        <v>3909.75</v>
      </c>
      <c r="AS116" s="375">
        <f t="shared" si="468"/>
        <v>3990.75</v>
      </c>
      <c r="AT116" s="374">
        <f t="shared" ref="AT116:AW116" si="469">SUM(AT104:AT115)</f>
        <v>4065</v>
      </c>
      <c r="AU116" s="374">
        <f t="shared" si="469"/>
        <v>4200</v>
      </c>
      <c r="AV116" s="374">
        <f t="shared" si="469"/>
        <v>4321.5</v>
      </c>
      <c r="AW116" s="375">
        <f t="shared" si="469"/>
        <v>4436.25</v>
      </c>
      <c r="AY116" s="217"/>
      <c r="AZ116" s="341">
        <f t="shared" si="439"/>
        <v>5252.1</v>
      </c>
      <c r="BA116" s="343">
        <f t="shared" si="440"/>
        <v>5397.0749999999998</v>
      </c>
      <c r="BB116" s="343">
        <f t="shared" si="441"/>
        <v>5524.5</v>
      </c>
      <c r="BC116" s="343">
        <f t="shared" si="442"/>
        <v>5961.15</v>
      </c>
      <c r="BD116" s="343">
        <f t="shared" si="443"/>
        <v>6951.3719999999994</v>
      </c>
      <c r="BE116" s="343">
        <f t="shared" si="444"/>
        <v>8228.6219999999994</v>
      </c>
      <c r="BF116" s="343">
        <f t="shared" si="445"/>
        <v>9263.25</v>
      </c>
      <c r="BG116" s="343">
        <f t="shared" si="446"/>
        <v>10450.125</v>
      </c>
      <c r="BH116" s="343">
        <f t="shared" si="447"/>
        <v>12138</v>
      </c>
      <c r="BI116" s="343">
        <f t="shared" si="448"/>
        <v>13580.25</v>
      </c>
      <c r="BJ116" s="343">
        <f t="shared" si="449"/>
        <v>15254.25</v>
      </c>
      <c r="BK116" s="343">
        <f>SUM(AT116:AW116)</f>
        <v>17022.75</v>
      </c>
    </row>
    <row r="117" spans="1:63">
      <c r="A117" s="290" t="s">
        <v>733</v>
      </c>
      <c r="B117" s="331">
        <f>B104+B107+B108+B111</f>
        <v>678</v>
      </c>
      <c r="C117" s="331">
        <f t="shared" ref="C117:T117" si="470">C104+C107+C108+C111</f>
        <v>687</v>
      </c>
      <c r="D117" s="331">
        <f t="shared" si="470"/>
        <v>699.22500000000002</v>
      </c>
      <c r="E117" s="332">
        <f t="shared" si="470"/>
        <v>687</v>
      </c>
      <c r="F117" s="331">
        <f t="shared" si="470"/>
        <v>702</v>
      </c>
      <c r="G117" s="331">
        <f t="shared" si="470"/>
        <v>705.97500000000002</v>
      </c>
      <c r="H117" s="331">
        <f t="shared" si="470"/>
        <v>724.875</v>
      </c>
      <c r="I117" s="332">
        <f t="shared" si="470"/>
        <v>759.97500000000002</v>
      </c>
      <c r="J117" s="331">
        <f t="shared" si="470"/>
        <v>771.97500000000002</v>
      </c>
      <c r="K117" s="331">
        <f t="shared" si="470"/>
        <v>792.97500000000002</v>
      </c>
      <c r="L117" s="331">
        <f t="shared" si="470"/>
        <v>666</v>
      </c>
      <c r="M117" s="332">
        <f t="shared" si="470"/>
        <v>684</v>
      </c>
      <c r="N117" s="331">
        <f t="shared" si="470"/>
        <v>699</v>
      </c>
      <c r="O117" s="331">
        <f t="shared" si="470"/>
        <v>702</v>
      </c>
      <c r="P117" s="331">
        <f t="shared" si="470"/>
        <v>771.75</v>
      </c>
      <c r="Q117" s="332">
        <f t="shared" si="470"/>
        <v>763.05</v>
      </c>
      <c r="R117" s="331">
        <f t="shared" si="470"/>
        <v>823.05</v>
      </c>
      <c r="S117" s="331">
        <f t="shared" si="470"/>
        <v>865.05</v>
      </c>
      <c r="T117" s="331">
        <f t="shared" si="470"/>
        <v>881.17499999999995</v>
      </c>
      <c r="U117" s="332">
        <f t="shared" ref="U117:AG117" si="471">U104+U107+U108+U111</f>
        <v>901.79699999999991</v>
      </c>
      <c r="V117" s="331">
        <f t="shared" si="471"/>
        <v>925.42199999999991</v>
      </c>
      <c r="W117" s="331">
        <f>W104+W107+W108+W111</f>
        <v>945.3</v>
      </c>
      <c r="X117" s="331">
        <f t="shared" si="471"/>
        <v>981.30000000000007</v>
      </c>
      <c r="Y117" s="332">
        <f>Y104+Y107+Y108+Y111</f>
        <v>985.05000000000007</v>
      </c>
      <c r="Z117" s="331">
        <f t="shared" si="471"/>
        <v>999.30000000000007</v>
      </c>
      <c r="AA117" s="331">
        <f>AA104+AA107+AA108+AA111</f>
        <v>1011.3000000000001</v>
      </c>
      <c r="AB117" s="331">
        <f>AB104+AB107+AB108+AB111</f>
        <v>1054.8000000000002</v>
      </c>
      <c r="AC117" s="332">
        <f t="shared" si="471"/>
        <v>1063.8000000000002</v>
      </c>
      <c r="AD117" s="331">
        <f t="shared" si="471"/>
        <v>1063.8000000000002</v>
      </c>
      <c r="AE117" s="331">
        <f t="shared" si="471"/>
        <v>1063.8000000000002</v>
      </c>
      <c r="AF117" s="331">
        <f t="shared" si="471"/>
        <v>1063.8000000000002</v>
      </c>
      <c r="AG117" s="332">
        <f t="shared" si="471"/>
        <v>1063.8000000000002</v>
      </c>
      <c r="AH117" s="331">
        <f t="shared" ref="AH117:AO117" si="472">AH104+AH107+AH108+AH111</f>
        <v>1063.8000000000002</v>
      </c>
      <c r="AI117" s="331">
        <f t="shared" si="472"/>
        <v>1063.8000000000002</v>
      </c>
      <c r="AJ117" s="331">
        <f t="shared" si="472"/>
        <v>1063.8000000000002</v>
      </c>
      <c r="AK117" s="332">
        <f t="shared" si="472"/>
        <v>1063.8000000000002</v>
      </c>
      <c r="AL117" s="331">
        <f t="shared" si="472"/>
        <v>1063.8000000000002</v>
      </c>
      <c r="AM117" s="331">
        <f t="shared" si="472"/>
        <v>1063.8000000000002</v>
      </c>
      <c r="AN117" s="331">
        <f t="shared" si="472"/>
        <v>1063.8000000000002</v>
      </c>
      <c r="AO117" s="332">
        <f t="shared" si="472"/>
        <v>1063.8000000000002</v>
      </c>
      <c r="AP117" s="331">
        <f t="shared" ref="AP117:AS117" si="473">AP104+AP107+AP108+AP111</f>
        <v>1063.8000000000002</v>
      </c>
      <c r="AQ117" s="331">
        <f t="shared" si="473"/>
        <v>1063.8000000000002</v>
      </c>
      <c r="AR117" s="331">
        <f t="shared" si="473"/>
        <v>1063.8000000000002</v>
      </c>
      <c r="AS117" s="332">
        <f t="shared" si="473"/>
        <v>1063.8000000000002</v>
      </c>
      <c r="AT117" s="331">
        <f t="shared" ref="AT117:AW117" si="474">AT104+AT107+AT108+AT111</f>
        <v>1063.8000000000002</v>
      </c>
      <c r="AU117" s="331">
        <f t="shared" si="474"/>
        <v>1063.8000000000002</v>
      </c>
      <c r="AV117" s="331">
        <f t="shared" si="474"/>
        <v>1063.8000000000002</v>
      </c>
      <c r="AW117" s="332">
        <f t="shared" si="474"/>
        <v>1063.8000000000002</v>
      </c>
      <c r="AX117" s="331"/>
      <c r="AY117" s="204"/>
      <c r="AZ117" s="335">
        <f t="shared" si="439"/>
        <v>2751.2249999999999</v>
      </c>
      <c r="BA117" s="215">
        <f t="shared" si="440"/>
        <v>2892.8249999999998</v>
      </c>
      <c r="BB117" s="215">
        <f t="shared" si="441"/>
        <v>2914.95</v>
      </c>
      <c r="BC117" s="215">
        <f t="shared" si="442"/>
        <v>2935.8</v>
      </c>
      <c r="BD117" s="215">
        <f t="shared" si="443"/>
        <v>3471.0719999999997</v>
      </c>
      <c r="BE117" s="215">
        <f t="shared" si="444"/>
        <v>3837.0720000000001</v>
      </c>
      <c r="BF117" s="215">
        <f t="shared" si="445"/>
        <v>4129.2000000000007</v>
      </c>
      <c r="BG117" s="215">
        <f t="shared" si="446"/>
        <v>4255.2000000000007</v>
      </c>
      <c r="BH117" s="215">
        <f t="shared" si="447"/>
        <v>4255.2000000000007</v>
      </c>
      <c r="BI117" s="215">
        <f>SUM(AL117:AO117)</f>
        <v>4255.2000000000007</v>
      </c>
      <c r="BJ117" s="215">
        <f t="shared" si="449"/>
        <v>4255.2000000000007</v>
      </c>
      <c r="BK117" s="215">
        <f>SUM(AT117:AW117)</f>
        <v>4255.2000000000007</v>
      </c>
    </row>
    <row r="118" spans="1:63">
      <c r="A118" s="304" t="s">
        <v>732</v>
      </c>
      <c r="B118" s="376">
        <f>B105+B106+B109+B110+B112</f>
        <v>587.25</v>
      </c>
      <c r="C118" s="376">
        <f t="shared" ref="C118:U118" si="475">C105+C106+C109+C110+C112</f>
        <v>627.75</v>
      </c>
      <c r="D118" s="376">
        <f t="shared" si="475"/>
        <v>644.625</v>
      </c>
      <c r="E118" s="377">
        <f t="shared" si="475"/>
        <v>641.25</v>
      </c>
      <c r="F118" s="376">
        <f t="shared" si="475"/>
        <v>641.25</v>
      </c>
      <c r="G118" s="376">
        <f t="shared" si="475"/>
        <v>641.25</v>
      </c>
      <c r="H118" s="376">
        <f t="shared" si="475"/>
        <v>627.75</v>
      </c>
      <c r="I118" s="377">
        <f t="shared" si="475"/>
        <v>594</v>
      </c>
      <c r="J118" s="376">
        <f t="shared" si="475"/>
        <v>627.75</v>
      </c>
      <c r="K118" s="376">
        <f>K105+K106+K109+K110+K112</f>
        <v>654.75</v>
      </c>
      <c r="L118" s="376">
        <f t="shared" si="475"/>
        <v>665.55</v>
      </c>
      <c r="M118" s="377">
        <f t="shared" si="475"/>
        <v>661.5</v>
      </c>
      <c r="N118" s="376">
        <f t="shared" si="475"/>
        <v>729</v>
      </c>
      <c r="O118" s="376">
        <f t="shared" si="475"/>
        <v>738.45</v>
      </c>
      <c r="P118" s="376">
        <f t="shared" si="475"/>
        <v>758.7</v>
      </c>
      <c r="Q118" s="377">
        <f t="shared" si="475"/>
        <v>799.2</v>
      </c>
      <c r="R118" s="376">
        <f t="shared" si="475"/>
        <v>799.2</v>
      </c>
      <c r="S118" s="376">
        <f t="shared" si="475"/>
        <v>819.45</v>
      </c>
      <c r="T118" s="376">
        <f t="shared" si="475"/>
        <v>900.45</v>
      </c>
      <c r="U118" s="377">
        <f t="shared" si="475"/>
        <v>961.2</v>
      </c>
      <c r="V118" s="376">
        <f t="shared" ref="V118:AC118" si="476">V105+V106+V109+V110+V112+V113</f>
        <v>1021.95</v>
      </c>
      <c r="W118" s="376">
        <f>W105+W106+W109+W110+W112+W113</f>
        <v>1075.95</v>
      </c>
      <c r="X118" s="376">
        <f t="shared" si="476"/>
        <v>1136.7</v>
      </c>
      <c r="Y118" s="377">
        <f>Y105+Y106+Y109+Y110+Y112+Y113</f>
        <v>1156.95</v>
      </c>
      <c r="Z118" s="376">
        <f t="shared" si="476"/>
        <v>1197.45</v>
      </c>
      <c r="AA118" s="376">
        <f>AA105+AA106+AA109+AA110+AA112+AA113</f>
        <v>1251.45</v>
      </c>
      <c r="AB118" s="376">
        <f>AB105+AB106+AB109+AB110+AB112+AB113</f>
        <v>1332.45</v>
      </c>
      <c r="AC118" s="377">
        <f t="shared" si="476"/>
        <v>1352.7</v>
      </c>
      <c r="AD118" s="376">
        <f>AD105+AD106+AD109+AD110+AD112+AD113+AD114+AD115</f>
        <v>1379.7</v>
      </c>
      <c r="AE118" s="376">
        <f t="shared" ref="AE118:AO118" si="477">AE105+AE106+AE109+AE110+AE112+AE113+AE114+AE115</f>
        <v>1447.2</v>
      </c>
      <c r="AF118" s="376">
        <f t="shared" si="477"/>
        <v>1588.95</v>
      </c>
      <c r="AG118" s="377">
        <f t="shared" si="477"/>
        <v>1779.075</v>
      </c>
      <c r="AH118" s="376">
        <f t="shared" si="477"/>
        <v>1855.95</v>
      </c>
      <c r="AI118" s="376">
        <f t="shared" si="477"/>
        <v>1909.95</v>
      </c>
      <c r="AJ118" s="376">
        <f t="shared" si="477"/>
        <v>2004.45</v>
      </c>
      <c r="AK118" s="377">
        <f t="shared" si="477"/>
        <v>2112.4499999999998</v>
      </c>
      <c r="AL118" s="376">
        <f t="shared" si="477"/>
        <v>2170.9499999999998</v>
      </c>
      <c r="AM118" s="376">
        <f t="shared" si="477"/>
        <v>2272.1999999999998</v>
      </c>
      <c r="AN118" s="376">
        <f t="shared" si="477"/>
        <v>2400.4499999999998</v>
      </c>
      <c r="AO118" s="377">
        <f t="shared" si="477"/>
        <v>2481.4499999999998</v>
      </c>
      <c r="AP118" s="376">
        <f t="shared" ref="AP118:AS118" si="478">AP105+AP106+AP109+AP110+AP112+AP113+AP114+AP115</f>
        <v>2542.1999999999998</v>
      </c>
      <c r="AQ118" s="376">
        <f t="shared" si="478"/>
        <v>2683.95</v>
      </c>
      <c r="AR118" s="376">
        <f t="shared" si="478"/>
        <v>2845.95</v>
      </c>
      <c r="AS118" s="377">
        <f t="shared" si="478"/>
        <v>2926.95</v>
      </c>
      <c r="AT118" s="376">
        <f t="shared" ref="AT118:AW118" si="479">AT105+AT106+AT109+AT110+AT112+AT113+AT114+AT115</f>
        <v>3001.2</v>
      </c>
      <c r="AU118" s="376">
        <f t="shared" si="479"/>
        <v>3136.2</v>
      </c>
      <c r="AV118" s="376">
        <f t="shared" si="479"/>
        <v>3257.7</v>
      </c>
      <c r="AW118" s="377">
        <f t="shared" si="479"/>
        <v>3372.45</v>
      </c>
      <c r="AY118" s="204"/>
      <c r="AZ118" s="548">
        <f t="shared" si="439"/>
        <v>2500.875</v>
      </c>
      <c r="BA118" s="360">
        <f t="shared" si="440"/>
        <v>2504.25</v>
      </c>
      <c r="BB118" s="360">
        <f t="shared" si="441"/>
        <v>2609.5500000000002</v>
      </c>
      <c r="BC118" s="360">
        <f t="shared" si="442"/>
        <v>3025.3500000000004</v>
      </c>
      <c r="BD118" s="360">
        <f t="shared" si="443"/>
        <v>3480.3</v>
      </c>
      <c r="BE118" s="360">
        <f t="shared" si="444"/>
        <v>4391.55</v>
      </c>
      <c r="BF118" s="360">
        <f t="shared" si="445"/>
        <v>5134.05</v>
      </c>
      <c r="BG118" s="360">
        <f t="shared" si="446"/>
        <v>6194.9250000000002</v>
      </c>
      <c r="BH118" s="360">
        <f t="shared" si="447"/>
        <v>7882.8</v>
      </c>
      <c r="BI118" s="360">
        <f>SUM(AL118:AO118)</f>
        <v>9325.0499999999993</v>
      </c>
      <c r="BJ118" s="360">
        <f t="shared" si="449"/>
        <v>10999.05</v>
      </c>
      <c r="BK118" s="360">
        <f>SUM(AT118:AW118)</f>
        <v>12767.55</v>
      </c>
    </row>
    <row r="119" spans="1:63">
      <c r="A119" s="290"/>
      <c r="B119" s="384"/>
      <c r="C119" s="384"/>
      <c r="D119" s="384"/>
      <c r="E119" s="385"/>
      <c r="F119" s="384"/>
      <c r="G119" s="384"/>
      <c r="H119" s="384"/>
      <c r="I119" s="385"/>
      <c r="J119" s="384"/>
      <c r="K119" s="384"/>
      <c r="L119" s="384"/>
      <c r="M119" s="385"/>
      <c r="N119" s="384"/>
      <c r="O119" s="384"/>
      <c r="P119" s="384"/>
      <c r="Q119" s="385"/>
      <c r="R119" s="384"/>
      <c r="S119" s="384"/>
      <c r="T119" s="384"/>
      <c r="U119" s="385"/>
      <c r="V119" s="384"/>
      <c r="W119" s="384"/>
      <c r="X119" s="384"/>
      <c r="Y119" s="385"/>
      <c r="Z119" s="384"/>
      <c r="AA119" s="384"/>
      <c r="AB119" s="384"/>
      <c r="AC119" s="385"/>
      <c r="AD119" s="384"/>
      <c r="AE119" s="384"/>
      <c r="AF119" s="384"/>
      <c r="AG119" s="385"/>
      <c r="AH119" s="384"/>
      <c r="AI119" s="1047"/>
      <c r="AJ119" s="384"/>
      <c r="AK119" s="385"/>
      <c r="AL119" s="384"/>
      <c r="AM119" s="384"/>
      <c r="AN119" s="384"/>
      <c r="AO119" s="385"/>
      <c r="AP119" s="384"/>
      <c r="AQ119" s="384"/>
      <c r="AR119" s="384"/>
      <c r="AS119" s="385"/>
      <c r="AT119" s="384"/>
      <c r="AU119" s="384"/>
      <c r="AV119" s="384"/>
      <c r="AW119" s="385"/>
      <c r="AZ119" s="335"/>
      <c r="BA119" s="215"/>
      <c r="BB119" s="215"/>
      <c r="BC119" s="215"/>
      <c r="BD119" s="215"/>
      <c r="BE119" s="215"/>
      <c r="BF119" s="215"/>
      <c r="BG119" s="215"/>
      <c r="BH119" s="215"/>
      <c r="BI119" s="215"/>
      <c r="BJ119" s="215"/>
      <c r="BK119" s="215"/>
    </row>
    <row r="120" spans="1:63" s="249" customFormat="1">
      <c r="A120" s="230" t="s">
        <v>731</v>
      </c>
      <c r="B120" s="378"/>
      <c r="C120" s="378"/>
      <c r="D120" s="378"/>
      <c r="E120" s="379"/>
      <c r="F120" s="378"/>
      <c r="G120" s="378"/>
      <c r="H120" s="378"/>
      <c r="I120" s="379"/>
      <c r="J120" s="378"/>
      <c r="K120" s="378"/>
      <c r="L120" s="378"/>
      <c r="M120" s="379"/>
      <c r="N120" s="378"/>
      <c r="O120" s="378"/>
      <c r="P120" s="378"/>
      <c r="Q120" s="379"/>
      <c r="R120" s="378"/>
      <c r="S120" s="378"/>
      <c r="T120" s="378"/>
      <c r="U120" s="379"/>
      <c r="V120" s="378"/>
      <c r="W120" s="378"/>
      <c r="X120" s="378"/>
      <c r="Y120" s="379"/>
      <c r="Z120" s="378"/>
      <c r="AA120" s="378"/>
      <c r="AB120" s="627"/>
      <c r="AC120" s="379"/>
      <c r="AD120" s="378"/>
      <c r="AE120" s="378"/>
      <c r="AF120" s="378"/>
      <c r="AG120" s="379"/>
      <c r="AH120" s="378"/>
      <c r="AI120" s="378"/>
      <c r="AJ120" s="378"/>
      <c r="AK120" s="379"/>
      <c r="AL120" s="378"/>
      <c r="AM120" s="378"/>
      <c r="AN120" s="378"/>
      <c r="AO120" s="379"/>
      <c r="AP120" s="378"/>
      <c r="AQ120" s="378"/>
      <c r="AR120" s="378"/>
      <c r="AS120" s="379"/>
      <c r="AT120" s="378"/>
      <c r="AU120" s="378"/>
      <c r="AV120" s="378"/>
      <c r="AW120" s="379"/>
      <c r="AZ120" s="645"/>
      <c r="BA120" s="646"/>
      <c r="BB120" s="646"/>
      <c r="BC120" s="646"/>
      <c r="BD120" s="956"/>
      <c r="BE120" s="956"/>
      <c r="BF120" s="956"/>
      <c r="BG120" s="956"/>
      <c r="BH120" s="956"/>
      <c r="BI120" s="956"/>
      <c r="BJ120" s="378"/>
      <c r="BK120" s="378"/>
    </row>
    <row r="121" spans="1:63" s="249" customFormat="1">
      <c r="A121" s="290" t="s">
        <v>1204</v>
      </c>
      <c r="B121" s="378"/>
      <c r="C121" s="378"/>
      <c r="D121" s="378"/>
      <c r="E121" s="379"/>
      <c r="F121" s="378"/>
      <c r="G121" s="378"/>
      <c r="H121" s="378"/>
      <c r="I121" s="379"/>
      <c r="J121" s="378"/>
      <c r="K121" s="378"/>
      <c r="L121" s="378"/>
      <c r="M121" s="379"/>
      <c r="N121" s="378"/>
      <c r="O121" s="378"/>
      <c r="P121" s="378"/>
      <c r="Q121" s="379"/>
      <c r="R121" s="840">
        <f>3*3*2.25</f>
        <v>20.25</v>
      </c>
      <c r="S121" s="840">
        <f>R121+3*3*2.25</f>
        <v>40.5</v>
      </c>
      <c r="T121" s="840">
        <f>S121+2*3*2.25</f>
        <v>54</v>
      </c>
      <c r="U121" s="839">
        <f>T121+2*3*2.25</f>
        <v>67.5</v>
      </c>
      <c r="V121" s="370">
        <f>U121</f>
        <v>67.5</v>
      </c>
      <c r="W121" s="370">
        <f>V121</f>
        <v>67.5</v>
      </c>
      <c r="X121" s="370">
        <f>W121</f>
        <v>67.5</v>
      </c>
      <c r="Y121" s="371">
        <f>X121</f>
        <v>67.5</v>
      </c>
      <c r="Z121" s="370">
        <f>Y121</f>
        <v>67.5</v>
      </c>
      <c r="AA121" s="370">
        <f>Z121+30</f>
        <v>97.5</v>
      </c>
      <c r="AB121" s="370">
        <f>AA121+30</f>
        <v>127.5</v>
      </c>
      <c r="AC121" s="371">
        <f>AB121+9</f>
        <v>136.5</v>
      </c>
      <c r="AD121" s="370">
        <f t="shared" ref="AD121:AK121" si="480">AC121</f>
        <v>136.5</v>
      </c>
      <c r="AE121" s="370">
        <f t="shared" si="480"/>
        <v>136.5</v>
      </c>
      <c r="AF121" s="370">
        <f t="shared" si="480"/>
        <v>136.5</v>
      </c>
      <c r="AG121" s="371">
        <f t="shared" si="480"/>
        <v>136.5</v>
      </c>
      <c r="AH121" s="370">
        <f t="shared" si="480"/>
        <v>136.5</v>
      </c>
      <c r="AI121" s="370">
        <f t="shared" si="480"/>
        <v>136.5</v>
      </c>
      <c r="AJ121" s="370">
        <f t="shared" si="480"/>
        <v>136.5</v>
      </c>
      <c r="AK121" s="371">
        <f t="shared" si="480"/>
        <v>136.5</v>
      </c>
      <c r="AL121" s="370">
        <f>AK121+2.5*3*2.25</f>
        <v>153.375</v>
      </c>
      <c r="AM121" s="370">
        <f t="shared" ref="AM121:AW121" si="481">AL121+2.5*3*2.25</f>
        <v>170.25</v>
      </c>
      <c r="AN121" s="370">
        <f t="shared" si="481"/>
        <v>187.125</v>
      </c>
      <c r="AO121" s="371">
        <f t="shared" si="481"/>
        <v>204</v>
      </c>
      <c r="AP121" s="370">
        <f t="shared" si="481"/>
        <v>220.875</v>
      </c>
      <c r="AQ121" s="370">
        <f t="shared" si="481"/>
        <v>237.75</v>
      </c>
      <c r="AR121" s="370">
        <f t="shared" si="481"/>
        <v>254.625</v>
      </c>
      <c r="AS121" s="371">
        <f t="shared" si="481"/>
        <v>271.5</v>
      </c>
      <c r="AT121" s="370">
        <f t="shared" si="481"/>
        <v>288.375</v>
      </c>
      <c r="AU121" s="370">
        <f t="shared" si="481"/>
        <v>305.25</v>
      </c>
      <c r="AV121" s="370">
        <f t="shared" si="481"/>
        <v>322.125</v>
      </c>
      <c r="AW121" s="371">
        <f t="shared" si="481"/>
        <v>339</v>
      </c>
      <c r="AZ121" s="380"/>
      <c r="BA121" s="378"/>
      <c r="BB121" s="378"/>
      <c r="BC121" s="215">
        <f t="shared" ref="BC121:BC130" si="482">SUM(N121:Q121)</f>
        <v>0</v>
      </c>
      <c r="BD121" s="215">
        <f t="shared" ref="BD121:BD130" si="483">SUM(R121:U121)</f>
        <v>182.25</v>
      </c>
      <c r="BE121" s="215">
        <f t="shared" ref="BE121:BE130" si="484">SUM(V121:Y121)</f>
        <v>270</v>
      </c>
      <c r="BF121" s="215">
        <f>SUM(Z121:AC121)</f>
        <v>429</v>
      </c>
      <c r="BG121" s="215">
        <f>SUM(AA121:AD121)</f>
        <v>498</v>
      </c>
      <c r="BH121" s="215">
        <f t="shared" ref="BH121:BH130" si="485">SUM(AH121:AK121)</f>
        <v>546</v>
      </c>
      <c r="BI121" s="215">
        <f t="shared" ref="BI121:BI130" si="486">SUM(AL121:AO121)</f>
        <v>714.75</v>
      </c>
      <c r="BJ121" s="215">
        <f t="shared" ref="BJ121:BJ130" si="487">SUM(AP121:AS121)</f>
        <v>984.75</v>
      </c>
      <c r="BK121" s="215">
        <f>SUM(AT121:AW121)</f>
        <v>1254.75</v>
      </c>
    </row>
    <row r="122" spans="1:63">
      <c r="A122" s="290" t="s">
        <v>936</v>
      </c>
      <c r="L122" s="368"/>
      <c r="M122" s="839">
        <f t="shared" ref="M122:X122" si="488">M112</f>
        <v>20.25</v>
      </c>
      <c r="N122" s="840">
        <f t="shared" si="488"/>
        <v>27</v>
      </c>
      <c r="O122" s="840">
        <f t="shared" si="488"/>
        <v>40.5</v>
      </c>
      <c r="P122" s="840">
        <f t="shared" si="488"/>
        <v>60.75</v>
      </c>
      <c r="Q122" s="839">
        <f t="shared" si="488"/>
        <v>101.25</v>
      </c>
      <c r="R122" s="840">
        <f t="shared" si="488"/>
        <v>101.25</v>
      </c>
      <c r="S122" s="840">
        <f t="shared" si="488"/>
        <v>101.25</v>
      </c>
      <c r="T122" s="370">
        <f t="shared" si="488"/>
        <v>101.25</v>
      </c>
      <c r="U122" s="371">
        <f t="shared" si="488"/>
        <v>101.25</v>
      </c>
      <c r="V122" s="370">
        <f t="shared" si="488"/>
        <v>101.25</v>
      </c>
      <c r="W122" s="370">
        <f t="shared" si="488"/>
        <v>101.25</v>
      </c>
      <c r="X122" s="370">
        <f t="shared" si="488"/>
        <v>101.25</v>
      </c>
      <c r="Y122" s="371">
        <f>X122</f>
        <v>101.25</v>
      </c>
      <c r="Z122" s="370">
        <f t="shared" ref="Z122:AF122" si="489">Z112</f>
        <v>101.25</v>
      </c>
      <c r="AA122" s="370">
        <f t="shared" si="489"/>
        <v>101.25</v>
      </c>
      <c r="AB122" s="370">
        <f t="shared" si="489"/>
        <v>101.25</v>
      </c>
      <c r="AC122" s="371">
        <f t="shared" si="489"/>
        <v>101.25</v>
      </c>
      <c r="AD122" s="370">
        <f t="shared" si="489"/>
        <v>101.25</v>
      </c>
      <c r="AE122" s="370">
        <f t="shared" si="489"/>
        <v>101.25</v>
      </c>
      <c r="AF122" s="370">
        <f t="shared" si="489"/>
        <v>101.25</v>
      </c>
      <c r="AG122" s="371">
        <f>AF122</f>
        <v>101.25</v>
      </c>
      <c r="AH122" s="370">
        <f>AH112</f>
        <v>101.25</v>
      </c>
      <c r="AI122" s="370">
        <f>AI112</f>
        <v>101.25</v>
      </c>
      <c r="AJ122" s="370">
        <f>AJ112</f>
        <v>101.25</v>
      </c>
      <c r="AK122" s="371">
        <f>AJ122</f>
        <v>101.25</v>
      </c>
      <c r="AL122" s="370">
        <f>AL112</f>
        <v>101.25</v>
      </c>
      <c r="AM122" s="370">
        <f>AM112</f>
        <v>101.25</v>
      </c>
      <c r="AN122" s="370">
        <f>AN112</f>
        <v>101.25</v>
      </c>
      <c r="AO122" s="371">
        <f>AN122</f>
        <v>101.25</v>
      </c>
      <c r="AP122" s="370">
        <f>AP112</f>
        <v>101.25</v>
      </c>
      <c r="AQ122" s="370">
        <f>AQ112</f>
        <v>101.25</v>
      </c>
      <c r="AR122" s="370">
        <f>AR112</f>
        <v>101.25</v>
      </c>
      <c r="AS122" s="371">
        <f>AR122</f>
        <v>101.25</v>
      </c>
      <c r="AT122" s="370">
        <f>AT112</f>
        <v>101.25</v>
      </c>
      <c r="AU122" s="370">
        <f>AU112</f>
        <v>101.25</v>
      </c>
      <c r="AV122" s="370">
        <f>AV112</f>
        <v>101.25</v>
      </c>
      <c r="AW122" s="371">
        <f>AV122</f>
        <v>101.25</v>
      </c>
      <c r="AY122" s="204"/>
      <c r="AZ122" s="335">
        <f t="shared" ref="AZ122:AZ130" si="490">SUM(B122:E122)</f>
        <v>0</v>
      </c>
      <c r="BA122" s="215">
        <f t="shared" ref="BA122:BA130" si="491">SUM(F122:I122)</f>
        <v>0</v>
      </c>
      <c r="BB122" s="215">
        <f t="shared" ref="BB122:BB130" si="492">SUM(J122:M122)</f>
        <v>20.25</v>
      </c>
      <c r="BC122" s="215">
        <f t="shared" si="482"/>
        <v>229.5</v>
      </c>
      <c r="BD122" s="215">
        <f t="shared" si="483"/>
        <v>405</v>
      </c>
      <c r="BE122" s="215">
        <f t="shared" si="484"/>
        <v>405</v>
      </c>
      <c r="BF122" s="215">
        <f t="shared" ref="BF122:BF130" si="493">SUM(Z122:AC122)</f>
        <v>405</v>
      </c>
      <c r="BG122" s="215">
        <f t="shared" ref="BG122:BG130" si="494">SUM(AD122:AG122)</f>
        <v>405</v>
      </c>
      <c r="BH122" s="215">
        <f t="shared" si="485"/>
        <v>405</v>
      </c>
      <c r="BI122" s="215">
        <f t="shared" si="486"/>
        <v>405</v>
      </c>
      <c r="BJ122" s="215">
        <f t="shared" si="487"/>
        <v>405</v>
      </c>
      <c r="BK122" s="215">
        <f t="shared" ref="BK122:BK129" si="495">SUM(AT122:AW122)</f>
        <v>405</v>
      </c>
    </row>
    <row r="123" spans="1:63">
      <c r="A123" s="290" t="s">
        <v>730</v>
      </c>
      <c r="B123" s="382">
        <v>90</v>
      </c>
      <c r="C123" s="382">
        <v>90</v>
      </c>
      <c r="D123" s="382">
        <v>140</v>
      </c>
      <c r="E123" s="383">
        <v>140</v>
      </c>
      <c r="F123" s="382">
        <v>100</v>
      </c>
      <c r="G123" s="382">
        <v>100</v>
      </c>
      <c r="H123" s="382">
        <v>90</v>
      </c>
      <c r="I123" s="383">
        <v>60</v>
      </c>
      <c r="J123" s="382">
        <f>I123</f>
        <v>60</v>
      </c>
      <c r="K123" s="382">
        <f>J123-10</f>
        <v>50</v>
      </c>
      <c r="L123" s="382">
        <f>K123</f>
        <v>50</v>
      </c>
      <c r="M123" s="383">
        <f>L123</f>
        <v>50</v>
      </c>
      <c r="N123" s="382">
        <f>M123+20</f>
        <v>70</v>
      </c>
      <c r="O123" s="382">
        <v>70</v>
      </c>
      <c r="P123" s="382">
        <f>O123</f>
        <v>70</v>
      </c>
      <c r="Q123" s="383">
        <f>P123-25</f>
        <v>45</v>
      </c>
      <c r="R123" s="382">
        <f>Q123-12</f>
        <v>33</v>
      </c>
      <c r="S123" s="382">
        <f>R123+3</f>
        <v>36</v>
      </c>
      <c r="T123" s="370">
        <f>S123+27</f>
        <v>63</v>
      </c>
      <c r="U123" s="371">
        <f>T123+15</f>
        <v>78</v>
      </c>
      <c r="V123" s="370">
        <f>U123+10</f>
        <v>88</v>
      </c>
      <c r="W123" s="370">
        <f>V123</f>
        <v>88</v>
      </c>
      <c r="X123" s="370">
        <f>W123</f>
        <v>88</v>
      </c>
      <c r="Y123" s="371">
        <f>X123</f>
        <v>88</v>
      </c>
      <c r="Z123" s="370">
        <f>Y123</f>
        <v>88</v>
      </c>
      <c r="AA123" s="370">
        <f>Z123+5</f>
        <v>93</v>
      </c>
      <c r="AB123" s="370">
        <f>AA123</f>
        <v>93</v>
      </c>
      <c r="AC123" s="371">
        <f>AB123+30</f>
        <v>123</v>
      </c>
      <c r="AD123" s="370">
        <f>AC123</f>
        <v>123</v>
      </c>
      <c r="AE123" s="370">
        <f>AD123+30</f>
        <v>153</v>
      </c>
      <c r="AF123" s="370">
        <f>AE123</f>
        <v>153</v>
      </c>
      <c r="AG123" s="371">
        <f>AF123</f>
        <v>153</v>
      </c>
      <c r="AH123" s="370">
        <f>AG123</f>
        <v>153</v>
      </c>
      <c r="AI123" s="370">
        <f>AH123+30</f>
        <v>183</v>
      </c>
      <c r="AJ123" s="370">
        <f>AI123+40</f>
        <v>223</v>
      </c>
      <c r="AK123" s="371">
        <f>AJ123</f>
        <v>223</v>
      </c>
      <c r="AL123" s="370">
        <f>AK123</f>
        <v>223</v>
      </c>
      <c r="AM123" s="370">
        <f>AL123+30</f>
        <v>253</v>
      </c>
      <c r="AN123" s="370">
        <f>AM123</f>
        <v>253</v>
      </c>
      <c r="AO123" s="371">
        <f>AN123</f>
        <v>253</v>
      </c>
      <c r="AP123" s="370">
        <f>AO123</f>
        <v>253</v>
      </c>
      <c r="AQ123" s="370">
        <f>AP123+30</f>
        <v>283</v>
      </c>
      <c r="AR123" s="370">
        <f>AQ123</f>
        <v>283</v>
      </c>
      <c r="AS123" s="371">
        <f>AR123</f>
        <v>283</v>
      </c>
      <c r="AT123" s="370">
        <f>AS123</f>
        <v>283</v>
      </c>
      <c r="AU123" s="370">
        <f>AT123+30</f>
        <v>313</v>
      </c>
      <c r="AV123" s="370">
        <f>AU123</f>
        <v>313</v>
      </c>
      <c r="AW123" s="371">
        <f>AV123</f>
        <v>313</v>
      </c>
      <c r="AY123" s="204"/>
      <c r="AZ123" s="335">
        <f t="shared" si="490"/>
        <v>460</v>
      </c>
      <c r="BA123" s="215">
        <f t="shared" si="491"/>
        <v>350</v>
      </c>
      <c r="BB123" s="215">
        <f t="shared" si="492"/>
        <v>210</v>
      </c>
      <c r="BC123" s="957">
        <f t="shared" si="482"/>
        <v>255</v>
      </c>
      <c r="BD123" s="957">
        <f t="shared" si="483"/>
        <v>210</v>
      </c>
      <c r="BE123" s="957">
        <f t="shared" si="484"/>
        <v>352</v>
      </c>
      <c r="BF123" s="957">
        <f t="shared" si="493"/>
        <v>397</v>
      </c>
      <c r="BG123" s="957">
        <f t="shared" si="494"/>
        <v>582</v>
      </c>
      <c r="BH123" s="957">
        <f t="shared" si="485"/>
        <v>782</v>
      </c>
      <c r="BI123" s="957">
        <f t="shared" si="486"/>
        <v>982</v>
      </c>
      <c r="BJ123" s="957">
        <f t="shared" si="487"/>
        <v>1102</v>
      </c>
      <c r="BK123" s="957">
        <f t="shared" si="495"/>
        <v>1222</v>
      </c>
    </row>
    <row r="124" spans="1:63">
      <c r="A124" s="290" t="s">
        <v>729</v>
      </c>
      <c r="B124" s="384">
        <f t="shared" ref="B124:Q124" si="496">B118-B123-B125-B126-B122</f>
        <v>212.25</v>
      </c>
      <c r="C124" s="384">
        <f t="shared" si="496"/>
        <v>252.75</v>
      </c>
      <c r="D124" s="384">
        <f t="shared" si="496"/>
        <v>249.625</v>
      </c>
      <c r="E124" s="385">
        <f t="shared" si="496"/>
        <v>246.25</v>
      </c>
      <c r="F124" s="384">
        <f t="shared" si="496"/>
        <v>211.25</v>
      </c>
      <c r="G124" s="384">
        <f t="shared" si="496"/>
        <v>196.25</v>
      </c>
      <c r="H124" s="384">
        <f t="shared" si="496"/>
        <v>222.75</v>
      </c>
      <c r="I124" s="385">
        <f t="shared" si="496"/>
        <v>219</v>
      </c>
      <c r="J124" s="384">
        <f t="shared" si="496"/>
        <v>216.75</v>
      </c>
      <c r="K124" s="384">
        <f t="shared" si="496"/>
        <v>222.75</v>
      </c>
      <c r="L124" s="384">
        <f t="shared" si="496"/>
        <v>206.54999999999995</v>
      </c>
      <c r="M124" s="385">
        <f t="shared" si="496"/>
        <v>177.25</v>
      </c>
      <c r="N124" s="384">
        <f t="shared" si="496"/>
        <v>176</v>
      </c>
      <c r="O124" s="384">
        <f t="shared" si="496"/>
        <v>172.95000000000005</v>
      </c>
      <c r="P124" s="384">
        <f t="shared" si="496"/>
        <v>197.95000000000005</v>
      </c>
      <c r="Q124" s="385">
        <f t="shared" si="496"/>
        <v>156.95000000000005</v>
      </c>
      <c r="R124" s="384">
        <f>R118-R123-R125-R126-R122-R121</f>
        <v>155.70000000000005</v>
      </c>
      <c r="S124" s="384">
        <f t="shared" ref="S124:AL124" si="497">S118-S123-S125-S126-S122-S121</f>
        <v>142.70000000000005</v>
      </c>
      <c r="T124" s="384">
        <f t="shared" si="497"/>
        <v>147.20000000000005</v>
      </c>
      <c r="U124" s="385">
        <f t="shared" si="497"/>
        <v>169.45000000000005</v>
      </c>
      <c r="V124" s="384">
        <f t="shared" si="497"/>
        <v>205.20000000000005</v>
      </c>
      <c r="W124" s="384">
        <f t="shared" si="497"/>
        <v>224.20000000000005</v>
      </c>
      <c r="X124" s="384">
        <f t="shared" si="497"/>
        <v>249.95000000000005</v>
      </c>
      <c r="Y124" s="385">
        <f t="shared" si="497"/>
        <v>255.20000000000005</v>
      </c>
      <c r="Z124" s="384">
        <f t="shared" si="497"/>
        <v>285.70000000000005</v>
      </c>
      <c r="AA124" s="384">
        <f t="shared" si="497"/>
        <v>274.70000000000005</v>
      </c>
      <c r="AB124" s="959">
        <f t="shared" si="497"/>
        <v>315.70000000000005</v>
      </c>
      <c r="AC124" s="992">
        <f t="shared" si="497"/>
        <v>286.95000000000005</v>
      </c>
      <c r="AD124" s="959">
        <f t="shared" si="497"/>
        <v>313.95000000000005</v>
      </c>
      <c r="AE124" s="959">
        <f t="shared" si="497"/>
        <v>315.45000000000005</v>
      </c>
      <c r="AF124" s="959">
        <f t="shared" si="497"/>
        <v>447.20000000000005</v>
      </c>
      <c r="AG124" s="992">
        <f t="shared" si="497"/>
        <v>577.32500000000005</v>
      </c>
      <c r="AH124" s="959">
        <f t="shared" si="497"/>
        <v>654.20000000000005</v>
      </c>
      <c r="AI124" s="959">
        <f t="shared" si="497"/>
        <v>628.20000000000005</v>
      </c>
      <c r="AJ124" s="959">
        <f t="shared" si="497"/>
        <v>627.70000000000005</v>
      </c>
      <c r="AK124" s="992">
        <f t="shared" si="497"/>
        <v>665.69999999999982</v>
      </c>
      <c r="AL124" s="959">
        <f t="shared" si="497"/>
        <v>707.32499999999982</v>
      </c>
      <c r="AM124" s="384">
        <f t="shared" ref="AM124" si="498">AM118-AM123-AM125-AM126-AM122-AM121</f>
        <v>711.69999999999982</v>
      </c>
      <c r="AN124" s="384">
        <f t="shared" ref="AN124" si="499">AN118-AN123-AN125-AN126-AN122-AN121</f>
        <v>808.07499999999982</v>
      </c>
      <c r="AO124" s="385">
        <f t="shared" ref="AO124" si="500">AO118-AO123-AO125-AO126-AO122-AO121</f>
        <v>802.19999999999982</v>
      </c>
      <c r="AP124" s="384">
        <f t="shared" ref="AP124" si="501">AP118-AP123-AP125-AP126-AP122-AP121</f>
        <v>846.07499999999982</v>
      </c>
      <c r="AQ124" s="384">
        <f t="shared" ref="AQ124" si="502">AQ118-AQ123-AQ125-AQ126-AQ122-AQ121</f>
        <v>890.94999999999982</v>
      </c>
      <c r="AR124" s="384">
        <f t="shared" ref="AR124" si="503">AR118-AR123-AR125-AR126-AR122-AR121</f>
        <v>1021.0749999999998</v>
      </c>
      <c r="AS124" s="385">
        <f t="shared" ref="AS124" si="504">AS118-AS123-AS125-AS126-AS122-AS121</f>
        <v>1015.1999999999998</v>
      </c>
      <c r="AT124" s="384">
        <f t="shared" ref="AT124" si="505">AT118-AT123-AT125-AT126-AT122-AT121</f>
        <v>1072.5749999999998</v>
      </c>
      <c r="AU124" s="384">
        <f t="shared" ref="AU124" si="506">AU118-AU123-AU125-AU126-AU122-AU121</f>
        <v>1110.6999999999998</v>
      </c>
      <c r="AV124" s="384">
        <f t="shared" ref="AV124" si="507">AV118-AV123-AV125-AV126-AV122-AV121</f>
        <v>1200.3249999999998</v>
      </c>
      <c r="AW124" s="385">
        <f t="shared" ref="AW124" si="508">AW118-AW123-AW125-AW126-AW122-AW121</f>
        <v>1228.1999999999998</v>
      </c>
      <c r="AX124" s="539"/>
      <c r="AY124" s="540"/>
      <c r="AZ124" s="335">
        <f t="shared" si="490"/>
        <v>960.875</v>
      </c>
      <c r="BA124" s="215">
        <f t="shared" si="491"/>
        <v>849.25</v>
      </c>
      <c r="BB124" s="215">
        <f t="shared" si="492"/>
        <v>823.3</v>
      </c>
      <c r="BC124" s="957">
        <f t="shared" si="482"/>
        <v>703.85000000000014</v>
      </c>
      <c r="BD124" s="957">
        <f t="shared" si="483"/>
        <v>615.05000000000018</v>
      </c>
      <c r="BE124" s="957">
        <f t="shared" si="484"/>
        <v>934.55000000000018</v>
      </c>
      <c r="BF124" s="957">
        <f t="shared" si="493"/>
        <v>1163.0500000000002</v>
      </c>
      <c r="BG124" s="957">
        <f t="shared" si="494"/>
        <v>1653.9250000000002</v>
      </c>
      <c r="BH124" s="957">
        <f t="shared" si="485"/>
        <v>2575.8000000000002</v>
      </c>
      <c r="BI124" s="957">
        <f t="shared" si="486"/>
        <v>3029.2999999999993</v>
      </c>
      <c r="BJ124" s="957">
        <f t="shared" si="487"/>
        <v>3773.2999999999993</v>
      </c>
      <c r="BK124" s="957">
        <f t="shared" si="495"/>
        <v>4611.7999999999993</v>
      </c>
    </row>
    <row r="125" spans="1:63">
      <c r="A125" s="290" t="s">
        <v>728</v>
      </c>
      <c r="B125" s="382">
        <v>260</v>
      </c>
      <c r="C125" s="382">
        <v>260</v>
      </c>
      <c r="D125" s="382">
        <v>230</v>
      </c>
      <c r="E125" s="383">
        <v>230</v>
      </c>
      <c r="F125" s="382">
        <v>280</v>
      </c>
      <c r="G125" s="382">
        <v>320</v>
      </c>
      <c r="H125" s="382">
        <v>290</v>
      </c>
      <c r="I125" s="383">
        <v>290</v>
      </c>
      <c r="J125" s="382">
        <f>I125+12*2.25</f>
        <v>317</v>
      </c>
      <c r="K125" s="382">
        <f>J125+33</f>
        <v>350</v>
      </c>
      <c r="L125" s="382">
        <v>388</v>
      </c>
      <c r="M125" s="383">
        <f>L125+2</f>
        <v>390</v>
      </c>
      <c r="N125" s="382">
        <f>M125+40</f>
        <v>430</v>
      </c>
      <c r="O125" s="382">
        <v>410</v>
      </c>
      <c r="P125" s="382">
        <f>O125-40</f>
        <v>370</v>
      </c>
      <c r="Q125" s="383">
        <f>P125+70</f>
        <v>440</v>
      </c>
      <c r="R125" s="382">
        <f>Q125-15</f>
        <v>425</v>
      </c>
      <c r="S125" s="382">
        <f>R125+15</f>
        <v>440</v>
      </c>
      <c r="T125" s="368">
        <f>S125+35</f>
        <v>475</v>
      </c>
      <c r="U125" s="369">
        <f>T125+10</f>
        <v>485</v>
      </c>
      <c r="V125" s="368">
        <f>U125+15</f>
        <v>500</v>
      </c>
      <c r="W125" s="368">
        <f>V125+30</f>
        <v>530</v>
      </c>
      <c r="X125" s="368">
        <f>W125+30</f>
        <v>560</v>
      </c>
      <c r="Y125" s="369">
        <f>X125+15</f>
        <v>575</v>
      </c>
      <c r="Z125" s="368">
        <f>Y125+10</f>
        <v>585</v>
      </c>
      <c r="AA125" s="368">
        <f>Z125+30</f>
        <v>615</v>
      </c>
      <c r="AB125" s="960">
        <f>AA125+10</f>
        <v>625</v>
      </c>
      <c r="AC125" s="993">
        <f>AB125+10</f>
        <v>635</v>
      </c>
      <c r="AD125" s="368">
        <f>AC125</f>
        <v>635</v>
      </c>
      <c r="AE125" s="368">
        <f>AD125+36</f>
        <v>671</v>
      </c>
      <c r="AF125" s="368">
        <f>AE125+10</f>
        <v>681</v>
      </c>
      <c r="AG125" s="369">
        <f>AF125+60</f>
        <v>741</v>
      </c>
      <c r="AH125" s="368">
        <f>AG125</f>
        <v>741</v>
      </c>
      <c r="AI125" s="368">
        <f>AH125+50</f>
        <v>791</v>
      </c>
      <c r="AJ125" s="368">
        <f>AI125+55</f>
        <v>846</v>
      </c>
      <c r="AK125" s="369">
        <f>AJ125+70</f>
        <v>916</v>
      </c>
      <c r="AL125" s="368">
        <f>AK125</f>
        <v>916</v>
      </c>
      <c r="AM125" s="368">
        <f>AL125+50</f>
        <v>966</v>
      </c>
      <c r="AN125" s="368">
        <f>AM125+15</f>
        <v>981</v>
      </c>
      <c r="AO125" s="369">
        <f>AN125+70</f>
        <v>1051</v>
      </c>
      <c r="AP125" s="368">
        <f>AO125</f>
        <v>1051</v>
      </c>
      <c r="AQ125" s="368">
        <f>AP125+50</f>
        <v>1101</v>
      </c>
      <c r="AR125" s="368">
        <f>AQ125+15</f>
        <v>1116</v>
      </c>
      <c r="AS125" s="369">
        <f>AR125+70</f>
        <v>1186</v>
      </c>
      <c r="AT125" s="368">
        <f>AS125</f>
        <v>1186</v>
      </c>
      <c r="AU125" s="368">
        <f>AT125+50</f>
        <v>1236</v>
      </c>
      <c r="AV125" s="368">
        <f>AU125+15</f>
        <v>1251</v>
      </c>
      <c r="AW125" s="369">
        <f>AV125+70</f>
        <v>1321</v>
      </c>
      <c r="AX125" s="539"/>
      <c r="AY125" s="540"/>
      <c r="AZ125" s="335">
        <f t="shared" si="490"/>
        <v>980</v>
      </c>
      <c r="BA125" s="215">
        <f t="shared" si="491"/>
        <v>1180</v>
      </c>
      <c r="BB125" s="215">
        <f t="shared" si="492"/>
        <v>1445</v>
      </c>
      <c r="BC125" s="957">
        <f t="shared" si="482"/>
        <v>1650</v>
      </c>
      <c r="BD125" s="957">
        <f t="shared" si="483"/>
        <v>1825</v>
      </c>
      <c r="BE125" s="957">
        <f t="shared" si="484"/>
        <v>2165</v>
      </c>
      <c r="BF125" s="957">
        <f t="shared" si="493"/>
        <v>2460</v>
      </c>
      <c r="BG125" s="957">
        <f t="shared" si="494"/>
        <v>2728</v>
      </c>
      <c r="BH125" s="957">
        <f t="shared" si="485"/>
        <v>3294</v>
      </c>
      <c r="BI125" s="957">
        <f t="shared" si="486"/>
        <v>3914</v>
      </c>
      <c r="BJ125" s="957">
        <f t="shared" si="487"/>
        <v>4454</v>
      </c>
      <c r="BK125" s="957">
        <f t="shared" si="495"/>
        <v>4994</v>
      </c>
    </row>
    <row r="126" spans="1:63">
      <c r="A126" s="290" t="s">
        <v>727</v>
      </c>
      <c r="B126" s="382">
        <v>25</v>
      </c>
      <c r="C126" s="382">
        <v>25</v>
      </c>
      <c r="D126" s="382">
        <v>25</v>
      </c>
      <c r="E126" s="383">
        <v>25</v>
      </c>
      <c r="F126" s="382">
        <v>50</v>
      </c>
      <c r="G126" s="382">
        <v>25</v>
      </c>
      <c r="H126" s="382">
        <v>25</v>
      </c>
      <c r="I126" s="383">
        <v>25</v>
      </c>
      <c r="J126" s="382">
        <f>I126+4*2.25</f>
        <v>34</v>
      </c>
      <c r="K126" s="382">
        <f>J126-2</f>
        <v>32</v>
      </c>
      <c r="L126" s="382">
        <v>21</v>
      </c>
      <c r="M126" s="383">
        <f>L126+3</f>
        <v>24</v>
      </c>
      <c r="N126" s="382">
        <f>M126+2</f>
        <v>26</v>
      </c>
      <c r="O126" s="382">
        <f>N126+19</f>
        <v>45</v>
      </c>
      <c r="P126" s="382">
        <f>O126+15</f>
        <v>60</v>
      </c>
      <c r="Q126" s="383">
        <f>P126-4</f>
        <v>56</v>
      </c>
      <c r="R126" s="382">
        <f>Q126+8</f>
        <v>64</v>
      </c>
      <c r="S126" s="382">
        <f>R126-5</f>
        <v>59</v>
      </c>
      <c r="T126" s="368">
        <f>S126+1</f>
        <v>60</v>
      </c>
      <c r="U126" s="369">
        <f>T126</f>
        <v>60</v>
      </c>
      <c r="V126" s="368">
        <f>U126</f>
        <v>60</v>
      </c>
      <c r="W126" s="368">
        <f>V126+5</f>
        <v>65</v>
      </c>
      <c r="X126" s="368">
        <f>W126+5</f>
        <v>70</v>
      </c>
      <c r="Y126" s="369">
        <f t="shared" ref="Y126:AG127" si="509">X126</f>
        <v>70</v>
      </c>
      <c r="Z126" s="368">
        <f t="shared" si="509"/>
        <v>70</v>
      </c>
      <c r="AA126" s="368">
        <f t="shared" si="509"/>
        <v>70</v>
      </c>
      <c r="AB126" s="368">
        <f t="shared" si="509"/>
        <v>70</v>
      </c>
      <c r="AC126" s="369">
        <f t="shared" si="509"/>
        <v>70</v>
      </c>
      <c r="AD126" s="368">
        <f t="shared" si="509"/>
        <v>70</v>
      </c>
      <c r="AE126" s="368">
        <f t="shared" si="509"/>
        <v>70</v>
      </c>
      <c r="AF126" s="368">
        <f t="shared" si="509"/>
        <v>70</v>
      </c>
      <c r="AG126" s="369">
        <f t="shared" si="509"/>
        <v>70</v>
      </c>
      <c r="AH126" s="368">
        <f>AG126</f>
        <v>70</v>
      </c>
      <c r="AI126" s="368">
        <f t="shared" ref="AI126:AK127" si="510">AH126</f>
        <v>70</v>
      </c>
      <c r="AJ126" s="368">
        <f t="shared" si="510"/>
        <v>70</v>
      </c>
      <c r="AK126" s="369">
        <f t="shared" si="510"/>
        <v>70</v>
      </c>
      <c r="AL126" s="368">
        <f>AK126</f>
        <v>70</v>
      </c>
      <c r="AM126" s="368">
        <f t="shared" ref="AM126:AO127" si="511">AL126</f>
        <v>70</v>
      </c>
      <c r="AN126" s="368">
        <f t="shared" si="511"/>
        <v>70</v>
      </c>
      <c r="AO126" s="369">
        <f t="shared" si="511"/>
        <v>70</v>
      </c>
      <c r="AP126" s="368">
        <f>AO126</f>
        <v>70</v>
      </c>
      <c r="AQ126" s="368">
        <f t="shared" ref="AQ126:AQ127" si="512">AP126</f>
        <v>70</v>
      </c>
      <c r="AR126" s="368">
        <f t="shared" ref="AR126:AR127" si="513">AQ126</f>
        <v>70</v>
      </c>
      <c r="AS126" s="369">
        <f t="shared" ref="AS126:AS127" si="514">AR126</f>
        <v>70</v>
      </c>
      <c r="AT126" s="368">
        <f>AS126</f>
        <v>70</v>
      </c>
      <c r="AU126" s="368">
        <f t="shared" ref="AU126:AU127" si="515">AT126</f>
        <v>70</v>
      </c>
      <c r="AV126" s="368">
        <f t="shared" ref="AV126:AV127" si="516">AU126</f>
        <v>70</v>
      </c>
      <c r="AW126" s="369">
        <f t="shared" ref="AW126:AW127" si="517">AV126</f>
        <v>70</v>
      </c>
      <c r="AX126" s="539"/>
      <c r="AY126" s="540"/>
      <c r="AZ126" s="335">
        <f t="shared" si="490"/>
        <v>100</v>
      </c>
      <c r="BA126" s="215">
        <f t="shared" si="491"/>
        <v>125</v>
      </c>
      <c r="BB126" s="215">
        <f t="shared" si="492"/>
        <v>111</v>
      </c>
      <c r="BC126" s="215">
        <f t="shared" si="482"/>
        <v>187</v>
      </c>
      <c r="BD126" s="215">
        <f t="shared" si="483"/>
        <v>243</v>
      </c>
      <c r="BE126" s="215">
        <f t="shared" si="484"/>
        <v>265</v>
      </c>
      <c r="BF126" s="215">
        <f t="shared" si="493"/>
        <v>280</v>
      </c>
      <c r="BG126" s="215">
        <f t="shared" si="494"/>
        <v>280</v>
      </c>
      <c r="BH126" s="215">
        <f t="shared" si="485"/>
        <v>280</v>
      </c>
      <c r="BI126" s="215">
        <f t="shared" si="486"/>
        <v>280</v>
      </c>
      <c r="BJ126" s="215">
        <f t="shared" si="487"/>
        <v>280</v>
      </c>
      <c r="BK126" s="215">
        <f t="shared" si="495"/>
        <v>280</v>
      </c>
    </row>
    <row r="127" spans="1:63">
      <c r="A127" s="290" t="s">
        <v>726</v>
      </c>
      <c r="B127" s="382">
        <v>180</v>
      </c>
      <c r="C127" s="382">
        <v>180</v>
      </c>
      <c r="D127" s="382">
        <v>100</v>
      </c>
      <c r="E127" s="383">
        <v>100</v>
      </c>
      <c r="F127" s="382">
        <v>100</v>
      </c>
      <c r="G127" s="382">
        <v>100</v>
      </c>
      <c r="H127" s="382">
        <v>102</v>
      </c>
      <c r="I127" s="383">
        <v>95</v>
      </c>
      <c r="J127" s="382">
        <f>I127</f>
        <v>95</v>
      </c>
      <c r="K127" s="382">
        <f>J127+3</f>
        <v>98</v>
      </c>
      <c r="L127" s="382">
        <f>K127-15</f>
        <v>83</v>
      </c>
      <c r="M127" s="383">
        <f>L127-4</f>
        <v>79</v>
      </c>
      <c r="N127" s="382">
        <f>M127</f>
        <v>79</v>
      </c>
      <c r="O127" s="382">
        <f>N127-5</f>
        <v>74</v>
      </c>
      <c r="P127" s="382">
        <f>O127</f>
        <v>74</v>
      </c>
      <c r="Q127" s="383">
        <f>P127+15</f>
        <v>89</v>
      </c>
      <c r="R127" s="382">
        <f>Q127+12</f>
        <v>101</v>
      </c>
      <c r="S127" s="382">
        <f>R127+14</f>
        <v>115</v>
      </c>
      <c r="T127" s="370">
        <f>S127</f>
        <v>115</v>
      </c>
      <c r="U127" s="371">
        <f>T127</f>
        <v>115</v>
      </c>
      <c r="V127" s="370">
        <f>U127+10</f>
        <v>125</v>
      </c>
      <c r="W127" s="370">
        <f>V127+3+10</f>
        <v>138</v>
      </c>
      <c r="X127" s="370">
        <f>W127+4.5</f>
        <v>142.5</v>
      </c>
      <c r="Y127" s="371">
        <f>X127</f>
        <v>142.5</v>
      </c>
      <c r="Z127" s="370">
        <f>Y127</f>
        <v>142.5</v>
      </c>
      <c r="AA127" s="370">
        <f>Z127+5</f>
        <v>147.5</v>
      </c>
      <c r="AB127" s="370">
        <f>AA127+4.5</f>
        <v>152</v>
      </c>
      <c r="AC127" s="371">
        <f>AB127</f>
        <v>152</v>
      </c>
      <c r="AD127" s="370">
        <f>AC127</f>
        <v>152</v>
      </c>
      <c r="AE127" s="370">
        <f>AD127</f>
        <v>152</v>
      </c>
      <c r="AF127" s="370">
        <f>AE127</f>
        <v>152</v>
      </c>
      <c r="AG127" s="371">
        <f t="shared" si="509"/>
        <v>152</v>
      </c>
      <c r="AH127" s="370">
        <f>AG127</f>
        <v>152</v>
      </c>
      <c r="AI127" s="370">
        <f t="shared" si="510"/>
        <v>152</v>
      </c>
      <c r="AJ127" s="370">
        <f t="shared" si="510"/>
        <v>152</v>
      </c>
      <c r="AK127" s="371">
        <f t="shared" si="510"/>
        <v>152</v>
      </c>
      <c r="AL127" s="370">
        <f>AK127</f>
        <v>152</v>
      </c>
      <c r="AM127" s="370">
        <f t="shared" si="511"/>
        <v>152</v>
      </c>
      <c r="AN127" s="370">
        <f t="shared" si="511"/>
        <v>152</v>
      </c>
      <c r="AO127" s="371">
        <f t="shared" si="511"/>
        <v>152</v>
      </c>
      <c r="AP127" s="370">
        <f>AO127</f>
        <v>152</v>
      </c>
      <c r="AQ127" s="370">
        <f t="shared" si="512"/>
        <v>152</v>
      </c>
      <c r="AR127" s="370">
        <f t="shared" si="513"/>
        <v>152</v>
      </c>
      <c r="AS127" s="371">
        <f t="shared" si="514"/>
        <v>152</v>
      </c>
      <c r="AT127" s="370">
        <f>AS127</f>
        <v>152</v>
      </c>
      <c r="AU127" s="370">
        <f t="shared" si="515"/>
        <v>152</v>
      </c>
      <c r="AV127" s="370">
        <f t="shared" si="516"/>
        <v>152</v>
      </c>
      <c r="AW127" s="371">
        <f t="shared" si="517"/>
        <v>152</v>
      </c>
      <c r="AX127" s="539"/>
      <c r="AY127" s="204"/>
      <c r="AZ127" s="335">
        <f t="shared" si="490"/>
        <v>560</v>
      </c>
      <c r="BA127" s="215">
        <f t="shared" si="491"/>
        <v>397</v>
      </c>
      <c r="BB127" s="215">
        <f t="shared" si="492"/>
        <v>355</v>
      </c>
      <c r="BC127" s="957">
        <f t="shared" si="482"/>
        <v>316</v>
      </c>
      <c r="BD127" s="957">
        <f t="shared" si="483"/>
        <v>446</v>
      </c>
      <c r="BE127" s="957">
        <f t="shared" si="484"/>
        <v>548</v>
      </c>
      <c r="BF127" s="957">
        <f t="shared" si="493"/>
        <v>594</v>
      </c>
      <c r="BG127" s="957">
        <f t="shared" si="494"/>
        <v>608</v>
      </c>
      <c r="BH127" s="957">
        <f t="shared" si="485"/>
        <v>608</v>
      </c>
      <c r="BI127" s="957">
        <f t="shared" si="486"/>
        <v>608</v>
      </c>
      <c r="BJ127" s="957">
        <f t="shared" si="487"/>
        <v>608</v>
      </c>
      <c r="BK127" s="957">
        <f t="shared" si="495"/>
        <v>608</v>
      </c>
    </row>
    <row r="128" spans="1:63">
      <c r="A128" s="290" t="s">
        <v>725</v>
      </c>
      <c r="B128" s="331">
        <f t="shared" ref="B128:AO128" si="518">B117-B127-B129</f>
        <v>448</v>
      </c>
      <c r="C128" s="331">
        <f t="shared" si="518"/>
        <v>457</v>
      </c>
      <c r="D128" s="331">
        <f t="shared" si="518"/>
        <v>539.22500000000002</v>
      </c>
      <c r="E128" s="332">
        <f t="shared" si="518"/>
        <v>527</v>
      </c>
      <c r="F128" s="331">
        <f t="shared" si="518"/>
        <v>532</v>
      </c>
      <c r="G128" s="331">
        <f t="shared" si="518"/>
        <v>532.97500000000002</v>
      </c>
      <c r="H128" s="331">
        <f t="shared" si="518"/>
        <v>549.875</v>
      </c>
      <c r="I128" s="332">
        <f t="shared" si="518"/>
        <v>589.97500000000002</v>
      </c>
      <c r="J128" s="331">
        <f t="shared" si="518"/>
        <v>592.97500000000002</v>
      </c>
      <c r="K128" s="331">
        <f t="shared" si="518"/>
        <v>610.97500000000002</v>
      </c>
      <c r="L128" s="331">
        <f t="shared" si="518"/>
        <v>499</v>
      </c>
      <c r="M128" s="332">
        <f t="shared" si="518"/>
        <v>519</v>
      </c>
      <c r="N128" s="331">
        <f t="shared" si="518"/>
        <v>525</v>
      </c>
      <c r="O128" s="331">
        <f t="shared" si="518"/>
        <v>530</v>
      </c>
      <c r="P128" s="331">
        <f t="shared" si="518"/>
        <v>599.75</v>
      </c>
      <c r="Q128" s="332">
        <f t="shared" si="518"/>
        <v>576.04999999999995</v>
      </c>
      <c r="R128" s="331">
        <f t="shared" si="518"/>
        <v>617.04999999999995</v>
      </c>
      <c r="S128" s="331">
        <f t="shared" si="518"/>
        <v>644.04999999999995</v>
      </c>
      <c r="T128" s="331">
        <f t="shared" si="518"/>
        <v>660.17499999999995</v>
      </c>
      <c r="U128" s="332">
        <f t="shared" si="518"/>
        <v>680.79699999999991</v>
      </c>
      <c r="V128" s="331">
        <f t="shared" si="518"/>
        <v>689.42199999999991</v>
      </c>
      <c r="W128" s="331">
        <f t="shared" si="518"/>
        <v>696.3</v>
      </c>
      <c r="X128" s="331">
        <f t="shared" si="518"/>
        <v>721.80000000000007</v>
      </c>
      <c r="Y128" s="332">
        <f t="shared" si="518"/>
        <v>725.55000000000007</v>
      </c>
      <c r="Z128" s="331">
        <f t="shared" si="518"/>
        <v>739.80000000000007</v>
      </c>
      <c r="AA128" s="331">
        <f t="shared" si="518"/>
        <v>744.80000000000007</v>
      </c>
      <c r="AB128" s="958">
        <f t="shared" si="518"/>
        <v>778.80000000000018</v>
      </c>
      <c r="AC128" s="994">
        <f t="shared" si="518"/>
        <v>787.80000000000018</v>
      </c>
      <c r="AD128" s="958">
        <f t="shared" si="518"/>
        <v>787.80000000000018</v>
      </c>
      <c r="AE128" s="958">
        <f t="shared" si="518"/>
        <v>787.80000000000018</v>
      </c>
      <c r="AF128" s="958">
        <f t="shared" si="518"/>
        <v>787.80000000000018</v>
      </c>
      <c r="AG128" s="994">
        <f t="shared" si="518"/>
        <v>787.80000000000018</v>
      </c>
      <c r="AH128" s="958">
        <f t="shared" si="518"/>
        <v>787.80000000000018</v>
      </c>
      <c r="AI128" s="958">
        <f t="shared" si="518"/>
        <v>787.80000000000018</v>
      </c>
      <c r="AJ128" s="958">
        <f t="shared" ref="AJ128:AK128" si="519">AJ117-AJ127-AJ129</f>
        <v>787.80000000000018</v>
      </c>
      <c r="AK128" s="994">
        <f t="shared" si="519"/>
        <v>787.80000000000018</v>
      </c>
      <c r="AL128" s="958">
        <f t="shared" si="518"/>
        <v>787.80000000000018</v>
      </c>
      <c r="AM128" s="331">
        <f t="shared" si="518"/>
        <v>787.80000000000018</v>
      </c>
      <c r="AN128" s="331">
        <f t="shared" si="518"/>
        <v>787.80000000000018</v>
      </c>
      <c r="AO128" s="332">
        <f t="shared" si="518"/>
        <v>787.80000000000018</v>
      </c>
      <c r="AP128" s="331">
        <f t="shared" ref="AP128:AS128" si="520">AP117-AP127-AP129</f>
        <v>787.80000000000018</v>
      </c>
      <c r="AQ128" s="331">
        <f t="shared" si="520"/>
        <v>787.80000000000018</v>
      </c>
      <c r="AR128" s="331">
        <f t="shared" si="520"/>
        <v>787.80000000000018</v>
      </c>
      <c r="AS128" s="332">
        <f t="shared" si="520"/>
        <v>787.80000000000018</v>
      </c>
      <c r="AT128" s="331">
        <f t="shared" ref="AT128:AW128" si="521">AT117-AT127-AT129</f>
        <v>787.80000000000018</v>
      </c>
      <c r="AU128" s="331">
        <f t="shared" si="521"/>
        <v>787.80000000000018</v>
      </c>
      <c r="AV128" s="331">
        <f t="shared" si="521"/>
        <v>787.80000000000018</v>
      </c>
      <c r="AW128" s="332">
        <f t="shared" si="521"/>
        <v>787.80000000000018</v>
      </c>
      <c r="AX128" s="539"/>
      <c r="AY128" s="204"/>
      <c r="AZ128" s="335">
        <f t="shared" si="490"/>
        <v>1971.2249999999999</v>
      </c>
      <c r="BA128" s="215">
        <f t="shared" si="491"/>
        <v>2204.8249999999998</v>
      </c>
      <c r="BB128" s="215">
        <f t="shared" si="492"/>
        <v>2221.9499999999998</v>
      </c>
      <c r="BC128" s="957">
        <f t="shared" si="482"/>
        <v>2230.8000000000002</v>
      </c>
      <c r="BD128" s="957">
        <f t="shared" si="483"/>
        <v>2602.0719999999997</v>
      </c>
      <c r="BE128" s="957">
        <f t="shared" si="484"/>
        <v>2833.0720000000001</v>
      </c>
      <c r="BF128" s="957">
        <f t="shared" si="493"/>
        <v>3051.2000000000007</v>
      </c>
      <c r="BG128" s="957">
        <f t="shared" si="494"/>
        <v>3151.2000000000007</v>
      </c>
      <c r="BH128" s="957">
        <f t="shared" si="485"/>
        <v>3151.2000000000007</v>
      </c>
      <c r="BI128" s="957">
        <f t="shared" si="486"/>
        <v>3151.2000000000007</v>
      </c>
      <c r="BJ128" s="957">
        <f t="shared" si="487"/>
        <v>3151.2000000000007</v>
      </c>
      <c r="BK128" s="957">
        <f t="shared" si="495"/>
        <v>3151.2000000000007</v>
      </c>
    </row>
    <row r="129" spans="1:63">
      <c r="A129" s="290" t="s">
        <v>724</v>
      </c>
      <c r="B129" s="382">
        <v>50</v>
      </c>
      <c r="C129" s="382">
        <v>50</v>
      </c>
      <c r="D129" s="382">
        <v>60</v>
      </c>
      <c r="E129" s="383">
        <v>60</v>
      </c>
      <c r="F129" s="382">
        <v>70</v>
      </c>
      <c r="G129" s="382">
        <v>73</v>
      </c>
      <c r="H129" s="382">
        <v>73</v>
      </c>
      <c r="I129" s="383">
        <v>75</v>
      </c>
      <c r="J129" s="382">
        <f>I129+9</f>
        <v>84</v>
      </c>
      <c r="K129" s="382">
        <f>J129</f>
        <v>84</v>
      </c>
      <c r="L129" s="382">
        <f>K129</f>
        <v>84</v>
      </c>
      <c r="M129" s="383">
        <f>L129+2</f>
        <v>86</v>
      </c>
      <c r="N129" s="382">
        <f>M129+9</f>
        <v>95</v>
      </c>
      <c r="O129" s="382">
        <f>N129+3</f>
        <v>98</v>
      </c>
      <c r="P129" s="382">
        <f>O129</f>
        <v>98</v>
      </c>
      <c r="Q129" s="383">
        <f>P129</f>
        <v>98</v>
      </c>
      <c r="R129" s="382">
        <f>Q129+7</f>
        <v>105</v>
      </c>
      <c r="S129" s="382">
        <f>R129+1</f>
        <v>106</v>
      </c>
      <c r="T129" s="368">
        <f>S129</f>
        <v>106</v>
      </c>
      <c r="U129" s="369">
        <f>T129</f>
        <v>106</v>
      </c>
      <c r="V129" s="368">
        <f>U129+5</f>
        <v>111</v>
      </c>
      <c r="W129" s="368">
        <f>V129</f>
        <v>111</v>
      </c>
      <c r="X129" s="368">
        <f>W129+6</f>
        <v>117</v>
      </c>
      <c r="Y129" s="369">
        <f>X129</f>
        <v>117</v>
      </c>
      <c r="Z129" s="368">
        <f>Y129</f>
        <v>117</v>
      </c>
      <c r="AA129" s="368">
        <f>Z129+2</f>
        <v>119</v>
      </c>
      <c r="AB129" s="368">
        <f>AA129+5</f>
        <v>124</v>
      </c>
      <c r="AC129" s="369">
        <f>AB129</f>
        <v>124</v>
      </c>
      <c r="AD129" s="368">
        <f>AC129</f>
        <v>124</v>
      </c>
      <c r="AE129" s="368">
        <f>AD129</f>
        <v>124</v>
      </c>
      <c r="AF129" s="368">
        <f t="shared" ref="AF129:AO129" si="522">AE129</f>
        <v>124</v>
      </c>
      <c r="AG129" s="369">
        <f t="shared" si="522"/>
        <v>124</v>
      </c>
      <c r="AH129" s="368">
        <f t="shared" si="522"/>
        <v>124</v>
      </c>
      <c r="AI129" s="368">
        <f t="shared" si="522"/>
        <v>124</v>
      </c>
      <c r="AJ129" s="368">
        <f t="shared" si="522"/>
        <v>124</v>
      </c>
      <c r="AK129" s="369">
        <f t="shared" si="522"/>
        <v>124</v>
      </c>
      <c r="AL129" s="368">
        <f t="shared" si="522"/>
        <v>124</v>
      </c>
      <c r="AM129" s="368">
        <f t="shared" si="522"/>
        <v>124</v>
      </c>
      <c r="AN129" s="368">
        <f t="shared" si="522"/>
        <v>124</v>
      </c>
      <c r="AO129" s="369">
        <f t="shared" si="522"/>
        <v>124</v>
      </c>
      <c r="AP129" s="368">
        <f t="shared" ref="AP129" si="523">AO129</f>
        <v>124</v>
      </c>
      <c r="AQ129" s="368">
        <f t="shared" ref="AQ129" si="524">AP129</f>
        <v>124</v>
      </c>
      <c r="AR129" s="368">
        <f t="shared" ref="AR129" si="525">AQ129</f>
        <v>124</v>
      </c>
      <c r="AS129" s="369">
        <f t="shared" ref="AS129" si="526">AR129</f>
        <v>124</v>
      </c>
      <c r="AT129" s="368">
        <f t="shared" ref="AT129" si="527">AS129</f>
        <v>124</v>
      </c>
      <c r="AU129" s="368">
        <f t="shared" ref="AU129" si="528">AT129</f>
        <v>124</v>
      </c>
      <c r="AV129" s="368">
        <f t="shared" ref="AV129" si="529">AU129</f>
        <v>124</v>
      </c>
      <c r="AW129" s="369">
        <f t="shared" ref="AW129" si="530">AV129</f>
        <v>124</v>
      </c>
      <c r="AX129" s="274"/>
      <c r="AY129" s="204"/>
      <c r="AZ129" s="335">
        <f t="shared" si="490"/>
        <v>220</v>
      </c>
      <c r="BA129" s="215">
        <f t="shared" si="491"/>
        <v>291</v>
      </c>
      <c r="BB129" s="215">
        <f t="shared" si="492"/>
        <v>338</v>
      </c>
      <c r="BC129" s="957">
        <f t="shared" si="482"/>
        <v>389</v>
      </c>
      <c r="BD129" s="957">
        <f t="shared" si="483"/>
        <v>423</v>
      </c>
      <c r="BE129" s="957">
        <f t="shared" si="484"/>
        <v>456</v>
      </c>
      <c r="BF129" s="957">
        <f t="shared" si="493"/>
        <v>484</v>
      </c>
      <c r="BG129" s="957">
        <f t="shared" si="494"/>
        <v>496</v>
      </c>
      <c r="BH129" s="957">
        <f t="shared" si="485"/>
        <v>496</v>
      </c>
      <c r="BI129" s="957">
        <f t="shared" si="486"/>
        <v>496</v>
      </c>
      <c r="BJ129" s="957">
        <f t="shared" si="487"/>
        <v>496</v>
      </c>
      <c r="BK129" s="957">
        <f t="shared" si="495"/>
        <v>496</v>
      </c>
    </row>
    <row r="130" spans="1:63">
      <c r="A130" s="336" t="s">
        <v>706</v>
      </c>
      <c r="B130" s="374">
        <f>SUM(B123:B129)</f>
        <v>1265.25</v>
      </c>
      <c r="C130" s="374">
        <f t="shared" ref="C130:L130" si="531">SUM(C123:C129)</f>
        <v>1314.75</v>
      </c>
      <c r="D130" s="374">
        <f t="shared" si="531"/>
        <v>1343.85</v>
      </c>
      <c r="E130" s="375">
        <f t="shared" si="531"/>
        <v>1328.25</v>
      </c>
      <c r="F130" s="374">
        <f t="shared" si="531"/>
        <v>1343.25</v>
      </c>
      <c r="G130" s="374">
        <f t="shared" si="531"/>
        <v>1347.2249999999999</v>
      </c>
      <c r="H130" s="374">
        <f t="shared" si="531"/>
        <v>1352.625</v>
      </c>
      <c r="I130" s="375">
        <f t="shared" si="531"/>
        <v>1353.9749999999999</v>
      </c>
      <c r="J130" s="374">
        <f t="shared" si="531"/>
        <v>1399.7249999999999</v>
      </c>
      <c r="K130" s="374">
        <f t="shared" si="531"/>
        <v>1447.7249999999999</v>
      </c>
      <c r="L130" s="374">
        <f t="shared" si="531"/>
        <v>1331.55</v>
      </c>
      <c r="M130" s="375">
        <f>SUM(M122:M129)</f>
        <v>1345.5</v>
      </c>
      <c r="N130" s="374">
        <f>SUM(N122:N129)</f>
        <v>1428</v>
      </c>
      <c r="O130" s="374">
        <f t="shared" ref="O130:U130" si="532">SUM(O122:O129)</f>
        <v>1440.45</v>
      </c>
      <c r="P130" s="374">
        <f t="shared" si="532"/>
        <v>1530.45</v>
      </c>
      <c r="Q130" s="375">
        <f t="shared" si="532"/>
        <v>1562.25</v>
      </c>
      <c r="R130" s="374">
        <f t="shared" si="532"/>
        <v>1602</v>
      </c>
      <c r="S130" s="374">
        <f t="shared" si="532"/>
        <v>1644</v>
      </c>
      <c r="T130" s="374">
        <f t="shared" si="532"/>
        <v>1727.625</v>
      </c>
      <c r="U130" s="375">
        <f t="shared" si="532"/>
        <v>1795.4969999999998</v>
      </c>
      <c r="V130" s="374">
        <f t="shared" ref="V130:AG130" si="533">SUM(V121:V129)</f>
        <v>1947.3719999999998</v>
      </c>
      <c r="W130" s="374">
        <f t="shared" si="533"/>
        <v>2021.25</v>
      </c>
      <c r="X130" s="374">
        <f t="shared" si="533"/>
        <v>2118</v>
      </c>
      <c r="Y130" s="375">
        <f t="shared" si="533"/>
        <v>2142</v>
      </c>
      <c r="Z130" s="374">
        <f t="shared" si="533"/>
        <v>2196.75</v>
      </c>
      <c r="AA130" s="374">
        <f t="shared" si="533"/>
        <v>2262.75</v>
      </c>
      <c r="AB130" s="374">
        <f t="shared" si="533"/>
        <v>2387.25</v>
      </c>
      <c r="AC130" s="375">
        <f t="shared" si="533"/>
        <v>2416.5</v>
      </c>
      <c r="AD130" s="374">
        <f t="shared" si="533"/>
        <v>2443.5</v>
      </c>
      <c r="AE130" s="374">
        <f t="shared" si="533"/>
        <v>2511</v>
      </c>
      <c r="AF130" s="374">
        <f t="shared" si="533"/>
        <v>2652.75</v>
      </c>
      <c r="AG130" s="375">
        <f t="shared" si="533"/>
        <v>2842.875</v>
      </c>
      <c r="AH130" s="374">
        <f t="shared" ref="AH130:AO130" si="534">SUM(AH121:AH129)</f>
        <v>2919.75</v>
      </c>
      <c r="AI130" s="374">
        <f t="shared" si="534"/>
        <v>2973.75</v>
      </c>
      <c r="AJ130" s="374">
        <f t="shared" si="534"/>
        <v>3068.25</v>
      </c>
      <c r="AK130" s="375">
        <f t="shared" si="534"/>
        <v>3176.25</v>
      </c>
      <c r="AL130" s="374">
        <f t="shared" si="534"/>
        <v>3234.75</v>
      </c>
      <c r="AM130" s="374">
        <f t="shared" si="534"/>
        <v>3336</v>
      </c>
      <c r="AN130" s="374">
        <f t="shared" si="534"/>
        <v>3464.25</v>
      </c>
      <c r="AO130" s="375">
        <f t="shared" si="534"/>
        <v>3545.25</v>
      </c>
      <c r="AP130" s="374">
        <f t="shared" ref="AP130:AS130" si="535">SUM(AP121:AP129)</f>
        <v>3606</v>
      </c>
      <c r="AQ130" s="374">
        <f t="shared" si="535"/>
        <v>3747.75</v>
      </c>
      <c r="AR130" s="374">
        <f t="shared" si="535"/>
        <v>3909.75</v>
      </c>
      <c r="AS130" s="375">
        <f t="shared" si="535"/>
        <v>3990.75</v>
      </c>
      <c r="AT130" s="374">
        <f t="shared" ref="AT130:AW130" si="536">SUM(AT121:AT129)</f>
        <v>4065</v>
      </c>
      <c r="AU130" s="374">
        <f t="shared" si="536"/>
        <v>4200</v>
      </c>
      <c r="AV130" s="374">
        <f t="shared" si="536"/>
        <v>4321.5</v>
      </c>
      <c r="AW130" s="375">
        <f t="shared" si="536"/>
        <v>4436.25</v>
      </c>
      <c r="AY130" s="217"/>
      <c r="AZ130" s="341">
        <f t="shared" si="490"/>
        <v>5252.1</v>
      </c>
      <c r="BA130" s="343">
        <f t="shared" si="491"/>
        <v>5397.0749999999998</v>
      </c>
      <c r="BB130" s="343">
        <f t="shared" si="492"/>
        <v>5524.5</v>
      </c>
      <c r="BC130" s="343">
        <f t="shared" si="482"/>
        <v>5961.15</v>
      </c>
      <c r="BD130" s="343">
        <f t="shared" si="483"/>
        <v>6769.1219999999994</v>
      </c>
      <c r="BE130" s="343">
        <f t="shared" si="484"/>
        <v>8228.6219999999994</v>
      </c>
      <c r="BF130" s="343">
        <f t="shared" si="493"/>
        <v>9263.25</v>
      </c>
      <c r="BG130" s="343">
        <f t="shared" si="494"/>
        <v>10450.125</v>
      </c>
      <c r="BH130" s="343">
        <f t="shared" si="485"/>
        <v>12138</v>
      </c>
      <c r="BI130" s="343">
        <f t="shared" si="486"/>
        <v>13580.25</v>
      </c>
      <c r="BJ130" s="343">
        <f t="shared" si="487"/>
        <v>15254.25</v>
      </c>
      <c r="BK130" s="343">
        <f>SUM(AT130:AW130)</f>
        <v>17022.75</v>
      </c>
    </row>
    <row r="131" spans="1:63">
      <c r="A131" s="319" t="s">
        <v>874</v>
      </c>
      <c r="F131" s="387"/>
      <c r="G131" s="387"/>
      <c r="H131" s="387"/>
      <c r="I131" s="388"/>
      <c r="J131" s="387"/>
      <c r="K131" s="387"/>
      <c r="L131" s="366"/>
      <c r="M131" s="399"/>
      <c r="N131" s="398"/>
      <c r="O131" s="398"/>
      <c r="P131" s="398"/>
      <c r="Q131" s="399"/>
      <c r="R131" s="398"/>
      <c r="S131" s="398"/>
      <c r="T131" s="398"/>
      <c r="U131" s="399"/>
      <c r="V131" s="398"/>
      <c r="W131" s="398"/>
      <c r="X131" s="398"/>
      <c r="Y131" s="399"/>
      <c r="Z131" s="398"/>
      <c r="AA131" s="398"/>
      <c r="AB131" s="398"/>
      <c r="AC131" s="399"/>
      <c r="AD131" s="398"/>
      <c r="AE131" s="398"/>
      <c r="AF131" s="398"/>
      <c r="AG131" s="1038"/>
      <c r="AH131" s="398"/>
      <c r="AI131" s="398"/>
      <c r="AJ131" s="398"/>
      <c r="AK131" s="399"/>
      <c r="AL131" s="398"/>
      <c r="AM131" s="398"/>
      <c r="AN131" s="398"/>
      <c r="AO131" s="399"/>
      <c r="AP131" s="398"/>
      <c r="AQ131" s="398"/>
      <c r="AR131" s="398"/>
      <c r="AS131" s="399"/>
      <c r="AT131" s="398"/>
      <c r="AU131" s="398"/>
      <c r="AV131" s="398"/>
      <c r="AW131" s="399"/>
      <c r="AY131" s="204"/>
      <c r="AZ131" s="204"/>
      <c r="BA131" s="215"/>
      <c r="BB131" s="215"/>
      <c r="BC131" s="264"/>
      <c r="BD131" s="264"/>
      <c r="BE131" s="264"/>
      <c r="BF131" s="264"/>
      <c r="BG131" s="264"/>
      <c r="BH131" s="264"/>
      <c r="BI131" s="264"/>
      <c r="BJ131" s="264"/>
      <c r="BK131" s="264"/>
    </row>
    <row r="132" spans="1:63">
      <c r="A132" s="290" t="s">
        <v>1204</v>
      </c>
      <c r="F132" s="387"/>
      <c r="G132" s="387"/>
      <c r="H132" s="387"/>
      <c r="I132" s="388"/>
      <c r="J132" s="387"/>
      <c r="K132" s="387"/>
      <c r="L132" s="366"/>
      <c r="M132" s="399"/>
      <c r="N132" s="398"/>
      <c r="O132" s="398"/>
      <c r="P132" s="398"/>
      <c r="Q132" s="399"/>
      <c r="R132" s="512">
        <f t="shared" ref="P132:AE140" si="537">R154/R144/R121</f>
        <v>0.31245336238929394</v>
      </c>
      <c r="S132" s="512">
        <f t="shared" si="537"/>
        <v>0.19130704234533757</v>
      </c>
      <c r="T132" s="512">
        <f t="shared" si="537"/>
        <v>0.46411609043667745</v>
      </c>
      <c r="U132" s="515">
        <f t="shared" si="537"/>
        <v>0.526789336834949</v>
      </c>
      <c r="V132" s="512">
        <f t="shared" si="537"/>
        <v>0.74013829166774947</v>
      </c>
      <c r="W132" s="512">
        <f t="shared" si="537"/>
        <v>0.79386429460655716</v>
      </c>
      <c r="X132" s="512">
        <f t="shared" si="537"/>
        <v>0.79787849778003006</v>
      </c>
      <c r="Y132" s="515">
        <f t="shared" si="537"/>
        <v>0.68171367190509735</v>
      </c>
      <c r="Z132" s="512">
        <f t="shared" si="537"/>
        <v>0.65015755920544249</v>
      </c>
      <c r="AA132" s="512">
        <f t="shared" si="537"/>
        <v>0.48159565395808518</v>
      </c>
      <c r="AB132" s="512">
        <f t="shared" si="537"/>
        <v>0.43120542065016859</v>
      </c>
      <c r="AC132" s="515">
        <f t="shared" si="537"/>
        <v>0.38581592427579653</v>
      </c>
      <c r="AD132" s="512">
        <f t="shared" si="537"/>
        <v>0.41522934421304608</v>
      </c>
      <c r="AE132" s="512">
        <f t="shared" si="537"/>
        <v>0.46452865660569603</v>
      </c>
      <c r="AF132" s="512">
        <f t="shared" ref="AF132:AJ132" si="538">AF154/AF144/AF121</f>
        <v>0.90303105511230575</v>
      </c>
      <c r="AG132" s="515">
        <f t="shared" si="538"/>
        <v>0.82751432767527988</v>
      </c>
      <c r="AH132" s="512">
        <f t="shared" si="538"/>
        <v>0.89388839248155039</v>
      </c>
      <c r="AI132" s="512">
        <f t="shared" si="538"/>
        <v>0.90018655795422176</v>
      </c>
      <c r="AJ132" s="512">
        <f t="shared" si="538"/>
        <v>0.91146190544865457</v>
      </c>
      <c r="AK132" s="515">
        <f t="shared" ref="AK132:AL132" si="539">AK154/AK144/AK121</f>
        <v>1.0323546239983878</v>
      </c>
      <c r="AL132" s="512">
        <f t="shared" si="539"/>
        <v>0.93509033530033692</v>
      </c>
      <c r="AM132" s="390">
        <f>AL132</f>
        <v>0.93509033530033692</v>
      </c>
      <c r="AN132" s="390">
        <v>1</v>
      </c>
      <c r="AO132" s="391">
        <f t="shared" ref="AO132:AW132" si="540">AN132</f>
        <v>1</v>
      </c>
      <c r="AP132" s="390">
        <v>0.94</v>
      </c>
      <c r="AQ132" s="390">
        <f t="shared" si="540"/>
        <v>0.94</v>
      </c>
      <c r="AR132" s="390">
        <v>1</v>
      </c>
      <c r="AS132" s="391">
        <f t="shared" si="540"/>
        <v>1</v>
      </c>
      <c r="AT132" s="390">
        <v>0.95</v>
      </c>
      <c r="AU132" s="390">
        <f t="shared" si="540"/>
        <v>0.95</v>
      </c>
      <c r="AV132" s="390">
        <v>1</v>
      </c>
      <c r="AW132" s="391">
        <f t="shared" si="540"/>
        <v>1</v>
      </c>
      <c r="AY132" s="204"/>
      <c r="AZ132" s="204"/>
      <c r="BA132" s="215"/>
      <c r="BB132" s="215"/>
      <c r="BC132" s="264" t="e">
        <f t="shared" ref="BB132:BD140" si="541">BC154/BC144/BC121</f>
        <v>#DIV/0!</v>
      </c>
      <c r="BD132" s="264">
        <f t="shared" si="541"/>
        <v>0.40985275678084504</v>
      </c>
      <c r="BE132" s="264">
        <f t="shared" ref="BE132:BG140" si="542">BE154/BE144/BE121</f>
        <v>0.75339868898985851</v>
      </c>
      <c r="BF132" s="264">
        <f t="shared" si="542"/>
        <v>0.46266614523035737</v>
      </c>
      <c r="BG132" s="264">
        <f t="shared" si="542"/>
        <v>0.71547472261498746</v>
      </c>
      <c r="BH132" s="264">
        <f t="shared" ref="BH132:BI140" si="543">BH154/BH144/BH121</f>
        <v>0.9303665066526744</v>
      </c>
      <c r="BI132" s="264">
        <f t="shared" si="543"/>
        <v>0.9680074102206051</v>
      </c>
      <c r="BJ132" s="264">
        <f t="shared" ref="BJ132:BK133" si="544">BJ154/BJ144/BJ121</f>
        <v>0.97205635948210178</v>
      </c>
      <c r="BK132" s="264">
        <f t="shared" si="544"/>
        <v>0.97634488942020337</v>
      </c>
    </row>
    <row r="133" spans="1:63">
      <c r="A133" s="290" t="s">
        <v>935</v>
      </c>
      <c r="B133" s="264"/>
      <c r="C133" s="264"/>
      <c r="D133" s="264"/>
      <c r="E133" s="291"/>
      <c r="F133" s="264"/>
      <c r="G133" s="264"/>
      <c r="H133" s="264"/>
      <c r="I133" s="291"/>
      <c r="J133" s="264"/>
      <c r="K133" s="264"/>
      <c r="L133" s="264"/>
      <c r="M133" s="291">
        <f t="shared" ref="M133:O134" si="545">M155/M145/M122</f>
        <v>0.63817916713352008</v>
      </c>
      <c r="N133" s="264">
        <f t="shared" si="545"/>
        <v>0.58370766971677568</v>
      </c>
      <c r="O133" s="264">
        <f t="shared" si="545"/>
        <v>0.58866019652630341</v>
      </c>
      <c r="P133" s="264">
        <f t="shared" si="537"/>
        <v>0.95961763598919292</v>
      </c>
      <c r="Q133" s="291">
        <f t="shared" si="537"/>
        <v>0.10352084306680619</v>
      </c>
      <c r="R133" s="264">
        <f t="shared" si="537"/>
        <v>0.28772654254835872</v>
      </c>
      <c r="S133" s="264">
        <f t="shared" si="537"/>
        <v>0.94780151573932969</v>
      </c>
      <c r="T133" s="264">
        <f t="shared" si="537"/>
        <v>1.0492853549280343</v>
      </c>
      <c r="U133" s="291">
        <f t="shared" si="537"/>
        <v>1.0143292669139938</v>
      </c>
      <c r="V133" s="264">
        <f t="shared" si="537"/>
        <v>1.0626521930343631</v>
      </c>
      <c r="W133" s="264">
        <f t="shared" ref="W133:Z140" si="546">W155/W145/W122</f>
        <v>1.0897496770993365</v>
      </c>
      <c r="X133" s="264">
        <f t="shared" si="546"/>
        <v>1.03207195632389</v>
      </c>
      <c r="Y133" s="291">
        <f t="shared" si="546"/>
        <v>0.90018145734015309</v>
      </c>
      <c r="Z133" s="264">
        <f t="shared" si="546"/>
        <v>0.86012421668092653</v>
      </c>
      <c r="AA133" s="264">
        <f t="shared" ref="AA133:AG133" si="547">AA155/AA145/AA122</f>
        <v>0.84046799727639243</v>
      </c>
      <c r="AB133" s="264">
        <f t="shared" si="547"/>
        <v>0.81383881844931061</v>
      </c>
      <c r="AC133" s="291">
        <f t="shared" si="547"/>
        <v>0.86215491646752929</v>
      </c>
      <c r="AD133" s="264">
        <f t="shared" si="547"/>
        <v>0.90587558046981465</v>
      </c>
      <c r="AE133" s="264">
        <f t="shared" si="547"/>
        <v>0.81206449920141821</v>
      </c>
      <c r="AF133" s="264">
        <f t="shared" si="547"/>
        <v>0.925789478000549</v>
      </c>
      <c r="AG133" s="291">
        <f t="shared" si="547"/>
        <v>0.90659288324940002</v>
      </c>
      <c r="AH133" s="264">
        <f t="shared" ref="AH133:AI137" si="548">AH155/AH145/AH122</f>
        <v>0.90829259535475182</v>
      </c>
      <c r="AI133" s="264">
        <f t="shared" si="548"/>
        <v>0.95590020796478592</v>
      </c>
      <c r="AJ133" s="264">
        <f t="shared" ref="AJ133:AL133" si="549">AJ155/AJ145/AJ122</f>
        <v>0.988635055450371</v>
      </c>
      <c r="AK133" s="291">
        <f t="shared" si="549"/>
        <v>0.84623162831127108</v>
      </c>
      <c r="AL133" s="264">
        <f t="shared" si="549"/>
        <v>0.84650282985083136</v>
      </c>
      <c r="AM133" s="390">
        <v>0.95</v>
      </c>
      <c r="AN133" s="390">
        <v>0.95</v>
      </c>
      <c r="AO133" s="391">
        <f>AN133</f>
        <v>0.95</v>
      </c>
      <c r="AP133" s="390">
        <v>0.85</v>
      </c>
      <c r="AQ133" s="390">
        <f>AP133</f>
        <v>0.85</v>
      </c>
      <c r="AR133" s="390">
        <v>0.94</v>
      </c>
      <c r="AS133" s="391">
        <f>AR133</f>
        <v>0.94</v>
      </c>
      <c r="AT133" s="390">
        <v>0.9</v>
      </c>
      <c r="AU133" s="390">
        <f>AT133-5%</f>
        <v>0.85</v>
      </c>
      <c r="AV133" s="390">
        <v>1</v>
      </c>
      <c r="AW133" s="391">
        <f>AV133</f>
        <v>1</v>
      </c>
      <c r="AY133" s="1039">
        <f>AH133+1%</f>
        <v>0.91829259535475183</v>
      </c>
      <c r="AZ133" s="295"/>
      <c r="BA133" s="264"/>
      <c r="BB133" s="264">
        <f t="shared" si="541"/>
        <v>0.63817916713352008</v>
      </c>
      <c r="BC133" s="264">
        <f t="shared" si="541"/>
        <v>0.45362825750742736</v>
      </c>
      <c r="BD133" s="264">
        <f t="shared" si="541"/>
        <v>0.82184724473532655</v>
      </c>
      <c r="BE133" s="264">
        <f t="shared" si="542"/>
        <v>1.0211638209494358</v>
      </c>
      <c r="BF133" s="264">
        <f t="shared" si="542"/>
        <v>0.8441464872185398</v>
      </c>
      <c r="BG133" s="264">
        <f t="shared" si="542"/>
        <v>0.88758061023029522</v>
      </c>
      <c r="BH133" s="264">
        <f t="shared" si="543"/>
        <v>0.92476487177029487</v>
      </c>
      <c r="BI133" s="264">
        <f t="shared" si="543"/>
        <v>0.92412570746270783</v>
      </c>
      <c r="BJ133" s="264">
        <f t="shared" si="544"/>
        <v>0.89500000000000024</v>
      </c>
      <c r="BK133" s="264">
        <f t="shared" si="544"/>
        <v>0.9375</v>
      </c>
    </row>
    <row r="134" spans="1:63">
      <c r="A134" s="290" t="s">
        <v>712</v>
      </c>
      <c r="B134" s="264">
        <f t="shared" ref="B134:B140" si="550">B156/B146/B123</f>
        <v>0.68990625167339048</v>
      </c>
      <c r="C134" s="264">
        <f t="shared" ref="C134:I134" si="551">C156/C146/C123</f>
        <v>0.78906152972721544</v>
      </c>
      <c r="D134" s="264">
        <f t="shared" si="551"/>
        <v>0.66355751368373839</v>
      </c>
      <c r="E134" s="291">
        <f t="shared" si="551"/>
        <v>0.83656544281969647</v>
      </c>
      <c r="F134" s="264">
        <f t="shared" si="551"/>
        <v>0.29750415446668838</v>
      </c>
      <c r="G134" s="264">
        <f t="shared" si="551"/>
        <v>0.90201001100538358</v>
      </c>
      <c r="H134" s="264">
        <f t="shared" si="551"/>
        <v>0.82115459683161607</v>
      </c>
      <c r="I134" s="291">
        <f t="shared" si="551"/>
        <v>0.81689476510440595</v>
      </c>
      <c r="J134" s="264">
        <f t="shared" ref="J134:L140" si="552">J156/J146/J123</f>
        <v>0.39290330800699197</v>
      </c>
      <c r="K134" s="264">
        <f t="shared" si="552"/>
        <v>0.70295739739636431</v>
      </c>
      <c r="L134" s="264">
        <f t="shared" si="552"/>
        <v>0.80007444096798341</v>
      </c>
      <c r="M134" s="291">
        <f t="shared" si="545"/>
        <v>0.91868781308035041</v>
      </c>
      <c r="N134" s="264">
        <f t="shared" si="545"/>
        <v>0.8875934515163395</v>
      </c>
      <c r="O134" s="264">
        <f t="shared" si="545"/>
        <v>0.90938760241207917</v>
      </c>
      <c r="P134" s="264">
        <f t="shared" si="537"/>
        <v>0.962172660512289</v>
      </c>
      <c r="Q134" s="291">
        <f t="shared" si="537"/>
        <v>0.72784467710878875</v>
      </c>
      <c r="R134" s="264">
        <f t="shared" si="537"/>
        <v>0.84989902530070738</v>
      </c>
      <c r="S134" s="264">
        <f t="shared" si="537"/>
        <v>0.87363873724479535</v>
      </c>
      <c r="T134" s="1123">
        <f t="shared" si="537"/>
        <v>0.62636036414349117</v>
      </c>
      <c r="U134" s="1124">
        <f t="shared" si="537"/>
        <v>0.57134508868454259</v>
      </c>
      <c r="V134" s="1123">
        <f t="shared" si="537"/>
        <v>1.0418840453569769</v>
      </c>
      <c r="W134" s="1123">
        <f t="shared" si="546"/>
        <v>1.0569194473472967</v>
      </c>
      <c r="X134" s="1123">
        <f t="shared" si="546"/>
        <v>1.057000814099383</v>
      </c>
      <c r="Y134" s="1124">
        <f t="shared" si="546"/>
        <v>0.57438304917630334</v>
      </c>
      <c r="Z134" s="1123">
        <f t="shared" si="546"/>
        <v>0.71114089658766177</v>
      </c>
      <c r="AA134" s="1123">
        <f t="shared" ref="AA134:AG134" si="553">AA156/AA146/AA123</f>
        <v>0.8612135567418846</v>
      </c>
      <c r="AB134" s="1123">
        <f t="shared" si="553"/>
        <v>0.82844075196270195</v>
      </c>
      <c r="AC134" s="1124">
        <f t="shared" si="553"/>
        <v>0.79743334323564241</v>
      </c>
      <c r="AD134" s="1123">
        <f t="shared" si="553"/>
        <v>0.82622222815223934</v>
      </c>
      <c r="AE134" s="1123">
        <f t="shared" si="553"/>
        <v>0.86361843277603889</v>
      </c>
      <c r="AF134" s="1123">
        <f t="shared" si="553"/>
        <v>0.90506478333029228</v>
      </c>
      <c r="AG134" s="291">
        <f t="shared" si="553"/>
        <v>0.82637989617591545</v>
      </c>
      <c r="AH134" s="264">
        <f t="shared" si="548"/>
        <v>0.88803002424923572</v>
      </c>
      <c r="AI134" s="264">
        <f t="shared" si="548"/>
        <v>0.92407547460875006</v>
      </c>
      <c r="AJ134" s="264">
        <f t="shared" ref="AJ134:AL134" si="554">AJ156/AJ146/AJ123</f>
        <v>0.95561504609077563</v>
      </c>
      <c r="AK134" s="291">
        <f t="shared" si="554"/>
        <v>0.81039921141780857</v>
      </c>
      <c r="AL134" s="264">
        <f t="shared" si="554"/>
        <v>0.8366597736897764</v>
      </c>
      <c r="AM134" s="390">
        <v>0.95</v>
      </c>
      <c r="AN134" s="390">
        <v>0.95</v>
      </c>
      <c r="AO134" s="391">
        <f>AN134-1%</f>
        <v>0.94</v>
      </c>
      <c r="AP134" s="390">
        <v>0.8</v>
      </c>
      <c r="AQ134" s="390">
        <f>AP134</f>
        <v>0.8</v>
      </c>
      <c r="AR134" s="390">
        <v>0.95</v>
      </c>
      <c r="AS134" s="391">
        <f>AR134-1%</f>
        <v>0.94</v>
      </c>
      <c r="AT134" s="390">
        <v>0.85</v>
      </c>
      <c r="AU134" s="390">
        <f>AT134</f>
        <v>0.85</v>
      </c>
      <c r="AV134" s="390">
        <v>0.9</v>
      </c>
      <c r="AW134" s="391">
        <f>AV134-1%</f>
        <v>0.89</v>
      </c>
      <c r="AX134" s="392"/>
      <c r="AY134" s="1039">
        <f t="shared" ref="AY134:AY140" si="555">AH134+1%</f>
        <v>0.89803002424923573</v>
      </c>
      <c r="AZ134" s="295">
        <f t="shared" ref="AZ134:BA140" si="556">AZ156/AZ146/AZ123</f>
        <v>0.762180275494445</v>
      </c>
      <c r="BA134" s="264">
        <f t="shared" si="556"/>
        <v>0.69750391840238579</v>
      </c>
      <c r="BB134" s="264">
        <f t="shared" si="541"/>
        <v>0.69246384103767145</v>
      </c>
      <c r="BC134" s="264">
        <f t="shared" si="541"/>
        <v>0.88585792345390202</v>
      </c>
      <c r="BD134" s="264">
        <f t="shared" si="541"/>
        <v>0.68344420111509641</v>
      </c>
      <c r="BE134" s="264">
        <f t="shared" si="542"/>
        <v>0.93254683899498969</v>
      </c>
      <c r="BF134" s="264">
        <f t="shared" si="542"/>
        <v>0.80051020359502478</v>
      </c>
      <c r="BG134" s="264">
        <f t="shared" si="542"/>
        <v>0.8568212890754453</v>
      </c>
      <c r="BH134" s="264">
        <f t="shared" si="543"/>
        <v>0.89360049231195482</v>
      </c>
      <c r="BI134" s="264">
        <f t="shared" si="543"/>
        <v>0.92168546795602879</v>
      </c>
      <c r="BJ134" s="264">
        <f t="shared" ref="BJ134:BK134" si="557">BJ156/BJ146/BJ123</f>
        <v>0.87447368421052629</v>
      </c>
      <c r="BK134" s="264">
        <f t="shared" si="557"/>
        <v>0.87305237315875606</v>
      </c>
    </row>
    <row r="135" spans="1:63">
      <c r="A135" s="290" t="s">
        <v>711</v>
      </c>
      <c r="B135" s="264">
        <f t="shared" si="550"/>
        <v>0.79603546464086783</v>
      </c>
      <c r="C135" s="264">
        <f t="shared" ref="C135:I140" si="558">C157/C147/C124</f>
        <v>0.59745660752441132</v>
      </c>
      <c r="D135" s="264">
        <f t="shared" si="558"/>
        <v>0.69345758854525275</v>
      </c>
      <c r="E135" s="291">
        <f t="shared" si="558"/>
        <v>0.85150418694972407</v>
      </c>
      <c r="F135" s="264">
        <f t="shared" si="558"/>
        <v>0.85848118429637044</v>
      </c>
      <c r="G135" s="264">
        <f t="shared" si="558"/>
        <v>0.88755284473965024</v>
      </c>
      <c r="H135" s="264">
        <f t="shared" si="558"/>
        <v>0.88107900435870801</v>
      </c>
      <c r="I135" s="291">
        <f t="shared" si="558"/>
        <v>0.89821639880373372</v>
      </c>
      <c r="J135" s="264">
        <f t="shared" si="552"/>
        <v>0.59916223934338353</v>
      </c>
      <c r="K135" s="264">
        <f t="shared" si="552"/>
        <v>0.8710162674666555</v>
      </c>
      <c r="L135" s="264">
        <f t="shared" si="552"/>
        <v>0.91130344448939771</v>
      </c>
      <c r="M135" s="291">
        <f t="shared" ref="M135:O140" si="559">M157/M147/M124</f>
        <v>0.93742408123112186</v>
      </c>
      <c r="N135" s="264">
        <f t="shared" si="559"/>
        <v>0.90536880277303855</v>
      </c>
      <c r="O135" s="264">
        <f t="shared" si="559"/>
        <v>0.97563420771338794</v>
      </c>
      <c r="P135" s="264">
        <f t="shared" si="537"/>
        <v>0.99204919703513994</v>
      </c>
      <c r="Q135" s="291">
        <f t="shared" si="537"/>
        <v>0.98727178846981056</v>
      </c>
      <c r="R135" s="264">
        <f t="shared" si="537"/>
        <v>1.1919394712283407</v>
      </c>
      <c r="S135" s="264">
        <f t="shared" si="537"/>
        <v>1.3479367072146542</v>
      </c>
      <c r="T135" s="264">
        <f t="shared" si="537"/>
        <v>1.1735708730888508</v>
      </c>
      <c r="U135" s="291">
        <f t="shared" si="537"/>
        <v>1.1264915827021698</v>
      </c>
      <c r="V135" s="264">
        <f t="shared" si="537"/>
        <v>1.1076367820866349</v>
      </c>
      <c r="W135" s="264">
        <f t="shared" si="546"/>
        <v>1.0656107400168389</v>
      </c>
      <c r="X135" s="264">
        <f t="shared" si="546"/>
        <v>0.90524114364963126</v>
      </c>
      <c r="Y135" s="291">
        <f t="shared" si="546"/>
        <v>0.92054016058145238</v>
      </c>
      <c r="Z135" s="264">
        <f t="shared" si="546"/>
        <v>0.77047461051966637</v>
      </c>
      <c r="AA135" s="264">
        <f t="shared" ref="AA135:AG135" si="560">AA157/AA147/AA124</f>
        <v>0.89386703386028166</v>
      </c>
      <c r="AB135" s="264">
        <f t="shared" si="560"/>
        <v>0.82972764990127934</v>
      </c>
      <c r="AC135" s="291">
        <f t="shared" si="560"/>
        <v>0.97584197536150241</v>
      </c>
      <c r="AD135" s="264">
        <f t="shared" si="560"/>
        <v>0.90528970415569643</v>
      </c>
      <c r="AE135" s="264">
        <f t="shared" si="560"/>
        <v>0.79761229788136845</v>
      </c>
      <c r="AF135" s="264">
        <f t="shared" si="560"/>
        <v>0.91462479839796418</v>
      </c>
      <c r="AG135" s="291">
        <f t="shared" si="560"/>
        <v>0.8571981813795454</v>
      </c>
      <c r="AH135" s="264">
        <f t="shared" si="548"/>
        <v>0.89953499067407361</v>
      </c>
      <c r="AI135" s="264">
        <f t="shared" si="548"/>
        <v>0.9946351474466808</v>
      </c>
      <c r="AJ135" s="264">
        <f t="shared" ref="AJ135:AL135" si="561">AJ157/AJ147/AJ124</f>
        <v>0.93560175641685783</v>
      </c>
      <c r="AK135" s="291">
        <f t="shared" si="561"/>
        <v>0.87009985248434063</v>
      </c>
      <c r="AL135" s="264">
        <f t="shared" si="561"/>
        <v>0.88587505449505644</v>
      </c>
      <c r="AM135" s="390">
        <v>0.9</v>
      </c>
      <c r="AN135" s="390">
        <v>0.94</v>
      </c>
      <c r="AO135" s="391">
        <f>AN135-1%</f>
        <v>0.92999999999999994</v>
      </c>
      <c r="AP135" s="390">
        <v>0.9</v>
      </c>
      <c r="AQ135" s="390">
        <f>AP135</f>
        <v>0.9</v>
      </c>
      <c r="AR135" s="390">
        <v>0.94</v>
      </c>
      <c r="AS135" s="391">
        <f>AR135-1%</f>
        <v>0.92999999999999994</v>
      </c>
      <c r="AT135" s="390">
        <v>0.92</v>
      </c>
      <c r="AU135" s="390">
        <f>AT135</f>
        <v>0.92</v>
      </c>
      <c r="AV135" s="390">
        <v>0.95</v>
      </c>
      <c r="AW135" s="391">
        <f>AV135-1%</f>
        <v>0.94</v>
      </c>
      <c r="AX135" s="392"/>
      <c r="AY135" s="1039">
        <f t="shared" si="555"/>
        <v>0.90953499067407362</v>
      </c>
      <c r="AZ135" s="295">
        <f t="shared" si="556"/>
        <v>0.73136770287373221</v>
      </c>
      <c r="BA135" s="264">
        <f t="shared" si="556"/>
        <v>0.88137313573351139</v>
      </c>
      <c r="BB135" s="264">
        <f t="shared" si="541"/>
        <v>0.82384967061019954</v>
      </c>
      <c r="BC135" s="264">
        <f t="shared" si="541"/>
        <v>0.96527568553744114</v>
      </c>
      <c r="BD135" s="264">
        <f t="shared" si="541"/>
        <v>1.2057055117426962</v>
      </c>
      <c r="BE135" s="264">
        <f t="shared" si="542"/>
        <v>0.99231979134303272</v>
      </c>
      <c r="BF135" s="264">
        <f t="shared" si="542"/>
        <v>0.86635965774090118</v>
      </c>
      <c r="BG135" s="264">
        <f t="shared" si="542"/>
        <v>0.87047693332023446</v>
      </c>
      <c r="BH135" s="264">
        <f t="shared" si="543"/>
        <v>0.92389928570737712</v>
      </c>
      <c r="BI135" s="264">
        <f t="shared" si="543"/>
        <v>0.9153047301477123</v>
      </c>
      <c r="BJ135" s="264">
        <f t="shared" ref="BJ135:BK135" si="562">BJ157/BJ147/BJ124</f>
        <v>0.91888382410383951</v>
      </c>
      <c r="BK135" s="264">
        <f t="shared" si="562"/>
        <v>0.93312260405174008</v>
      </c>
    </row>
    <row r="136" spans="1:63">
      <c r="A136" s="290" t="s">
        <v>710</v>
      </c>
      <c r="B136" s="264">
        <f t="shared" si="550"/>
        <v>0.87323854802568812</v>
      </c>
      <c r="C136" s="264">
        <f t="shared" si="558"/>
        <v>0.87667024534960758</v>
      </c>
      <c r="D136" s="264">
        <f t="shared" si="558"/>
        <v>0.90156645021103388</v>
      </c>
      <c r="E136" s="291">
        <f t="shared" si="558"/>
        <v>0.75505157303716119</v>
      </c>
      <c r="F136" s="264">
        <f t="shared" si="558"/>
        <v>0.7620605249786534</v>
      </c>
      <c r="G136" s="264">
        <f t="shared" si="558"/>
        <v>0.91014445883180828</v>
      </c>
      <c r="H136" s="264">
        <f t="shared" si="558"/>
        <v>0.90937651095634431</v>
      </c>
      <c r="I136" s="291">
        <f t="shared" si="558"/>
        <v>0.91958180928680899</v>
      </c>
      <c r="J136" s="264">
        <f t="shared" si="552"/>
        <v>0.69845884085289844</v>
      </c>
      <c r="K136" s="264">
        <f t="shared" si="552"/>
        <v>0.90057438020167391</v>
      </c>
      <c r="L136" s="264">
        <f t="shared" si="552"/>
        <v>0.91473641463983235</v>
      </c>
      <c r="M136" s="291">
        <f t="shared" si="559"/>
        <v>0.97061726620161137</v>
      </c>
      <c r="N136" s="264">
        <f t="shared" si="559"/>
        <v>0.96526077913009256</v>
      </c>
      <c r="O136" s="264">
        <f t="shared" si="559"/>
        <v>0.95448224329803655</v>
      </c>
      <c r="P136" s="264">
        <f t="shared" si="537"/>
        <v>0.94781121184414874</v>
      </c>
      <c r="Q136" s="291">
        <f t="shared" si="537"/>
        <v>0.96317713235013436</v>
      </c>
      <c r="R136" s="264">
        <f t="shared" si="537"/>
        <v>1.0461253214129549</v>
      </c>
      <c r="S136" s="264">
        <f t="shared" si="537"/>
        <v>1.0254166805218983</v>
      </c>
      <c r="T136" s="264">
        <f t="shared" si="537"/>
        <v>0.84888415198590683</v>
      </c>
      <c r="U136" s="291">
        <f t="shared" si="537"/>
        <v>0.78481264554308894</v>
      </c>
      <c r="V136" s="264">
        <f t="shared" si="537"/>
        <v>1.1006373085433292</v>
      </c>
      <c r="W136" s="264">
        <f t="shared" si="546"/>
        <v>1.0892410600629467</v>
      </c>
      <c r="X136" s="264">
        <f t="shared" si="546"/>
        <v>0.99750920586405945</v>
      </c>
      <c r="Y136" s="291">
        <f t="shared" si="546"/>
        <v>0.84648993196215461</v>
      </c>
      <c r="Z136" s="264">
        <f t="shared" si="546"/>
        <v>0.64401330133481294</v>
      </c>
      <c r="AA136" s="264">
        <f t="shared" ref="AA136:AG136" si="563">AA158/AA148/AA125</f>
        <v>0.71450744298414148</v>
      </c>
      <c r="AB136" s="264">
        <f t="shared" si="563"/>
        <v>0.7722100217448431</v>
      </c>
      <c r="AC136" s="291">
        <f t="shared" si="563"/>
        <v>0.76516146305899901</v>
      </c>
      <c r="AD136" s="264">
        <f t="shared" si="563"/>
        <v>0.8085824639961221</v>
      </c>
      <c r="AE136" s="264">
        <f t="shared" si="563"/>
        <v>0.6904416918638604</v>
      </c>
      <c r="AF136" s="264">
        <f t="shared" si="563"/>
        <v>0.8456665448472156</v>
      </c>
      <c r="AG136" s="291">
        <f t="shared" si="563"/>
        <v>0.79920185816160805</v>
      </c>
      <c r="AH136" s="264">
        <f t="shared" si="548"/>
        <v>0.87810877454391201</v>
      </c>
      <c r="AI136" s="264">
        <f t="shared" si="548"/>
        <v>0.85719312127276992</v>
      </c>
      <c r="AJ136" s="264">
        <f t="shared" ref="AJ136:AL136" si="564">AJ158/AJ148/AJ125</f>
        <v>0.87754436701287097</v>
      </c>
      <c r="AK136" s="291">
        <f t="shared" si="564"/>
        <v>0.84401451591611665</v>
      </c>
      <c r="AL136" s="264">
        <f t="shared" si="564"/>
        <v>0.84650282985083136</v>
      </c>
      <c r="AM136" s="390">
        <v>0.94</v>
      </c>
      <c r="AN136" s="390">
        <v>0.94</v>
      </c>
      <c r="AO136" s="391">
        <f>AN136-1%</f>
        <v>0.92999999999999994</v>
      </c>
      <c r="AP136" s="390">
        <v>0.85</v>
      </c>
      <c r="AQ136" s="390">
        <v>0.9</v>
      </c>
      <c r="AR136" s="390">
        <v>0.93</v>
      </c>
      <c r="AS136" s="391">
        <f>AR136-1%</f>
        <v>0.92</v>
      </c>
      <c r="AT136" s="390">
        <v>0.93</v>
      </c>
      <c r="AU136" s="390">
        <f>AT136</f>
        <v>0.93</v>
      </c>
      <c r="AV136" s="390">
        <v>0.95</v>
      </c>
      <c r="AW136" s="391">
        <f>AV136-1%</f>
        <v>0.94</v>
      </c>
      <c r="AX136" s="392"/>
      <c r="AY136" s="1039">
        <f t="shared" si="555"/>
        <v>0.88810877454391202</v>
      </c>
      <c r="AZ136" s="295">
        <f t="shared" si="556"/>
        <v>0.8530596241067977</v>
      </c>
      <c r="BA136" s="264">
        <f t="shared" si="556"/>
        <v>0.87713651414467475</v>
      </c>
      <c r="BB136" s="264">
        <f t="shared" si="541"/>
        <v>0.87894183274729265</v>
      </c>
      <c r="BC136" s="264">
        <f t="shared" si="541"/>
        <v>0.95811390387547213</v>
      </c>
      <c r="BD136" s="264">
        <f t="shared" si="541"/>
        <v>0.92035107195169585</v>
      </c>
      <c r="BE136" s="264">
        <f t="shared" si="542"/>
        <v>1.0036699315007493</v>
      </c>
      <c r="BF136" s="264">
        <f t="shared" si="542"/>
        <v>0.72547534507951439</v>
      </c>
      <c r="BG136" s="264">
        <f t="shared" si="542"/>
        <v>0.786230082898279</v>
      </c>
      <c r="BH136" s="264">
        <f t="shared" si="543"/>
        <v>0.86345712759882076</v>
      </c>
      <c r="BI136" s="264">
        <f t="shared" si="543"/>
        <v>0.91543020048570467</v>
      </c>
      <c r="BJ136" s="264">
        <f t="shared" ref="BJ136:BK136" si="565">BJ158/BJ148/BJ125</f>
        <v>0.90104074949693236</v>
      </c>
      <c r="BK136" s="264">
        <f t="shared" si="565"/>
        <v>0.9376517334829696</v>
      </c>
    </row>
    <row r="137" spans="1:63">
      <c r="A137" s="290" t="s">
        <v>709</v>
      </c>
      <c r="B137" s="264">
        <f t="shared" si="550"/>
        <v>0.61937976466114697</v>
      </c>
      <c r="C137" s="264">
        <f t="shared" si="558"/>
        <v>0.62424596193246606</v>
      </c>
      <c r="D137" s="264">
        <f t="shared" si="558"/>
        <v>0.66348687890541225</v>
      </c>
      <c r="E137" s="291">
        <f t="shared" si="558"/>
        <v>0.90195956723872517</v>
      </c>
      <c r="F137" s="264">
        <f t="shared" si="558"/>
        <v>0.89553982979601998</v>
      </c>
      <c r="G137" s="264">
        <f t="shared" si="558"/>
        <v>0.66673964909609262</v>
      </c>
      <c r="H137" s="264">
        <f t="shared" si="558"/>
        <v>0.81167200188370403</v>
      </c>
      <c r="I137" s="291">
        <f t="shared" si="558"/>
        <v>0.90999613833339044</v>
      </c>
      <c r="J137" s="264">
        <f t="shared" si="552"/>
        <v>0.76233408919123202</v>
      </c>
      <c r="K137" s="264">
        <f t="shared" si="552"/>
        <v>0.75273182523212256</v>
      </c>
      <c r="L137" s="264">
        <f t="shared" si="552"/>
        <v>0.88315946008694501</v>
      </c>
      <c r="M137" s="291">
        <f t="shared" si="559"/>
        <v>0.8988473398894441</v>
      </c>
      <c r="N137" s="264">
        <f t="shared" si="559"/>
        <v>0.93191422842751337</v>
      </c>
      <c r="O137" s="264">
        <f t="shared" si="559"/>
        <v>0.9654054922955484</v>
      </c>
      <c r="P137" s="264">
        <f t="shared" si="537"/>
        <v>0.91614732689695011</v>
      </c>
      <c r="Q137" s="291">
        <f t="shared" si="537"/>
        <v>0.92660306433702089</v>
      </c>
      <c r="R137" s="264">
        <f t="shared" si="537"/>
        <v>1.0328481492277675</v>
      </c>
      <c r="S137" s="264">
        <f t="shared" si="537"/>
        <v>0.99147679592753279</v>
      </c>
      <c r="T137" s="264">
        <f t="shared" si="537"/>
        <v>0.88554439938978036</v>
      </c>
      <c r="U137" s="291">
        <f t="shared" si="537"/>
        <v>0.71690963458135715</v>
      </c>
      <c r="V137" s="264">
        <f t="shared" si="537"/>
        <v>1.0364675021594498</v>
      </c>
      <c r="W137" s="264">
        <f t="shared" si="546"/>
        <v>0.97214220476037483</v>
      </c>
      <c r="X137" s="264">
        <f t="shared" si="546"/>
        <v>0.91201096103011259</v>
      </c>
      <c r="Y137" s="291">
        <f t="shared" si="546"/>
        <v>0.8022413157676862</v>
      </c>
      <c r="Z137" s="264">
        <f t="shared" si="546"/>
        <v>0.78296822751895756</v>
      </c>
      <c r="AA137" s="264">
        <f t="shared" ref="AA137:AG137" si="566">AA159/AA149/AA126</f>
        <v>0.88277911852516533</v>
      </c>
      <c r="AB137" s="264">
        <f t="shared" si="566"/>
        <v>0.86101863365670117</v>
      </c>
      <c r="AC137" s="291">
        <f t="shared" si="566"/>
        <v>0.88168984356331026</v>
      </c>
      <c r="AD137" s="264">
        <f t="shared" si="566"/>
        <v>0.89365617423916943</v>
      </c>
      <c r="AE137" s="264">
        <f t="shared" si="566"/>
        <v>0.63628282338497533</v>
      </c>
      <c r="AF137" s="264">
        <f t="shared" si="566"/>
        <v>0.84566654484721571</v>
      </c>
      <c r="AG137" s="291">
        <f t="shared" si="566"/>
        <v>0.87848142947972041</v>
      </c>
      <c r="AH137" s="264">
        <f t="shared" si="548"/>
        <v>0.87810877454391201</v>
      </c>
      <c r="AI137" s="264">
        <f t="shared" si="548"/>
        <v>0.85719312127277014</v>
      </c>
      <c r="AJ137" s="264">
        <f t="shared" ref="AJ137:AL137" si="567">AJ159/AJ149/AJ126</f>
        <v>0.88276163435539734</v>
      </c>
      <c r="AK137" s="291">
        <f t="shared" si="567"/>
        <v>0.8805931276569301</v>
      </c>
      <c r="AL137" s="264">
        <f t="shared" si="567"/>
        <v>0.84650282985083147</v>
      </c>
      <c r="AM137" s="390">
        <v>0.94</v>
      </c>
      <c r="AN137" s="390">
        <v>0.94</v>
      </c>
      <c r="AO137" s="391">
        <f>AN137-1%</f>
        <v>0.92999999999999994</v>
      </c>
      <c r="AP137" s="390">
        <v>0.85</v>
      </c>
      <c r="AQ137" s="390">
        <v>0.85</v>
      </c>
      <c r="AR137" s="390">
        <v>0.91</v>
      </c>
      <c r="AS137" s="391">
        <f>AR137-1%</f>
        <v>0.9</v>
      </c>
      <c r="AT137" s="390">
        <v>0.9</v>
      </c>
      <c r="AU137" s="390">
        <v>0.92</v>
      </c>
      <c r="AV137" s="390">
        <v>0.94</v>
      </c>
      <c r="AW137" s="391">
        <f>AV137-1%</f>
        <v>0.92999999999999994</v>
      </c>
      <c r="AX137" s="392"/>
      <c r="AY137" s="1039">
        <f t="shared" si="555"/>
        <v>0.88810877454391202</v>
      </c>
      <c r="AZ137" s="295">
        <f t="shared" si="556"/>
        <v>0.70226804318443758</v>
      </c>
      <c r="BA137" s="264">
        <f t="shared" si="556"/>
        <v>0.8358974897810455</v>
      </c>
      <c r="BB137" s="264">
        <f t="shared" si="541"/>
        <v>0.81194110143335407</v>
      </c>
      <c r="BC137" s="264">
        <f t="shared" si="541"/>
        <v>0.93332421555671241</v>
      </c>
      <c r="BD137" s="264">
        <f t="shared" si="541"/>
        <v>0.90842244670193339</v>
      </c>
      <c r="BE137" s="264">
        <f t="shared" si="542"/>
        <v>0.92594321816919734</v>
      </c>
      <c r="BF137" s="264">
        <f t="shared" si="542"/>
        <v>0.85211395581603389</v>
      </c>
      <c r="BG137" s="264">
        <f t="shared" si="542"/>
        <v>0.81352174298777025</v>
      </c>
      <c r="BH137" s="264">
        <f t="shared" si="543"/>
        <v>0.87466416445725237</v>
      </c>
      <c r="BI137" s="264">
        <f t="shared" si="543"/>
        <v>0.9141257074627076</v>
      </c>
      <c r="BJ137" s="264">
        <f t="shared" ref="BJ137:BK137" si="568">BJ159/BJ149/BJ126</f>
        <v>0.87749999999999984</v>
      </c>
      <c r="BK137" s="264">
        <f t="shared" si="568"/>
        <v>0.92249999999999999</v>
      </c>
    </row>
    <row r="138" spans="1:63">
      <c r="A138" s="290" t="s">
        <v>708</v>
      </c>
      <c r="B138" s="264">
        <f t="shared" si="550"/>
        <v>0.96837804376922398</v>
      </c>
      <c r="C138" s="264">
        <f t="shared" si="558"/>
        <v>0.99645013706557106</v>
      </c>
      <c r="D138" s="264">
        <f t="shared" si="558"/>
        <v>0.89389079053512344</v>
      </c>
      <c r="E138" s="291">
        <f t="shared" si="558"/>
        <v>0.72768116844028252</v>
      </c>
      <c r="F138" s="264">
        <f t="shared" si="558"/>
        <v>0.80851399209118047</v>
      </c>
      <c r="G138" s="264">
        <f t="shared" si="558"/>
        <v>0.94824621146599886</v>
      </c>
      <c r="H138" s="264">
        <f t="shared" si="558"/>
        <v>1.1104630150185411</v>
      </c>
      <c r="I138" s="291">
        <f t="shared" si="558"/>
        <v>0.92368176637843913</v>
      </c>
      <c r="J138" s="264">
        <f t="shared" si="552"/>
        <v>0.82018964922293336</v>
      </c>
      <c r="K138" s="264">
        <f t="shared" si="552"/>
        <v>0.83991088412412351</v>
      </c>
      <c r="L138" s="264">
        <f t="shared" si="552"/>
        <v>1.0449146112084935</v>
      </c>
      <c r="M138" s="291">
        <f t="shared" si="559"/>
        <v>1.0714347000820903</v>
      </c>
      <c r="N138" s="264">
        <f t="shared" si="559"/>
        <v>0.9875953849379151</v>
      </c>
      <c r="O138" s="264">
        <f t="shared" si="559"/>
        <v>1.0855871029684701</v>
      </c>
      <c r="P138" s="264">
        <f t="shared" si="537"/>
        <v>0.93066442006989936</v>
      </c>
      <c r="Q138" s="291">
        <f t="shared" si="537"/>
        <v>1.0196843422103115</v>
      </c>
      <c r="R138" s="264">
        <f t="shared" si="537"/>
        <v>1.0023483681694356</v>
      </c>
      <c r="S138" s="264">
        <f t="shared" si="537"/>
        <v>1.0495360465701036</v>
      </c>
      <c r="T138" s="264">
        <f t="shared" si="537"/>
        <v>1.005576307329539</v>
      </c>
      <c r="U138" s="291">
        <f t="shared" si="537"/>
        <v>0.99077012665387731</v>
      </c>
      <c r="V138" s="264">
        <f t="shared" si="537"/>
        <v>0.65928052499943779</v>
      </c>
      <c r="W138" s="264">
        <f t="shared" si="546"/>
        <v>0.59218142385915062</v>
      </c>
      <c r="X138" s="264">
        <f t="shared" si="546"/>
        <v>0.54312804721400465</v>
      </c>
      <c r="Y138" s="291">
        <f t="shared" si="546"/>
        <v>0.46883693106396973</v>
      </c>
      <c r="Z138" s="264">
        <f t="shared" si="546"/>
        <v>0.36979414848787573</v>
      </c>
      <c r="AA138" s="264">
        <f t="shared" ref="AA138:AD139" si="569">AA160/AA150/AA127</f>
        <v>0.39851611370852918</v>
      </c>
      <c r="AB138" s="264">
        <f t="shared" si="569"/>
        <v>0.4306832578545291</v>
      </c>
      <c r="AC138" s="291">
        <f t="shared" si="569"/>
        <v>0.49789544107104572</v>
      </c>
      <c r="AD138" s="264">
        <f t="shared" si="569"/>
        <v>0.57195424401754447</v>
      </c>
      <c r="AE138" s="264">
        <f t="shared" ref="AE138:AI139" si="570">AE160/AE150/AE127</f>
        <v>1.0071237236238135</v>
      </c>
      <c r="AF138" s="264">
        <f t="shared" si="570"/>
        <v>0.68042135792304703</v>
      </c>
      <c r="AG138" s="291">
        <f t="shared" si="570"/>
        <v>0.51019825612582737</v>
      </c>
      <c r="AH138" s="264">
        <f t="shared" si="570"/>
        <v>0.63403314487567553</v>
      </c>
      <c r="AI138" s="264">
        <f t="shared" si="570"/>
        <v>0.66237650280168581</v>
      </c>
      <c r="AJ138" s="264">
        <f t="shared" ref="AJ138:AL138" si="571">AJ160/AJ150/AJ127</f>
        <v>0.68213399018371612</v>
      </c>
      <c r="AK138" s="291">
        <f t="shared" si="571"/>
        <v>0.67848598294304685</v>
      </c>
      <c r="AL138" s="264">
        <f t="shared" si="571"/>
        <v>0.62995559430759562</v>
      </c>
      <c r="AM138" s="390">
        <v>0.94</v>
      </c>
      <c r="AN138" s="390">
        <v>0.9</v>
      </c>
      <c r="AO138" s="391">
        <f>AN138</f>
        <v>0.9</v>
      </c>
      <c r="AP138" s="390">
        <v>0.85</v>
      </c>
      <c r="AQ138" s="390">
        <f>AP138</f>
        <v>0.85</v>
      </c>
      <c r="AR138" s="390">
        <v>0.94</v>
      </c>
      <c r="AS138" s="391">
        <f>AR138</f>
        <v>0.94</v>
      </c>
      <c r="AT138" s="390">
        <v>0.89</v>
      </c>
      <c r="AU138" s="390">
        <f>AT138</f>
        <v>0.89</v>
      </c>
      <c r="AV138" s="390">
        <v>0.94</v>
      </c>
      <c r="AW138" s="391">
        <f>AV138</f>
        <v>0.94</v>
      </c>
      <c r="AX138" s="392"/>
      <c r="AY138" s="1039">
        <f t="shared" si="555"/>
        <v>0.64403314487567553</v>
      </c>
      <c r="AZ138" s="295">
        <f t="shared" si="556"/>
        <v>0.92111833651393527</v>
      </c>
      <c r="BA138" s="264">
        <f t="shared" si="556"/>
        <v>0.94884890602912042</v>
      </c>
      <c r="BB138" s="264">
        <f t="shared" si="541"/>
        <v>0.9340860207243179</v>
      </c>
      <c r="BC138" s="264">
        <f>BC160/BC150/BC127</f>
        <v>1.0062485904166214</v>
      </c>
      <c r="BD138" s="264">
        <f t="shared" si="541"/>
        <v>1.0123624897954435</v>
      </c>
      <c r="BE138" s="264">
        <f t="shared" si="542"/>
        <v>0.56265713781405813</v>
      </c>
      <c r="BF138" s="264">
        <f t="shared" si="542"/>
        <v>0.42528746661316108</v>
      </c>
      <c r="BG138" s="264">
        <f t="shared" si="542"/>
        <v>0.69242439542255807</v>
      </c>
      <c r="BH138" s="264">
        <f t="shared" si="543"/>
        <v>0.66425740520103105</v>
      </c>
      <c r="BI138" s="264">
        <f t="shared" si="543"/>
        <v>0.8424888985768989</v>
      </c>
      <c r="BJ138" s="264">
        <f t="shared" ref="BJ138:BK138" si="572">BJ160/BJ150/BJ127</f>
        <v>0.89500000000000013</v>
      </c>
      <c r="BK138" s="264">
        <f t="shared" si="572"/>
        <v>0.91500000000000004</v>
      </c>
    </row>
    <row r="139" spans="1:63">
      <c r="A139" s="290" t="s">
        <v>707</v>
      </c>
      <c r="B139" s="264">
        <f t="shared" si="550"/>
        <v>0.96733532282434009</v>
      </c>
      <c r="C139" s="264">
        <f t="shared" si="558"/>
        <v>0.77626089051122271</v>
      </c>
      <c r="D139" s="264">
        <f t="shared" si="558"/>
        <v>0.88713562404918211</v>
      </c>
      <c r="E139" s="291">
        <f t="shared" si="558"/>
        <v>0.96491037357375042</v>
      </c>
      <c r="F139" s="264">
        <f t="shared" si="558"/>
        <v>0.89801187711885477</v>
      </c>
      <c r="G139" s="264">
        <f t="shared" si="558"/>
        <v>1.007462267654099</v>
      </c>
      <c r="H139" s="264">
        <f t="shared" si="558"/>
        <v>1.0685634622352815</v>
      </c>
      <c r="I139" s="291">
        <f t="shared" si="558"/>
        <v>0.90571684463418423</v>
      </c>
      <c r="J139" s="264">
        <f t="shared" si="552"/>
        <v>0.91570049381419283</v>
      </c>
      <c r="K139" s="264">
        <f t="shared" si="552"/>
        <v>0.91436081880839093</v>
      </c>
      <c r="L139" s="264">
        <f t="shared" si="552"/>
        <v>1.0902479814041364</v>
      </c>
      <c r="M139" s="291">
        <f t="shared" si="559"/>
        <v>1.065738293591227</v>
      </c>
      <c r="N139" s="264">
        <f t="shared" si="559"/>
        <v>1.0653524499229945</v>
      </c>
      <c r="O139" s="264">
        <f t="shared" si="559"/>
        <v>1.0746874838783911</v>
      </c>
      <c r="P139" s="264">
        <f t="shared" si="537"/>
        <v>0.95128830301886047</v>
      </c>
      <c r="Q139" s="291">
        <f t="shared" si="537"/>
        <v>0.96581168647713411</v>
      </c>
      <c r="R139" s="264">
        <f t="shared" si="537"/>
        <v>0.98496500665492959</v>
      </c>
      <c r="S139" s="264">
        <f t="shared" si="537"/>
        <v>1.0780113134814577</v>
      </c>
      <c r="T139" s="264">
        <f t="shared" si="537"/>
        <v>1.0901161833924049</v>
      </c>
      <c r="U139" s="291">
        <f t="shared" si="537"/>
        <v>1.0856934123443722</v>
      </c>
      <c r="V139" s="264">
        <f t="shared" si="537"/>
        <v>0.9156757332281209</v>
      </c>
      <c r="W139" s="264">
        <f t="shared" si="546"/>
        <v>0.90839024131987489</v>
      </c>
      <c r="X139" s="264">
        <f t="shared" si="546"/>
        <v>0.81290494109071554</v>
      </c>
      <c r="Y139" s="291">
        <f t="shared" si="546"/>
        <v>0.70338977426180349</v>
      </c>
      <c r="Z139" s="264">
        <f t="shared" si="546"/>
        <v>0.46278524549966066</v>
      </c>
      <c r="AA139" s="264">
        <f t="shared" si="569"/>
        <v>0.49878478363177164</v>
      </c>
      <c r="AB139" s="264">
        <f t="shared" si="569"/>
        <v>0.5595727594934381</v>
      </c>
      <c r="AC139" s="291">
        <f t="shared" si="569"/>
        <v>0.64557752617247466</v>
      </c>
      <c r="AD139" s="264">
        <f t="shared" si="569"/>
        <v>0.72501765161454701</v>
      </c>
      <c r="AE139" s="264">
        <f t="shared" si="570"/>
        <v>1.0704914962101582</v>
      </c>
      <c r="AF139" s="264">
        <f t="shared" si="570"/>
        <v>0.78818478305027329</v>
      </c>
      <c r="AG139" s="291">
        <f t="shared" si="570"/>
        <v>0.53185287466577758</v>
      </c>
      <c r="AH139" s="264">
        <f t="shared" si="570"/>
        <v>0.71474401214585459</v>
      </c>
      <c r="AI139" s="264">
        <f t="shared" si="570"/>
        <v>0.70168792100407607</v>
      </c>
      <c r="AJ139" s="264">
        <f t="shared" ref="AJ139:AL139" si="573">AJ161/AJ151/AJ128</f>
        <v>0.72731907644224136</v>
      </c>
      <c r="AK139" s="291">
        <f t="shared" si="573"/>
        <v>0.76333657653279452</v>
      </c>
      <c r="AL139" s="264">
        <f t="shared" si="573"/>
        <v>0.70094029905924127</v>
      </c>
      <c r="AM139" s="390">
        <v>0.94</v>
      </c>
      <c r="AN139" s="390">
        <v>0.85</v>
      </c>
      <c r="AO139" s="391">
        <f>AN139</f>
        <v>0.85</v>
      </c>
      <c r="AP139" s="390">
        <v>0.85</v>
      </c>
      <c r="AQ139" s="390">
        <f>AP139</f>
        <v>0.85</v>
      </c>
      <c r="AR139" s="390">
        <v>0.94</v>
      </c>
      <c r="AS139" s="391">
        <f>AR139</f>
        <v>0.94</v>
      </c>
      <c r="AT139" s="390">
        <v>0.89</v>
      </c>
      <c r="AU139" s="390">
        <f>AT139</f>
        <v>0.89</v>
      </c>
      <c r="AV139" s="390">
        <v>0.94</v>
      </c>
      <c r="AW139" s="391">
        <f>AV139</f>
        <v>0.94</v>
      </c>
      <c r="AX139" s="392"/>
      <c r="AY139" s="1039">
        <f t="shared" si="555"/>
        <v>0.7247440121458546</v>
      </c>
      <c r="AZ139" s="295">
        <f t="shared" si="556"/>
        <v>0.90045069707426595</v>
      </c>
      <c r="BA139" s="264">
        <f t="shared" si="556"/>
        <v>0.96906609365362439</v>
      </c>
      <c r="BB139" s="264">
        <f t="shared" si="541"/>
        <v>0.98957718161319519</v>
      </c>
      <c r="BC139" s="264">
        <f t="shared" si="541"/>
        <v>1.0112001902437844</v>
      </c>
      <c r="BD139" s="264">
        <f t="shared" si="541"/>
        <v>1.0610275631185646</v>
      </c>
      <c r="BE139" s="264">
        <f t="shared" si="542"/>
        <v>0.83333510676027889</v>
      </c>
      <c r="BF139" s="264">
        <f t="shared" si="542"/>
        <v>0.54347295217676905</v>
      </c>
      <c r="BG139" s="264">
        <f t="shared" si="542"/>
        <v>0.7788867013851889</v>
      </c>
      <c r="BH139" s="264">
        <f t="shared" si="543"/>
        <v>0.72677189653124175</v>
      </c>
      <c r="BI139" s="264">
        <f t="shared" si="543"/>
        <v>0.83523507476481018</v>
      </c>
      <c r="BJ139" s="264">
        <f t="shared" ref="BJ139:BK139" si="574">BJ161/BJ151/BJ128</f>
        <v>0.89499999999999991</v>
      </c>
      <c r="BK139" s="264">
        <f t="shared" si="574"/>
        <v>0.91500000000000004</v>
      </c>
    </row>
    <row r="140" spans="1:63">
      <c r="A140" s="304" t="s">
        <v>827</v>
      </c>
      <c r="B140" s="293">
        <f t="shared" si="550"/>
        <v>0.99552006827817463</v>
      </c>
      <c r="C140" s="293">
        <f t="shared" si="558"/>
        <v>0.99350475548019901</v>
      </c>
      <c r="D140" s="293">
        <f t="shared" si="558"/>
        <v>0.9644058692123495</v>
      </c>
      <c r="E140" s="294">
        <f t="shared" si="558"/>
        <v>1.0472448561680254</v>
      </c>
      <c r="F140" s="293">
        <f t="shared" si="558"/>
        <v>1.0076029638279183</v>
      </c>
      <c r="G140" s="293">
        <f t="shared" si="558"/>
        <v>1.1041223010220533</v>
      </c>
      <c r="H140" s="293">
        <f t="shared" si="558"/>
        <v>1.091474464643637</v>
      </c>
      <c r="I140" s="294">
        <f t="shared" si="558"/>
        <v>0.9808741168446109</v>
      </c>
      <c r="J140" s="293">
        <f t="shared" si="552"/>
        <v>0.91631387050010626</v>
      </c>
      <c r="K140" s="293">
        <f t="shared" si="552"/>
        <v>1.0251220021617509</v>
      </c>
      <c r="L140" s="293">
        <f t="shared" si="552"/>
        <v>1.1169503912236247</v>
      </c>
      <c r="M140" s="294">
        <f t="shared" si="559"/>
        <v>1.1064592815195073</v>
      </c>
      <c r="N140" s="293">
        <f t="shared" si="559"/>
        <v>1.1150994855958172</v>
      </c>
      <c r="O140" s="293">
        <f t="shared" si="559"/>
        <v>1.113015972729871</v>
      </c>
      <c r="P140" s="293">
        <f t="shared" si="537"/>
        <v>0.93501468181200398</v>
      </c>
      <c r="Q140" s="294">
        <f t="shared" si="537"/>
        <v>1.0287063441314361</v>
      </c>
      <c r="R140" s="293">
        <f t="shared" si="537"/>
        <v>0.99608281540258459</v>
      </c>
      <c r="S140" s="293">
        <f t="shared" si="537"/>
        <v>1.063361018946529</v>
      </c>
      <c r="T140" s="293">
        <f t="shared" si="537"/>
        <v>1.0435852618787289</v>
      </c>
      <c r="U140" s="294">
        <f t="shared" si="537"/>
        <v>1.0126991411654438</v>
      </c>
      <c r="V140" s="293">
        <f t="shared" si="537"/>
        <v>0.73048729583990502</v>
      </c>
      <c r="W140" s="293">
        <f t="shared" si="546"/>
        <v>0.73127855852813017</v>
      </c>
      <c r="X140" s="293">
        <f t="shared" si="546"/>
        <v>0.66023139961562316</v>
      </c>
      <c r="Y140" s="294">
        <f t="shared" si="546"/>
        <v>0.56992244237000722</v>
      </c>
      <c r="Z140" s="293">
        <f t="shared" si="546"/>
        <v>0.40525371932569709</v>
      </c>
      <c r="AA140" s="293">
        <f t="shared" ref="AA140:AG140" si="575">AA162/AA152/AA129</f>
        <v>0.44445614742603362</v>
      </c>
      <c r="AB140" s="293">
        <f t="shared" si="575"/>
        <v>0.47685562513418656</v>
      </c>
      <c r="AC140" s="294">
        <f t="shared" si="575"/>
        <v>0.51864108444900603</v>
      </c>
      <c r="AD140" s="293">
        <f t="shared" si="575"/>
        <v>0.59322267157830633</v>
      </c>
      <c r="AE140" s="293">
        <f t="shared" si="575"/>
        <v>1.0418299295547866</v>
      </c>
      <c r="AF140" s="293">
        <f t="shared" si="575"/>
        <v>0.71444242581919937</v>
      </c>
      <c r="AG140" s="294">
        <f t="shared" si="575"/>
        <v>0.76464860966907644</v>
      </c>
      <c r="AH140" s="293">
        <f>AH162/AH152/AH129</f>
        <v>0.61358046278291178</v>
      </c>
      <c r="AI140" s="293">
        <f>AI162/AI152/AI129</f>
        <v>0.638022228086642</v>
      </c>
      <c r="AJ140" s="293">
        <f>AJ162/AJ152/AJ129</f>
        <v>0.65705327171146521</v>
      </c>
      <c r="AK140" s="294">
        <f>AK162/AK152/AK129</f>
        <v>0.65353939448616638</v>
      </c>
      <c r="AL140" s="293">
        <f>AL162/AL152/AL129</f>
        <v>0.63979865046865181</v>
      </c>
      <c r="AM140" s="393">
        <v>0.94</v>
      </c>
      <c r="AN140" s="393">
        <v>0.75</v>
      </c>
      <c r="AO140" s="861">
        <f>AN140</f>
        <v>0.75</v>
      </c>
      <c r="AP140" s="393">
        <v>0.85</v>
      </c>
      <c r="AQ140" s="393">
        <f>AP140</f>
        <v>0.85</v>
      </c>
      <c r="AR140" s="393">
        <v>0.94</v>
      </c>
      <c r="AS140" s="861">
        <f>AR140</f>
        <v>0.94</v>
      </c>
      <c r="AT140" s="393">
        <v>0.89</v>
      </c>
      <c r="AU140" s="393">
        <f>AT140</f>
        <v>0.89</v>
      </c>
      <c r="AV140" s="393">
        <v>0.94</v>
      </c>
      <c r="AW140" s="861">
        <f>AV140</f>
        <v>0.94</v>
      </c>
      <c r="AX140" s="392"/>
      <c r="AY140" s="1039">
        <f t="shared" si="555"/>
        <v>0.62358046278291179</v>
      </c>
      <c r="AZ140" s="292">
        <f t="shared" si="556"/>
        <v>1.0006831123215507</v>
      </c>
      <c r="BA140" s="293">
        <f t="shared" si="556"/>
        <v>1.0459667701886444</v>
      </c>
      <c r="BB140" s="293">
        <f t="shared" si="541"/>
        <v>1.041597468571178</v>
      </c>
      <c r="BC140" s="293">
        <f t="shared" si="541"/>
        <v>1.047441329052923</v>
      </c>
      <c r="BD140" s="293">
        <f t="shared" si="541"/>
        <v>1.0290097171354273</v>
      </c>
      <c r="BE140" s="293">
        <f t="shared" si="542"/>
        <v>0.67145616084905857</v>
      </c>
      <c r="BF140" s="293">
        <f t="shared" si="542"/>
        <v>0.46228627829157104</v>
      </c>
      <c r="BG140" s="293">
        <f t="shared" si="542"/>
        <v>0.7785359091553421</v>
      </c>
      <c r="BH140" s="293">
        <f t="shared" si="543"/>
        <v>0.64054883926679629</v>
      </c>
      <c r="BI140" s="293">
        <f t="shared" si="543"/>
        <v>0.76994966261716269</v>
      </c>
      <c r="BJ140" s="293">
        <f t="shared" ref="BJ140:BK140" si="576">BJ162/BJ152/BJ129</f>
        <v>0.89499999999999991</v>
      </c>
      <c r="BK140" s="293">
        <f t="shared" si="576"/>
        <v>0.91499999999999992</v>
      </c>
    </row>
    <row r="141" spans="1:63">
      <c r="A141" s="319" t="s">
        <v>723</v>
      </c>
      <c r="B141" s="686">
        <f t="shared" ref="B141:AO141" si="577">SUM(B160:B162)/B117</f>
        <v>0.96484221908272139</v>
      </c>
      <c r="C141" s="686">
        <f t="shared" si="577"/>
        <v>0.84551463167742991</v>
      </c>
      <c r="D141" s="686">
        <f t="shared" si="577"/>
        <v>0.89025856111230672</v>
      </c>
      <c r="E141" s="887">
        <f t="shared" si="577"/>
        <v>0.93288212840180307</v>
      </c>
      <c r="F141" s="686">
        <f t="shared" si="577"/>
        <v>0.89170982290282275</v>
      </c>
      <c r="G141" s="686">
        <f t="shared" si="577"/>
        <v>1.0040240270095009</v>
      </c>
      <c r="H141" s="686">
        <f t="shared" si="577"/>
        <v>1.0713827780807239</v>
      </c>
      <c r="I141" s="887">
        <f t="shared" si="577"/>
        <v>0.91080271571096239</v>
      </c>
      <c r="J141" s="686">
        <f t="shared" si="577"/>
        <v>0.89949351042076531</v>
      </c>
      <c r="K141" s="686">
        <f t="shared" si="577"/>
        <v>0.91230839625047677</v>
      </c>
      <c r="L141" s="686">
        <f t="shared" si="577"/>
        <v>1.0825263676759529</v>
      </c>
      <c r="M141" s="887">
        <f t="shared" si="577"/>
        <v>1.0661585216689393</v>
      </c>
      <c r="N141" s="686">
        <f t="shared" si="577"/>
        <v>1.0607441922065417</v>
      </c>
      <c r="O141" s="686">
        <f t="shared" si="577"/>
        <v>1.0785586381081957</v>
      </c>
      <c r="P141" s="686">
        <f t="shared" si="577"/>
        <v>0.94499358573447512</v>
      </c>
      <c r="Q141" s="887">
        <f t="shared" si="577"/>
        <v>0.97781622254272127</v>
      </c>
      <c r="R141" s="686">
        <f t="shared" si="577"/>
        <v>0.98615828320957333</v>
      </c>
      <c r="S141" s="1121">
        <f t="shared" si="577"/>
        <v>1.0698948486306903</v>
      </c>
      <c r="T141" s="686">
        <f t="shared" si="577"/>
        <v>1.0709621208396738</v>
      </c>
      <c r="U141" s="887">
        <f t="shared" si="577"/>
        <v>1.0625213992312115</v>
      </c>
      <c r="V141" s="686">
        <f t="shared" si="577"/>
        <v>0.85685053548068724</v>
      </c>
      <c r="W141" s="686">
        <f t="shared" si="577"/>
        <v>0.83949090828010553</v>
      </c>
      <c r="X141" s="686">
        <f t="shared" si="577"/>
        <v>0.75377873283105312</v>
      </c>
      <c r="Y141" s="887">
        <f t="shared" si="577"/>
        <v>0.65209575868634784</v>
      </c>
      <c r="Z141" s="686">
        <f t="shared" si="577"/>
        <v>0.44176090676864999</v>
      </c>
      <c r="AA141" s="686">
        <f t="shared" si="577"/>
        <v>0.47665510895845864</v>
      </c>
      <c r="AB141" s="686">
        <f t="shared" si="577"/>
        <v>0.53004460473630943</v>
      </c>
      <c r="AC141" s="887">
        <f t="shared" si="577"/>
        <v>0.60827926959623047</v>
      </c>
      <c r="AD141" s="686">
        <f t="shared" si="577"/>
        <v>0.68620187286132084</v>
      </c>
      <c r="AE141" s="686">
        <f t="shared" si="577"/>
        <v>1.0556158595602947</v>
      </c>
      <c r="AF141" s="686">
        <f t="shared" si="577"/>
        <v>0.76241324774572161</v>
      </c>
      <c r="AG141" s="887">
        <f t="shared" si="577"/>
        <v>0.55451502857173363</v>
      </c>
      <c r="AH141" s="686">
        <f>SUM(AH160:AH162)/AH117</f>
        <v>0.68982236467962343</v>
      </c>
      <c r="AI141" s="686">
        <f t="shared" si="577"/>
        <v>0.68704945774488768</v>
      </c>
      <c r="AJ141" s="686">
        <f t="shared" si="577"/>
        <v>0.71101732931286421</v>
      </c>
      <c r="AK141" s="887">
        <f t="shared" si="577"/>
        <v>0.73670910137505363</v>
      </c>
      <c r="AL141" s="686">
        <f>SUM(AL160:AL162)/AL117</f>
        <v>0.68207977758279736</v>
      </c>
      <c r="AM141" s="686">
        <f t="shared" si="577"/>
        <v>0.93779129159616481</v>
      </c>
      <c r="AN141" s="686">
        <f t="shared" si="577"/>
        <v>0.84353463056965583</v>
      </c>
      <c r="AO141" s="887">
        <f t="shared" si="577"/>
        <v>0.84353463056965583</v>
      </c>
      <c r="AP141" s="686">
        <f t="shared" ref="AP141:AS141" si="578">SUM(AP160:AP162)/AP117</f>
        <v>0.84800276367738292</v>
      </c>
      <c r="AQ141" s="686">
        <f t="shared" si="578"/>
        <v>0.84800276367738292</v>
      </c>
      <c r="AR141" s="686">
        <f t="shared" si="578"/>
        <v>0.93779129159616481</v>
      </c>
      <c r="AS141" s="887">
        <f t="shared" si="578"/>
        <v>0.93779129159616481</v>
      </c>
      <c r="AT141" s="686">
        <f t="shared" ref="AT141:AW141" si="579">SUM(AT160:AT162)/AT117</f>
        <v>0.88790877608573049</v>
      </c>
      <c r="AU141" s="686">
        <f t="shared" si="579"/>
        <v>0.88790877608573049</v>
      </c>
      <c r="AV141" s="686">
        <f t="shared" si="579"/>
        <v>0.93779129159616481</v>
      </c>
      <c r="AW141" s="887">
        <f t="shared" si="579"/>
        <v>0.93779129159616481</v>
      </c>
      <c r="AX141" s="221"/>
      <c r="AY141" s="446"/>
      <c r="AZ141" s="888">
        <f t="shared" ref="AZ141:BI141" si="580">SUM(AZ160:AZ162)/AZ117</f>
        <v>0.90810916631910177</v>
      </c>
      <c r="BA141" s="686">
        <f t="shared" si="580"/>
        <v>0.96915715374401057</v>
      </c>
      <c r="BB141" s="889">
        <f t="shared" si="580"/>
        <v>0.98390683988319916</v>
      </c>
      <c r="BC141" s="889">
        <f t="shared" si="580"/>
        <v>1.0130219438334118</v>
      </c>
      <c r="BD141" s="889">
        <f t="shared" si="580"/>
        <v>1.0483947814672314</v>
      </c>
      <c r="BE141" s="889">
        <f t="shared" si="580"/>
        <v>0.77364956650901817</v>
      </c>
      <c r="BF141" s="889">
        <f t="shared" si="580"/>
        <v>0.51575886900511725</v>
      </c>
      <c r="BG141" s="889">
        <f t="shared" si="580"/>
        <v>0.76468650218476775</v>
      </c>
      <c r="BH141" s="889">
        <f t="shared" si="580"/>
        <v>0.7061495632781073</v>
      </c>
      <c r="BI141" s="889">
        <f t="shared" si="580"/>
        <v>0.8267350825795684</v>
      </c>
      <c r="BJ141" s="889">
        <f t="shared" ref="BJ141:BK141" si="581">SUM(BJ160:BJ162)/BJ117</f>
        <v>0.89289702763677381</v>
      </c>
      <c r="BK141" s="889">
        <f t="shared" si="581"/>
        <v>0.91285003384094754</v>
      </c>
    </row>
    <row r="142" spans="1:63">
      <c r="A142" s="336" t="s">
        <v>722</v>
      </c>
      <c r="B142" s="363">
        <f t="shared" ref="B142:AO142" si="582">SUM(B155:B159)/B118</f>
        <v>0.75197611828338007</v>
      </c>
      <c r="C142" s="363">
        <f t="shared" si="582"/>
        <v>0.69022612192370481</v>
      </c>
      <c r="D142" s="363">
        <f t="shared" si="582"/>
        <v>0.70358418864649575</v>
      </c>
      <c r="E142" s="364">
        <f t="shared" si="582"/>
        <v>0.75466819148220043</v>
      </c>
      <c r="F142" s="363">
        <f t="shared" si="582"/>
        <v>0.71368374943036028</v>
      </c>
      <c r="G142" s="363">
        <f t="shared" si="582"/>
        <v>0.85695148153133349</v>
      </c>
      <c r="H142" s="363">
        <f t="shared" si="582"/>
        <v>0.85764780364593451</v>
      </c>
      <c r="I142" s="364">
        <f t="shared" si="582"/>
        <v>0.88468469045044007</v>
      </c>
      <c r="J142" s="363">
        <f t="shared" si="582"/>
        <v>0.62941536804927056</v>
      </c>
      <c r="K142" s="363">
        <f t="shared" si="582"/>
        <v>0.85683581440745049</v>
      </c>
      <c r="L142" s="363">
        <f t="shared" si="582"/>
        <v>0.89321679682640742</v>
      </c>
      <c r="M142" s="364">
        <f t="shared" si="582"/>
        <v>0.92236972211405222</v>
      </c>
      <c r="N142" s="363">
        <f t="shared" si="582"/>
        <v>0.91255666618330211</v>
      </c>
      <c r="O142" s="363">
        <f t="shared" si="582"/>
        <v>0.9187390291123928</v>
      </c>
      <c r="P142" s="363">
        <f t="shared" si="582"/>
        <v>0.93743535021671121</v>
      </c>
      <c r="Q142" s="364">
        <f t="shared" si="582"/>
        <v>0.83791958381979048</v>
      </c>
      <c r="R142" s="363">
        <f t="shared" si="582"/>
        <v>0.93339588199034551</v>
      </c>
      <c r="S142" s="363">
        <f t="shared" si="582"/>
        <v>0.99839145054490697</v>
      </c>
      <c r="T142" s="363">
        <f t="shared" si="582"/>
        <v>0.85626686589192569</v>
      </c>
      <c r="U142" s="364">
        <f t="shared" si="582"/>
        <v>0.78867013492532179</v>
      </c>
      <c r="V142" s="363">
        <f t="shared" si="582"/>
        <v>1.0076372587834443</v>
      </c>
      <c r="W142" s="363">
        <f t="shared" si="582"/>
        <v>0.9983774343071109</v>
      </c>
      <c r="X142" s="363">
        <f t="shared" si="582"/>
        <v>0.91417088938403679</v>
      </c>
      <c r="Y142" s="364">
        <f t="shared" si="582"/>
        <v>0.7914046306298933</v>
      </c>
      <c r="Z142" s="363">
        <f t="shared" si="582"/>
        <v>0.66383010023788824</v>
      </c>
      <c r="AA142" s="363">
        <f t="shared" si="582"/>
        <v>0.72287765121977798</v>
      </c>
      <c r="AB142" s="363">
        <f t="shared" si="582"/>
        <v>0.71936013285873901</v>
      </c>
      <c r="AC142" s="364">
        <f t="shared" si="582"/>
        <v>0.74627201687089051</v>
      </c>
      <c r="AD142" s="363">
        <f t="shared" si="582"/>
        <v>0.7574631193232938</v>
      </c>
      <c r="AE142" s="363">
        <f t="shared" si="582"/>
        <v>0.66799543396242478</v>
      </c>
      <c r="AF142" s="363">
        <f t="shared" si="582"/>
        <v>0.79805436193090451</v>
      </c>
      <c r="AG142" s="364">
        <f t="shared" si="582"/>
        <v>0.76575378531017713</v>
      </c>
      <c r="AH142" s="363">
        <f>SUM(AH155:AH159)/AH118</f>
        <v>0.81662461300304967</v>
      </c>
      <c r="AI142" s="363">
        <f t="shared" si="582"/>
        <v>0.84627679993964522</v>
      </c>
      <c r="AJ142" s="363">
        <f t="shared" si="582"/>
        <v>0.84477983738156537</v>
      </c>
      <c r="AK142" s="364">
        <f t="shared" si="582"/>
        <v>0.79286718998646399</v>
      </c>
      <c r="AL142" s="363">
        <f>SUM(AL155:AL159)/AL118</f>
        <v>0.79182006334918364</v>
      </c>
      <c r="AM142" s="363">
        <f t="shared" si="582"/>
        <v>0.85224233122084325</v>
      </c>
      <c r="AN142" s="363">
        <f t="shared" si="582"/>
        <v>0.86242525359828359</v>
      </c>
      <c r="AO142" s="364">
        <f t="shared" si="582"/>
        <v>0.8525927473856012</v>
      </c>
      <c r="AP142" s="363">
        <f t="shared" ref="AP142:AS142" si="583">SUM(AP155:AP159)/AP118</f>
        <v>0.78117703170482267</v>
      </c>
      <c r="AQ142" s="363">
        <f t="shared" si="583"/>
        <v>0.80049957152704032</v>
      </c>
      <c r="AR142" s="363">
        <f t="shared" si="583"/>
        <v>0.84644357947258386</v>
      </c>
      <c r="AS142" s="364">
        <f t="shared" si="583"/>
        <v>0.83760998240489237</v>
      </c>
      <c r="AT142" s="363">
        <f t="shared" ref="AT142:AW142" si="584">SUM(AT155:AT159)/AT118</f>
        <v>0.82080257896841269</v>
      </c>
      <c r="AU142" s="363">
        <f t="shared" si="584"/>
        <v>0.8188957129647344</v>
      </c>
      <c r="AV142" s="363">
        <f t="shared" si="584"/>
        <v>0.84678736915615294</v>
      </c>
      <c r="AW142" s="364">
        <f t="shared" si="584"/>
        <v>0.8398781609808893</v>
      </c>
      <c r="AX142" s="221"/>
      <c r="AY142" s="625"/>
      <c r="AZ142" s="365">
        <f t="shared" ref="AZ142:BI142" si="585">SUM(AZ155:AZ159)/AZ118</f>
        <v>0.72469290104212691</v>
      </c>
      <c r="BA142" s="363">
        <f t="shared" si="585"/>
        <v>0.82701845132094776</v>
      </c>
      <c r="BB142" s="877">
        <f t="shared" si="585"/>
        <v>0.82801891402060468</v>
      </c>
      <c r="BC142" s="877">
        <f t="shared" si="585"/>
        <v>0.90058808973965632</v>
      </c>
      <c r="BD142" s="877">
        <f t="shared" si="585"/>
        <v>0.88877312189130597</v>
      </c>
      <c r="BE142" s="877">
        <f t="shared" si="585"/>
        <v>0.92420961492561093</v>
      </c>
      <c r="BF142" s="877">
        <f t="shared" si="585"/>
        <v>0.71435653263948173</v>
      </c>
      <c r="BG142" s="877">
        <f t="shared" si="585"/>
        <v>0.74935479473142674</v>
      </c>
      <c r="BH142" s="877">
        <f t="shared" si="585"/>
        <v>0.82460192635537111</v>
      </c>
      <c r="BI142" s="877">
        <f t="shared" si="585"/>
        <v>0.84089005040486753</v>
      </c>
      <c r="BJ142" s="877">
        <f t="shared" ref="BJ142:BK142" si="586">SUM(BJ155:BJ159)/BJ118</f>
        <v>0.81779678408589829</v>
      </c>
      <c r="BK142" s="877">
        <f t="shared" si="586"/>
        <v>0.83200298816139351</v>
      </c>
    </row>
    <row r="143" spans="1:63">
      <c r="A143" s="319" t="s">
        <v>721</v>
      </c>
      <c r="F143" s="394"/>
      <c r="G143" s="394"/>
      <c r="H143" s="394"/>
      <c r="I143" s="395"/>
      <c r="J143" s="394"/>
      <c r="K143" s="394"/>
      <c r="L143" s="396"/>
      <c r="M143" s="397"/>
      <c r="N143" s="511"/>
      <c r="O143" s="511"/>
      <c r="P143" s="511"/>
      <c r="Q143" s="640"/>
      <c r="R143" s="396"/>
      <c r="S143" s="511"/>
      <c r="T143" s="396"/>
      <c r="U143" s="397"/>
      <c r="V143" s="396"/>
      <c r="W143" s="396"/>
      <c r="X143" s="396"/>
      <c r="Y143" s="397"/>
      <c r="Z143" s="396"/>
      <c r="AA143" s="396"/>
      <c r="AB143" s="396"/>
      <c r="AC143" s="397"/>
      <c r="AD143" s="396"/>
      <c r="AE143" s="396"/>
      <c r="AF143" s="396"/>
      <c r="AG143" s="397"/>
      <c r="AH143" s="396"/>
      <c r="AI143" s="396"/>
      <c r="AJ143" s="396"/>
      <c r="AK143" s="397"/>
      <c r="AL143" s="396"/>
      <c r="AM143" s="396"/>
      <c r="AN143" s="396"/>
      <c r="AO143" s="397"/>
      <c r="AP143" s="396"/>
      <c r="AQ143" s="396"/>
      <c r="AR143" s="396"/>
      <c r="AS143" s="397"/>
      <c r="AT143" s="396"/>
      <c r="AU143" s="396"/>
      <c r="AV143" s="396"/>
      <c r="AW143" s="397"/>
      <c r="AY143" s="204"/>
      <c r="AZ143" s="204"/>
      <c r="BA143" s="350"/>
      <c r="BB143" s="350"/>
      <c r="BC143" s="350"/>
      <c r="BD143" s="350"/>
      <c r="BE143" s="350"/>
      <c r="BF143" s="350"/>
      <c r="BG143" s="350"/>
      <c r="BH143" s="350"/>
      <c r="BI143" s="350"/>
      <c r="BJ143" s="350"/>
      <c r="BK143" s="350"/>
    </row>
    <row r="144" spans="1:63">
      <c r="A144" s="290" t="s">
        <v>1204</v>
      </c>
      <c r="F144" s="394"/>
      <c r="G144" s="394"/>
      <c r="H144" s="394"/>
      <c r="I144" s="395"/>
      <c r="J144" s="394"/>
      <c r="K144" s="394"/>
      <c r="L144" s="396"/>
      <c r="M144" s="397"/>
      <c r="N144" s="511"/>
      <c r="O144" s="511"/>
      <c r="P144" s="511"/>
      <c r="Q144" s="640"/>
      <c r="R144" s="400">
        <v>0.2</v>
      </c>
      <c r="S144" s="400">
        <f>R144</f>
        <v>0.2</v>
      </c>
      <c r="T144" s="400">
        <f t="shared" ref="T144:AG144" si="587">S144</f>
        <v>0.2</v>
      </c>
      <c r="U144" s="401">
        <f t="shared" si="587"/>
        <v>0.2</v>
      </c>
      <c r="V144" s="400">
        <v>0.35</v>
      </c>
      <c r="W144" s="400">
        <f t="shared" si="587"/>
        <v>0.35</v>
      </c>
      <c r="X144" s="400">
        <f t="shared" si="587"/>
        <v>0.35</v>
      </c>
      <c r="Y144" s="401">
        <f t="shared" si="587"/>
        <v>0.35</v>
      </c>
      <c r="Z144" s="400">
        <f t="shared" si="587"/>
        <v>0.35</v>
      </c>
      <c r="AA144" s="400">
        <f t="shared" si="587"/>
        <v>0.35</v>
      </c>
      <c r="AB144" s="400">
        <f t="shared" si="587"/>
        <v>0.35</v>
      </c>
      <c r="AC144" s="401">
        <f t="shared" si="587"/>
        <v>0.35</v>
      </c>
      <c r="AD144" s="1098">
        <f t="shared" si="587"/>
        <v>0.35</v>
      </c>
      <c r="AE144" s="1098">
        <f t="shared" si="587"/>
        <v>0.35</v>
      </c>
      <c r="AF144" s="1098">
        <f t="shared" si="587"/>
        <v>0.35</v>
      </c>
      <c r="AG144" s="401">
        <f t="shared" si="587"/>
        <v>0.35</v>
      </c>
      <c r="AH144" s="390">
        <v>0.35</v>
      </c>
      <c r="AI144" s="390">
        <f>AH144</f>
        <v>0.35</v>
      </c>
      <c r="AJ144" s="390">
        <v>0.4</v>
      </c>
      <c r="AK144" s="391">
        <v>0.4</v>
      </c>
      <c r="AL144" s="390">
        <v>0.45</v>
      </c>
      <c r="AM144" s="390">
        <f>AL144</f>
        <v>0.45</v>
      </c>
      <c r="AN144" s="390">
        <v>0.5</v>
      </c>
      <c r="AO144" s="391">
        <f>AN144</f>
        <v>0.5</v>
      </c>
      <c r="AP144" s="390">
        <v>0.6</v>
      </c>
      <c r="AQ144" s="390">
        <f>AP144</f>
        <v>0.6</v>
      </c>
      <c r="AR144" s="390">
        <v>0.6</v>
      </c>
      <c r="AS144" s="391">
        <f>AR144</f>
        <v>0.6</v>
      </c>
      <c r="AT144" s="390">
        <v>0.65</v>
      </c>
      <c r="AU144" s="390">
        <f>AT144</f>
        <v>0.65</v>
      </c>
      <c r="AV144" s="390">
        <f>AU144</f>
        <v>0.65</v>
      </c>
      <c r="AW144" s="391">
        <f>AV144</f>
        <v>0.65</v>
      </c>
      <c r="AY144" s="204"/>
      <c r="AZ144" s="204"/>
      <c r="BA144" s="350"/>
      <c r="BB144" s="350"/>
      <c r="BC144" s="264" t="e">
        <f>SUMPRODUCT(Q144:T144,Q154:T154)/BC154</f>
        <v>#DIV/0!</v>
      </c>
      <c r="BD144" s="1123">
        <f>SUMPRODUCT(R144:U144,R154:U154)/BD154</f>
        <v>0.2</v>
      </c>
      <c r="BE144" s="1123">
        <f t="shared" ref="BE144" si="588">SUMPRODUCT(V144:Y144,V154:Y154)/BE154</f>
        <v>0.35</v>
      </c>
      <c r="BF144" s="1123">
        <f t="shared" ref="BF144" si="589">SUMPRODUCT(Z144:AC144,Z154:AC154)/BF154</f>
        <v>0.35000000000000009</v>
      </c>
      <c r="BG144" s="1123">
        <f t="shared" ref="BG144" si="590">SUMPRODUCT(AD144:AG144,AD154:AG154)/BG154</f>
        <v>0.35</v>
      </c>
      <c r="BH144" s="1123">
        <f t="shared" ref="BH144" si="591">SUMPRODUCT(AH144:AK144,AH154:AK154)/BH154</f>
        <v>0.37766107076660455</v>
      </c>
      <c r="BI144" s="1123">
        <f t="shared" ref="BI144:BI152" si="592">SUMPRODUCT(AL144:AO144,AL154:AO154)/BI154</f>
        <v>0.47947518908515591</v>
      </c>
      <c r="BJ144" s="1123">
        <f>SUMPRODUCT(AP144:AS144,AP154:AS154)/BJ154</f>
        <v>0.60000000000000009</v>
      </c>
      <c r="BK144" s="1123">
        <f>SUMPRODUCT(AT144:AW144,AT154:AW154)/BK154</f>
        <v>0.65</v>
      </c>
    </row>
    <row r="145" spans="1:63">
      <c r="A145" s="290" t="s">
        <v>935</v>
      </c>
      <c r="B145" s="398"/>
      <c r="C145" s="398"/>
      <c r="D145" s="398"/>
      <c r="E145" s="399"/>
      <c r="F145" s="398"/>
      <c r="G145" s="398"/>
      <c r="H145" s="398"/>
      <c r="I145" s="399"/>
      <c r="J145" s="398"/>
      <c r="K145" s="398"/>
      <c r="L145" s="398"/>
      <c r="M145" s="401">
        <v>0.35</v>
      </c>
      <c r="N145" s="400">
        <f>M145+5%</f>
        <v>0.39999999999999997</v>
      </c>
      <c r="O145" s="400">
        <v>0.55000000000000004</v>
      </c>
      <c r="P145" s="400">
        <v>0.75</v>
      </c>
      <c r="Q145" s="401">
        <v>0.75</v>
      </c>
      <c r="R145" s="400">
        <v>0.8</v>
      </c>
      <c r="S145" s="400">
        <v>0.9</v>
      </c>
      <c r="T145" s="390">
        <v>0.98</v>
      </c>
      <c r="U145" s="391">
        <v>0.98</v>
      </c>
      <c r="V145" s="390">
        <v>0.98</v>
      </c>
      <c r="W145" s="390">
        <v>0.98</v>
      </c>
      <c r="X145" s="390">
        <v>0.98</v>
      </c>
      <c r="Y145" s="391">
        <v>0.98</v>
      </c>
      <c r="Z145" s="390">
        <v>0.99</v>
      </c>
      <c r="AA145" s="390">
        <v>0.99</v>
      </c>
      <c r="AB145" s="390">
        <v>0.99</v>
      </c>
      <c r="AC145" s="391">
        <v>0.99</v>
      </c>
      <c r="AD145" s="390">
        <v>0.99</v>
      </c>
      <c r="AE145" s="390">
        <v>0.99</v>
      </c>
      <c r="AF145" s="390">
        <v>0.99</v>
      </c>
      <c r="AG145" s="391">
        <v>0.99</v>
      </c>
      <c r="AH145" s="390">
        <v>0.99</v>
      </c>
      <c r="AI145" s="390">
        <v>0.99</v>
      </c>
      <c r="AJ145" s="390">
        <v>0.99</v>
      </c>
      <c r="AK145" s="391">
        <v>0.99</v>
      </c>
      <c r="AL145" s="390">
        <v>0.99</v>
      </c>
      <c r="AM145" s="390">
        <v>0.99</v>
      </c>
      <c r="AN145" s="390">
        <v>0.99</v>
      </c>
      <c r="AO145" s="391">
        <v>0.99</v>
      </c>
      <c r="AP145" s="390">
        <v>0.99</v>
      </c>
      <c r="AQ145" s="390">
        <v>0.99</v>
      </c>
      <c r="AR145" s="390">
        <v>0.99</v>
      </c>
      <c r="AS145" s="391">
        <v>0.99</v>
      </c>
      <c r="AT145" s="390">
        <v>0.99</v>
      </c>
      <c r="AU145" s="390">
        <v>0.99</v>
      </c>
      <c r="AV145" s="390">
        <v>0.99</v>
      </c>
      <c r="AW145" s="391">
        <v>0.99</v>
      </c>
      <c r="AY145" s="204"/>
      <c r="AZ145" s="295"/>
      <c r="BA145" s="264"/>
      <c r="BB145" s="264">
        <f>M145</f>
        <v>0.35</v>
      </c>
      <c r="BC145" s="264">
        <f>SUMPRODUCT(N145:Q145,N155:Q155)/BC155</f>
        <v>0.6819875132551837</v>
      </c>
      <c r="BD145" s="264">
        <f>SUMPRODUCT(R145:U145,R155:U155)/BD155</f>
        <v>0.94468435208096457</v>
      </c>
      <c r="BE145" s="264">
        <f t="shared" ref="BE145:BE152" si="593">SUMPRODUCT(V145:Y145,V155:Y155)/BE155</f>
        <v>0.97999999999999987</v>
      </c>
      <c r="BF145" s="264">
        <f t="shared" ref="BF145:BF152" si="594">SUMPRODUCT(Z145:AC145,Z155:AC155)/BF155</f>
        <v>0.99</v>
      </c>
      <c r="BG145" s="264">
        <f t="shared" ref="BG145:BG152" si="595">SUMPRODUCT(AD145:AG145,AD155:AG155)/BG155</f>
        <v>0.99000000000000021</v>
      </c>
      <c r="BH145" s="264">
        <f t="shared" ref="BH145:BH152" si="596">SUMPRODUCT(AH145:AK145,AH155:AK155)/BH155</f>
        <v>0.9900000000000001</v>
      </c>
      <c r="BI145" s="264">
        <f t="shared" si="592"/>
        <v>0.98999999999999988</v>
      </c>
      <c r="BJ145" s="264">
        <f>SUMPRODUCT(AP145:AS145,AP155:AS155)/BJ155</f>
        <v>0.98999999999999988</v>
      </c>
      <c r="BK145" s="264">
        <f>SUMPRODUCT(AT145:AW145,AT155:AW155)/BK155</f>
        <v>0.99</v>
      </c>
    </row>
    <row r="146" spans="1:63">
      <c r="A146" s="290" t="s">
        <v>712</v>
      </c>
      <c r="B146" s="400">
        <v>0.55000000000000004</v>
      </c>
      <c r="C146" s="400">
        <v>0.6</v>
      </c>
      <c r="D146" s="400">
        <v>0.65</v>
      </c>
      <c r="E146" s="401">
        <v>0.7</v>
      </c>
      <c r="F146" s="400">
        <v>0.75</v>
      </c>
      <c r="G146" s="400">
        <v>0.8</v>
      </c>
      <c r="H146" s="400">
        <v>0.85</v>
      </c>
      <c r="I146" s="401">
        <v>0.9</v>
      </c>
      <c r="J146" s="400">
        <v>0.92</v>
      </c>
      <c r="K146" s="400">
        <v>0.94</v>
      </c>
      <c r="L146" s="400">
        <v>0.96</v>
      </c>
      <c r="M146" s="401">
        <v>0.98</v>
      </c>
      <c r="N146" s="400">
        <v>0.99</v>
      </c>
      <c r="O146" s="400">
        <v>0.99</v>
      </c>
      <c r="P146" s="400">
        <v>0.99</v>
      </c>
      <c r="Q146" s="401">
        <v>0.99</v>
      </c>
      <c r="R146" s="400">
        <v>0.99</v>
      </c>
      <c r="S146" s="400">
        <v>0.99</v>
      </c>
      <c r="T146" s="390">
        <v>0.99</v>
      </c>
      <c r="U146" s="391">
        <v>0.99</v>
      </c>
      <c r="V146" s="390">
        <v>0.99</v>
      </c>
      <c r="W146" s="390">
        <v>0.99</v>
      </c>
      <c r="X146" s="390">
        <v>0.99</v>
      </c>
      <c r="Y146" s="391">
        <v>0.99</v>
      </c>
      <c r="Z146" s="390">
        <v>0.99</v>
      </c>
      <c r="AA146" s="390">
        <v>0.99</v>
      </c>
      <c r="AB146" s="390">
        <v>0.99</v>
      </c>
      <c r="AC146" s="391">
        <v>0.99</v>
      </c>
      <c r="AD146" s="390">
        <v>0.99</v>
      </c>
      <c r="AE146" s="390">
        <v>0.99</v>
      </c>
      <c r="AF146" s="390">
        <v>0.99</v>
      </c>
      <c r="AG146" s="391">
        <v>0.99</v>
      </c>
      <c r="AH146" s="390">
        <v>0.99</v>
      </c>
      <c r="AI146" s="390">
        <v>0.99</v>
      </c>
      <c r="AJ146" s="390">
        <v>0.99</v>
      </c>
      <c r="AK146" s="391">
        <v>0.99</v>
      </c>
      <c r="AL146" s="390">
        <v>0.99</v>
      </c>
      <c r="AM146" s="390">
        <v>0.99</v>
      </c>
      <c r="AN146" s="390">
        <v>0.99</v>
      </c>
      <c r="AO146" s="391">
        <v>0.99</v>
      </c>
      <c r="AP146" s="390">
        <v>0.99</v>
      </c>
      <c r="AQ146" s="390">
        <v>0.99</v>
      </c>
      <c r="AR146" s="390">
        <v>0.99</v>
      </c>
      <c r="AS146" s="391">
        <v>0.99</v>
      </c>
      <c r="AT146" s="390">
        <v>0.99</v>
      </c>
      <c r="AU146" s="390">
        <v>0.99</v>
      </c>
      <c r="AV146" s="390">
        <v>0.99</v>
      </c>
      <c r="AW146" s="391">
        <v>0.99</v>
      </c>
      <c r="AY146" s="204"/>
      <c r="AZ146" s="295">
        <f t="shared" ref="AZ146:AZ151" si="597">AVERAGE(B146:E146)</f>
        <v>0.625</v>
      </c>
      <c r="BA146" s="264">
        <f t="shared" ref="BA146:BA151" si="598">AVERAGE(F146:I146)</f>
        <v>0.82499999999999996</v>
      </c>
      <c r="BB146" s="264">
        <f t="shared" ref="BB146:BB151" si="599">AVERAGE(J146:M146)</f>
        <v>0.95</v>
      </c>
      <c r="BC146" s="264">
        <f t="shared" ref="BC146:BC151" si="600">AVERAGE(N146:Q146)</f>
        <v>0.99</v>
      </c>
      <c r="BD146" s="264">
        <f t="shared" ref="BD146:BD151" si="601">AVERAGE(R146:U146)</f>
        <v>0.99</v>
      </c>
      <c r="BE146" s="264">
        <f t="shared" si="593"/>
        <v>0.99000000000000021</v>
      </c>
      <c r="BF146" s="264">
        <f t="shared" si="594"/>
        <v>0.99</v>
      </c>
      <c r="BG146" s="264">
        <f t="shared" si="595"/>
        <v>0.9900000000000001</v>
      </c>
      <c r="BH146" s="264">
        <f t="shared" si="596"/>
        <v>0.98999999999999988</v>
      </c>
      <c r="BI146" s="264">
        <f t="shared" si="592"/>
        <v>0.98999999999999988</v>
      </c>
      <c r="BJ146" s="264">
        <f t="shared" ref="BJ146:BJ152" si="602">SUMPRODUCT(AP146:AS146,AP156:AS156)/BJ156</f>
        <v>0.9900000000000001</v>
      </c>
      <c r="BK146" s="264">
        <f t="shared" ref="BK146:BK152" si="603">SUMPRODUCT(AT146:AW146,AT156:AW156)/BK156</f>
        <v>0.99</v>
      </c>
    </row>
    <row r="147" spans="1:63">
      <c r="A147" s="290" t="s">
        <v>711</v>
      </c>
      <c r="B147" s="400">
        <v>0.99</v>
      </c>
      <c r="C147" s="400">
        <v>0.99</v>
      </c>
      <c r="D147" s="400">
        <v>0.99</v>
      </c>
      <c r="E147" s="401">
        <v>0.99</v>
      </c>
      <c r="F147" s="400">
        <v>0.99</v>
      </c>
      <c r="G147" s="400">
        <v>0.99</v>
      </c>
      <c r="H147" s="400">
        <v>0.99</v>
      </c>
      <c r="I147" s="401">
        <v>0.99</v>
      </c>
      <c r="J147" s="400">
        <v>0.99</v>
      </c>
      <c r="K147" s="400">
        <v>0.99</v>
      </c>
      <c r="L147" s="400">
        <v>0.99</v>
      </c>
      <c r="M147" s="401">
        <v>0.99</v>
      </c>
      <c r="N147" s="400">
        <v>0.998</v>
      </c>
      <c r="O147" s="400">
        <v>0.998</v>
      </c>
      <c r="P147" s="400">
        <v>0.998</v>
      </c>
      <c r="Q147" s="401">
        <v>0.998</v>
      </c>
      <c r="R147" s="400">
        <v>0.998</v>
      </c>
      <c r="S147" s="400">
        <v>0.998</v>
      </c>
      <c r="T147" s="402">
        <v>0.998</v>
      </c>
      <c r="U147" s="403">
        <v>0.998</v>
      </c>
      <c r="V147" s="402">
        <v>0.99</v>
      </c>
      <c r="W147" s="402">
        <v>0.99</v>
      </c>
      <c r="X147" s="402">
        <v>0.99</v>
      </c>
      <c r="Y147" s="403">
        <v>0.998</v>
      </c>
      <c r="Z147" s="402">
        <v>0.99</v>
      </c>
      <c r="AA147" s="402">
        <v>0.99</v>
      </c>
      <c r="AB147" s="402">
        <v>0.99</v>
      </c>
      <c r="AC147" s="403">
        <v>0.998</v>
      </c>
      <c r="AD147" s="402">
        <v>0.99</v>
      </c>
      <c r="AE147" s="402">
        <v>0.99</v>
      </c>
      <c r="AF147" s="402">
        <v>0.99</v>
      </c>
      <c r="AG147" s="403">
        <v>0.998</v>
      </c>
      <c r="AH147" s="402">
        <v>0.99</v>
      </c>
      <c r="AI147" s="402">
        <v>0.99</v>
      </c>
      <c r="AJ147" s="402">
        <v>0.99</v>
      </c>
      <c r="AK147" s="403">
        <v>0.998</v>
      </c>
      <c r="AL147" s="402">
        <v>0.99</v>
      </c>
      <c r="AM147" s="402">
        <v>0.99</v>
      </c>
      <c r="AN147" s="402">
        <v>0.99</v>
      </c>
      <c r="AO147" s="403">
        <v>0.998</v>
      </c>
      <c r="AP147" s="402">
        <v>0.99</v>
      </c>
      <c r="AQ147" s="402">
        <v>0.99</v>
      </c>
      <c r="AR147" s="402">
        <v>0.99</v>
      </c>
      <c r="AS147" s="403">
        <v>0.998</v>
      </c>
      <c r="AT147" s="402">
        <v>0.99</v>
      </c>
      <c r="AU147" s="402">
        <v>0.99</v>
      </c>
      <c r="AV147" s="402">
        <v>0.99</v>
      </c>
      <c r="AW147" s="403">
        <v>0.998</v>
      </c>
      <c r="AY147" s="204"/>
      <c r="AZ147" s="295">
        <f t="shared" si="597"/>
        <v>0.99</v>
      </c>
      <c r="BA147" s="264">
        <f t="shared" si="598"/>
        <v>0.99</v>
      </c>
      <c r="BB147" s="264">
        <f t="shared" si="599"/>
        <v>0.99</v>
      </c>
      <c r="BC147" s="264">
        <f t="shared" si="600"/>
        <v>0.998</v>
      </c>
      <c r="BD147" s="264">
        <f t="shared" si="601"/>
        <v>0.998</v>
      </c>
      <c r="BE147" s="264">
        <f t="shared" si="593"/>
        <v>0.99203873656914443</v>
      </c>
      <c r="BF147" s="264">
        <f t="shared" si="594"/>
        <v>0.99223611746931317</v>
      </c>
      <c r="BG147" s="264">
        <f t="shared" si="595"/>
        <v>0.99276441253560921</v>
      </c>
      <c r="BH147" s="264">
        <f t="shared" si="596"/>
        <v>0.99195901463989167</v>
      </c>
      <c r="BI147" s="264">
        <f t="shared" si="592"/>
        <v>0.99216518076939364</v>
      </c>
      <c r="BJ147" s="264">
        <f t="shared" si="602"/>
        <v>0.99219117862392336</v>
      </c>
      <c r="BK147" s="264">
        <f t="shared" si="603"/>
        <v>0.9921588729229629</v>
      </c>
    </row>
    <row r="148" spans="1:63">
      <c r="A148" s="290" t="s">
        <v>710</v>
      </c>
      <c r="B148" s="400">
        <v>0.99</v>
      </c>
      <c r="C148" s="400">
        <v>0.99</v>
      </c>
      <c r="D148" s="400">
        <v>0.99</v>
      </c>
      <c r="E148" s="401">
        <v>0.99</v>
      </c>
      <c r="F148" s="400">
        <v>0.99</v>
      </c>
      <c r="G148" s="400">
        <v>0.99</v>
      </c>
      <c r="H148" s="400">
        <v>0.99</v>
      </c>
      <c r="I148" s="401">
        <v>0.99</v>
      </c>
      <c r="J148" s="400">
        <v>0.99</v>
      </c>
      <c r="K148" s="400">
        <v>0.99</v>
      </c>
      <c r="L148" s="400">
        <v>0.99</v>
      </c>
      <c r="M148" s="401">
        <v>0.99</v>
      </c>
      <c r="N148" s="400">
        <v>0.998</v>
      </c>
      <c r="O148" s="400">
        <v>0.998</v>
      </c>
      <c r="P148" s="400">
        <v>0.998</v>
      </c>
      <c r="Q148" s="401">
        <v>0.998</v>
      </c>
      <c r="R148" s="400">
        <v>0.998</v>
      </c>
      <c r="S148" s="400">
        <v>0.998</v>
      </c>
      <c r="T148" s="402">
        <v>0.998</v>
      </c>
      <c r="U148" s="403">
        <v>0.998</v>
      </c>
      <c r="V148" s="402">
        <v>0.99299999999999999</v>
      </c>
      <c r="W148" s="402">
        <v>0.995</v>
      </c>
      <c r="X148" s="402">
        <v>0.997</v>
      </c>
      <c r="Y148" s="403">
        <v>0.998</v>
      </c>
      <c r="Z148" s="402">
        <v>0.99299999999999999</v>
      </c>
      <c r="AA148" s="402">
        <v>0.99299999999999999</v>
      </c>
      <c r="AB148" s="402">
        <v>0.997</v>
      </c>
      <c r="AC148" s="403">
        <v>0.998</v>
      </c>
      <c r="AD148" s="402">
        <v>0.99299999999999999</v>
      </c>
      <c r="AE148" s="402">
        <v>0.995</v>
      </c>
      <c r="AF148" s="402">
        <v>0.997</v>
      </c>
      <c r="AG148" s="403">
        <v>0.998</v>
      </c>
      <c r="AH148" s="402">
        <v>0.99299999999999999</v>
      </c>
      <c r="AI148" s="402">
        <v>0.995</v>
      </c>
      <c r="AJ148" s="402">
        <v>0.997</v>
      </c>
      <c r="AK148" s="403">
        <v>0.998</v>
      </c>
      <c r="AL148" s="402">
        <v>0.99299999999999999</v>
      </c>
      <c r="AM148" s="402">
        <v>0.995</v>
      </c>
      <c r="AN148" s="402">
        <v>0.997</v>
      </c>
      <c r="AO148" s="403">
        <v>0.998</v>
      </c>
      <c r="AP148" s="402">
        <v>0.99299999999999999</v>
      </c>
      <c r="AQ148" s="402">
        <v>0.995</v>
      </c>
      <c r="AR148" s="402">
        <v>0.997</v>
      </c>
      <c r="AS148" s="403">
        <v>0.998</v>
      </c>
      <c r="AT148" s="402">
        <v>0.99299999999999999</v>
      </c>
      <c r="AU148" s="402">
        <v>0.995</v>
      </c>
      <c r="AV148" s="402">
        <v>0.997</v>
      </c>
      <c r="AW148" s="403">
        <v>0.998</v>
      </c>
      <c r="AY148" s="204"/>
      <c r="AZ148" s="295">
        <f t="shared" si="597"/>
        <v>0.99</v>
      </c>
      <c r="BA148" s="264">
        <f t="shared" si="598"/>
        <v>0.99</v>
      </c>
      <c r="BB148" s="264">
        <f t="shared" si="599"/>
        <v>0.99</v>
      </c>
      <c r="BC148" s="264">
        <f t="shared" si="600"/>
        <v>0.998</v>
      </c>
      <c r="BD148" s="264">
        <f t="shared" si="601"/>
        <v>0.998</v>
      </c>
      <c r="BE148" s="264">
        <f t="shared" si="593"/>
        <v>0.99568322439149859</v>
      </c>
      <c r="BF148" s="264">
        <f t="shared" si="594"/>
        <v>0.99544815659472285</v>
      </c>
      <c r="BG148" s="264">
        <f t="shared" si="595"/>
        <v>0.99589030185280703</v>
      </c>
      <c r="BH148" s="264">
        <f t="shared" si="596"/>
        <v>0.99588360057911807</v>
      </c>
      <c r="BI148" s="264">
        <f t="shared" si="592"/>
        <v>0.99590385317344554</v>
      </c>
      <c r="BJ148" s="264">
        <f t="shared" si="602"/>
        <v>0.99589126322975863</v>
      </c>
      <c r="BK148" s="264">
        <f t="shared" si="603"/>
        <v>0.99583570866522853</v>
      </c>
    </row>
    <row r="149" spans="1:63">
      <c r="A149" s="290" t="s">
        <v>709</v>
      </c>
      <c r="B149" s="400">
        <v>0.995</v>
      </c>
      <c r="C149" s="400">
        <v>0.995</v>
      </c>
      <c r="D149" s="400">
        <v>0.995</v>
      </c>
      <c r="E149" s="401">
        <v>0.995</v>
      </c>
      <c r="F149" s="400">
        <v>0.995</v>
      </c>
      <c r="G149" s="400">
        <v>0.995</v>
      </c>
      <c r="H149" s="400">
        <v>0.995</v>
      </c>
      <c r="I149" s="401">
        <v>0.995</v>
      </c>
      <c r="J149" s="400">
        <v>0.99</v>
      </c>
      <c r="K149" s="400">
        <v>0.99</v>
      </c>
      <c r="L149" s="400">
        <v>0.99</v>
      </c>
      <c r="M149" s="401">
        <v>0.99</v>
      </c>
      <c r="N149" s="400">
        <v>0.998</v>
      </c>
      <c r="O149" s="400">
        <v>0.998</v>
      </c>
      <c r="P149" s="400">
        <v>0.998</v>
      </c>
      <c r="Q149" s="401">
        <v>0.998</v>
      </c>
      <c r="R149" s="400">
        <v>0.998</v>
      </c>
      <c r="S149" s="400">
        <v>0.998</v>
      </c>
      <c r="T149" s="402">
        <v>0.998</v>
      </c>
      <c r="U149" s="403">
        <v>0.998</v>
      </c>
      <c r="V149" s="402">
        <v>0.998</v>
      </c>
      <c r="W149" s="402">
        <v>0.998</v>
      </c>
      <c r="X149" s="402">
        <v>0.998</v>
      </c>
      <c r="Y149" s="403">
        <v>0.998</v>
      </c>
      <c r="Z149" s="402">
        <v>0.998</v>
      </c>
      <c r="AA149" s="402">
        <v>0.998</v>
      </c>
      <c r="AB149" s="402">
        <v>0.998</v>
      </c>
      <c r="AC149" s="403">
        <v>0.998</v>
      </c>
      <c r="AD149" s="402">
        <v>0.998</v>
      </c>
      <c r="AE149" s="402">
        <v>0.998</v>
      </c>
      <c r="AF149" s="402">
        <v>0.998</v>
      </c>
      <c r="AG149" s="403">
        <v>0.998</v>
      </c>
      <c r="AH149" s="402">
        <v>0.998</v>
      </c>
      <c r="AI149" s="402">
        <v>0.998</v>
      </c>
      <c r="AJ149" s="402">
        <v>0.998</v>
      </c>
      <c r="AK149" s="403">
        <v>0.998</v>
      </c>
      <c r="AL149" s="402">
        <v>0.998</v>
      </c>
      <c r="AM149" s="402">
        <v>0.998</v>
      </c>
      <c r="AN149" s="402">
        <v>0.998</v>
      </c>
      <c r="AO149" s="403">
        <v>0.998</v>
      </c>
      <c r="AP149" s="402">
        <v>0.998</v>
      </c>
      <c r="AQ149" s="402">
        <v>0.998</v>
      </c>
      <c r="AR149" s="402">
        <v>0.998</v>
      </c>
      <c r="AS149" s="403">
        <v>0.998</v>
      </c>
      <c r="AT149" s="402">
        <v>0.998</v>
      </c>
      <c r="AU149" s="402">
        <v>0.998</v>
      </c>
      <c r="AV149" s="402">
        <v>0.998</v>
      </c>
      <c r="AW149" s="403">
        <v>0.998</v>
      </c>
      <c r="AY149" s="204"/>
      <c r="AZ149" s="295">
        <f t="shared" si="597"/>
        <v>0.995</v>
      </c>
      <c r="BA149" s="264">
        <f t="shared" si="598"/>
        <v>0.995</v>
      </c>
      <c r="BB149" s="264">
        <f t="shared" si="599"/>
        <v>0.99</v>
      </c>
      <c r="BC149" s="264">
        <f t="shared" si="600"/>
        <v>0.998</v>
      </c>
      <c r="BD149" s="264">
        <f t="shared" si="601"/>
        <v>0.998</v>
      </c>
      <c r="BE149" s="264">
        <f t="shared" si="593"/>
        <v>0.998</v>
      </c>
      <c r="BF149" s="264">
        <f t="shared" si="594"/>
        <v>0.99799999999999978</v>
      </c>
      <c r="BG149" s="264">
        <f t="shared" si="595"/>
        <v>0.998</v>
      </c>
      <c r="BH149" s="264">
        <f t="shared" si="596"/>
        <v>0.998</v>
      </c>
      <c r="BI149" s="264">
        <f t="shared" si="592"/>
        <v>0.99800000000000011</v>
      </c>
      <c r="BJ149" s="264">
        <f t="shared" si="602"/>
        <v>0.99800000000000011</v>
      </c>
      <c r="BK149" s="264">
        <f t="shared" si="603"/>
        <v>0.998</v>
      </c>
    </row>
    <row r="150" spans="1:63">
      <c r="A150" s="290" t="s">
        <v>708</v>
      </c>
      <c r="B150" s="400">
        <v>0.995</v>
      </c>
      <c r="C150" s="400">
        <v>0.995</v>
      </c>
      <c r="D150" s="400">
        <v>0.995</v>
      </c>
      <c r="E150" s="401">
        <v>0.995</v>
      </c>
      <c r="F150" s="400">
        <v>0.995</v>
      </c>
      <c r="G150" s="400">
        <v>0.995</v>
      </c>
      <c r="H150" s="400">
        <v>0.995</v>
      </c>
      <c r="I150" s="401">
        <v>0.995</v>
      </c>
      <c r="J150" s="400">
        <v>0.995</v>
      </c>
      <c r="K150" s="400">
        <v>0.995</v>
      </c>
      <c r="L150" s="400">
        <v>0.995</v>
      </c>
      <c r="M150" s="401">
        <v>0.995</v>
      </c>
      <c r="N150" s="400">
        <v>0.998</v>
      </c>
      <c r="O150" s="400">
        <v>0.998</v>
      </c>
      <c r="P150" s="400">
        <v>0.998</v>
      </c>
      <c r="Q150" s="401">
        <v>0.998</v>
      </c>
      <c r="R150" s="400">
        <v>0.998</v>
      </c>
      <c r="S150" s="400">
        <v>0.998</v>
      </c>
      <c r="T150" s="402">
        <v>0.998</v>
      </c>
      <c r="U150" s="403">
        <v>0.998</v>
      </c>
      <c r="V150" s="402">
        <v>0.998</v>
      </c>
      <c r="W150" s="402">
        <v>0.998</v>
      </c>
      <c r="X150" s="402">
        <v>0.998</v>
      </c>
      <c r="Y150" s="403">
        <v>0.998</v>
      </c>
      <c r="Z150" s="402">
        <v>0.998</v>
      </c>
      <c r="AA150" s="402">
        <v>0.998</v>
      </c>
      <c r="AB150" s="402">
        <v>0.998</v>
      </c>
      <c r="AC150" s="403">
        <v>0.998</v>
      </c>
      <c r="AD150" s="402">
        <v>0.998</v>
      </c>
      <c r="AE150" s="402">
        <v>0.998</v>
      </c>
      <c r="AF150" s="402">
        <v>0.998</v>
      </c>
      <c r="AG150" s="403">
        <v>0.998</v>
      </c>
      <c r="AH150" s="402">
        <v>0.998</v>
      </c>
      <c r="AI150" s="402">
        <v>0.998</v>
      </c>
      <c r="AJ150" s="402">
        <v>0.998</v>
      </c>
      <c r="AK150" s="403">
        <v>0.998</v>
      </c>
      <c r="AL150" s="402">
        <v>0.998</v>
      </c>
      <c r="AM150" s="402">
        <v>0.998</v>
      </c>
      <c r="AN150" s="402">
        <v>0.998</v>
      </c>
      <c r="AO150" s="403">
        <v>0.998</v>
      </c>
      <c r="AP150" s="402">
        <v>0.998</v>
      </c>
      <c r="AQ150" s="402">
        <v>0.998</v>
      </c>
      <c r="AR150" s="402">
        <v>0.998</v>
      </c>
      <c r="AS150" s="403">
        <v>0.998</v>
      </c>
      <c r="AT150" s="402">
        <v>0.998</v>
      </c>
      <c r="AU150" s="402">
        <v>0.998</v>
      </c>
      <c r="AV150" s="402">
        <v>0.998</v>
      </c>
      <c r="AW150" s="403">
        <v>0.998</v>
      </c>
      <c r="AY150" s="204"/>
      <c r="AZ150" s="295">
        <f t="shared" si="597"/>
        <v>0.995</v>
      </c>
      <c r="BA150" s="264">
        <f t="shared" si="598"/>
        <v>0.995</v>
      </c>
      <c r="BB150" s="264">
        <f t="shared" si="599"/>
        <v>0.995</v>
      </c>
      <c r="BC150" s="264">
        <f t="shared" si="600"/>
        <v>0.998</v>
      </c>
      <c r="BD150" s="264">
        <f t="shared" si="601"/>
        <v>0.998</v>
      </c>
      <c r="BE150" s="264">
        <f t="shared" si="593"/>
        <v>0.998</v>
      </c>
      <c r="BF150" s="264">
        <f t="shared" si="594"/>
        <v>0.99800000000000011</v>
      </c>
      <c r="BG150" s="264">
        <f t="shared" si="595"/>
        <v>0.99799999999999989</v>
      </c>
      <c r="BH150" s="264">
        <f t="shared" si="596"/>
        <v>0.998</v>
      </c>
      <c r="BI150" s="264">
        <f t="shared" si="592"/>
        <v>0.99800000000000011</v>
      </c>
      <c r="BJ150" s="264">
        <f t="shared" si="602"/>
        <v>0.99799999999999989</v>
      </c>
      <c r="BK150" s="264">
        <f t="shared" si="603"/>
        <v>0.998</v>
      </c>
    </row>
    <row r="151" spans="1:63">
      <c r="A151" s="290" t="s">
        <v>707</v>
      </c>
      <c r="B151" s="400">
        <v>0.995</v>
      </c>
      <c r="C151" s="400">
        <v>0.995</v>
      </c>
      <c r="D151" s="400">
        <v>0.995</v>
      </c>
      <c r="E151" s="401">
        <v>0.995</v>
      </c>
      <c r="F151" s="400">
        <v>0.995</v>
      </c>
      <c r="G151" s="400">
        <v>0.995</v>
      </c>
      <c r="H151" s="400">
        <v>0.995</v>
      </c>
      <c r="I151" s="401">
        <v>0.995</v>
      </c>
      <c r="J151" s="400">
        <v>0.995</v>
      </c>
      <c r="K151" s="400">
        <v>0.995</v>
      </c>
      <c r="L151" s="400">
        <v>0.995</v>
      </c>
      <c r="M151" s="401">
        <v>0.995</v>
      </c>
      <c r="N151" s="400">
        <v>0.998</v>
      </c>
      <c r="O151" s="400">
        <v>0.998</v>
      </c>
      <c r="P151" s="400">
        <v>0.998</v>
      </c>
      <c r="Q151" s="401">
        <v>0.998</v>
      </c>
      <c r="R151" s="400">
        <v>0.998</v>
      </c>
      <c r="S151" s="400">
        <v>0.998</v>
      </c>
      <c r="T151" s="402">
        <v>0.998</v>
      </c>
      <c r="U151" s="403">
        <v>0.998</v>
      </c>
      <c r="V151" s="402">
        <v>0.998</v>
      </c>
      <c r="W151" s="402">
        <v>0.998</v>
      </c>
      <c r="X151" s="402">
        <v>0.998</v>
      </c>
      <c r="Y151" s="403">
        <v>0.998</v>
      </c>
      <c r="Z151" s="402">
        <v>0.998</v>
      </c>
      <c r="AA151" s="402">
        <v>0.998</v>
      </c>
      <c r="AB151" s="402">
        <v>0.998</v>
      </c>
      <c r="AC151" s="403">
        <v>0.998</v>
      </c>
      <c r="AD151" s="402">
        <v>0.998</v>
      </c>
      <c r="AE151" s="402">
        <v>0.998</v>
      </c>
      <c r="AF151" s="402">
        <v>0.998</v>
      </c>
      <c r="AG151" s="403">
        <v>0.998</v>
      </c>
      <c r="AH151" s="402">
        <v>0.998</v>
      </c>
      <c r="AI151" s="402">
        <v>0.998</v>
      </c>
      <c r="AJ151" s="402">
        <v>0.998</v>
      </c>
      <c r="AK151" s="403">
        <v>0.998</v>
      </c>
      <c r="AL151" s="402">
        <v>0.998</v>
      </c>
      <c r="AM151" s="402">
        <v>0.998</v>
      </c>
      <c r="AN151" s="402">
        <v>0.998</v>
      </c>
      <c r="AO151" s="403">
        <v>0.998</v>
      </c>
      <c r="AP151" s="402">
        <v>0.998</v>
      </c>
      <c r="AQ151" s="402">
        <v>0.998</v>
      </c>
      <c r="AR151" s="402">
        <v>0.998</v>
      </c>
      <c r="AS151" s="403">
        <v>0.998</v>
      </c>
      <c r="AT151" s="402">
        <v>0.998</v>
      </c>
      <c r="AU151" s="402">
        <v>0.998</v>
      </c>
      <c r="AV151" s="402">
        <v>0.998</v>
      </c>
      <c r="AW151" s="403">
        <v>0.998</v>
      </c>
      <c r="AY151" s="204"/>
      <c r="AZ151" s="295">
        <f t="shared" si="597"/>
        <v>0.995</v>
      </c>
      <c r="BA151" s="264">
        <f t="shared" si="598"/>
        <v>0.995</v>
      </c>
      <c r="BB151" s="264">
        <f t="shared" si="599"/>
        <v>0.995</v>
      </c>
      <c r="BC151" s="264">
        <f t="shared" si="600"/>
        <v>0.998</v>
      </c>
      <c r="BD151" s="264">
        <f t="shared" si="601"/>
        <v>0.998</v>
      </c>
      <c r="BE151" s="264">
        <f t="shared" si="593"/>
        <v>0.99799999999999989</v>
      </c>
      <c r="BF151" s="264">
        <f t="shared" si="594"/>
        <v>0.998</v>
      </c>
      <c r="BG151" s="264">
        <f t="shared" si="595"/>
        <v>0.99800000000000011</v>
      </c>
      <c r="BH151" s="264">
        <f t="shared" si="596"/>
        <v>0.99799999999999989</v>
      </c>
      <c r="BI151" s="264">
        <f t="shared" si="592"/>
        <v>0.99800000000000011</v>
      </c>
      <c r="BJ151" s="264">
        <f t="shared" si="602"/>
        <v>0.998</v>
      </c>
      <c r="BK151" s="264">
        <f t="shared" si="603"/>
        <v>0.99799999999999989</v>
      </c>
    </row>
    <row r="152" spans="1:63">
      <c r="A152" s="304" t="s">
        <v>827</v>
      </c>
      <c r="B152" s="404">
        <v>0.995</v>
      </c>
      <c r="C152" s="404">
        <v>0.995</v>
      </c>
      <c r="D152" s="404">
        <v>0.995</v>
      </c>
      <c r="E152" s="405">
        <v>0.995</v>
      </c>
      <c r="F152" s="404">
        <v>0.995</v>
      </c>
      <c r="G152" s="404">
        <v>0.995</v>
      </c>
      <c r="H152" s="404">
        <v>0.995</v>
      </c>
      <c r="I152" s="405">
        <v>0.995</v>
      </c>
      <c r="J152" s="404">
        <v>0.995</v>
      </c>
      <c r="K152" s="404">
        <v>0.995</v>
      </c>
      <c r="L152" s="404">
        <v>0.995</v>
      </c>
      <c r="M152" s="405">
        <v>0.995</v>
      </c>
      <c r="N152" s="404">
        <v>0.995</v>
      </c>
      <c r="O152" s="404">
        <v>0.995</v>
      </c>
      <c r="P152" s="404">
        <v>0.995</v>
      </c>
      <c r="Q152" s="405">
        <v>0.995</v>
      </c>
      <c r="R152" s="404">
        <v>0.995</v>
      </c>
      <c r="S152" s="404">
        <v>0.995</v>
      </c>
      <c r="T152" s="406">
        <v>0.995</v>
      </c>
      <c r="U152" s="407">
        <v>0.995</v>
      </c>
      <c r="V152" s="406">
        <v>0.995</v>
      </c>
      <c r="W152" s="406">
        <v>0.995</v>
      </c>
      <c r="X152" s="406">
        <v>0.995</v>
      </c>
      <c r="Y152" s="407">
        <v>0.995</v>
      </c>
      <c r="Z152" s="406">
        <v>0.995</v>
      </c>
      <c r="AA152" s="406">
        <v>0.995</v>
      </c>
      <c r="AB152" s="406">
        <v>0.995</v>
      </c>
      <c r="AC152" s="407">
        <v>0.995</v>
      </c>
      <c r="AD152" s="406">
        <v>0.995</v>
      </c>
      <c r="AE152" s="406">
        <v>0.995</v>
      </c>
      <c r="AF152" s="406">
        <v>0.995</v>
      </c>
      <c r="AG152" s="407">
        <v>0.995</v>
      </c>
      <c r="AH152" s="406">
        <v>0.995</v>
      </c>
      <c r="AI152" s="406">
        <v>0.995</v>
      </c>
      <c r="AJ152" s="406">
        <v>0.995</v>
      </c>
      <c r="AK152" s="407">
        <v>0.995</v>
      </c>
      <c r="AL152" s="406">
        <v>0.995</v>
      </c>
      <c r="AM152" s="406">
        <v>0.995</v>
      </c>
      <c r="AN152" s="406">
        <v>0.995</v>
      </c>
      <c r="AO152" s="407">
        <v>0.995</v>
      </c>
      <c r="AP152" s="406">
        <v>0.995</v>
      </c>
      <c r="AQ152" s="406">
        <v>0.995</v>
      </c>
      <c r="AR152" s="406">
        <v>0.995</v>
      </c>
      <c r="AS152" s="407">
        <v>0.995</v>
      </c>
      <c r="AT152" s="406">
        <v>0.995</v>
      </c>
      <c r="AU152" s="406">
        <v>0.995</v>
      </c>
      <c r="AV152" s="406">
        <v>0.995</v>
      </c>
      <c r="AW152" s="407">
        <v>0.995</v>
      </c>
      <c r="AY152" s="217"/>
      <c r="AZ152" s="292">
        <f>AVERAGE(B152:E152)</f>
        <v>0.995</v>
      </c>
      <c r="BA152" s="293">
        <f>AVERAGE(F152:I152)</f>
        <v>0.995</v>
      </c>
      <c r="BB152" s="293">
        <f>AVERAGE(J152:M152)</f>
        <v>0.995</v>
      </c>
      <c r="BC152" s="293">
        <f>AVERAGE(N152:Q152)</f>
        <v>0.995</v>
      </c>
      <c r="BD152" s="293">
        <f>AVERAGE(R152:U152)</f>
        <v>0.995</v>
      </c>
      <c r="BE152" s="293">
        <f t="shared" si="593"/>
        <v>0.99499999999999988</v>
      </c>
      <c r="BF152" s="293">
        <f t="shared" si="594"/>
        <v>0.99500000000000011</v>
      </c>
      <c r="BG152" s="293">
        <f t="shared" si="595"/>
        <v>0.995</v>
      </c>
      <c r="BH152" s="293">
        <f t="shared" si="596"/>
        <v>0.995</v>
      </c>
      <c r="BI152" s="293">
        <f t="shared" si="592"/>
        <v>0.995</v>
      </c>
      <c r="BJ152" s="293">
        <f t="shared" si="602"/>
        <v>0.995</v>
      </c>
      <c r="BK152" s="293">
        <f t="shared" si="603"/>
        <v>0.995</v>
      </c>
    </row>
    <row r="153" spans="1:63">
      <c r="A153" s="319" t="s">
        <v>720</v>
      </c>
      <c r="B153" s="408"/>
      <c r="C153" s="408"/>
      <c r="D153" s="408"/>
      <c r="E153" s="409"/>
      <c r="M153" s="538"/>
      <c r="N153" s="539"/>
      <c r="O153" s="539"/>
      <c r="P153" s="539"/>
      <c r="Q153" s="836"/>
      <c r="R153" s="539"/>
      <c r="S153" s="539"/>
      <c r="T153" s="539"/>
      <c r="U153" s="538"/>
      <c r="V153" s="539"/>
      <c r="W153" s="539"/>
      <c r="X153" s="539"/>
      <c r="Y153" s="538"/>
      <c r="Z153" s="539"/>
      <c r="AA153" s="539"/>
      <c r="AB153" s="539"/>
      <c r="AC153" s="538"/>
      <c r="AD153" s="539"/>
      <c r="AE153" s="539"/>
      <c r="AF153" s="539"/>
      <c r="AG153" s="836"/>
      <c r="AH153" s="539"/>
      <c r="AI153" s="539"/>
      <c r="AJ153" s="539"/>
      <c r="AK153" s="538"/>
      <c r="AL153" s="539"/>
      <c r="AM153" s="539"/>
      <c r="AN153" s="539"/>
      <c r="AO153" s="538"/>
      <c r="AP153" s="539"/>
      <c r="AQ153" s="539"/>
      <c r="AR153" s="539"/>
      <c r="AS153" s="538"/>
      <c r="AT153" s="539"/>
      <c r="AU153" s="539"/>
      <c r="AV153" s="539"/>
      <c r="AW153" s="538"/>
      <c r="AY153" s="204"/>
      <c r="AZ153" s="204"/>
      <c r="BC153" s="1107">
        <f>BC154/2.25/12</f>
        <v>0</v>
      </c>
      <c r="BD153" s="1107">
        <f>BD154/2.25/12</f>
        <v>0.55330122165414086</v>
      </c>
      <c r="BE153" s="1107">
        <f t="shared" ref="BE153:BK153" si="604">BE154/2.25/12</f>
        <v>2.6368954114645047</v>
      </c>
      <c r="BF153" s="1107">
        <f t="shared" si="604"/>
        <v>2.5729378409754879</v>
      </c>
      <c r="BG153" s="1107">
        <f t="shared" si="604"/>
        <v>4.6187868204367524</v>
      </c>
      <c r="BH153" s="1107">
        <f t="shared" si="604"/>
        <v>7.1053449357362055</v>
      </c>
      <c r="BI153" s="1107">
        <f t="shared" si="604"/>
        <v>12.286699051581749</v>
      </c>
      <c r="BJ153" s="1107">
        <f t="shared" si="604"/>
        <v>21.27183333333333</v>
      </c>
      <c r="BK153" s="1107">
        <f t="shared" si="604"/>
        <v>29.492395833333337</v>
      </c>
    </row>
    <row r="154" spans="1:63">
      <c r="A154" s="290" t="s">
        <v>1204</v>
      </c>
      <c r="B154" s="408"/>
      <c r="C154" s="408"/>
      <c r="D154" s="408"/>
      <c r="E154" s="409"/>
      <c r="M154" s="538"/>
      <c r="N154" s="539"/>
      <c r="O154" s="539"/>
      <c r="P154" s="539"/>
      <c r="Q154" s="538"/>
      <c r="R154" s="1103">
        <f t="shared" ref="M154:AF155" si="605">R48*1000/R165</f>
        <v>1.2654361176766407</v>
      </c>
      <c r="S154" s="1100">
        <f t="shared" si="605"/>
        <v>1.5495870429972345</v>
      </c>
      <c r="T154" s="1100">
        <f t="shared" si="605"/>
        <v>5.012453776716117</v>
      </c>
      <c r="U154" s="1101">
        <f t="shared" si="605"/>
        <v>7.1116560472718122</v>
      </c>
      <c r="V154" s="1100">
        <f t="shared" si="605"/>
        <v>17.48576714065058</v>
      </c>
      <c r="W154" s="1100">
        <f t="shared" si="605"/>
        <v>18.755043960079913</v>
      </c>
      <c r="X154" s="1100">
        <f t="shared" si="605"/>
        <v>18.84987951005321</v>
      </c>
      <c r="Y154" s="1102">
        <f t="shared" si="605"/>
        <v>16.105485498757922</v>
      </c>
      <c r="Z154" s="1100">
        <f t="shared" si="605"/>
        <v>15.359972336228578</v>
      </c>
      <c r="AA154" s="1100">
        <f t="shared" si="605"/>
        <v>16.434451691319655</v>
      </c>
      <c r="AB154" s="1100">
        <f t="shared" si="605"/>
        <v>19.242541896513771</v>
      </c>
      <c r="AC154" s="1102">
        <f t="shared" si="605"/>
        <v>18.432355782276179</v>
      </c>
      <c r="AD154" s="1100">
        <f t="shared" si="605"/>
        <v>19.837581919778273</v>
      </c>
      <c r="AE154" s="1100">
        <f t="shared" si="605"/>
        <v>22.192856569337128</v>
      </c>
      <c r="AF154" s="1100">
        <f t="shared" si="605"/>
        <v>43.142308657990405</v>
      </c>
      <c r="AG154" s="1102">
        <f t="shared" ref="AG154:AJ154" si="606">AG48*1000/AG165</f>
        <v>39.534497004686493</v>
      </c>
      <c r="AH154" s="1100">
        <f t="shared" si="606"/>
        <v>42.705517950806069</v>
      </c>
      <c r="AI154" s="1100">
        <f t="shared" si="606"/>
        <v>43.006412806262944</v>
      </c>
      <c r="AJ154" s="1100">
        <f t="shared" si="606"/>
        <v>49.765820037496546</v>
      </c>
      <c r="AK154" s="1101">
        <f t="shared" ref="AK154:AL154" si="607">AK48*1000/AK165</f>
        <v>56.366562470311976</v>
      </c>
      <c r="AL154" s="1100">
        <f t="shared" si="607"/>
        <v>64.538766079510125</v>
      </c>
      <c r="AM154" s="1100">
        <f t="shared" ref="AM154:AW154" si="608">AM121*AM132*AM144</f>
        <v>71.639608313197073</v>
      </c>
      <c r="AN154" s="1100">
        <f t="shared" si="608"/>
        <v>93.5625</v>
      </c>
      <c r="AO154" s="1102">
        <f t="shared" si="608"/>
        <v>102</v>
      </c>
      <c r="AP154" s="1100">
        <f t="shared" si="608"/>
        <v>124.5735</v>
      </c>
      <c r="AQ154" s="1100">
        <f t="shared" si="608"/>
        <v>134.09099999999998</v>
      </c>
      <c r="AR154" s="1100">
        <f t="shared" si="608"/>
        <v>152.77500000000001</v>
      </c>
      <c r="AS154" s="1102">
        <f t="shared" si="608"/>
        <v>162.9</v>
      </c>
      <c r="AT154" s="1100">
        <f t="shared" si="608"/>
        <v>178.07156250000003</v>
      </c>
      <c r="AU154" s="1100">
        <f t="shared" si="608"/>
        <v>188.49187500000002</v>
      </c>
      <c r="AV154" s="1100">
        <f t="shared" si="608"/>
        <v>209.38124999999999</v>
      </c>
      <c r="AW154" s="1102">
        <f t="shared" si="608"/>
        <v>220.35</v>
      </c>
      <c r="AY154" s="204"/>
      <c r="AZ154" s="1106"/>
      <c r="BA154" s="684"/>
      <c r="BB154" s="684"/>
      <c r="BC154" s="684">
        <f t="shared" ref="BC154" si="609">SUM(N154:Q154)</f>
        <v>0</v>
      </c>
      <c r="BD154" s="684">
        <f t="shared" ref="BD154" si="610">SUM(R154:U154)</f>
        <v>14.939132984661804</v>
      </c>
      <c r="BE154" s="684">
        <f t="shared" ref="BE154:BE163" si="611">SUM(V154:Y154)</f>
        <v>71.196176109541625</v>
      </c>
      <c r="BF154" s="684">
        <f t="shared" ref="BF154:BF163" si="612">SUM(Z154:AC154)</f>
        <v>69.469321706338178</v>
      </c>
      <c r="BG154" s="684">
        <f t="shared" ref="BG154:BG163" si="613">SUM(AD154:AG154)</f>
        <v>124.70724415179231</v>
      </c>
      <c r="BH154" s="684">
        <f t="shared" ref="BH154:BH163" si="614">SUM(AH154:AK154)</f>
        <v>191.84431326487754</v>
      </c>
      <c r="BI154" s="684">
        <f t="shared" ref="BI154:BI163" si="615">SUM(AL154:AO154)</f>
        <v>331.74087439270721</v>
      </c>
      <c r="BJ154" s="684">
        <f t="shared" ref="BJ154:BJ163" si="616">SUM(AP154:AS154)</f>
        <v>574.33949999999993</v>
      </c>
      <c r="BK154" s="684">
        <f>SUM(AT154:AW154)</f>
        <v>796.29468750000012</v>
      </c>
    </row>
    <row r="155" spans="1:63">
      <c r="A155" s="290" t="s">
        <v>935</v>
      </c>
      <c r="C155" s="331"/>
      <c r="D155" s="331"/>
      <c r="E155" s="332"/>
      <c r="F155" s="331"/>
      <c r="G155" s="331"/>
      <c r="H155" s="331"/>
      <c r="I155" s="332"/>
      <c r="J155" s="331"/>
      <c r="K155" s="331"/>
      <c r="L155" s="331"/>
      <c r="M155" s="332">
        <f t="shared" si="605"/>
        <v>4.5230948470588235</v>
      </c>
      <c r="N155" s="331">
        <f t="shared" si="605"/>
        <v>6.3040428329411773</v>
      </c>
      <c r="O155" s="331">
        <f t="shared" si="605"/>
        <v>13.112405877623409</v>
      </c>
      <c r="P155" s="331">
        <f t="shared" si="605"/>
        <v>43.722578539757606</v>
      </c>
      <c r="Q155" s="332">
        <f t="shared" si="605"/>
        <v>7.8611140203855943</v>
      </c>
      <c r="R155" s="1103">
        <f t="shared" si="605"/>
        <v>23.305849946417055</v>
      </c>
      <c r="S155" s="1103">
        <f t="shared" si="605"/>
        <v>86.368413121746428</v>
      </c>
      <c r="T155" s="1103">
        <f t="shared" si="605"/>
        <v>104.1153393427342</v>
      </c>
      <c r="U155" s="1102">
        <f t="shared" si="605"/>
        <v>100.64682150954104</v>
      </c>
      <c r="V155" s="1103">
        <f t="shared" si="605"/>
        <v>105.44166385383467</v>
      </c>
      <c r="W155" s="1103">
        <f t="shared" si="605"/>
        <v>108.13041171018166</v>
      </c>
      <c r="X155" s="1103">
        <f t="shared" si="605"/>
        <v>102.40733986623798</v>
      </c>
      <c r="Y155" s="1102">
        <f t="shared" si="605"/>
        <v>89.320505104576696</v>
      </c>
      <c r="Z155" s="1103">
        <f t="shared" si="605"/>
        <v>86.216701169554369</v>
      </c>
      <c r="AA155" s="1103">
        <f t="shared" si="605"/>
        <v>84.246410876992385</v>
      </c>
      <c r="AB155" s="1103">
        <f t="shared" si="605"/>
        <v>81.577168564312771</v>
      </c>
      <c r="AC155" s="1102">
        <f t="shared" si="605"/>
        <v>86.420253439413969</v>
      </c>
      <c r="AD155" s="1103">
        <f t="shared" si="605"/>
        <v>90.802703497343046</v>
      </c>
      <c r="AE155" s="1103">
        <f t="shared" si="605"/>
        <v>81.399315238702158</v>
      </c>
      <c r="AF155" s="1103">
        <f t="shared" si="605"/>
        <v>92.798822801080036</v>
      </c>
      <c r="AG155" s="1102">
        <f t="shared" ref="AG155:AI160" si="617">AG49*1000/AG166</f>
        <v>90.874604134711731</v>
      </c>
      <c r="AH155" s="1103">
        <f t="shared" si="617"/>
        <v>91.044979026871943</v>
      </c>
      <c r="AI155" s="1103">
        <f t="shared" si="617"/>
        <v>95.817047095870223</v>
      </c>
      <c r="AJ155" s="1099">
        <f t="shared" ref="AJ155:AL155" si="618">AJ49*1000/AJ166</f>
        <v>99.098306370706553</v>
      </c>
      <c r="AK155" s="1102">
        <f t="shared" si="618"/>
        <v>84.824142842851032</v>
      </c>
      <c r="AL155" s="1103">
        <f t="shared" si="618"/>
        <v>84.851327407172704</v>
      </c>
      <c r="AM155" s="1103">
        <f t="shared" ref="AM155:AN162" si="619">AM122*AM133*AM145</f>
        <v>95.225624999999994</v>
      </c>
      <c r="AN155" s="1103">
        <f t="shared" si="619"/>
        <v>95.225624999999994</v>
      </c>
      <c r="AO155" s="1102">
        <f t="shared" ref="AO155:AR162" si="620">AO122*AO133*AO145</f>
        <v>95.225624999999994</v>
      </c>
      <c r="AP155" s="1103">
        <f t="shared" si="620"/>
        <v>85.201875000000001</v>
      </c>
      <c r="AQ155" s="1103">
        <f t="shared" si="620"/>
        <v>85.201875000000001</v>
      </c>
      <c r="AR155" s="1103">
        <f t="shared" si="620"/>
        <v>94.223249999999993</v>
      </c>
      <c r="AS155" s="1102">
        <f t="shared" ref="AS155:AV162" si="621">AS122*AS133*AS145</f>
        <v>94.223249999999993</v>
      </c>
      <c r="AT155" s="1103">
        <f t="shared" si="621"/>
        <v>90.213750000000005</v>
      </c>
      <c r="AU155" s="1103">
        <f t="shared" si="621"/>
        <v>85.201875000000001</v>
      </c>
      <c r="AV155" s="1103">
        <f t="shared" si="621"/>
        <v>100.2375</v>
      </c>
      <c r="AW155" s="1102">
        <f t="shared" ref="AW155:AW162" si="622">AW122*AW133*AW145</f>
        <v>100.2375</v>
      </c>
      <c r="AY155" s="204"/>
      <c r="AZ155" s="1106">
        <f t="shared" ref="AZ155:AZ163" si="623">SUM(B155:E155)</f>
        <v>0</v>
      </c>
      <c r="BA155" s="684">
        <f t="shared" ref="BA155:BA163" si="624">SUM(F155:I155)</f>
        <v>0</v>
      </c>
      <c r="BB155" s="684">
        <f t="shared" ref="BB155:BB163" si="625">SUM(J155:M155)</f>
        <v>4.5230948470588235</v>
      </c>
      <c r="BC155" s="684">
        <f t="shared" ref="BC155:BC163" si="626">SUM(N155:Q155)</f>
        <v>71.000141270707786</v>
      </c>
      <c r="BD155" s="684">
        <f t="shared" ref="BD155:BD163" si="627">SUM(R155:U155)</f>
        <v>314.43642392043876</v>
      </c>
      <c r="BE155" s="684">
        <f t="shared" si="611"/>
        <v>405.29992053483102</v>
      </c>
      <c r="BF155" s="684">
        <f t="shared" si="612"/>
        <v>338.46053405027351</v>
      </c>
      <c r="BG155" s="684">
        <f t="shared" si="613"/>
        <v>355.87544567183693</v>
      </c>
      <c r="BH155" s="684">
        <f t="shared" si="614"/>
        <v>370.78447533629975</v>
      </c>
      <c r="BI155" s="684">
        <f t="shared" si="615"/>
        <v>370.52820240717267</v>
      </c>
      <c r="BJ155" s="684">
        <f t="shared" si="616"/>
        <v>358.85025000000002</v>
      </c>
      <c r="BK155" s="684">
        <f t="shared" ref="BK155:BK163" si="628">SUM(AT155:AW155)</f>
        <v>375.890625</v>
      </c>
    </row>
    <row r="156" spans="1:63">
      <c r="A156" s="290" t="s">
        <v>712</v>
      </c>
      <c r="B156" s="331">
        <f t="shared" ref="B156:L156" si="629">B50*1000/B167</f>
        <v>34.150359457832835</v>
      </c>
      <c r="C156" s="331">
        <f t="shared" si="629"/>
        <v>42.609322605269632</v>
      </c>
      <c r="D156" s="331">
        <f t="shared" si="629"/>
        <v>60.383733745220198</v>
      </c>
      <c r="E156" s="332">
        <f t="shared" si="629"/>
        <v>81.983413396330249</v>
      </c>
      <c r="F156" s="331">
        <f t="shared" si="629"/>
        <v>22.312811585001629</v>
      </c>
      <c r="G156" s="331">
        <f t="shared" si="629"/>
        <v>72.160800880430699</v>
      </c>
      <c r="H156" s="331">
        <f t="shared" si="629"/>
        <v>62.818326657618627</v>
      </c>
      <c r="I156" s="332">
        <f t="shared" si="629"/>
        <v>44.112317315637924</v>
      </c>
      <c r="J156" s="331">
        <f t="shared" si="629"/>
        <v>21.688262601985958</v>
      </c>
      <c r="K156" s="331">
        <f t="shared" si="629"/>
        <v>33.038997677629119</v>
      </c>
      <c r="L156" s="331">
        <f t="shared" si="629"/>
        <v>38.403573166463204</v>
      </c>
      <c r="M156" s="332">
        <f t="shared" ref="M156:AF156" si="630">M50*1000/M167</f>
        <v>45.015702840937166</v>
      </c>
      <c r="N156" s="331">
        <f t="shared" si="630"/>
        <v>61.510226190082328</v>
      </c>
      <c r="O156" s="331">
        <f t="shared" si="630"/>
        <v>63.020560847157086</v>
      </c>
      <c r="P156" s="331">
        <f t="shared" si="630"/>
        <v>66.678565373501627</v>
      </c>
      <c r="Q156" s="332">
        <f t="shared" si="630"/>
        <v>32.425480365196535</v>
      </c>
      <c r="R156" s="1103">
        <f t="shared" si="630"/>
        <v>27.766201156574109</v>
      </c>
      <c r="S156" s="1103">
        <f t="shared" si="630"/>
        <v>31.136484595404507</v>
      </c>
      <c r="T156" s="1103">
        <f t="shared" si="630"/>
        <v>39.066095911629539</v>
      </c>
      <c r="U156" s="1102">
        <f t="shared" si="630"/>
        <v>44.119267748220381</v>
      </c>
      <c r="V156" s="1103">
        <f t="shared" si="630"/>
        <v>90.768938031499829</v>
      </c>
      <c r="W156" s="1103">
        <f t="shared" si="630"/>
        <v>92.078822252896501</v>
      </c>
      <c r="X156" s="1103">
        <f t="shared" si="630"/>
        <v>92.085910924338251</v>
      </c>
      <c r="Y156" s="1102">
        <f t="shared" si="630"/>
        <v>50.040251244239549</v>
      </c>
      <c r="Z156" s="1103">
        <f t="shared" si="630"/>
        <v>61.954594910717091</v>
      </c>
      <c r="AA156" s="1103">
        <f t="shared" si="630"/>
        <v>79.291932169225319</v>
      </c>
      <c r="AB156" s="1103">
        <f t="shared" si="630"/>
        <v>76.274540033205966</v>
      </c>
      <c r="AC156" s="1102">
        <f t="shared" si="630"/>
        <v>97.103458205804174</v>
      </c>
      <c r="AD156" s="1103">
        <f t="shared" si="630"/>
        <v>100.60908072209818</v>
      </c>
      <c r="AE156" s="1103">
        <f t="shared" si="630"/>
        <v>130.81228401258662</v>
      </c>
      <c r="AF156" s="1103">
        <f t="shared" si="630"/>
        <v>137.09016273103938</v>
      </c>
      <c r="AG156" s="1102">
        <f t="shared" si="617"/>
        <v>125.17176287376591</v>
      </c>
      <c r="AH156" s="1103">
        <f t="shared" si="617"/>
        <v>134.50990777303173</v>
      </c>
      <c r="AI156" s="1103">
        <f t="shared" si="617"/>
        <v>167.41475373486725</v>
      </c>
      <c r="AJ156" s="1099">
        <f t="shared" ref="AJ156:AL156" si="631">AJ50*1000/AJ167</f>
        <v>210.97113372546053</v>
      </c>
      <c r="AK156" s="1102">
        <f t="shared" si="631"/>
        <v>178.9118339047096</v>
      </c>
      <c r="AL156" s="1103">
        <f t="shared" si="631"/>
        <v>184.70937823749193</v>
      </c>
      <c r="AM156" s="1103">
        <f t="shared" si="619"/>
        <v>237.94649999999999</v>
      </c>
      <c r="AN156" s="1103">
        <f t="shared" si="619"/>
        <v>237.94649999999999</v>
      </c>
      <c r="AO156" s="1102">
        <f t="shared" si="620"/>
        <v>235.4418</v>
      </c>
      <c r="AP156" s="1103">
        <f t="shared" si="620"/>
        <v>200.376</v>
      </c>
      <c r="AQ156" s="1103">
        <f t="shared" si="620"/>
        <v>224.136</v>
      </c>
      <c r="AR156" s="1103">
        <f t="shared" si="620"/>
        <v>266.16149999999999</v>
      </c>
      <c r="AS156" s="1102">
        <f t="shared" si="621"/>
        <v>263.35980000000001</v>
      </c>
      <c r="AT156" s="1103">
        <f t="shared" si="621"/>
        <v>238.14449999999999</v>
      </c>
      <c r="AU156" s="1103">
        <f t="shared" si="621"/>
        <v>263.3895</v>
      </c>
      <c r="AV156" s="1103">
        <f t="shared" si="621"/>
        <v>278.88299999999998</v>
      </c>
      <c r="AW156" s="1102">
        <f t="shared" si="622"/>
        <v>275.78429999999997</v>
      </c>
      <c r="AY156" s="204"/>
      <c r="AZ156" s="1106">
        <f t="shared" si="623"/>
        <v>219.12682920465295</v>
      </c>
      <c r="BA156" s="684">
        <f t="shared" si="624"/>
        <v>201.40425643868889</v>
      </c>
      <c r="BB156" s="684">
        <f t="shared" si="625"/>
        <v>138.14653628701546</v>
      </c>
      <c r="BC156" s="684">
        <f t="shared" si="626"/>
        <v>223.63483277593755</v>
      </c>
      <c r="BD156" s="684">
        <f t="shared" si="627"/>
        <v>142.08804941182854</v>
      </c>
      <c r="BE156" s="684">
        <f t="shared" si="611"/>
        <v>324.97392245297408</v>
      </c>
      <c r="BF156" s="684">
        <f t="shared" si="612"/>
        <v>314.62452531895258</v>
      </c>
      <c r="BG156" s="684">
        <f t="shared" si="613"/>
        <v>493.6832903394901</v>
      </c>
      <c r="BH156" s="684">
        <f t="shared" si="614"/>
        <v>691.80762913806916</v>
      </c>
      <c r="BI156" s="684">
        <f t="shared" si="615"/>
        <v>896.04417823749191</v>
      </c>
      <c r="BJ156" s="684">
        <f t="shared" si="616"/>
        <v>954.03330000000005</v>
      </c>
      <c r="BK156" s="684">
        <f t="shared" si="628"/>
        <v>1056.2012999999999</v>
      </c>
    </row>
    <row r="157" spans="1:63">
      <c r="A157" s="290" t="s">
        <v>711</v>
      </c>
      <c r="B157" s="331">
        <f t="shared" ref="B157:L157" si="632">B51*1000/B168</f>
        <v>167.26894209632397</v>
      </c>
      <c r="C157" s="331">
        <f t="shared" si="632"/>
        <v>149.49708597627702</v>
      </c>
      <c r="D157" s="331">
        <f t="shared" si="632"/>
        <v>171.37330703520263</v>
      </c>
      <c r="E157" s="332">
        <f t="shared" si="632"/>
        <v>207.58607697600587</v>
      </c>
      <c r="F157" s="331">
        <f t="shared" si="632"/>
        <v>179.54060868078219</v>
      </c>
      <c r="G157" s="331">
        <f t="shared" si="632"/>
        <v>172.4404233223548</v>
      </c>
      <c r="H157" s="331">
        <f t="shared" si="632"/>
        <v>194.29774473869318</v>
      </c>
      <c r="I157" s="332">
        <f t="shared" si="632"/>
        <v>194.74229742463751</v>
      </c>
      <c r="J157" s="331">
        <f t="shared" si="632"/>
        <v>128.56973122390161</v>
      </c>
      <c r="K157" s="331">
        <f t="shared" si="632"/>
        <v>192.07868484241553</v>
      </c>
      <c r="L157" s="331">
        <f t="shared" si="632"/>
        <v>186.34742919469218</v>
      </c>
      <c r="M157" s="332">
        <f t="shared" ref="M157:AF157" si="633">M51*1000/M168</f>
        <v>164.49683421423418</v>
      </c>
      <c r="N157" s="331">
        <f t="shared" si="633"/>
        <v>159.02621946947869</v>
      </c>
      <c r="O157" s="331">
        <f t="shared" si="633"/>
        <v>168.39846435158245</v>
      </c>
      <c r="P157" s="331">
        <f t="shared" si="633"/>
        <v>195.98338627599978</v>
      </c>
      <c r="Q157" s="332">
        <f t="shared" si="633"/>
        <v>154.64240258593614</v>
      </c>
      <c r="R157" s="1103">
        <f t="shared" si="633"/>
        <v>185.2138057189122</v>
      </c>
      <c r="S157" s="1103">
        <f t="shared" si="633"/>
        <v>191.96586698329213</v>
      </c>
      <c r="T157" s="1103">
        <f t="shared" si="633"/>
        <v>172.40413325364153</v>
      </c>
      <c r="U157" s="1102">
        <f t="shared" si="633"/>
        <v>190.50223069150493</v>
      </c>
      <c r="V157" s="1103">
        <f t="shared" si="633"/>
        <v>225.01419700733575</v>
      </c>
      <c r="W157" s="1103">
        <f t="shared" si="633"/>
        <v>236.52082863265758</v>
      </c>
      <c r="X157" s="1103">
        <f t="shared" si="633"/>
        <v>224.00237361667311</v>
      </c>
      <c r="Y157" s="1102">
        <f t="shared" si="633"/>
        <v>234.45200528242592</v>
      </c>
      <c r="Z157" s="1103">
        <f t="shared" si="633"/>
        <v>217.92335026321402</v>
      </c>
      <c r="AA157" s="1103">
        <f t="shared" si="633"/>
        <v>243.08982145940521</v>
      </c>
      <c r="AB157" s="1103">
        <f t="shared" si="633"/>
        <v>259.32556888309557</v>
      </c>
      <c r="AC157" s="1102">
        <f t="shared" si="633"/>
        <v>279.45781912032317</v>
      </c>
      <c r="AD157" s="1103">
        <f t="shared" si="633"/>
        <v>281.37354559348415</v>
      </c>
      <c r="AE157" s="1103">
        <f t="shared" si="633"/>
        <v>249.09073137301093</v>
      </c>
      <c r="AF157" s="1103">
        <f t="shared" si="633"/>
        <v>404.93000774513388</v>
      </c>
      <c r="AG157" s="1102">
        <f t="shared" si="617"/>
        <v>493.89217618481621</v>
      </c>
      <c r="AH157" s="1103">
        <f t="shared" si="617"/>
        <v>582.59103298998923</v>
      </c>
      <c r="AI157" s="1103">
        <f t="shared" si="617"/>
        <v>618.58150162974493</v>
      </c>
      <c r="AJ157" s="1099">
        <f t="shared" ref="AJ157:AL157" si="634">AJ51*1000/AJ168</f>
        <v>581.40445027783312</v>
      </c>
      <c r="AK157" s="1102">
        <f t="shared" si="634"/>
        <v>578.06702085522772</v>
      </c>
      <c r="AL157" s="1103">
        <f t="shared" si="634"/>
        <v>620.33555719150843</v>
      </c>
      <c r="AM157" s="1103">
        <f t="shared" si="619"/>
        <v>634.12469999999985</v>
      </c>
      <c r="AN157" s="1103">
        <f t="shared" si="619"/>
        <v>751.99459499999978</v>
      </c>
      <c r="AO157" s="1102">
        <f t="shared" si="620"/>
        <v>744.55390799999986</v>
      </c>
      <c r="AP157" s="1103">
        <f t="shared" si="620"/>
        <v>753.85282499999983</v>
      </c>
      <c r="AQ157" s="1103">
        <f t="shared" si="620"/>
        <v>793.8364499999999</v>
      </c>
      <c r="AR157" s="1103">
        <f t="shared" si="620"/>
        <v>950.21239499999979</v>
      </c>
      <c r="AS157" s="1102">
        <f t="shared" si="621"/>
        <v>942.24772799999971</v>
      </c>
      <c r="AT157" s="1103">
        <f t="shared" si="621"/>
        <v>976.90130999999985</v>
      </c>
      <c r="AU157" s="1103">
        <f t="shared" si="621"/>
        <v>1011.6255599999998</v>
      </c>
      <c r="AV157" s="1103">
        <f t="shared" si="621"/>
        <v>1128.9056624999996</v>
      </c>
      <c r="AW157" s="1102">
        <f t="shared" si="622"/>
        <v>1152.1989839999999</v>
      </c>
      <c r="AY157" s="204"/>
      <c r="AZ157" s="1106">
        <f t="shared" si="623"/>
        <v>695.72541208380949</v>
      </c>
      <c r="BA157" s="684">
        <f t="shared" si="624"/>
        <v>741.02107416646766</v>
      </c>
      <c r="BB157" s="684">
        <f t="shared" si="625"/>
        <v>671.49267947524345</v>
      </c>
      <c r="BC157" s="684">
        <f t="shared" si="626"/>
        <v>678.050472682997</v>
      </c>
      <c r="BD157" s="684">
        <f t="shared" si="627"/>
        <v>740.08603664735085</v>
      </c>
      <c r="BE157" s="684">
        <f t="shared" si="611"/>
        <v>919.98940453909245</v>
      </c>
      <c r="BF157" s="684">
        <f t="shared" si="612"/>
        <v>999.79655972603791</v>
      </c>
      <c r="BG157" s="684">
        <f t="shared" si="613"/>
        <v>1429.2864608964451</v>
      </c>
      <c r="BH157" s="684">
        <f t="shared" si="614"/>
        <v>2360.6440057527948</v>
      </c>
      <c r="BI157" s="684">
        <f t="shared" si="615"/>
        <v>2751.0087601915079</v>
      </c>
      <c r="BJ157" s="684">
        <f t="shared" si="616"/>
        <v>3440.1493979999991</v>
      </c>
      <c r="BK157" s="684">
        <f t="shared" si="628"/>
        <v>4269.6315164999987</v>
      </c>
    </row>
    <row r="158" spans="1:63">
      <c r="A158" s="290" t="s">
        <v>710</v>
      </c>
      <c r="B158" s="331">
        <f t="shared" ref="B158:L158" si="635">B52*1000/B169</f>
        <v>224.77160226181212</v>
      </c>
      <c r="C158" s="331">
        <f t="shared" si="635"/>
        <v>225.654921152989</v>
      </c>
      <c r="D158" s="331">
        <f t="shared" si="635"/>
        <v>205.28668071305239</v>
      </c>
      <c r="E158" s="332">
        <f t="shared" si="635"/>
        <v>171.92524318056161</v>
      </c>
      <c r="F158" s="331">
        <f t="shared" si="635"/>
        <v>211.24317752408271</v>
      </c>
      <c r="G158" s="331">
        <f t="shared" si="635"/>
        <v>288.33376455791688</v>
      </c>
      <c r="H158" s="331">
        <f t="shared" si="635"/>
        <v>261.08199629556646</v>
      </c>
      <c r="I158" s="332">
        <f t="shared" si="635"/>
        <v>264.01193744624288</v>
      </c>
      <c r="J158" s="331">
        <f t="shared" si="635"/>
        <v>219.1973380248651</v>
      </c>
      <c r="K158" s="331">
        <f t="shared" si="635"/>
        <v>312.04902273988</v>
      </c>
      <c r="L158" s="331">
        <f t="shared" si="635"/>
        <v>351.36855159145244</v>
      </c>
      <c r="M158" s="332">
        <f t="shared" ref="M158:AF158" si="636">M52*1000/M169</f>
        <v>374.75532648044214</v>
      </c>
      <c r="N158" s="331">
        <f t="shared" si="636"/>
        <v>414.23201075588793</v>
      </c>
      <c r="O158" s="331">
        <f t="shared" si="636"/>
        <v>390.5550443126906</v>
      </c>
      <c r="P158" s="331">
        <f t="shared" si="636"/>
        <v>349.98876808557037</v>
      </c>
      <c r="Q158" s="332">
        <f t="shared" si="636"/>
        <v>422.95034235759101</v>
      </c>
      <c r="R158" s="1103">
        <f t="shared" si="636"/>
        <v>443.71405507730481</v>
      </c>
      <c r="S158" s="1103">
        <f t="shared" si="636"/>
        <v>450.28097275077596</v>
      </c>
      <c r="T158" s="1103">
        <f t="shared" si="636"/>
        <v>402.41353224891913</v>
      </c>
      <c r="U158" s="1102">
        <f t="shared" si="636"/>
        <v>379.87286482222135</v>
      </c>
      <c r="V158" s="1103">
        <f t="shared" si="636"/>
        <v>546.466423691763</v>
      </c>
      <c r="W158" s="1103">
        <f t="shared" si="636"/>
        <v>574.41127302419488</v>
      </c>
      <c r="X158" s="1103">
        <f t="shared" si="636"/>
        <v>556.92933981802162</v>
      </c>
      <c r="Y158" s="1102">
        <f t="shared" si="636"/>
        <v>485.75824745648242</v>
      </c>
      <c r="Z158" s="1103">
        <f t="shared" si="636"/>
        <v>374.1105468118995</v>
      </c>
      <c r="AA158" s="1103">
        <f t="shared" si="636"/>
        <v>436.34612289320023</v>
      </c>
      <c r="AB158" s="1103">
        <f t="shared" si="636"/>
        <v>481.18336979975538</v>
      </c>
      <c r="AC158" s="1102">
        <f t="shared" si="636"/>
        <v>484.90577398437949</v>
      </c>
      <c r="AD158" s="1103">
        <f t="shared" si="636"/>
        <v>509.85571558507479</v>
      </c>
      <c r="AE158" s="1103">
        <f t="shared" si="636"/>
        <v>460.96994336444709</v>
      </c>
      <c r="AF158" s="1103">
        <f t="shared" si="636"/>
        <v>574.17122028983101</v>
      </c>
      <c r="AG158" s="1102">
        <f t="shared" si="617"/>
        <v>591.02415974395603</v>
      </c>
      <c r="AH158" s="1103">
        <f t="shared" si="617"/>
        <v>646.12385172347956</v>
      </c>
      <c r="AI158" s="1103">
        <f t="shared" si="617"/>
        <v>674.64956013212725</v>
      </c>
      <c r="AJ158" s="1099">
        <f t="shared" ref="AJ158:AL158" si="637">AJ52*1000/AJ169</f>
        <v>740.17532688941026</v>
      </c>
      <c r="AK158" s="1102">
        <f t="shared" si="637"/>
        <v>771.57106198600445</v>
      </c>
      <c r="AL158" s="1103">
        <f t="shared" si="637"/>
        <v>769.96881599835797</v>
      </c>
      <c r="AM158" s="1103">
        <f t="shared" si="619"/>
        <v>903.49979999999994</v>
      </c>
      <c r="AN158" s="1103">
        <f t="shared" si="619"/>
        <v>919.37357999999995</v>
      </c>
      <c r="AO158" s="1102">
        <f t="shared" si="620"/>
        <v>975.4751399999999</v>
      </c>
      <c r="AP158" s="1103">
        <f t="shared" si="620"/>
        <v>887.09654999999998</v>
      </c>
      <c r="AQ158" s="1103">
        <f t="shared" si="620"/>
        <v>985.94549999999992</v>
      </c>
      <c r="AR158" s="1103">
        <f t="shared" si="620"/>
        <v>1034.7663600000001</v>
      </c>
      <c r="AS158" s="1102">
        <f t="shared" si="621"/>
        <v>1088.93776</v>
      </c>
      <c r="AT158" s="1103">
        <f t="shared" si="621"/>
        <v>1095.2591400000001</v>
      </c>
      <c r="AU158" s="1103">
        <f t="shared" si="621"/>
        <v>1143.7326</v>
      </c>
      <c r="AV158" s="1103">
        <f t="shared" si="621"/>
        <v>1184.88465</v>
      </c>
      <c r="AW158" s="1102">
        <f t="shared" si="622"/>
        <v>1239.2565199999999</v>
      </c>
      <c r="AY158" s="204"/>
      <c r="AZ158" s="1106">
        <f t="shared" si="623"/>
        <v>827.63844730841515</v>
      </c>
      <c r="BA158" s="684">
        <f t="shared" si="624"/>
        <v>1024.670875823809</v>
      </c>
      <c r="BB158" s="684">
        <f t="shared" si="625"/>
        <v>1257.3702388366396</v>
      </c>
      <c r="BC158" s="684">
        <f t="shared" si="626"/>
        <v>1577.72616551174</v>
      </c>
      <c r="BD158" s="684">
        <f t="shared" si="627"/>
        <v>1676.2814248992213</v>
      </c>
      <c r="BE158" s="684">
        <f t="shared" si="611"/>
        <v>2163.5652839904619</v>
      </c>
      <c r="BF158" s="684">
        <f t="shared" si="612"/>
        <v>1776.5458134892347</v>
      </c>
      <c r="BG158" s="684">
        <f t="shared" si="613"/>
        <v>2136.0210389833092</v>
      </c>
      <c r="BH158" s="684">
        <f t="shared" si="614"/>
        <v>2832.5198007310219</v>
      </c>
      <c r="BI158" s="684">
        <f t="shared" si="615"/>
        <v>3568.317335998358</v>
      </c>
      <c r="BJ158" s="684">
        <f t="shared" si="616"/>
        <v>3996.7461700000003</v>
      </c>
      <c r="BK158" s="684">
        <f t="shared" si="628"/>
        <v>4663.1329100000003</v>
      </c>
    </row>
    <row r="159" spans="1:63">
      <c r="A159" s="290" t="s">
        <v>709</v>
      </c>
      <c r="B159" s="331">
        <f t="shared" ref="B159:L159" si="638">B53*1000/B170</f>
        <v>15.407071645946031</v>
      </c>
      <c r="C159" s="331">
        <f t="shared" si="638"/>
        <v>15.528118303070093</v>
      </c>
      <c r="D159" s="331">
        <f t="shared" si="638"/>
        <v>16.50423611277213</v>
      </c>
      <c r="E159" s="332">
        <f t="shared" si="638"/>
        <v>22.436244235063288</v>
      </c>
      <c r="F159" s="331">
        <f t="shared" si="638"/>
        <v>44.553106532351997</v>
      </c>
      <c r="G159" s="331">
        <f t="shared" si="638"/>
        <v>16.585148771265306</v>
      </c>
      <c r="H159" s="331">
        <f t="shared" si="638"/>
        <v>20.190341046857139</v>
      </c>
      <c r="I159" s="332">
        <f t="shared" si="638"/>
        <v>22.636153941043087</v>
      </c>
      <c r="J159" s="331">
        <f t="shared" si="638"/>
        <v>25.660165442176869</v>
      </c>
      <c r="K159" s="331">
        <f t="shared" si="638"/>
        <v>23.846544223353643</v>
      </c>
      <c r="L159" s="331">
        <f t="shared" si="638"/>
        <v>18.360885175207589</v>
      </c>
      <c r="M159" s="332">
        <f t="shared" ref="M159:AF159" si="639">M53*1000/M170</f>
        <v>21.356612795773191</v>
      </c>
      <c r="N159" s="331">
        <f t="shared" si="639"/>
        <v>24.181310399237116</v>
      </c>
      <c r="O159" s="331">
        <f t="shared" si="639"/>
        <v>43.356360658993083</v>
      </c>
      <c r="P159" s="331">
        <f t="shared" si="639"/>
        <v>54.858901934589369</v>
      </c>
      <c r="Q159" s="332">
        <f t="shared" si="639"/>
        <v>51.785992059667421</v>
      </c>
      <c r="R159" s="1103">
        <f t="shared" si="639"/>
        <v>65.970076987475963</v>
      </c>
      <c r="S159" s="1103">
        <f t="shared" si="639"/>
        <v>58.380136697804986</v>
      </c>
      <c r="T159" s="1103">
        <f t="shared" si="639"/>
        <v>53.026398635460048</v>
      </c>
      <c r="U159" s="1102">
        <f t="shared" si="639"/>
        <v>42.928548918731664</v>
      </c>
      <c r="V159" s="1103">
        <f t="shared" si="639"/>
        <v>62.063674029307855</v>
      </c>
      <c r="W159" s="1103">
        <f t="shared" si="639"/>
        <v>63.062864822805516</v>
      </c>
      <c r="X159" s="1103">
        <f t="shared" si="639"/>
        <v>63.713085737563667</v>
      </c>
      <c r="Y159" s="1102">
        <f t="shared" si="639"/>
        <v>56.044578319530558</v>
      </c>
      <c r="Z159" s="1103">
        <f t="shared" si="639"/>
        <v>54.698160374474377</v>
      </c>
      <c r="AA159" s="1103">
        <f t="shared" si="639"/>
        <v>61.670949220168048</v>
      </c>
      <c r="AB159" s="1103">
        <f t="shared" si="639"/>
        <v>60.150761747257143</v>
      </c>
      <c r="AC159" s="1102">
        <f t="shared" si="639"/>
        <v>61.594852471332857</v>
      </c>
      <c r="AD159" s="1103">
        <f t="shared" si="639"/>
        <v>62.430820332348375</v>
      </c>
      <c r="AE159" s="1103">
        <f t="shared" si="639"/>
        <v>44.450718041674378</v>
      </c>
      <c r="AF159" s="1103">
        <f t="shared" si="639"/>
        <v>59.078264823026487</v>
      </c>
      <c r="AG159" s="1102">
        <f t="shared" si="617"/>
        <v>61.370712663453268</v>
      </c>
      <c r="AH159" s="1103">
        <f t="shared" si="617"/>
        <v>61.344678989637693</v>
      </c>
      <c r="AI159" s="1103">
        <f t="shared" si="617"/>
        <v>59.883511452115727</v>
      </c>
      <c r="AJ159" s="1099">
        <f t="shared" ref="AJ159:AL159" si="640">AJ53*1000/AJ170</f>
        <v>61.669727776068058</v>
      </c>
      <c r="AK159" s="1102">
        <f t="shared" si="640"/>
        <v>61.518235898113133</v>
      </c>
      <c r="AL159" s="1103">
        <f t="shared" si="640"/>
        <v>59.136687693379088</v>
      </c>
      <c r="AM159" s="1103">
        <f t="shared" si="619"/>
        <v>65.668399999999991</v>
      </c>
      <c r="AN159" s="1103">
        <f t="shared" si="619"/>
        <v>65.668399999999991</v>
      </c>
      <c r="AO159" s="1102">
        <f t="shared" si="620"/>
        <v>64.969799999999992</v>
      </c>
      <c r="AP159" s="1103">
        <f t="shared" si="620"/>
        <v>59.381</v>
      </c>
      <c r="AQ159" s="1103">
        <f t="shared" si="620"/>
        <v>59.381</v>
      </c>
      <c r="AR159" s="1103">
        <f t="shared" si="620"/>
        <v>63.572600000000001</v>
      </c>
      <c r="AS159" s="1102">
        <f t="shared" si="621"/>
        <v>62.874000000000002</v>
      </c>
      <c r="AT159" s="1103">
        <f t="shared" si="621"/>
        <v>62.874000000000002</v>
      </c>
      <c r="AU159" s="1103">
        <f t="shared" si="621"/>
        <v>64.271200000000007</v>
      </c>
      <c r="AV159" s="1103">
        <f t="shared" si="621"/>
        <v>65.668399999999991</v>
      </c>
      <c r="AW159" s="1102">
        <f t="shared" si="622"/>
        <v>64.969799999999992</v>
      </c>
      <c r="AY159" s="204"/>
      <c r="AZ159" s="1106">
        <f t="shared" si="623"/>
        <v>69.875670296851538</v>
      </c>
      <c r="BA159" s="684">
        <f t="shared" si="624"/>
        <v>103.96475029151753</v>
      </c>
      <c r="BB159" s="684">
        <f t="shared" si="625"/>
        <v>89.224207636511281</v>
      </c>
      <c r="BC159" s="684">
        <f t="shared" si="626"/>
        <v>174.18256505248701</v>
      </c>
      <c r="BD159" s="684">
        <f t="shared" si="627"/>
        <v>220.30516123947268</v>
      </c>
      <c r="BE159" s="684">
        <f t="shared" si="611"/>
        <v>244.8842029092076</v>
      </c>
      <c r="BF159" s="684">
        <f t="shared" si="612"/>
        <v>238.11472381323244</v>
      </c>
      <c r="BG159" s="684">
        <f t="shared" si="613"/>
        <v>227.33051586050252</v>
      </c>
      <c r="BH159" s="684">
        <f t="shared" si="614"/>
        <v>244.4161541159346</v>
      </c>
      <c r="BI159" s="684">
        <f t="shared" si="615"/>
        <v>255.44328769337906</v>
      </c>
      <c r="BJ159" s="684">
        <f t="shared" si="616"/>
        <v>245.20859999999999</v>
      </c>
      <c r="BK159" s="684">
        <f t="shared" si="628"/>
        <v>257.78340000000003</v>
      </c>
    </row>
    <row r="160" spans="1:63">
      <c r="A160" s="290" t="s">
        <v>708</v>
      </c>
      <c r="B160" s="331">
        <f t="shared" ref="B160:L160" si="641">B54*1000/B171</f>
        <v>173.43650763906803</v>
      </c>
      <c r="C160" s="331">
        <f t="shared" si="641"/>
        <v>178.46421954844379</v>
      </c>
      <c r="D160" s="331">
        <f t="shared" si="641"/>
        <v>88.942133658244785</v>
      </c>
      <c r="E160" s="332">
        <f t="shared" si="641"/>
        <v>72.404276259808114</v>
      </c>
      <c r="F160" s="331">
        <f t="shared" si="641"/>
        <v>80.447142213072453</v>
      </c>
      <c r="G160" s="331">
        <f t="shared" si="641"/>
        <v>94.350498040866881</v>
      </c>
      <c r="H160" s="331">
        <f t="shared" si="641"/>
        <v>112.70089139423173</v>
      </c>
      <c r="I160" s="332">
        <f t="shared" si="641"/>
        <v>87.311018966921964</v>
      </c>
      <c r="J160" s="331">
        <f t="shared" si="641"/>
        <v>77.528426592797771</v>
      </c>
      <c r="K160" s="331">
        <f t="shared" si="641"/>
        <v>81.899710310943291</v>
      </c>
      <c r="L160" s="331">
        <f t="shared" si="641"/>
        <v>86.29427316665344</v>
      </c>
      <c r="M160" s="332">
        <f t="shared" ref="M160:AF160" si="642">M54*1000/M171</f>
        <v>84.220124599952698</v>
      </c>
      <c r="N160" s="331">
        <f t="shared" si="642"/>
        <v>77.863995339275093</v>
      </c>
      <c r="O160" s="331">
        <f t="shared" si="642"/>
        <v>80.17277872842746</v>
      </c>
      <c r="P160" s="331">
        <f t="shared" si="642"/>
        <v>68.731428751002198</v>
      </c>
      <c r="Q160" s="332">
        <f t="shared" si="642"/>
        <v>90.570402643804286</v>
      </c>
      <c r="R160" s="1103">
        <f t="shared" si="642"/>
        <v>101.03471081474278</v>
      </c>
      <c r="S160" s="1103">
        <f t="shared" si="642"/>
        <v>120.45525206485078</v>
      </c>
      <c r="T160" s="1103">
        <f t="shared" si="642"/>
        <v>115.4099927922112</v>
      </c>
      <c r="U160" s="1102">
        <f t="shared" si="642"/>
        <v>113.7106874360655</v>
      </c>
      <c r="V160" s="1103">
        <f t="shared" si="642"/>
        <v>82.245245493679874</v>
      </c>
      <c r="W160" s="1103">
        <f t="shared" si="642"/>
        <v>81.557594419577669</v>
      </c>
      <c r="X160" s="1103">
        <f t="shared" si="642"/>
        <v>77.240955234539669</v>
      </c>
      <c r="Y160" s="1102">
        <f t="shared" si="642"/>
        <v>66.67564415126246</v>
      </c>
      <c r="Z160" s="1103">
        <f t="shared" si="642"/>
        <v>52.590274827203245</v>
      </c>
      <c r="AA160" s="1103">
        <f t="shared" si="642"/>
        <v>58.663564518464042</v>
      </c>
      <c r="AB160" s="1103">
        <f t="shared" si="642"/>
        <v>65.33292748350064</v>
      </c>
      <c r="AC160" s="1102">
        <f t="shared" si="642"/>
        <v>75.528746828713352</v>
      </c>
      <c r="AD160" s="1103">
        <f t="shared" si="642"/>
        <v>86.763171000485428</v>
      </c>
      <c r="AE160" s="1103">
        <f t="shared" si="642"/>
        <v>152.77664037883801</v>
      </c>
      <c r="AF160" s="1103">
        <f t="shared" si="642"/>
        <v>103.21719831149454</v>
      </c>
      <c r="AG160" s="1102">
        <f t="shared" si="617"/>
        <v>77.395034661263509</v>
      </c>
      <c r="AH160" s="1103">
        <f t="shared" si="617"/>
        <v>96.180291945060475</v>
      </c>
      <c r="AI160" s="1103">
        <f t="shared" si="617"/>
        <v>100.47986596900454</v>
      </c>
      <c r="AJ160" s="1099">
        <f t="shared" ref="AJ160:AL160" si="643">AJ54*1000/AJ171</f>
        <v>103.47699777490899</v>
      </c>
      <c r="AK160" s="1102">
        <f t="shared" si="643"/>
        <v>102.92360966852844</v>
      </c>
      <c r="AL160" s="1103">
        <f t="shared" si="643"/>
        <v>95.561743834085036</v>
      </c>
      <c r="AM160" s="1103">
        <f t="shared" si="619"/>
        <v>142.59423999999999</v>
      </c>
      <c r="AN160" s="1103">
        <f t="shared" si="619"/>
        <v>136.52640000000002</v>
      </c>
      <c r="AO160" s="1102">
        <f t="shared" si="620"/>
        <v>136.52640000000002</v>
      </c>
      <c r="AP160" s="1103">
        <f t="shared" si="620"/>
        <v>128.94159999999999</v>
      </c>
      <c r="AQ160" s="1103">
        <f t="shared" si="620"/>
        <v>128.94159999999999</v>
      </c>
      <c r="AR160" s="1103">
        <f t="shared" si="620"/>
        <v>142.59423999999999</v>
      </c>
      <c r="AS160" s="1102">
        <f t="shared" si="621"/>
        <v>142.59423999999999</v>
      </c>
      <c r="AT160" s="1103">
        <f t="shared" si="621"/>
        <v>135.00944000000001</v>
      </c>
      <c r="AU160" s="1103">
        <f t="shared" si="621"/>
        <v>135.00944000000001</v>
      </c>
      <c r="AV160" s="1103">
        <f t="shared" si="621"/>
        <v>142.59423999999999</v>
      </c>
      <c r="AW160" s="1102">
        <f t="shared" si="622"/>
        <v>142.59423999999999</v>
      </c>
      <c r="AY160" s="204"/>
      <c r="AZ160" s="1106">
        <f t="shared" si="623"/>
        <v>513.24713710556466</v>
      </c>
      <c r="BA160" s="684">
        <f t="shared" si="624"/>
        <v>374.80955061509303</v>
      </c>
      <c r="BB160" s="684">
        <f t="shared" si="625"/>
        <v>329.94253467034719</v>
      </c>
      <c r="BC160" s="684">
        <f t="shared" si="626"/>
        <v>317.33860546250901</v>
      </c>
      <c r="BD160" s="684">
        <f t="shared" si="627"/>
        <v>450.61064310787026</v>
      </c>
      <c r="BE160" s="684">
        <f t="shared" si="611"/>
        <v>307.71943929905967</v>
      </c>
      <c r="BF160" s="684">
        <f t="shared" si="612"/>
        <v>252.11551365788125</v>
      </c>
      <c r="BG160" s="684">
        <f t="shared" si="613"/>
        <v>420.15204435208148</v>
      </c>
      <c r="BH160" s="684">
        <f t="shared" si="614"/>
        <v>403.06076535750242</v>
      </c>
      <c r="BI160" s="684">
        <f t="shared" si="615"/>
        <v>511.20878383408507</v>
      </c>
      <c r="BJ160" s="684">
        <f t="shared" si="616"/>
        <v>543.07168000000001</v>
      </c>
      <c r="BK160" s="684">
        <f t="shared" si="628"/>
        <v>555.20735999999999</v>
      </c>
    </row>
    <row r="161" spans="1:63">
      <c r="A161" s="290" t="s">
        <v>707</v>
      </c>
      <c r="B161" s="411">
        <f>B163-SUM(B156:B160, B162)</f>
        <v>431.19939350217783</v>
      </c>
      <c r="C161" s="411">
        <f>C163-SUM(C156:C160, C162)</f>
        <v>352.97747082881062</v>
      </c>
      <c r="D161" s="411">
        <f t="shared" ref="D161:I161" si="644">D163-SUM(D156:D160, D162)</f>
        <v>475.9738783435306</v>
      </c>
      <c r="E161" s="412">
        <f t="shared" si="644"/>
        <v>505.96522803899961</v>
      </c>
      <c r="F161" s="411">
        <f t="shared" si="644"/>
        <v>475.35360703409458</v>
      </c>
      <c r="G161" s="411">
        <f t="shared" si="644"/>
        <v>534.26744109242861</v>
      </c>
      <c r="H161" s="411">
        <f t="shared" si="644"/>
        <v>584.63845212764238</v>
      </c>
      <c r="I161" s="412">
        <f t="shared" si="644"/>
        <v>531.67854393598759</v>
      </c>
      <c r="J161" s="411">
        <f>J163-SUM(J156:J160, J162)</f>
        <v>540.27256281787368</v>
      </c>
      <c r="K161" s="411">
        <f>K163-SUM(K156:K160, K162)</f>
        <v>555.85834326509939</v>
      </c>
      <c r="L161" s="411">
        <f>L163-SUM(L156:L160, L162)</f>
        <v>541.31357400706065</v>
      </c>
      <c r="M161" s="412">
        <f t="shared" ref="M161:Q161" si="645">M163-SUM(M155:M160, M162)</f>
        <v>550.35258350197762</v>
      </c>
      <c r="N161" s="411">
        <f t="shared" si="645"/>
        <v>558.19141613715294</v>
      </c>
      <c r="O161" s="411">
        <f t="shared" si="645"/>
        <v>568.44519772263618</v>
      </c>
      <c r="P161" s="411">
        <f t="shared" si="645"/>
        <v>569.39408941609042</v>
      </c>
      <c r="Q161" s="412">
        <f t="shared" si="645"/>
        <v>555.24311035116273</v>
      </c>
      <c r="R161" s="1104">
        <f>R163-SUM(R154:R160, R162)</f>
        <v>606.55711204171143</v>
      </c>
      <c r="S161" s="1104">
        <f t="shared" ref="S161:AK161" si="646">S163-SUM(S154:S160, S162)</f>
        <v>692.90460007483739</v>
      </c>
      <c r="T161" s="1104">
        <f t="shared" si="646"/>
        <v>718.22811646833873</v>
      </c>
      <c r="U161" s="1105">
        <f t="shared" si="646"/>
        <v>737.65854440772387</v>
      </c>
      <c r="V161" s="1104">
        <f t="shared" si="646"/>
        <v>630.02442136289028</v>
      </c>
      <c r="W161" s="1104">
        <f t="shared" si="646"/>
        <v>631.24710078096678</v>
      </c>
      <c r="X161" s="1104">
        <f t="shared" si="646"/>
        <v>585.58127690632</v>
      </c>
      <c r="Y161" s="1105">
        <f t="shared" si="646"/>
        <v>509.32376181422023</v>
      </c>
      <c r="Z161" s="1104">
        <f t="shared" si="646"/>
        <v>341.68378757140772</v>
      </c>
      <c r="AA161" s="1104">
        <f t="shared" si="646"/>
        <v>370.7519170352457</v>
      </c>
      <c r="AB161" s="1104">
        <f t="shared" si="646"/>
        <v>434.92367456330271</v>
      </c>
      <c r="AC161" s="1105">
        <f t="shared" si="646"/>
        <v>507.56880316843831</v>
      </c>
      <c r="AD161" s="1104">
        <f t="shared" si="646"/>
        <v>570.02656813005638</v>
      </c>
      <c r="AE161" s="1104">
        <f t="shared" si="646"/>
        <v>841.64653431293414</v>
      </c>
      <c r="AF161" s="1104">
        <f t="shared" si="646"/>
        <v>619.69010814283138</v>
      </c>
      <c r="AG161" s="1105">
        <f t="shared" si="646"/>
        <v>418.15570727237628</v>
      </c>
      <c r="AH161" s="1104">
        <f t="shared" si="646"/>
        <v>561.94918210296737</v>
      </c>
      <c r="AI161" s="1104">
        <f t="shared" si="646"/>
        <v>551.68416467867723</v>
      </c>
      <c r="AJ161" s="1125">
        <f t="shared" si="646"/>
        <v>571.8360044843555</v>
      </c>
      <c r="AK161" s="1105">
        <f t="shared" si="646"/>
        <v>600.15384188255052</v>
      </c>
      <c r="AL161" s="1104">
        <f t="shared" ref="AL161" si="647">AL163-SUM(AL154:AL160, AL162)</f>
        <v>551.09636606367258</v>
      </c>
      <c r="AM161" s="1103">
        <f t="shared" si="619"/>
        <v>739.05093600000021</v>
      </c>
      <c r="AN161" s="1103">
        <f t="shared" si="619"/>
        <v>668.29074000000014</v>
      </c>
      <c r="AO161" s="1102">
        <f t="shared" si="620"/>
        <v>668.29074000000014</v>
      </c>
      <c r="AP161" s="1103">
        <f t="shared" si="620"/>
        <v>668.29074000000014</v>
      </c>
      <c r="AQ161" s="1103">
        <f t="shared" si="620"/>
        <v>668.29074000000014</v>
      </c>
      <c r="AR161" s="1103">
        <f t="shared" si="620"/>
        <v>739.05093600000021</v>
      </c>
      <c r="AS161" s="1102">
        <f t="shared" si="621"/>
        <v>739.05093600000021</v>
      </c>
      <c r="AT161" s="1103">
        <f t="shared" si="621"/>
        <v>699.73971600000016</v>
      </c>
      <c r="AU161" s="1103">
        <f t="shared" si="621"/>
        <v>699.73971600000016</v>
      </c>
      <c r="AV161" s="1103">
        <f t="shared" si="621"/>
        <v>739.05093600000021</v>
      </c>
      <c r="AW161" s="1102">
        <f t="shared" si="622"/>
        <v>739.05093600000021</v>
      </c>
      <c r="AY161" s="204"/>
      <c r="AZ161" s="1106">
        <f t="shared" si="623"/>
        <v>1766.1159707135187</v>
      </c>
      <c r="BA161" s="684">
        <f t="shared" si="624"/>
        <v>2125.9380441901531</v>
      </c>
      <c r="BB161" s="684">
        <f t="shared" si="625"/>
        <v>2187.7970635920115</v>
      </c>
      <c r="BC161" s="684">
        <f t="shared" si="626"/>
        <v>2251.2738136270423</v>
      </c>
      <c r="BD161" s="684">
        <f t="shared" si="627"/>
        <v>2755.3483729926111</v>
      </c>
      <c r="BE161" s="684">
        <f t="shared" si="611"/>
        <v>2356.1765608643973</v>
      </c>
      <c r="BF161" s="684">
        <f t="shared" si="612"/>
        <v>1654.9281823383944</v>
      </c>
      <c r="BG161" s="684">
        <f t="shared" si="613"/>
        <v>2449.5189178581982</v>
      </c>
      <c r="BH161" s="684">
        <f t="shared" si="614"/>
        <v>2285.6231931485509</v>
      </c>
      <c r="BI161" s="684">
        <f t="shared" si="615"/>
        <v>2626.728782063673</v>
      </c>
      <c r="BJ161" s="684">
        <f t="shared" si="616"/>
        <v>2814.6833520000005</v>
      </c>
      <c r="BK161" s="684">
        <f t="shared" si="628"/>
        <v>2877.5813040000007</v>
      </c>
    </row>
    <row r="162" spans="1:63">
      <c r="A162" s="290" t="s">
        <v>827</v>
      </c>
      <c r="B162" s="331">
        <f t="shared" ref="B162:AF162" si="648">B56*1000/B173</f>
        <v>49.527123396839187</v>
      </c>
      <c r="C162" s="331">
        <f t="shared" si="648"/>
        <v>49.426861585139903</v>
      </c>
      <c r="D162" s="331">
        <f t="shared" si="648"/>
        <v>57.575030391977265</v>
      </c>
      <c r="E162" s="332">
        <f t="shared" si="648"/>
        <v>62.520517913231117</v>
      </c>
      <c r="F162" s="331">
        <f t="shared" si="648"/>
        <v>70.179546430614508</v>
      </c>
      <c r="G162" s="331">
        <f t="shared" si="648"/>
        <v>80.197923334736842</v>
      </c>
      <c r="H162" s="331">
        <f t="shared" si="648"/>
        <v>79.27924773939057</v>
      </c>
      <c r="I162" s="332">
        <f t="shared" si="648"/>
        <v>73.19773096952909</v>
      </c>
      <c r="J162" s="331">
        <f t="shared" si="648"/>
        <v>76.585513296398886</v>
      </c>
      <c r="K162" s="331">
        <f t="shared" si="648"/>
        <v>85.679696940679136</v>
      </c>
      <c r="L162" s="331">
        <f t="shared" si="648"/>
        <v>93.354713698470547</v>
      </c>
      <c r="M162" s="332">
        <f t="shared" si="648"/>
        <v>94.679720719624243</v>
      </c>
      <c r="N162" s="331">
        <f t="shared" si="648"/>
        <v>105.40477887594461</v>
      </c>
      <c r="O162" s="331">
        <f t="shared" si="648"/>
        <v>108.53018750088972</v>
      </c>
      <c r="P162" s="331">
        <f t="shared" si="648"/>
        <v>91.173281623488506</v>
      </c>
      <c r="Q162" s="332">
        <f t="shared" si="648"/>
        <v>100.30915561625633</v>
      </c>
      <c r="R162" s="1103">
        <f t="shared" si="648"/>
        <v>104.06575213918502</v>
      </c>
      <c r="S162" s="1103">
        <f t="shared" si="648"/>
        <v>112.15268666829041</v>
      </c>
      <c r="T162" s="1103">
        <f t="shared" si="648"/>
        <v>110.06693757034954</v>
      </c>
      <c r="U162" s="1102">
        <f t="shared" si="648"/>
        <v>106.80937841871935</v>
      </c>
      <c r="V162" s="1103">
        <f t="shared" si="648"/>
        <v>80.678669389038319</v>
      </c>
      <c r="W162" s="1103">
        <f t="shared" si="648"/>
        <v>80.766060396639332</v>
      </c>
      <c r="X162" s="1103">
        <f t="shared" si="648"/>
        <v>76.860838386252766</v>
      </c>
      <c r="Y162" s="1102">
        <f t="shared" si="648"/>
        <v>66.347521128504397</v>
      </c>
      <c r="Z162" s="1103">
        <f t="shared" si="648"/>
        <v>47.177611735301028</v>
      </c>
      <c r="AA162" s="1103">
        <f t="shared" si="648"/>
        <v>52.625830135979513</v>
      </c>
      <c r="AB162" s="1103">
        <f t="shared" si="648"/>
        <v>58.834447029055937</v>
      </c>
      <c r="AC162" s="1102">
        <f t="shared" si="648"/>
        <v>63.989936999318367</v>
      </c>
      <c r="AD162" s="1103">
        <f t="shared" si="648"/>
        <v>73.191813219331436</v>
      </c>
      <c r="AE162" s="1103">
        <f t="shared" si="648"/>
        <v>128.54097670846957</v>
      </c>
      <c r="AF162" s="1103">
        <f t="shared" si="648"/>
        <v>88.147906497572819</v>
      </c>
      <c r="AG162" s="1102">
        <f t="shared" ref="AG162:AL162" si="649">AG56*1000/AG173</f>
        <v>94.342345460970648</v>
      </c>
      <c r="AH162" s="1103">
        <f t="shared" si="649"/>
        <v>75.703557498155646</v>
      </c>
      <c r="AI162" s="1103">
        <f t="shared" si="649"/>
        <v>78.719182501329897</v>
      </c>
      <c r="AJ162" s="1099">
        <f t="shared" si="649"/>
        <v>81.067232663760578</v>
      </c>
      <c r="AK162" s="1102">
        <f t="shared" si="649"/>
        <v>80.633690491703206</v>
      </c>
      <c r="AL162" s="1103">
        <f t="shared" si="649"/>
        <v>78.938357494822256</v>
      </c>
      <c r="AM162" s="1103">
        <f t="shared" si="619"/>
        <v>115.97719999999998</v>
      </c>
      <c r="AN162" s="1103">
        <f t="shared" si="619"/>
        <v>92.534999999999997</v>
      </c>
      <c r="AO162" s="1102">
        <f t="shared" si="620"/>
        <v>92.534999999999997</v>
      </c>
      <c r="AP162" s="1103">
        <f t="shared" si="620"/>
        <v>104.87299999999999</v>
      </c>
      <c r="AQ162" s="1103">
        <f t="shared" si="620"/>
        <v>104.87299999999999</v>
      </c>
      <c r="AR162" s="1103">
        <f t="shared" si="620"/>
        <v>115.97719999999998</v>
      </c>
      <c r="AS162" s="1102">
        <f t="shared" si="621"/>
        <v>115.97719999999998</v>
      </c>
      <c r="AT162" s="1103">
        <f t="shared" si="621"/>
        <v>109.8082</v>
      </c>
      <c r="AU162" s="1103">
        <f t="shared" si="621"/>
        <v>109.8082</v>
      </c>
      <c r="AV162" s="1103">
        <f t="shared" si="621"/>
        <v>115.97719999999998</v>
      </c>
      <c r="AW162" s="1102">
        <f t="shared" si="622"/>
        <v>115.97719999999998</v>
      </c>
      <c r="AY162" s="204"/>
      <c r="AZ162" s="1106">
        <f t="shared" si="623"/>
        <v>219.04953328718747</v>
      </c>
      <c r="BA162" s="684">
        <f t="shared" si="624"/>
        <v>302.85444847427101</v>
      </c>
      <c r="BB162" s="684">
        <f t="shared" si="625"/>
        <v>350.29964465517281</v>
      </c>
      <c r="BC162" s="684">
        <f t="shared" si="626"/>
        <v>405.41740361657912</v>
      </c>
      <c r="BD162" s="684">
        <f t="shared" si="627"/>
        <v>433.09475479654429</v>
      </c>
      <c r="BE162" s="684">
        <f t="shared" si="611"/>
        <v>304.65308930043483</v>
      </c>
      <c r="BF162" s="684">
        <f t="shared" si="612"/>
        <v>222.62782589965482</v>
      </c>
      <c r="BG162" s="684">
        <f t="shared" si="613"/>
        <v>384.22304188634445</v>
      </c>
      <c r="BH162" s="684">
        <f t="shared" si="614"/>
        <v>316.12366315494933</v>
      </c>
      <c r="BI162" s="684">
        <f t="shared" si="615"/>
        <v>379.98555749482216</v>
      </c>
      <c r="BJ162" s="684">
        <f t="shared" si="616"/>
        <v>441.70039999999995</v>
      </c>
      <c r="BK162" s="684">
        <f t="shared" si="628"/>
        <v>451.57079999999996</v>
      </c>
    </row>
    <row r="163" spans="1:63">
      <c r="A163" s="336" t="s">
        <v>706</v>
      </c>
      <c r="B163" s="342">
        <f t="shared" ref="B163:AF163" si="650">B21</f>
        <v>1095.761</v>
      </c>
      <c r="C163" s="342">
        <f t="shared" si="650"/>
        <v>1014.158</v>
      </c>
      <c r="D163" s="342">
        <f t="shared" si="650"/>
        <v>1076.039</v>
      </c>
      <c r="E163" s="413">
        <f t="shared" si="650"/>
        <v>1124.8209999999999</v>
      </c>
      <c r="F163" s="342">
        <f t="shared" si="650"/>
        <v>1083.6300000000001</v>
      </c>
      <c r="G163" s="342">
        <f t="shared" si="650"/>
        <v>1258.336</v>
      </c>
      <c r="H163" s="342">
        <f t="shared" si="650"/>
        <v>1315.0070000000001</v>
      </c>
      <c r="I163" s="413">
        <f t="shared" si="650"/>
        <v>1217.69</v>
      </c>
      <c r="J163" s="342">
        <f t="shared" si="650"/>
        <v>1089.502</v>
      </c>
      <c r="K163" s="342">
        <f t="shared" si="650"/>
        <v>1284.451</v>
      </c>
      <c r="L163" s="342">
        <f t="shared" si="650"/>
        <v>1315.443</v>
      </c>
      <c r="M163" s="413">
        <f t="shared" si="650"/>
        <v>1339.4</v>
      </c>
      <c r="N163" s="342">
        <f t="shared" si="650"/>
        <v>1406.7139999999999</v>
      </c>
      <c r="O163" s="342">
        <f t="shared" si="650"/>
        <v>1435.5909999999999</v>
      </c>
      <c r="P163" s="342">
        <f t="shared" si="650"/>
        <v>1440.5309999999999</v>
      </c>
      <c r="Q163" s="413">
        <f t="shared" si="650"/>
        <v>1415.788</v>
      </c>
      <c r="R163" s="342">
        <f t="shared" si="650"/>
        <v>1558.893</v>
      </c>
      <c r="S163" s="342">
        <f t="shared" si="650"/>
        <v>1745.194</v>
      </c>
      <c r="T163" s="342">
        <f t="shared" si="650"/>
        <v>1719.7429999999999</v>
      </c>
      <c r="U163" s="413">
        <f t="shared" si="650"/>
        <v>1723.36</v>
      </c>
      <c r="V163" s="342">
        <f t="shared" si="650"/>
        <v>1840.1890000000001</v>
      </c>
      <c r="W163" s="342">
        <f t="shared" si="650"/>
        <v>1886.53</v>
      </c>
      <c r="X163" s="342">
        <f t="shared" si="650"/>
        <v>1797.671</v>
      </c>
      <c r="Y163" s="413">
        <f t="shared" si="650"/>
        <v>1574.068</v>
      </c>
      <c r="Z163" s="342">
        <f t="shared" si="650"/>
        <v>1251.7149999999999</v>
      </c>
      <c r="AA163" s="342">
        <f t="shared" si="650"/>
        <v>1403.1210000000001</v>
      </c>
      <c r="AB163" s="342">
        <f t="shared" si="650"/>
        <v>1536.845</v>
      </c>
      <c r="AC163" s="413">
        <f t="shared" si="650"/>
        <v>1675.002</v>
      </c>
      <c r="AD163" s="342">
        <f t="shared" si="650"/>
        <v>1794.8910000000001</v>
      </c>
      <c r="AE163" s="342">
        <f t="shared" si="650"/>
        <v>2111.88</v>
      </c>
      <c r="AF163" s="342">
        <f t="shared" si="650"/>
        <v>2122.2660000000001</v>
      </c>
      <c r="AG163" s="413">
        <f t="shared" ref="AG163:AL163" si="651">AG21</f>
        <v>1991.761</v>
      </c>
      <c r="AH163" s="342">
        <f t="shared" si="651"/>
        <v>2292.1529999999998</v>
      </c>
      <c r="AI163" s="342">
        <f t="shared" si="651"/>
        <v>2390.2359999999999</v>
      </c>
      <c r="AJ163" s="342">
        <f t="shared" si="651"/>
        <v>2499.4650000000001</v>
      </c>
      <c r="AK163" s="413">
        <f t="shared" si="651"/>
        <v>2514.9699999999998</v>
      </c>
      <c r="AL163" s="342">
        <f t="shared" si="651"/>
        <v>2509.1370000000002</v>
      </c>
      <c r="AM163" s="414">
        <f t="shared" ref="AM163:AO163" si="652">SUM(AM154:AM162)</f>
        <v>3005.7270093131965</v>
      </c>
      <c r="AN163" s="414">
        <f t="shared" si="652"/>
        <v>3061.1233400000001</v>
      </c>
      <c r="AO163" s="415">
        <f t="shared" si="652"/>
        <v>3115.0184129999998</v>
      </c>
      <c r="AP163" s="414">
        <f t="shared" ref="AP163:AS163" si="653">SUM(AP154:AP162)</f>
        <v>3012.5870899999995</v>
      </c>
      <c r="AQ163" s="414">
        <f t="shared" si="653"/>
        <v>3184.697165</v>
      </c>
      <c r="AR163" s="414">
        <f t="shared" si="653"/>
        <v>3559.3334809999997</v>
      </c>
      <c r="AS163" s="415">
        <f t="shared" si="653"/>
        <v>3612.1649139999995</v>
      </c>
      <c r="AT163" s="414">
        <f t="shared" ref="AT163:AW163" si="654">SUM(AT154:AT162)</f>
        <v>3586.0216184999995</v>
      </c>
      <c r="AU163" s="414">
        <f t="shared" si="654"/>
        <v>3701.2699659999998</v>
      </c>
      <c r="AV163" s="414">
        <f t="shared" si="654"/>
        <v>3965.5828384999995</v>
      </c>
      <c r="AW163" s="415">
        <f t="shared" si="654"/>
        <v>4050.4194799999991</v>
      </c>
      <c r="AX163" s="296"/>
      <c r="AY163" s="217"/>
      <c r="AZ163" s="341">
        <f t="shared" si="623"/>
        <v>4310.7789999999995</v>
      </c>
      <c r="BA163" s="343">
        <f t="shared" si="624"/>
        <v>4874.6630000000005</v>
      </c>
      <c r="BB163" s="343">
        <f t="shared" si="625"/>
        <v>5028.7960000000003</v>
      </c>
      <c r="BC163" s="343">
        <f t="shared" si="626"/>
        <v>5698.6239999999998</v>
      </c>
      <c r="BD163" s="343">
        <f t="shared" si="627"/>
        <v>6747.19</v>
      </c>
      <c r="BE163" s="343">
        <f t="shared" si="611"/>
        <v>7098.4580000000005</v>
      </c>
      <c r="BF163" s="343">
        <f t="shared" si="612"/>
        <v>5866.6830000000009</v>
      </c>
      <c r="BG163" s="343">
        <f t="shared" si="613"/>
        <v>8020.7980000000007</v>
      </c>
      <c r="BH163" s="343">
        <f t="shared" si="614"/>
        <v>9696.8239999999987</v>
      </c>
      <c r="BI163" s="343">
        <f t="shared" si="615"/>
        <v>11691.005762313196</v>
      </c>
      <c r="BJ163" s="343">
        <f t="shared" si="616"/>
        <v>13368.782649999999</v>
      </c>
      <c r="BK163" s="343">
        <f t="shared" si="628"/>
        <v>15303.293902999996</v>
      </c>
    </row>
    <row r="164" spans="1:63">
      <c r="A164" s="283" t="s">
        <v>719</v>
      </c>
      <c r="B164" s="1115" t="s">
        <v>275</v>
      </c>
      <c r="C164" s="1115" t="s">
        <v>276</v>
      </c>
      <c r="D164" s="1115" t="s">
        <v>277</v>
      </c>
      <c r="E164" s="1116" t="s">
        <v>278</v>
      </c>
      <c r="F164" s="1115" t="s">
        <v>279</v>
      </c>
      <c r="G164" s="1115" t="s">
        <v>280</v>
      </c>
      <c r="H164" s="1115" t="s">
        <v>281</v>
      </c>
      <c r="I164" s="1116" t="s">
        <v>282</v>
      </c>
      <c r="J164" s="1115" t="s">
        <v>283</v>
      </c>
      <c r="K164" s="1115" t="s">
        <v>284</v>
      </c>
      <c r="L164" s="1115" t="s">
        <v>285</v>
      </c>
      <c r="M164" s="1116" t="s">
        <v>286</v>
      </c>
      <c r="N164" s="1115" t="s">
        <v>417</v>
      </c>
      <c r="O164" s="1115" t="s">
        <v>418</v>
      </c>
      <c r="P164" s="1115" t="s">
        <v>419</v>
      </c>
      <c r="Q164" s="1116" t="s">
        <v>420</v>
      </c>
      <c r="R164" s="1115" t="s">
        <v>421</v>
      </c>
      <c r="S164" s="1115" t="s">
        <v>422</v>
      </c>
      <c r="T164" s="1115" t="s">
        <v>423</v>
      </c>
      <c r="U164" s="1116" t="s">
        <v>424</v>
      </c>
      <c r="V164" s="867" t="s">
        <v>946</v>
      </c>
      <c r="W164" s="867" t="s">
        <v>947</v>
      </c>
      <c r="X164" s="867" t="s">
        <v>948</v>
      </c>
      <c r="Y164" s="869" t="s">
        <v>949</v>
      </c>
      <c r="Z164" s="867" t="s">
        <v>1065</v>
      </c>
      <c r="AA164" s="867" t="s">
        <v>1066</v>
      </c>
      <c r="AB164" s="867" t="s">
        <v>1067</v>
      </c>
      <c r="AC164" s="869" t="s">
        <v>1064</v>
      </c>
      <c r="AD164" s="867" t="s">
        <v>1069</v>
      </c>
      <c r="AE164" s="867" t="s">
        <v>1070</v>
      </c>
      <c r="AF164" s="867" t="s">
        <v>1071</v>
      </c>
      <c r="AG164" s="869" t="s">
        <v>1072</v>
      </c>
      <c r="AH164" s="867" t="s">
        <v>1073</v>
      </c>
      <c r="AI164" s="867" t="s">
        <v>1074</v>
      </c>
      <c r="AJ164" s="867" t="s">
        <v>1075</v>
      </c>
      <c r="AK164" s="869" t="s">
        <v>1076</v>
      </c>
      <c r="AL164" s="867" t="s">
        <v>1077</v>
      </c>
      <c r="AM164" s="863" t="s">
        <v>1078</v>
      </c>
      <c r="AN164" s="863" t="s">
        <v>1079</v>
      </c>
      <c r="AO164" s="864" t="s">
        <v>1080</v>
      </c>
      <c r="AP164" s="863" t="s">
        <v>1081</v>
      </c>
      <c r="AQ164" s="863" t="s">
        <v>1082</v>
      </c>
      <c r="AR164" s="863" t="s">
        <v>1083</v>
      </c>
      <c r="AS164" s="864" t="s">
        <v>1084</v>
      </c>
      <c r="AT164" s="863" t="s">
        <v>1085</v>
      </c>
      <c r="AU164" s="863" t="s">
        <v>1086</v>
      </c>
      <c r="AV164" s="863" t="s">
        <v>1087</v>
      </c>
      <c r="AW164" s="864" t="s">
        <v>1088</v>
      </c>
      <c r="AX164" s="865"/>
      <c r="AY164" s="866"/>
      <c r="AZ164" s="866"/>
      <c r="BA164" s="862"/>
      <c r="BB164" s="867">
        <f t="shared" ref="BB164:BI164" si="655">BB$3</f>
        <v>2019</v>
      </c>
      <c r="BC164" s="867">
        <f t="shared" si="655"/>
        <v>2020</v>
      </c>
      <c r="BD164" s="867">
        <f t="shared" si="655"/>
        <v>2021</v>
      </c>
      <c r="BE164" s="867">
        <f t="shared" si="655"/>
        <v>2022</v>
      </c>
      <c r="BF164" s="867">
        <f t="shared" si="655"/>
        <v>2023</v>
      </c>
      <c r="BG164" s="867">
        <f t="shared" si="655"/>
        <v>2024</v>
      </c>
      <c r="BH164" s="867">
        <f t="shared" si="655"/>
        <v>2025</v>
      </c>
      <c r="BI164" s="871">
        <f t="shared" si="655"/>
        <v>2026</v>
      </c>
      <c r="BJ164" s="1080">
        <v>2027</v>
      </c>
      <c r="BK164" s="1080">
        <v>2028</v>
      </c>
    </row>
    <row r="165" spans="1:63">
      <c r="A165" s="290" t="s">
        <v>1204</v>
      </c>
      <c r="B165" s="465"/>
      <c r="C165" s="465"/>
      <c r="D165" s="465"/>
      <c r="E165" s="466"/>
      <c r="F165" s="465"/>
      <c r="G165" s="465"/>
      <c r="H165" s="465"/>
      <c r="I165" s="466"/>
      <c r="J165" s="465"/>
      <c r="K165" s="465"/>
      <c r="L165" s="465"/>
      <c r="M165" s="466"/>
      <c r="N165" s="465"/>
      <c r="O165" s="465"/>
      <c r="P165" s="465"/>
      <c r="Q165" s="466"/>
      <c r="R165" s="370">
        <f>3977</f>
        <v>3977</v>
      </c>
      <c r="S165" s="384">
        <f t="shared" ref="S165" si="656">R165*(1+S176)</f>
        <v>3977</v>
      </c>
      <c r="T165" s="384">
        <f t="shared" ref="T165" si="657">S165*(1+T176)</f>
        <v>3977</v>
      </c>
      <c r="U165" s="385">
        <f t="shared" ref="U165" si="658">T165*(1+U176)</f>
        <v>3977</v>
      </c>
      <c r="V165" s="384">
        <f t="shared" ref="V165" si="659">U165*(1+V176)</f>
        <v>3897.46</v>
      </c>
      <c r="W165" s="384">
        <f t="shared" ref="W165" si="660">V165*(1+W176)</f>
        <v>3819.5108</v>
      </c>
      <c r="X165" s="384">
        <f t="shared" ref="X165" si="661">W165*(1+X176)</f>
        <v>3743.1205839999998</v>
      </c>
      <c r="Y165" s="385">
        <f t="shared" ref="Y165" si="662">X165*(1+Y176)</f>
        <v>3668.2581723199996</v>
      </c>
      <c r="Z165" s="384">
        <f t="shared" ref="Z165" si="663">Y165*(1+Z176)</f>
        <v>3594.8930088735997</v>
      </c>
      <c r="AA165" s="384">
        <f t="shared" ref="AA165" si="664">Z165*(1+AA176)</f>
        <v>3522.9951486961277</v>
      </c>
      <c r="AB165" s="384">
        <f t="shared" ref="AB165" si="665">AA165*(1+AB176)</f>
        <v>3452.5352457222052</v>
      </c>
      <c r="AC165" s="385">
        <f t="shared" ref="AC165" si="666">AB165*(1+AC176)</f>
        <v>3383.4845408077613</v>
      </c>
      <c r="AD165" s="384">
        <f t="shared" ref="AD165" si="667">AC165*(1+AD176)</f>
        <v>3281.9800045835282</v>
      </c>
      <c r="AE165" s="384">
        <f t="shared" ref="AE165" si="668">AD165*(1+AE176)</f>
        <v>3183.5206044460224</v>
      </c>
      <c r="AF165" s="384">
        <f t="shared" ref="AF165" si="669">AE165*(1+AF176)</f>
        <v>3088.0149863126417</v>
      </c>
      <c r="AG165" s="385">
        <f t="shared" ref="AG165" si="670">AF165*(1+AG176)</f>
        <v>2995.3745367232623</v>
      </c>
      <c r="AH165" s="384">
        <f t="shared" ref="AH165" si="671">AG165*(1+AH176)</f>
        <v>2905.5133006215642</v>
      </c>
      <c r="AI165" s="384">
        <f t="shared" ref="AI165" si="672">AH165*(1+AI176)</f>
        <v>2818.3479016029173</v>
      </c>
      <c r="AJ165" s="384">
        <f t="shared" ref="AJ165" si="673">AI165*(1+AJ176)</f>
        <v>2733.7974645548297</v>
      </c>
      <c r="AK165" s="385">
        <f t="shared" ref="AK165:AL165" si="674">AJ165*(1+AK176)</f>
        <v>2651.7835406181848</v>
      </c>
      <c r="AL165" s="384">
        <f t="shared" si="674"/>
        <v>2651.7835406181848</v>
      </c>
      <c r="AM165" s="384">
        <f t="shared" ref="AM165" si="675">AL165*(1+AM176)</f>
        <v>2651.7835406181848</v>
      </c>
      <c r="AN165" s="384">
        <f t="shared" ref="AN165" si="676">AM165*(1+AN176)</f>
        <v>2675.6495924837482</v>
      </c>
      <c r="AO165" s="385">
        <f t="shared" ref="AO165" si="677">AN165*(1+AO176)</f>
        <v>2675.6495924837482</v>
      </c>
      <c r="AP165" s="384">
        <f t="shared" ref="AP165" si="678">AO165*(1+AP176)</f>
        <v>2702.4060884085857</v>
      </c>
      <c r="AQ165" s="384">
        <f t="shared" ref="AQ165" si="679">AP165*(1+AQ176)</f>
        <v>2729.4301492926716</v>
      </c>
      <c r="AR165" s="384">
        <f t="shared" ref="AR165" si="680">AQ165*(1+AR176)</f>
        <v>2784.018752278525</v>
      </c>
      <c r="AS165" s="385">
        <f t="shared" ref="AS165" si="681">AR165*(1+AS176)</f>
        <v>2839.6991273240956</v>
      </c>
      <c r="AT165" s="384">
        <f t="shared" ref="AT165" si="682">AS165*(1+AT176)</f>
        <v>2981.6840836903007</v>
      </c>
      <c r="AU165" s="384">
        <f t="shared" ref="AU165" si="683">AT165*(1+AU176)</f>
        <v>3130.768287874816</v>
      </c>
      <c r="AV165" s="384">
        <f t="shared" ref="AV165" si="684">AU165*(1+AV176)</f>
        <v>3287.3067022685568</v>
      </c>
      <c r="AW165" s="385">
        <f t="shared" ref="AW165" si="685">AV165*(1+AW176)</f>
        <v>3451.6720373819849</v>
      </c>
      <c r="AX165" s="221"/>
      <c r="AY165" s="642"/>
      <c r="AZ165" s="642"/>
      <c r="BA165" s="471"/>
      <c r="BB165" s="384"/>
      <c r="BC165" s="384"/>
      <c r="BD165" s="384">
        <f t="shared" ref="BB165:BI174" si="686">BD48*1000/BD154</f>
        <v>3977.0000000000005</v>
      </c>
      <c r="BE165" s="384">
        <f t="shared" si="686"/>
        <v>3784.2147778480544</v>
      </c>
      <c r="BF165" s="384">
        <f t="shared" si="686"/>
        <v>3482.3586838178126</v>
      </c>
      <c r="BG165" s="384">
        <f t="shared" si="686"/>
        <v>3106.497038924681</v>
      </c>
      <c r="BH165" s="384">
        <f t="shared" si="686"/>
        <v>2766.8794029412575</v>
      </c>
      <c r="BI165" s="384">
        <f t="shared" si="686"/>
        <v>2665.8526684472572</v>
      </c>
      <c r="BJ165" s="384">
        <f t="shared" ref="BJ165:BK166" si="687">BJ48*1000/BJ154</f>
        <v>2769.3649065119453</v>
      </c>
      <c r="BK165" s="384">
        <f t="shared" si="687"/>
        <v>3227.3904230055091</v>
      </c>
    </row>
    <row r="166" spans="1:63">
      <c r="A166" s="290" t="s">
        <v>935</v>
      </c>
      <c r="C166" s="264"/>
      <c r="F166" s="350"/>
      <c r="G166" s="350"/>
      <c r="H166" s="350"/>
      <c r="I166" s="351"/>
      <c r="J166" s="350"/>
      <c r="K166" s="350"/>
      <c r="L166" s="350"/>
      <c r="M166" s="371">
        <v>1700</v>
      </c>
      <c r="N166" s="384">
        <f>M166*(1+N177)</f>
        <v>1700</v>
      </c>
      <c r="O166" s="384">
        <f t="shared" ref="O166:AD166" si="688">N166*(1+O177)</f>
        <v>1691.5</v>
      </c>
      <c r="P166" s="384">
        <f t="shared" si="688"/>
        <v>1691.5</v>
      </c>
      <c r="Q166" s="385">
        <f t="shared" si="688"/>
        <v>1666.1275000000001</v>
      </c>
      <c r="R166" s="384">
        <f t="shared" si="688"/>
        <v>1641.1355874999999</v>
      </c>
      <c r="S166" s="384">
        <f t="shared" si="688"/>
        <v>1641.1355874999999</v>
      </c>
      <c r="T166" s="384">
        <f t="shared" si="688"/>
        <v>1723.1923668750001</v>
      </c>
      <c r="U166" s="385">
        <f t="shared" si="688"/>
        <v>1826.5839088875002</v>
      </c>
      <c r="V166" s="384">
        <f t="shared" si="688"/>
        <v>2100.5714952206249</v>
      </c>
      <c r="W166" s="384">
        <f t="shared" si="688"/>
        <v>2153.0857826011402</v>
      </c>
      <c r="X166" s="384">
        <f t="shared" si="688"/>
        <v>2239.2092139051861</v>
      </c>
      <c r="Y166" s="385">
        <f t="shared" si="688"/>
        <v>2149.6408453489785</v>
      </c>
      <c r="Z166" s="384">
        <f t="shared" si="688"/>
        <v>2343.1085214303866</v>
      </c>
      <c r="AA166" s="384">
        <f t="shared" si="688"/>
        <v>2179.0909249302595</v>
      </c>
      <c r="AB166" s="384">
        <f t="shared" si="688"/>
        <v>2135.5091064316543</v>
      </c>
      <c r="AC166" s="385">
        <f t="shared" ref="AC166:AC173" si="689">AB166*(1+AC177)</f>
        <v>2092.7989243030211</v>
      </c>
      <c r="AD166" s="384">
        <f t="shared" si="688"/>
        <v>2061.4069404384759</v>
      </c>
      <c r="AE166" s="384">
        <f t="shared" ref="AE166:AE173" si="690">AD166*(1+AE177)</f>
        <v>2061.4069404384759</v>
      </c>
      <c r="AF166" s="384">
        <f t="shared" ref="AF166:AG173" si="691">AE166*(1+AF177)</f>
        <v>2164.4772874603996</v>
      </c>
      <c r="AG166" s="385">
        <f t="shared" si="691"/>
        <v>2170.9707193227805</v>
      </c>
      <c r="AH166" s="384">
        <f t="shared" ref="AH166:AL173" si="692">AG166*(1+AH177)</f>
        <v>1997.2930617769582</v>
      </c>
      <c r="AI166" s="384">
        <f t="shared" si="692"/>
        <v>1797.5637555992623</v>
      </c>
      <c r="AJ166" s="384">
        <f t="shared" si="692"/>
        <v>1860.4784870452363</v>
      </c>
      <c r="AK166" s="385">
        <f t="shared" ref="AK166:AK171" si="693">AJ166*(1+AK177)</f>
        <v>1897.688056786141</v>
      </c>
      <c r="AL166" s="384">
        <f t="shared" si="692"/>
        <v>1897.688056786141</v>
      </c>
      <c r="AM166" s="384">
        <f t="shared" ref="AM166:AM173" si="694">AL166*(1+AM177)</f>
        <v>1897.688056786141</v>
      </c>
      <c r="AN166" s="384">
        <f t="shared" ref="AN166:AN173" si="695">AM166*(1+AN177)</f>
        <v>1897.688056786141</v>
      </c>
      <c r="AO166" s="385">
        <f t="shared" ref="AO166:AO173" si="696">AN166*(1+AO177)</f>
        <v>1897.688056786141</v>
      </c>
      <c r="AP166" s="384">
        <f t="shared" ref="AP166:AP173" si="697">AO166*(1+AP177)</f>
        <v>1935.6418179218638</v>
      </c>
      <c r="AQ166" s="384">
        <f t="shared" ref="AQ166:AQ173" si="698">AP166*(1+AQ177)</f>
        <v>1935.6418179218638</v>
      </c>
      <c r="AR166" s="384">
        <f t="shared" ref="AR166:AR173" si="699">AQ166*(1+AR177)</f>
        <v>1954.9982361010825</v>
      </c>
      <c r="AS166" s="385">
        <f t="shared" ref="AS166:AS173" si="700">AR166*(1+AS177)</f>
        <v>1974.5482184620932</v>
      </c>
      <c r="AT166" s="384">
        <f t="shared" ref="AT166:AT173" si="701">AS166*(1+AT177)</f>
        <v>1994.2937006467141</v>
      </c>
      <c r="AU166" s="384">
        <f t="shared" ref="AU166:AU173" si="702">AT166*(1+AU177)</f>
        <v>1994.2937006467141</v>
      </c>
      <c r="AV166" s="384">
        <f t="shared" ref="AV166:AV173" si="703">AU166*(1+AV177)</f>
        <v>1994.2937006467141</v>
      </c>
      <c r="AW166" s="385">
        <f t="shared" ref="AW166:AW173" si="704">AV166*(1+AW177)</f>
        <v>1994.2937006467141</v>
      </c>
      <c r="AY166" s="204"/>
      <c r="AZ166" s="204"/>
      <c r="BA166" s="350"/>
      <c r="BB166" s="384">
        <f t="shared" si="686"/>
        <v>1700</v>
      </c>
      <c r="BC166" s="384">
        <f t="shared" si="686"/>
        <v>1689.4454723780611</v>
      </c>
      <c r="BD166" s="384">
        <f t="shared" si="686"/>
        <v>1727.6654913600444</v>
      </c>
      <c r="BE166" s="384">
        <f t="shared" si="686"/>
        <v>2160.4254685383048</v>
      </c>
      <c r="BF166" s="384">
        <f t="shared" si="686"/>
        <v>2188.3339470001097</v>
      </c>
      <c r="BG166" s="384">
        <f t="shared" si="686"/>
        <v>2116.2614468124525</v>
      </c>
      <c r="BH166" s="384">
        <f t="shared" si="686"/>
        <v>1886.327050826575</v>
      </c>
      <c r="BI166" s="384">
        <f t="shared" si="686"/>
        <v>1897.688056786141</v>
      </c>
      <c r="BJ166" s="384">
        <f t="shared" si="687"/>
        <v>1950.9398764683106</v>
      </c>
      <c r="BK166" s="384">
        <f t="shared" si="687"/>
        <v>1994.2937006467141</v>
      </c>
    </row>
    <row r="167" spans="1:63">
      <c r="A167" s="290" t="s">
        <v>712</v>
      </c>
      <c r="B167" s="384">
        <f>C167/(1+C178)</f>
        <v>1126.3314094100301</v>
      </c>
      <c r="C167" s="384">
        <f t="shared" ref="C167:H167" si="705">D167/(1+D178)</f>
        <v>1126.3314094100301</v>
      </c>
      <c r="D167" s="384">
        <f t="shared" si="705"/>
        <v>1103.8047812218294</v>
      </c>
      <c r="E167" s="385">
        <f t="shared" si="705"/>
        <v>1081.7286855973928</v>
      </c>
      <c r="F167" s="384">
        <f t="shared" si="705"/>
        <v>995.19039074960131</v>
      </c>
      <c r="G167" s="384">
        <f t="shared" si="705"/>
        <v>955.38277511961724</v>
      </c>
      <c r="H167" s="384">
        <f t="shared" si="705"/>
        <v>907.61363636363637</v>
      </c>
      <c r="I167" s="789">
        <v>898.53750000000002</v>
      </c>
      <c r="J167" s="384">
        <f>I167*(1+J178)</f>
        <v>871.58137499999998</v>
      </c>
      <c r="K167" s="384">
        <f t="shared" ref="K167:AD167" si="706">J167*(1+K178)</f>
        <v>854.14974749999999</v>
      </c>
      <c r="L167" s="384">
        <f t="shared" si="706"/>
        <v>845.60825002499996</v>
      </c>
      <c r="M167" s="385">
        <f t="shared" si="706"/>
        <v>854.06433252524994</v>
      </c>
      <c r="N167" s="384">
        <f t="shared" si="706"/>
        <v>871.14561917575497</v>
      </c>
      <c r="O167" s="384">
        <f t="shared" si="706"/>
        <v>879.85707536751249</v>
      </c>
      <c r="P167" s="384">
        <f t="shared" si="706"/>
        <v>915.05135838221304</v>
      </c>
      <c r="Q167" s="385">
        <f t="shared" si="706"/>
        <v>942.50289913367942</v>
      </c>
      <c r="R167" s="384">
        <f t="shared" si="706"/>
        <v>942.50289913367942</v>
      </c>
      <c r="S167" s="384">
        <f t="shared" si="706"/>
        <v>989.62804409036346</v>
      </c>
      <c r="T167" s="384">
        <f t="shared" si="706"/>
        <v>1088.5908484994</v>
      </c>
      <c r="U167" s="385">
        <f t="shared" si="706"/>
        <v>1153.906299409364</v>
      </c>
      <c r="V167" s="384">
        <f t="shared" si="706"/>
        <v>1407.7656852794241</v>
      </c>
      <c r="W167" s="384">
        <f t="shared" si="706"/>
        <v>1478.1539695433953</v>
      </c>
      <c r="X167" s="384">
        <f t="shared" si="706"/>
        <v>1537.2801283251313</v>
      </c>
      <c r="Y167" s="385">
        <f t="shared" si="706"/>
        <v>1475.788923192126</v>
      </c>
      <c r="Z167" s="384">
        <f t="shared" si="706"/>
        <v>1608.6099262794176</v>
      </c>
      <c r="AA167" s="384">
        <f t="shared" si="706"/>
        <v>1496.0072314398583</v>
      </c>
      <c r="AB167" s="384">
        <f t="shared" si="706"/>
        <v>1466.087086811061</v>
      </c>
      <c r="AC167" s="385">
        <f t="shared" si="689"/>
        <v>1436.7653450748398</v>
      </c>
      <c r="AD167" s="384">
        <f t="shared" si="706"/>
        <v>1415.2138648987172</v>
      </c>
      <c r="AE167" s="384">
        <f t="shared" si="690"/>
        <v>1415.2138648987172</v>
      </c>
      <c r="AF167" s="384">
        <f t="shared" si="691"/>
        <v>1485.9745581436532</v>
      </c>
      <c r="AG167" s="385">
        <f t="shared" si="691"/>
        <v>1490.4324818180839</v>
      </c>
      <c r="AH167" s="384">
        <f t="shared" si="692"/>
        <v>1371.1978832726372</v>
      </c>
      <c r="AI167" s="384">
        <f t="shared" si="692"/>
        <v>1261.5020526108262</v>
      </c>
      <c r="AJ167" s="384">
        <f t="shared" si="692"/>
        <v>1305.6546244522051</v>
      </c>
      <c r="AK167" s="385">
        <f t="shared" si="693"/>
        <v>1331.7677169412493</v>
      </c>
      <c r="AL167" s="384">
        <f t="shared" si="692"/>
        <v>1331.7677169412493</v>
      </c>
      <c r="AM167" s="384">
        <f t="shared" si="694"/>
        <v>1331.7677169412493</v>
      </c>
      <c r="AN167" s="384">
        <f t="shared" si="695"/>
        <v>1331.7677169412493</v>
      </c>
      <c r="AO167" s="385">
        <f t="shared" si="696"/>
        <v>1331.7677169412493</v>
      </c>
      <c r="AP167" s="384">
        <f t="shared" si="697"/>
        <v>1358.4030712800743</v>
      </c>
      <c r="AQ167" s="384">
        <f t="shared" si="698"/>
        <v>1358.4030712800743</v>
      </c>
      <c r="AR167" s="384">
        <f t="shared" si="699"/>
        <v>1358.4030712800743</v>
      </c>
      <c r="AS167" s="385">
        <f t="shared" si="700"/>
        <v>1358.4030712800743</v>
      </c>
      <c r="AT167" s="384">
        <f t="shared" si="701"/>
        <v>1371.9871019928751</v>
      </c>
      <c r="AU167" s="384">
        <f t="shared" si="702"/>
        <v>1371.9871019928751</v>
      </c>
      <c r="AV167" s="384">
        <f t="shared" si="703"/>
        <v>1371.9871019928751</v>
      </c>
      <c r="AW167" s="385">
        <f t="shared" si="704"/>
        <v>1371.9871019928751</v>
      </c>
      <c r="AY167" s="204"/>
      <c r="AZ167" s="386">
        <f t="shared" ref="AZ167:BA174" si="707">AZ50*1000/AZ156</f>
        <v>1103.4363331574452</v>
      </c>
      <c r="BA167" s="384">
        <f t="shared" si="707"/>
        <v>932.44316882234864</v>
      </c>
      <c r="BB167" s="384">
        <f t="shared" si="686"/>
        <v>854.48412198153017</v>
      </c>
      <c r="BC167" s="384">
        <f t="shared" si="686"/>
        <v>897.03767975175958</v>
      </c>
      <c r="BD167" s="384">
        <f t="shared" si="686"/>
        <v>1058.6376513483012</v>
      </c>
      <c r="BE167" s="384">
        <f t="shared" si="686"/>
        <v>1474.8837651921456</v>
      </c>
      <c r="BF167" s="384">
        <f t="shared" si="686"/>
        <v>1492.6429579133298</v>
      </c>
      <c r="BG167" s="384">
        <f t="shared" si="686"/>
        <v>1453.9347254315653</v>
      </c>
      <c r="BH167" s="384">
        <f t="shared" si="686"/>
        <v>1314.466853122231</v>
      </c>
      <c r="BI167" s="384">
        <f t="shared" si="686"/>
        <v>1331.7677169412493</v>
      </c>
      <c r="BJ167" s="384">
        <f t="shared" ref="BJ167:BK167" si="708">BJ50*1000/BJ156</f>
        <v>1358.4030712800741</v>
      </c>
      <c r="BK167" s="384">
        <f t="shared" si="708"/>
        <v>1371.9871019928751</v>
      </c>
    </row>
    <row r="168" spans="1:63">
      <c r="A168" s="290" t="s">
        <v>711</v>
      </c>
      <c r="B168" s="384">
        <f>C168/(1+C179)</f>
        <v>919.82700477294009</v>
      </c>
      <c r="C168" s="384">
        <f t="shared" ref="C168:H171" si="709">D168/(1+D179)</f>
        <v>929.02527482066944</v>
      </c>
      <c r="D168" s="384">
        <f t="shared" si="709"/>
        <v>910.44476932425607</v>
      </c>
      <c r="E168" s="385">
        <f t="shared" si="709"/>
        <v>892.23587393777098</v>
      </c>
      <c r="F168" s="384">
        <f t="shared" si="709"/>
        <v>838.70172150150472</v>
      </c>
      <c r="G168" s="384">
        <f t="shared" si="709"/>
        <v>813.54066985645954</v>
      </c>
      <c r="H168" s="384">
        <f t="shared" si="709"/>
        <v>772.86363636363649</v>
      </c>
      <c r="I168" s="789">
        <v>765.1350000000001</v>
      </c>
      <c r="J168" s="384">
        <f>I168*(1+J179)</f>
        <v>749.83230000000015</v>
      </c>
      <c r="K168" s="384">
        <f t="shared" ref="K168:AD168" si="710">J168*(1+K179)</f>
        <v>742.33397700000012</v>
      </c>
      <c r="L168" s="384">
        <f t="shared" si="710"/>
        <v>749.7573167700001</v>
      </c>
      <c r="M168" s="385">
        <f t="shared" si="710"/>
        <v>757.25488993770011</v>
      </c>
      <c r="N168" s="384">
        <f t="shared" si="710"/>
        <v>772.39998773645414</v>
      </c>
      <c r="O168" s="384">
        <f t="shared" si="710"/>
        <v>780.12398761381871</v>
      </c>
      <c r="P168" s="384">
        <f t="shared" si="710"/>
        <v>811.3289471183715</v>
      </c>
      <c r="Q168" s="385">
        <f t="shared" si="710"/>
        <v>835.66881553192263</v>
      </c>
      <c r="R168" s="384">
        <f t="shared" si="710"/>
        <v>885.80894446383809</v>
      </c>
      <c r="S168" s="384">
        <f t="shared" si="710"/>
        <v>956.67366002094525</v>
      </c>
      <c r="T168" s="384">
        <f t="shared" si="710"/>
        <v>1071.4744992234587</v>
      </c>
      <c r="U168" s="385">
        <f t="shared" si="710"/>
        <v>1135.7629691768664</v>
      </c>
      <c r="V168" s="384">
        <f t="shared" si="710"/>
        <v>1135.7629691768664</v>
      </c>
      <c r="W168" s="384">
        <f t="shared" si="710"/>
        <v>1135.7629691768664</v>
      </c>
      <c r="X168" s="384">
        <f t="shared" si="710"/>
        <v>1181.1934879439411</v>
      </c>
      <c r="Y168" s="385">
        <f t="shared" si="710"/>
        <v>1133.9457484261834</v>
      </c>
      <c r="Z168" s="384">
        <f t="shared" si="710"/>
        <v>1236.0008657845399</v>
      </c>
      <c r="AA168" s="384">
        <f t="shared" si="710"/>
        <v>1161.8408138374675</v>
      </c>
      <c r="AB168" s="384">
        <f t="shared" si="710"/>
        <v>1138.6039975607182</v>
      </c>
      <c r="AC168" s="385">
        <f t="shared" si="689"/>
        <v>1115.8319176095038</v>
      </c>
      <c r="AD168" s="384">
        <f t="shared" si="710"/>
        <v>1099.0944388453611</v>
      </c>
      <c r="AE168" s="384">
        <f t="shared" si="690"/>
        <v>1099.0944388453611</v>
      </c>
      <c r="AF168" s="384">
        <f t="shared" si="691"/>
        <v>1154.0491607876293</v>
      </c>
      <c r="AG168" s="385">
        <f t="shared" si="691"/>
        <v>1157.511308269992</v>
      </c>
      <c r="AH168" s="384">
        <f t="shared" si="692"/>
        <v>1064.9104036083927</v>
      </c>
      <c r="AI168" s="384">
        <f t="shared" si="692"/>
        <v>979.71757131972129</v>
      </c>
      <c r="AJ168" s="384">
        <f t="shared" si="692"/>
        <v>1014.0076863159114</v>
      </c>
      <c r="AK168" s="385">
        <f t="shared" si="693"/>
        <v>1034.2878400422296</v>
      </c>
      <c r="AL168" s="384">
        <f t="shared" si="692"/>
        <v>1034.2878400422296</v>
      </c>
      <c r="AM168" s="384">
        <f t="shared" si="694"/>
        <v>1034.2878400422296</v>
      </c>
      <c r="AN168" s="384">
        <f t="shared" si="695"/>
        <v>1034.2878400422296</v>
      </c>
      <c r="AO168" s="385">
        <f t="shared" si="696"/>
        <v>1034.2878400422296</v>
      </c>
      <c r="AP168" s="384">
        <f t="shared" si="697"/>
        <v>1054.9735968430741</v>
      </c>
      <c r="AQ168" s="384">
        <f t="shared" si="698"/>
        <v>1054.9735968430741</v>
      </c>
      <c r="AR168" s="384">
        <f t="shared" si="699"/>
        <v>1054.9735968430741</v>
      </c>
      <c r="AS168" s="385">
        <f t="shared" si="700"/>
        <v>1054.9735968430741</v>
      </c>
      <c r="AT168" s="384">
        <f t="shared" si="701"/>
        <v>1065.5233328115048</v>
      </c>
      <c r="AU168" s="384">
        <f t="shared" si="702"/>
        <v>1065.5233328115048</v>
      </c>
      <c r="AV168" s="384">
        <f t="shared" si="703"/>
        <v>1065.5233328115048</v>
      </c>
      <c r="AW168" s="385">
        <f t="shared" si="704"/>
        <v>1065.5233328115048</v>
      </c>
      <c r="AY168" s="204"/>
      <c r="AZ168" s="386">
        <f t="shared" si="707"/>
        <v>911.25999736750703</v>
      </c>
      <c r="BA168" s="384">
        <f t="shared" si="707"/>
        <v>796.25012692074949</v>
      </c>
      <c r="BB168" s="384">
        <f t="shared" si="686"/>
        <v>749.48494192266855</v>
      </c>
      <c r="BC168" s="384">
        <f t="shared" si="686"/>
        <v>799.99997224336778</v>
      </c>
      <c r="BD168" s="384">
        <f t="shared" si="686"/>
        <v>1011.7806697301648</v>
      </c>
      <c r="BE168" s="384">
        <f t="shared" si="686"/>
        <v>1146.3614531825685</v>
      </c>
      <c r="BF168" s="384">
        <f t="shared" si="686"/>
        <v>1159.1180204876425</v>
      </c>
      <c r="BG168" s="384">
        <f t="shared" si="686"/>
        <v>1134.8496580725109</v>
      </c>
      <c r="BH168" s="384">
        <f t="shared" si="686"/>
        <v>1022.5509159693179</v>
      </c>
      <c r="BI168" s="384">
        <f t="shared" si="686"/>
        <v>1034.2878400422298</v>
      </c>
      <c r="BJ168" s="384">
        <f t="shared" ref="BJ168:BK168" si="711">BJ51*1000/BJ157</f>
        <v>1054.9735968430741</v>
      </c>
      <c r="BK168" s="384">
        <f t="shared" si="711"/>
        <v>1065.5233328115048</v>
      </c>
    </row>
    <row r="169" spans="1:63">
      <c r="A169" s="290" t="s">
        <v>710</v>
      </c>
      <c r="B169" s="384">
        <f>C169/(1+C180)</f>
        <v>752.96139413049866</v>
      </c>
      <c r="C169" s="384">
        <f t="shared" si="709"/>
        <v>760.49100807180366</v>
      </c>
      <c r="D169" s="384">
        <f t="shared" si="709"/>
        <v>745.28118791036752</v>
      </c>
      <c r="E169" s="385">
        <f t="shared" si="709"/>
        <v>730.37556415216011</v>
      </c>
      <c r="F169" s="384">
        <f t="shared" si="709"/>
        <v>686.55303030303048</v>
      </c>
      <c r="G169" s="384">
        <f t="shared" si="709"/>
        <v>672.82196969696986</v>
      </c>
      <c r="H169" s="384">
        <f t="shared" si="709"/>
        <v>645.90909090909099</v>
      </c>
      <c r="I169" s="789">
        <v>639.45000000000005</v>
      </c>
      <c r="J169" s="384">
        <f>I169*(1+J180)</f>
        <v>626.66100000000006</v>
      </c>
      <c r="K169" s="384">
        <f t="shared" ref="K169:AD169" si="712">J169*(1+K180)</f>
        <v>623.52769500000011</v>
      </c>
      <c r="L169" s="384">
        <f t="shared" si="712"/>
        <v>629.76297195000006</v>
      </c>
      <c r="M169" s="385">
        <f t="shared" si="712"/>
        <v>636.0606016695001</v>
      </c>
      <c r="N169" s="384">
        <f t="shared" si="712"/>
        <v>648.78181370289008</v>
      </c>
      <c r="O169" s="384">
        <f t="shared" si="712"/>
        <v>655.26963183991893</v>
      </c>
      <c r="P169" s="384">
        <f t="shared" si="712"/>
        <v>681.48041711351573</v>
      </c>
      <c r="Q169" s="385">
        <f t="shared" si="712"/>
        <v>701.92482962692122</v>
      </c>
      <c r="R169" s="384">
        <f t="shared" si="712"/>
        <v>744.04031940453649</v>
      </c>
      <c r="S169" s="384">
        <f t="shared" si="712"/>
        <v>818.4443513449902</v>
      </c>
      <c r="T169" s="384">
        <f t="shared" si="712"/>
        <v>941.21100404673871</v>
      </c>
      <c r="U169" s="385">
        <f t="shared" si="712"/>
        <v>997.68366428954312</v>
      </c>
      <c r="V169" s="384">
        <f t="shared" si="712"/>
        <v>997.68366428954312</v>
      </c>
      <c r="W169" s="384">
        <f t="shared" si="712"/>
        <v>997.68366428954312</v>
      </c>
      <c r="X169" s="384">
        <f t="shared" si="712"/>
        <v>997.68366428954312</v>
      </c>
      <c r="Y169" s="385">
        <f t="shared" si="712"/>
        <v>957.77631771796132</v>
      </c>
      <c r="Z169" s="384">
        <f t="shared" si="712"/>
        <v>1043.976186312578</v>
      </c>
      <c r="AA169" s="384">
        <f t="shared" si="712"/>
        <v>970.8978532706974</v>
      </c>
      <c r="AB169" s="384">
        <f t="shared" si="712"/>
        <v>951.47989620528347</v>
      </c>
      <c r="AC169" s="385">
        <f t="shared" si="689"/>
        <v>932.45029828117777</v>
      </c>
      <c r="AD169" s="384">
        <f t="shared" si="712"/>
        <v>918.46354380696005</v>
      </c>
      <c r="AE169" s="384">
        <f t="shared" si="690"/>
        <v>918.46354380696005</v>
      </c>
      <c r="AF169" s="384">
        <f t="shared" si="691"/>
        <v>964.38672099730809</v>
      </c>
      <c r="AG169" s="385">
        <f t="shared" si="691"/>
        <v>967.27988116029996</v>
      </c>
      <c r="AH169" s="384">
        <f t="shared" si="692"/>
        <v>889.89749066747595</v>
      </c>
      <c r="AI169" s="384">
        <f t="shared" si="692"/>
        <v>818.70569141407793</v>
      </c>
      <c r="AJ169" s="384">
        <f t="shared" si="692"/>
        <v>847.36039061357064</v>
      </c>
      <c r="AK169" s="385">
        <f t="shared" si="693"/>
        <v>864.30759842584212</v>
      </c>
      <c r="AL169" s="384">
        <f t="shared" si="692"/>
        <v>864.30759842584212</v>
      </c>
      <c r="AM169" s="384">
        <f t="shared" si="694"/>
        <v>864.30759842584212</v>
      </c>
      <c r="AN169" s="384">
        <f t="shared" si="695"/>
        <v>864.30759842584212</v>
      </c>
      <c r="AO169" s="385">
        <f t="shared" si="696"/>
        <v>864.30759842584212</v>
      </c>
      <c r="AP169" s="384">
        <f t="shared" si="697"/>
        <v>881.59375039435895</v>
      </c>
      <c r="AQ169" s="384">
        <f t="shared" si="698"/>
        <v>881.59375039435895</v>
      </c>
      <c r="AR169" s="384">
        <f t="shared" si="699"/>
        <v>881.59375039435895</v>
      </c>
      <c r="AS169" s="385">
        <f t="shared" si="700"/>
        <v>881.59375039435895</v>
      </c>
      <c r="AT169" s="384">
        <f t="shared" si="701"/>
        <v>890.40968789830254</v>
      </c>
      <c r="AU169" s="384">
        <f t="shared" si="702"/>
        <v>890.40968789830254</v>
      </c>
      <c r="AV169" s="384">
        <f t="shared" si="703"/>
        <v>890.40968789830254</v>
      </c>
      <c r="AW169" s="385">
        <f t="shared" si="704"/>
        <v>890.40968789830254</v>
      </c>
      <c r="AY169" s="204"/>
      <c r="AZ169" s="386">
        <f t="shared" si="707"/>
        <v>748.41759372396189</v>
      </c>
      <c r="BA169" s="384">
        <f t="shared" si="707"/>
        <v>660.19696597321933</v>
      </c>
      <c r="BB169" s="384">
        <f t="shared" si="686"/>
        <v>629.55174872947168</v>
      </c>
      <c r="BC169" s="384">
        <f t="shared" si="686"/>
        <v>671.88775667428217</v>
      </c>
      <c r="BD169" s="384">
        <f t="shared" si="686"/>
        <v>868.83982651514532</v>
      </c>
      <c r="BE169" s="384">
        <f t="shared" si="686"/>
        <v>988.72376699654558</v>
      </c>
      <c r="BF169" s="384">
        <f t="shared" si="686"/>
        <v>970.5332894716413</v>
      </c>
      <c r="BG169" s="384">
        <f t="shared" si="686"/>
        <v>944.31506888336378</v>
      </c>
      <c r="BH169" s="384">
        <f t="shared" si="686"/>
        <v>854.85489421465866</v>
      </c>
      <c r="BI169" s="384">
        <f t="shared" si="686"/>
        <v>864.30759842584212</v>
      </c>
      <c r="BJ169" s="384">
        <f t="shared" ref="BJ169:BK169" si="713">BJ52*1000/BJ158</f>
        <v>881.59375039435895</v>
      </c>
      <c r="BK169" s="384">
        <f t="shared" si="713"/>
        <v>890.40968789830254</v>
      </c>
    </row>
    <row r="170" spans="1:63">
      <c r="A170" s="290" t="s">
        <v>709</v>
      </c>
      <c r="B170" s="384">
        <f>C170/(1+C181)</f>
        <v>649.1046501124988</v>
      </c>
      <c r="C170" s="384">
        <f t="shared" si="709"/>
        <v>655.59569661362377</v>
      </c>
      <c r="D170" s="384">
        <f t="shared" si="709"/>
        <v>642.48378268135127</v>
      </c>
      <c r="E170" s="385">
        <f t="shared" si="709"/>
        <v>629.63410702772421</v>
      </c>
      <c r="F170" s="384">
        <f t="shared" si="709"/>
        <v>591.85606060606074</v>
      </c>
      <c r="G170" s="384">
        <f t="shared" si="709"/>
        <v>580.01893939393949</v>
      </c>
      <c r="H170" s="384">
        <f t="shared" si="709"/>
        <v>556.81818181818187</v>
      </c>
      <c r="I170" s="789">
        <v>551.25</v>
      </c>
      <c r="J170" s="384">
        <f>I170*(1+J181)</f>
        <v>540.22500000000002</v>
      </c>
      <c r="K170" s="384">
        <f t="shared" ref="K170:AD170" si="714">J170*(1+K181)</f>
        <v>529.42050000000006</v>
      </c>
      <c r="L170" s="384">
        <f t="shared" si="714"/>
        <v>534.71470500000009</v>
      </c>
      <c r="M170" s="385">
        <f t="shared" si="714"/>
        <v>540.06185205000008</v>
      </c>
      <c r="N170" s="384">
        <f t="shared" si="714"/>
        <v>545.46247057050005</v>
      </c>
      <c r="O170" s="384">
        <f t="shared" si="714"/>
        <v>550.91709527620503</v>
      </c>
      <c r="P170" s="384">
        <f t="shared" si="714"/>
        <v>572.95377908725322</v>
      </c>
      <c r="Q170" s="385">
        <f t="shared" si="714"/>
        <v>590.14239245987085</v>
      </c>
      <c r="R170" s="384">
        <f t="shared" si="714"/>
        <v>625.55093600746318</v>
      </c>
      <c r="S170" s="384">
        <f t="shared" si="714"/>
        <v>675.5950108880603</v>
      </c>
      <c r="T170" s="384">
        <f t="shared" si="714"/>
        <v>776.93426252126926</v>
      </c>
      <c r="U170" s="385">
        <f t="shared" si="714"/>
        <v>823.5503182725455</v>
      </c>
      <c r="V170" s="384">
        <f t="shared" si="714"/>
        <v>823.5503182725455</v>
      </c>
      <c r="W170" s="384">
        <f t="shared" si="714"/>
        <v>823.5503182725455</v>
      </c>
      <c r="X170" s="384">
        <f t="shared" si="714"/>
        <v>823.5503182725455</v>
      </c>
      <c r="Y170" s="385">
        <f t="shared" si="714"/>
        <v>790.60830554164363</v>
      </c>
      <c r="Z170" s="384">
        <f t="shared" si="714"/>
        <v>861.76305304039158</v>
      </c>
      <c r="AA170" s="384">
        <f t="shared" si="714"/>
        <v>801.43963932756412</v>
      </c>
      <c r="AB170" s="384">
        <f t="shared" si="714"/>
        <v>785.4108465410128</v>
      </c>
      <c r="AC170" s="385">
        <f t="shared" si="689"/>
        <v>769.7026296101925</v>
      </c>
      <c r="AD170" s="384">
        <f t="shared" si="714"/>
        <v>758.15709016603955</v>
      </c>
      <c r="AE170" s="384">
        <f t="shared" si="690"/>
        <v>758.15709016603955</v>
      </c>
      <c r="AF170" s="384">
        <f t="shared" si="691"/>
        <v>796.06494467434152</v>
      </c>
      <c r="AG170" s="385">
        <f t="shared" si="691"/>
        <v>798.45313950836442</v>
      </c>
      <c r="AH170" s="384">
        <f t="shared" si="692"/>
        <v>734.57688834769533</v>
      </c>
      <c r="AI170" s="384">
        <f t="shared" si="692"/>
        <v>675.81073727987973</v>
      </c>
      <c r="AJ170" s="384">
        <f t="shared" si="692"/>
        <v>699.46411308467543</v>
      </c>
      <c r="AK170" s="385">
        <f t="shared" si="693"/>
        <v>721.84696470338508</v>
      </c>
      <c r="AL170" s="384">
        <f t="shared" si="692"/>
        <v>721.84696470338508</v>
      </c>
      <c r="AM170" s="384">
        <f t="shared" si="694"/>
        <v>721.84696470338508</v>
      </c>
      <c r="AN170" s="384">
        <f t="shared" si="695"/>
        <v>721.84696470338508</v>
      </c>
      <c r="AO170" s="385">
        <f t="shared" si="696"/>
        <v>721.84696470338508</v>
      </c>
      <c r="AP170" s="384">
        <f t="shared" si="697"/>
        <v>736.28390399745285</v>
      </c>
      <c r="AQ170" s="384">
        <f t="shared" si="698"/>
        <v>736.28390399745285</v>
      </c>
      <c r="AR170" s="384">
        <f t="shared" si="699"/>
        <v>736.28390399745285</v>
      </c>
      <c r="AS170" s="385">
        <f t="shared" si="700"/>
        <v>736.28390399745285</v>
      </c>
      <c r="AT170" s="384">
        <f t="shared" si="701"/>
        <v>743.64674303742743</v>
      </c>
      <c r="AU170" s="384">
        <f t="shared" si="702"/>
        <v>743.64674303742743</v>
      </c>
      <c r="AV170" s="384">
        <f t="shared" si="703"/>
        <v>743.64674303742743</v>
      </c>
      <c r="AW170" s="385">
        <f t="shared" si="704"/>
        <v>743.64674303742743</v>
      </c>
      <c r="AY170" s="204"/>
      <c r="AZ170" s="386">
        <f t="shared" si="707"/>
        <v>642.73155230145414</v>
      </c>
      <c r="BA170" s="384">
        <f t="shared" si="707"/>
        <v>574.32211595348463</v>
      </c>
      <c r="BB170" s="384">
        <f t="shared" si="686"/>
        <v>536.16435123626638</v>
      </c>
      <c r="BC170" s="384">
        <f t="shared" si="686"/>
        <v>568.76233271767114</v>
      </c>
      <c r="BD170" s="384">
        <f t="shared" si="686"/>
        <v>713.83174889877762</v>
      </c>
      <c r="BE170" s="384">
        <f t="shared" si="686"/>
        <v>816.01115816925164</v>
      </c>
      <c r="BF170" s="384">
        <f t="shared" si="686"/>
        <v>803.03802528237725</v>
      </c>
      <c r="BG170" s="384">
        <f t="shared" si="686"/>
        <v>778.88694033743548</v>
      </c>
      <c r="BH170" s="384">
        <f t="shared" si="686"/>
        <v>708.11529360773875</v>
      </c>
      <c r="BI170" s="384">
        <f t="shared" si="686"/>
        <v>721.84696470338497</v>
      </c>
      <c r="BJ170" s="384">
        <f t="shared" ref="BJ170:BK170" si="715">BJ53*1000/BJ159</f>
        <v>736.28390399745297</v>
      </c>
      <c r="BK170" s="384">
        <f t="shared" si="715"/>
        <v>743.64674303742731</v>
      </c>
    </row>
    <row r="171" spans="1:63" s="417" customFormat="1">
      <c r="A171" s="290" t="s">
        <v>708</v>
      </c>
      <c r="B171" s="384">
        <f>C171/(1+C182)</f>
        <v>683.08015949297987</v>
      </c>
      <c r="C171" s="384">
        <f t="shared" si="709"/>
        <v>696.74176268283952</v>
      </c>
      <c r="D171" s="384">
        <f t="shared" si="709"/>
        <v>689.77434505601116</v>
      </c>
      <c r="E171" s="385">
        <f t="shared" si="709"/>
        <v>682.87660160545101</v>
      </c>
      <c r="F171" s="384">
        <f t="shared" si="709"/>
        <v>655.56153754123295</v>
      </c>
      <c r="G171" s="384">
        <f t="shared" si="709"/>
        <v>645.72811447811443</v>
      </c>
      <c r="H171" s="384">
        <f t="shared" si="709"/>
        <v>619.89898989898984</v>
      </c>
      <c r="I171" s="789">
        <v>613.69999999999993</v>
      </c>
      <c r="J171" s="384">
        <f>I171*(1+J182)</f>
        <v>601.42599999999993</v>
      </c>
      <c r="K171" s="384">
        <f t="shared" ref="K171:AD171" si="716">J171*(1+K182)</f>
        <v>589.39747999999997</v>
      </c>
      <c r="L171" s="384">
        <f t="shared" si="716"/>
        <v>577.60953039999993</v>
      </c>
      <c r="M171" s="385">
        <f t="shared" si="716"/>
        <v>566.05733979199988</v>
      </c>
      <c r="N171" s="384">
        <f t="shared" si="716"/>
        <v>571.71791318991984</v>
      </c>
      <c r="O171" s="384">
        <f t="shared" si="716"/>
        <v>574.57650275586934</v>
      </c>
      <c r="P171" s="384">
        <f t="shared" si="716"/>
        <v>591.81379783854538</v>
      </c>
      <c r="Q171" s="385">
        <f t="shared" si="716"/>
        <v>597.73193581693079</v>
      </c>
      <c r="R171" s="384">
        <f t="shared" si="716"/>
        <v>597.73193581693079</v>
      </c>
      <c r="S171" s="384">
        <f t="shared" si="716"/>
        <v>603.70925517510011</v>
      </c>
      <c r="T171" s="384">
        <f t="shared" si="716"/>
        <v>621.82053283035316</v>
      </c>
      <c r="U171" s="385">
        <f t="shared" si="716"/>
        <v>659.12976480017437</v>
      </c>
      <c r="V171" s="384">
        <f t="shared" si="716"/>
        <v>725.04274128019188</v>
      </c>
      <c r="W171" s="384">
        <f t="shared" si="716"/>
        <v>768.54530575700346</v>
      </c>
      <c r="X171" s="384">
        <f t="shared" si="716"/>
        <v>799.28711798728364</v>
      </c>
      <c r="Y171" s="385">
        <f t="shared" si="716"/>
        <v>775.30850444766509</v>
      </c>
      <c r="Z171" s="384">
        <f t="shared" si="716"/>
        <v>845.08626984795501</v>
      </c>
      <c r="AA171" s="384">
        <f t="shared" si="716"/>
        <v>794.38109365707771</v>
      </c>
      <c r="AB171" s="384">
        <f t="shared" si="716"/>
        <v>778.49347178393612</v>
      </c>
      <c r="AC171" s="385">
        <f t="shared" si="689"/>
        <v>762.92360234825742</v>
      </c>
      <c r="AD171" s="384">
        <f t="shared" si="716"/>
        <v>751.4797483130335</v>
      </c>
      <c r="AE171" s="384">
        <f t="shared" si="690"/>
        <v>751.4797483130335</v>
      </c>
      <c r="AF171" s="384">
        <f t="shared" si="691"/>
        <v>789.05373572868518</v>
      </c>
      <c r="AG171" s="385">
        <f t="shared" si="691"/>
        <v>791.42089693587116</v>
      </c>
      <c r="AH171" s="384">
        <f t="shared" si="692"/>
        <v>728.10722518100147</v>
      </c>
      <c r="AI171" s="384">
        <f t="shared" si="692"/>
        <v>669.85864716652134</v>
      </c>
      <c r="AJ171" s="384">
        <f t="shared" si="692"/>
        <v>693.30369981734952</v>
      </c>
      <c r="AK171" s="385">
        <f t="shared" si="693"/>
        <v>717.56932931095673</v>
      </c>
      <c r="AL171" s="384">
        <f t="shared" si="692"/>
        <v>717.56932931095673</v>
      </c>
      <c r="AM171" s="384">
        <f t="shared" si="694"/>
        <v>717.56932931095673</v>
      </c>
      <c r="AN171" s="384">
        <f t="shared" si="695"/>
        <v>717.56932931095673</v>
      </c>
      <c r="AO171" s="385">
        <f t="shared" si="696"/>
        <v>717.56932931095673</v>
      </c>
      <c r="AP171" s="384">
        <f t="shared" si="697"/>
        <v>731.92071589717591</v>
      </c>
      <c r="AQ171" s="384">
        <f t="shared" si="698"/>
        <v>731.92071589717591</v>
      </c>
      <c r="AR171" s="384">
        <f t="shared" si="699"/>
        <v>731.92071589717591</v>
      </c>
      <c r="AS171" s="385">
        <f t="shared" si="700"/>
        <v>731.92071589717591</v>
      </c>
      <c r="AT171" s="384">
        <f t="shared" si="701"/>
        <v>739.23992305614763</v>
      </c>
      <c r="AU171" s="384">
        <f t="shared" si="702"/>
        <v>739.23992305614763</v>
      </c>
      <c r="AV171" s="384">
        <f t="shared" si="703"/>
        <v>739.23992305614763</v>
      </c>
      <c r="AW171" s="385">
        <f t="shared" si="704"/>
        <v>739.23992305614763</v>
      </c>
      <c r="AX171" s="208"/>
      <c r="AY171" s="416"/>
      <c r="AZ171" s="386">
        <f t="shared" si="707"/>
        <v>688.9618562787424</v>
      </c>
      <c r="BA171" s="384">
        <f t="shared" si="707"/>
        <v>632.61131453797054</v>
      </c>
      <c r="BB171" s="384">
        <f t="shared" si="686"/>
        <v>583.1830953297607</v>
      </c>
      <c r="BC171" s="384">
        <f t="shared" si="686"/>
        <v>584.21718169396479</v>
      </c>
      <c r="BD171" s="384">
        <f t="shared" si="686"/>
        <v>620.99293468311032</v>
      </c>
      <c r="BE171" s="384">
        <f t="shared" si="686"/>
        <v>766.10018391100198</v>
      </c>
      <c r="BF171" s="384">
        <f t="shared" si="686"/>
        <v>791.41685483348954</v>
      </c>
      <c r="BG171" s="384">
        <f t="shared" si="686"/>
        <v>768.06785822752374</v>
      </c>
      <c r="BH171" s="384">
        <f t="shared" si="686"/>
        <v>701.96036888675951</v>
      </c>
      <c r="BI171" s="384">
        <f t="shared" si="686"/>
        <v>717.56932931095662</v>
      </c>
      <c r="BJ171" s="384">
        <f t="shared" ref="BJ171:BK171" si="717">BJ54*1000/BJ160</f>
        <v>731.92071589717602</v>
      </c>
      <c r="BK171" s="384">
        <f t="shared" si="717"/>
        <v>739.23992305614763</v>
      </c>
    </row>
    <row r="172" spans="1:63">
      <c r="A172" s="418" t="s">
        <v>707</v>
      </c>
      <c r="B172" s="419">
        <f t="shared" ref="B172:AH172" si="718">B55*1000/B161</f>
        <v>601.23358139345487</v>
      </c>
      <c r="C172" s="419">
        <f t="shared" si="718"/>
        <v>605.6576861804366</v>
      </c>
      <c r="D172" s="419">
        <f t="shared" si="718"/>
        <v>601.50361673706198</v>
      </c>
      <c r="E172" s="420">
        <f t="shared" si="718"/>
        <v>586.32313100601766</v>
      </c>
      <c r="F172" s="419">
        <f t="shared" si="718"/>
        <v>567.8626455455485</v>
      </c>
      <c r="G172" s="419">
        <f t="shared" si="718"/>
        <v>556.66703194916954</v>
      </c>
      <c r="H172" s="419">
        <f t="shared" si="718"/>
        <v>542.54872461031323</v>
      </c>
      <c r="I172" s="790">
        <f t="shared" si="718"/>
        <v>534.2741355652679</v>
      </c>
      <c r="J172" s="419">
        <f t="shared" si="718"/>
        <v>536.48349856645928</v>
      </c>
      <c r="K172" s="419">
        <f t="shared" si="718"/>
        <v>515.70395209717515</v>
      </c>
      <c r="L172" s="419">
        <f t="shared" si="718"/>
        <v>499.46665441734046</v>
      </c>
      <c r="M172" s="420">
        <f t="shared" si="718"/>
        <v>489.00314356211783</v>
      </c>
      <c r="N172" s="420">
        <f t="shared" si="718"/>
        <v>493.27378732091802</v>
      </c>
      <c r="O172" s="419">
        <f t="shared" si="718"/>
        <v>495.22935058263738</v>
      </c>
      <c r="P172" s="419">
        <f t="shared" si="718"/>
        <v>506.55828292103314</v>
      </c>
      <c r="Q172" s="420">
        <f t="shared" si="718"/>
        <v>511.09455202518882</v>
      </c>
      <c r="R172" s="419">
        <f t="shared" si="718"/>
        <v>502.80170491682799</v>
      </c>
      <c r="S172" s="419">
        <f t="shared" si="718"/>
        <v>505.18036049723679</v>
      </c>
      <c r="T172" s="419">
        <f t="shared" si="718"/>
        <v>516.2457786882602</v>
      </c>
      <c r="U172" s="420">
        <f t="shared" si="718"/>
        <v>548.28579604502045</v>
      </c>
      <c r="V172" s="420">
        <f t="shared" si="718"/>
        <v>540.85266927094222</v>
      </c>
      <c r="W172" s="420">
        <f t="shared" si="718"/>
        <v>567.4092829208596</v>
      </c>
      <c r="X172" s="420">
        <f t="shared" si="718"/>
        <v>602.45583988580643</v>
      </c>
      <c r="Y172" s="420">
        <f t="shared" si="718"/>
        <v>579.9756778434928</v>
      </c>
      <c r="Z172" s="419">
        <f t="shared" si="718"/>
        <v>630.6496460121532</v>
      </c>
      <c r="AA172" s="419">
        <f t="shared" si="718"/>
        <v>609.42460556048979</v>
      </c>
      <c r="AB172" s="419">
        <f t="shared" si="718"/>
        <v>566.45409339944536</v>
      </c>
      <c r="AC172" s="420">
        <f t="shared" si="718"/>
        <v>550.37548946154573</v>
      </c>
      <c r="AD172" s="419">
        <f t="shared" si="718"/>
        <v>546.17467664218839</v>
      </c>
      <c r="AE172" s="419">
        <f t="shared" si="718"/>
        <v>524.65177838636305</v>
      </c>
      <c r="AF172" s="419">
        <f t="shared" si="718"/>
        <v>523.25870282283972</v>
      </c>
      <c r="AG172" s="420">
        <f>AG55*1000/AG161</f>
        <v>585.92573708531904</v>
      </c>
      <c r="AH172" s="419">
        <f t="shared" si="718"/>
        <v>548.70032969586589</v>
      </c>
      <c r="AI172" s="419">
        <f>AI55*1000/AI161</f>
        <v>521.38458912730937</v>
      </c>
      <c r="AJ172" s="419">
        <f>AJ55*1000/AJ161</f>
        <v>536.14509217766943</v>
      </c>
      <c r="AK172" s="420">
        <f>AK55*1000/AK161</f>
        <v>555.58648888105154</v>
      </c>
      <c r="AL172" s="419">
        <f t="shared" ref="AL172" si="719">AL55*1000/AL161</f>
        <v>585.14280956451444</v>
      </c>
      <c r="AM172" s="384">
        <f t="shared" si="694"/>
        <v>585.14280956451444</v>
      </c>
      <c r="AN172" s="384">
        <f t="shared" si="695"/>
        <v>585.14280956451444</v>
      </c>
      <c r="AO172" s="385">
        <f t="shared" si="696"/>
        <v>585.14280956451444</v>
      </c>
      <c r="AP172" s="384">
        <f t="shared" si="697"/>
        <v>596.8456657558047</v>
      </c>
      <c r="AQ172" s="384">
        <f t="shared" si="698"/>
        <v>596.8456657558047</v>
      </c>
      <c r="AR172" s="384">
        <f t="shared" si="699"/>
        <v>596.8456657558047</v>
      </c>
      <c r="AS172" s="385">
        <f t="shared" si="700"/>
        <v>596.8456657558047</v>
      </c>
      <c r="AT172" s="384">
        <f t="shared" si="701"/>
        <v>602.81412241336272</v>
      </c>
      <c r="AU172" s="384">
        <f t="shared" si="702"/>
        <v>602.81412241336272</v>
      </c>
      <c r="AV172" s="384">
        <f t="shared" si="703"/>
        <v>602.81412241336272</v>
      </c>
      <c r="AW172" s="385">
        <f t="shared" si="704"/>
        <v>602.81412241336272</v>
      </c>
      <c r="AY172" s="204"/>
      <c r="AZ172" s="386">
        <f t="shared" si="707"/>
        <v>597.91894609240956</v>
      </c>
      <c r="BA172" s="384">
        <f t="shared" si="707"/>
        <v>549.68749995965322</v>
      </c>
      <c r="BB172" s="384">
        <f t="shared" si="686"/>
        <v>510.10118848761533</v>
      </c>
      <c r="BC172" s="384">
        <f t="shared" si="686"/>
        <v>501.52271756270994</v>
      </c>
      <c r="BD172" s="384">
        <f t="shared" si="686"/>
        <v>519.08125129694281</v>
      </c>
      <c r="BE172" s="384">
        <f t="shared" si="686"/>
        <v>571.73478896920778</v>
      </c>
      <c r="BF172" s="384">
        <f t="shared" si="686"/>
        <v>584.40350164644929</v>
      </c>
      <c r="BG172" s="384">
        <f t="shared" si="686"/>
        <v>539.7679728152209</v>
      </c>
      <c r="BH172" s="384">
        <f t="shared" si="686"/>
        <v>540.77406978591932</v>
      </c>
      <c r="BI172" s="384">
        <f t="shared" si="686"/>
        <v>585.14280956451444</v>
      </c>
      <c r="BJ172" s="384">
        <f t="shared" ref="BJ172:BK172" si="720">BJ55*1000/BJ161</f>
        <v>596.8456657558047</v>
      </c>
      <c r="BK172" s="384">
        <f t="shared" si="720"/>
        <v>602.81412241336272</v>
      </c>
    </row>
    <row r="173" spans="1:63">
      <c r="A173" s="290" t="s">
        <v>827</v>
      </c>
      <c r="B173" s="384">
        <f>C173/(1+C184)</f>
        <v>403.85151262947159</v>
      </c>
      <c r="C173" s="384">
        <f t="shared" ref="C173:H173" si="721">D173/(1+D184)</f>
        <v>411.92854288206104</v>
      </c>
      <c r="D173" s="384">
        <f t="shared" si="721"/>
        <v>407.80925745324043</v>
      </c>
      <c r="E173" s="385">
        <f t="shared" si="721"/>
        <v>401.69211859144184</v>
      </c>
      <c r="F173" s="384">
        <f t="shared" si="721"/>
        <v>385.62443384778413</v>
      </c>
      <c r="G173" s="384">
        <f t="shared" si="721"/>
        <v>379.84006734006738</v>
      </c>
      <c r="H173" s="384">
        <f t="shared" si="721"/>
        <v>364.64646464646466</v>
      </c>
      <c r="I173" s="789">
        <v>361</v>
      </c>
      <c r="J173" s="384">
        <f>I173*(1+J184)</f>
        <v>353.78</v>
      </c>
      <c r="K173" s="384">
        <f>J173*(1+K184)</f>
        <v>346.70439999999996</v>
      </c>
      <c r="L173" s="384">
        <f>K173*(1+L184)</f>
        <v>339.77031199999993</v>
      </c>
      <c r="M173" s="385">
        <f t="shared" ref="M173:AD173" si="722">L173*(1+M184)</f>
        <v>332.97490575999996</v>
      </c>
      <c r="N173" s="384">
        <f t="shared" si="722"/>
        <v>336.30465481759995</v>
      </c>
      <c r="O173" s="384">
        <f t="shared" si="722"/>
        <v>337.98617809168792</v>
      </c>
      <c r="P173" s="384">
        <f t="shared" si="722"/>
        <v>344.74590165352168</v>
      </c>
      <c r="Q173" s="385">
        <f t="shared" si="722"/>
        <v>348.1933606700569</v>
      </c>
      <c r="R173" s="384">
        <f t="shared" si="722"/>
        <v>348.1933606700569</v>
      </c>
      <c r="S173" s="384">
        <f t="shared" si="722"/>
        <v>351.67529427675748</v>
      </c>
      <c r="T173" s="384">
        <f t="shared" si="722"/>
        <v>362.22555310506021</v>
      </c>
      <c r="U173" s="385">
        <f t="shared" si="722"/>
        <v>383.95908629136386</v>
      </c>
      <c r="V173" s="384">
        <f t="shared" si="722"/>
        <v>422.3549949205003</v>
      </c>
      <c r="W173" s="384">
        <f t="shared" si="722"/>
        <v>443.47274466652533</v>
      </c>
      <c r="X173" s="384">
        <f t="shared" si="722"/>
        <v>458.99429072985367</v>
      </c>
      <c r="Y173" s="385">
        <f t="shared" si="722"/>
        <v>445.22446200795804</v>
      </c>
      <c r="Z173" s="384">
        <f t="shared" si="722"/>
        <v>485.29466358867433</v>
      </c>
      <c r="AA173" s="384">
        <f t="shared" si="722"/>
        <v>456.17698377335387</v>
      </c>
      <c r="AB173" s="384">
        <f t="shared" si="722"/>
        <v>447.05344409788677</v>
      </c>
      <c r="AC173" s="385">
        <f t="shared" si="689"/>
        <v>438.11237521592903</v>
      </c>
      <c r="AD173" s="384">
        <f t="shared" si="722"/>
        <v>431.54068958769011</v>
      </c>
      <c r="AE173" s="384">
        <f t="shared" si="690"/>
        <v>431.54068958769011</v>
      </c>
      <c r="AF173" s="384">
        <f t="shared" si="691"/>
        <v>431.54068958769011</v>
      </c>
      <c r="AG173" s="385">
        <f t="shared" si="691"/>
        <v>432.83531165645314</v>
      </c>
      <c r="AH173" s="384">
        <f t="shared" si="692"/>
        <v>398.20848672393691</v>
      </c>
      <c r="AI173" s="384">
        <f t="shared" si="692"/>
        <v>398.20848672393691</v>
      </c>
      <c r="AJ173" s="384">
        <f t="shared" si="692"/>
        <v>412.14578375927465</v>
      </c>
      <c r="AK173" s="385">
        <f t="shared" si="692"/>
        <v>426.57088619084925</v>
      </c>
      <c r="AL173" s="384">
        <f t="shared" si="692"/>
        <v>426.57088619084925</v>
      </c>
      <c r="AM173" s="384">
        <f t="shared" si="694"/>
        <v>426.57088619084925</v>
      </c>
      <c r="AN173" s="384">
        <f t="shared" si="695"/>
        <v>426.57088619084925</v>
      </c>
      <c r="AO173" s="385">
        <f t="shared" si="696"/>
        <v>426.57088619084925</v>
      </c>
      <c r="AP173" s="384">
        <f t="shared" si="697"/>
        <v>435.10230391466627</v>
      </c>
      <c r="AQ173" s="384">
        <f t="shared" si="698"/>
        <v>435.10230391466627</v>
      </c>
      <c r="AR173" s="384">
        <f t="shared" si="699"/>
        <v>435.10230391466627</v>
      </c>
      <c r="AS173" s="385">
        <f t="shared" si="700"/>
        <v>435.10230391466627</v>
      </c>
      <c r="AT173" s="384">
        <f t="shared" si="701"/>
        <v>439.4533269538129</v>
      </c>
      <c r="AU173" s="384">
        <f t="shared" si="702"/>
        <v>439.4533269538129</v>
      </c>
      <c r="AV173" s="384">
        <f t="shared" si="703"/>
        <v>439.4533269538129</v>
      </c>
      <c r="AW173" s="385">
        <f t="shared" si="704"/>
        <v>439.4533269538129</v>
      </c>
      <c r="AY173" s="416"/>
      <c r="AZ173" s="386">
        <f t="shared" si="707"/>
        <v>406.09795932947168</v>
      </c>
      <c r="BA173" s="384">
        <f t="shared" si="707"/>
        <v>372.64967153879502</v>
      </c>
      <c r="BB173" s="384">
        <f t="shared" si="686"/>
        <v>342.69256029697004</v>
      </c>
      <c r="BC173" s="384">
        <f t="shared" si="686"/>
        <v>341.59465529006872</v>
      </c>
      <c r="BD173" s="384">
        <f t="shared" si="686"/>
        <v>361.48168502882356</v>
      </c>
      <c r="BE173" s="384">
        <f t="shared" si="686"/>
        <v>442.17772808190506</v>
      </c>
      <c r="BF173" s="384">
        <f t="shared" si="686"/>
        <v>454.74396891543353</v>
      </c>
      <c r="BG173" s="384">
        <f t="shared" si="686"/>
        <v>431.85857183091275</v>
      </c>
      <c r="BH173" s="384">
        <f t="shared" si="686"/>
        <v>409.01698807933826</v>
      </c>
      <c r="BI173" s="384">
        <f t="shared" si="686"/>
        <v>426.57088619084925</v>
      </c>
      <c r="BJ173" s="384">
        <f t="shared" ref="BJ173:BK173" si="723">BJ56*1000/BJ162</f>
        <v>435.10230391466621</v>
      </c>
      <c r="BK173" s="384">
        <f t="shared" si="723"/>
        <v>439.45332695381285</v>
      </c>
    </row>
    <row r="174" spans="1:63">
      <c r="A174" s="336" t="s">
        <v>717</v>
      </c>
      <c r="B174" s="421">
        <f t="shared" ref="B174:AO174" si="724">B24</f>
        <v>702.06226540276589</v>
      </c>
      <c r="C174" s="421">
        <f t="shared" si="724"/>
        <v>717.00348860828376</v>
      </c>
      <c r="D174" s="421">
        <f t="shared" si="724"/>
        <v>703.88474023711035</v>
      </c>
      <c r="E174" s="422">
        <f t="shared" si="724"/>
        <v>697.72210689523035</v>
      </c>
      <c r="F174" s="421">
        <f t="shared" si="724"/>
        <v>640.36778236113798</v>
      </c>
      <c r="G174" s="421">
        <f t="shared" si="724"/>
        <v>637.06490158431461</v>
      </c>
      <c r="H174" s="421">
        <f t="shared" si="724"/>
        <v>610.66209381394935</v>
      </c>
      <c r="I174" s="422">
        <f t="shared" si="724"/>
        <v>602.78936346689227</v>
      </c>
      <c r="J174" s="421">
        <f t="shared" si="724"/>
        <v>578.34024903120883</v>
      </c>
      <c r="K174" s="421">
        <f t="shared" si="724"/>
        <v>578.17557695856044</v>
      </c>
      <c r="L174" s="421">
        <f t="shared" si="724"/>
        <v>574.1169324706583</v>
      </c>
      <c r="M174" s="422">
        <f t="shared" si="724"/>
        <v>574.08251754516937</v>
      </c>
      <c r="N174" s="421">
        <f t="shared" si="724"/>
        <v>586.02873931730267</v>
      </c>
      <c r="O174" s="421">
        <f t="shared" si="724"/>
        <v>594.22416760762644</v>
      </c>
      <c r="P174" s="421">
        <f t="shared" si="724"/>
        <v>641.7489592379477</v>
      </c>
      <c r="Q174" s="422">
        <f t="shared" si="724"/>
        <v>616.7410304367603</v>
      </c>
      <c r="R174" s="421">
        <f t="shared" si="724"/>
        <v>645.66836081758015</v>
      </c>
      <c r="S174" s="421">
        <f t="shared" si="724"/>
        <v>706.24900956569888</v>
      </c>
      <c r="T174" s="421">
        <f t="shared" si="724"/>
        <v>772.77161645664489</v>
      </c>
      <c r="U174" s="422">
        <f t="shared" si="724"/>
        <v>820.57887208708576</v>
      </c>
      <c r="V174" s="421">
        <f t="shared" si="724"/>
        <v>925.85704511873519</v>
      </c>
      <c r="W174" s="421">
        <f t="shared" si="724"/>
        <v>949.29702893672504</v>
      </c>
      <c r="X174" s="421">
        <f t="shared" si="724"/>
        <v>981.23310661405776</v>
      </c>
      <c r="Y174" s="422">
        <f t="shared" si="724"/>
        <v>938.31840174630315</v>
      </c>
      <c r="Z174" s="421">
        <f t="shared" si="724"/>
        <v>1075.9376119963413</v>
      </c>
      <c r="AA174" s="421">
        <f t="shared" si="724"/>
        <v>1006.4409127936935</v>
      </c>
      <c r="AB174" s="421">
        <f t="shared" si="724"/>
        <v>960.6340567851671</v>
      </c>
      <c r="AC174" s="422">
        <f t="shared" si="724"/>
        <v>930.82860259271342</v>
      </c>
      <c r="AD174" s="421">
        <f t="shared" si="724"/>
        <v>906.83149004591371</v>
      </c>
      <c r="AE174" s="421">
        <f t="shared" si="724"/>
        <v>836.35689717218781</v>
      </c>
      <c r="AF174" s="421">
        <f t="shared" si="724"/>
        <v>965.76087634632029</v>
      </c>
      <c r="AG174" s="422">
        <f>AG24</f>
        <v>1025.0903220818161</v>
      </c>
      <c r="AH174" s="421">
        <f t="shared" si="724"/>
        <v>933.33008398654022</v>
      </c>
      <c r="AI174" s="421">
        <f>AI24</f>
        <v>874.2971137578046</v>
      </c>
      <c r="AJ174" s="421">
        <f>AJ24</f>
        <v>907.1919566787293</v>
      </c>
      <c r="AK174" s="422">
        <f t="shared" si="724"/>
        <v>914.35207577028757</v>
      </c>
      <c r="AL174" s="421">
        <f t="shared" ref="AL174" si="725">AL24</f>
        <v>937.63405226577902</v>
      </c>
      <c r="AM174" s="421">
        <f t="shared" si="724"/>
        <v>916.91180171113115</v>
      </c>
      <c r="AN174" s="421">
        <f t="shared" si="724"/>
        <v>946.13203346185765</v>
      </c>
      <c r="AO174" s="422">
        <f t="shared" si="724"/>
        <v>948.87268180140086</v>
      </c>
      <c r="AP174" s="421">
        <f t="shared" ref="AP174:AS174" si="726">AP24</f>
        <v>973.81639176906788</v>
      </c>
      <c r="AQ174" s="421">
        <f t="shared" si="726"/>
        <v>981.14586834696604</v>
      </c>
      <c r="AR174" s="421">
        <f t="shared" si="726"/>
        <v>991.34244366768314</v>
      </c>
      <c r="AS174" s="422">
        <f t="shared" si="726"/>
        <v>997.3668066023713</v>
      </c>
      <c r="AT174" s="421">
        <f t="shared" ref="AT174:AW174" si="727">AT24</f>
        <v>1023.5204618245597</v>
      </c>
      <c r="AU174" s="421">
        <f t="shared" si="727"/>
        <v>1036.2330236047176</v>
      </c>
      <c r="AV174" s="421">
        <f t="shared" si="727"/>
        <v>1053.9327761813754</v>
      </c>
      <c r="AW174" s="422">
        <f t="shared" si="727"/>
        <v>1066.6043919102228</v>
      </c>
      <c r="AY174" s="204"/>
      <c r="AZ174" s="551">
        <f t="shared" si="707"/>
        <v>704.89978354260336</v>
      </c>
      <c r="BA174" s="423">
        <f t="shared" si="707"/>
        <v>622.11458474155029</v>
      </c>
      <c r="BB174" s="423">
        <f t="shared" si="686"/>
        <v>576.05941461932434</v>
      </c>
      <c r="BC174" s="423">
        <f t="shared" si="686"/>
        <v>609.80888000331311</v>
      </c>
      <c r="BD174" s="423">
        <f t="shared" si="686"/>
        <v>738.4097387208601</v>
      </c>
      <c r="BE174" s="423">
        <f t="shared" si="686"/>
        <v>948.87376159723692</v>
      </c>
      <c r="BF174" s="423">
        <f t="shared" si="686"/>
        <v>987.68095122916986</v>
      </c>
      <c r="BG174" s="423">
        <f t="shared" si="686"/>
        <v>933.23450871097839</v>
      </c>
      <c r="BH174" s="423">
        <f t="shared" si="686"/>
        <v>907.11911157715167</v>
      </c>
      <c r="BI174" s="423">
        <f t="shared" si="686"/>
        <v>937.52597587876812</v>
      </c>
      <c r="BJ174" s="423">
        <f t="shared" ref="BJ174:BK174" si="728">BJ57*1000/BJ163</f>
        <v>986.59176655325257</v>
      </c>
      <c r="BK174" s="423">
        <f t="shared" si="728"/>
        <v>1045.8792537854936</v>
      </c>
    </row>
    <row r="175" spans="1:63">
      <c r="A175" s="319" t="s">
        <v>718</v>
      </c>
      <c r="F175" s="424"/>
      <c r="G175" s="424"/>
      <c r="H175" s="424"/>
      <c r="I175" s="425"/>
      <c r="J175" s="424"/>
      <c r="K175" s="424"/>
      <c r="L175" s="426"/>
      <c r="M175" s="427"/>
      <c r="N175" s="426"/>
      <c r="O175" s="426"/>
      <c r="P175" s="426"/>
      <c r="Q175" s="427"/>
      <c r="R175" s="426"/>
      <c r="S175" s="426"/>
      <c r="T175" s="426"/>
      <c r="U175" s="427"/>
      <c r="V175" s="426"/>
      <c r="W175" s="426"/>
      <c r="X175" s="426"/>
      <c r="Y175" s="427"/>
      <c r="Z175" s="426"/>
      <c r="AA175" s="426"/>
      <c r="AB175" s="426"/>
      <c r="AC175" s="427"/>
      <c r="AD175" s="426"/>
      <c r="AE175" s="426"/>
      <c r="AF175" s="426"/>
      <c r="AG175" s="427"/>
      <c r="AH175" s="426"/>
      <c r="AI175" s="426"/>
      <c r="AJ175" s="426"/>
      <c r="AK175" s="427"/>
      <c r="AL175" s="426"/>
      <c r="AM175" s="426"/>
      <c r="AN175" s="426"/>
      <c r="AO175" s="427"/>
      <c r="AP175" s="426"/>
      <c r="AQ175" s="426"/>
      <c r="AR175" s="426"/>
      <c r="AS175" s="427"/>
      <c r="AT175" s="426"/>
      <c r="AU175" s="426"/>
      <c r="AV175" s="426"/>
      <c r="AW175" s="427"/>
      <c r="AY175" s="410"/>
      <c r="AZ175" s="410"/>
      <c r="BA175" s="552"/>
      <c r="BB175" s="552"/>
      <c r="BC175" s="552"/>
      <c r="BD175" s="552"/>
      <c r="BE175" s="552"/>
      <c r="BF175" s="552"/>
      <c r="BG175" s="552"/>
      <c r="BH175" s="552"/>
      <c r="BI175" s="552"/>
      <c r="BJ175" s="552"/>
      <c r="BK175" s="552"/>
    </row>
    <row r="176" spans="1:63">
      <c r="A176" s="290" t="s">
        <v>1204</v>
      </c>
      <c r="F176" s="424"/>
      <c r="G176" s="424"/>
      <c r="H176" s="424"/>
      <c r="I176" s="425"/>
      <c r="J176" s="424"/>
      <c r="K176" s="424"/>
      <c r="L176" s="426"/>
      <c r="M176" s="427"/>
      <c r="N176" s="426"/>
      <c r="O176" s="426"/>
      <c r="P176" s="426"/>
      <c r="Q176" s="427"/>
      <c r="R176" s="426"/>
      <c r="S176" s="426"/>
      <c r="T176" s="426"/>
      <c r="U176" s="427"/>
      <c r="V176" s="389">
        <v>-0.02</v>
      </c>
      <c r="W176" s="389">
        <f>V176</f>
        <v>-0.02</v>
      </c>
      <c r="X176" s="389">
        <f t="shared" ref="X176:AW176" si="729">W176</f>
        <v>-0.02</v>
      </c>
      <c r="Y176" s="430">
        <f t="shared" si="729"/>
        <v>-0.02</v>
      </c>
      <c r="Z176" s="389">
        <f t="shared" si="729"/>
        <v>-0.02</v>
      </c>
      <c r="AA176" s="389">
        <f t="shared" si="729"/>
        <v>-0.02</v>
      </c>
      <c r="AB176" s="389">
        <f t="shared" si="729"/>
        <v>-0.02</v>
      </c>
      <c r="AC176" s="430">
        <f t="shared" si="729"/>
        <v>-0.02</v>
      </c>
      <c r="AD176" s="389">
        <v>-0.03</v>
      </c>
      <c r="AE176" s="389">
        <f t="shared" si="729"/>
        <v>-0.03</v>
      </c>
      <c r="AF176" s="389">
        <f t="shared" si="729"/>
        <v>-0.03</v>
      </c>
      <c r="AG176" s="430">
        <f t="shared" si="729"/>
        <v>-0.03</v>
      </c>
      <c r="AH176" s="389">
        <f t="shared" si="729"/>
        <v>-0.03</v>
      </c>
      <c r="AI176" s="389">
        <f t="shared" si="729"/>
        <v>-0.03</v>
      </c>
      <c r="AJ176" s="389">
        <f t="shared" si="729"/>
        <v>-0.03</v>
      </c>
      <c r="AK176" s="430">
        <v>-0.03</v>
      </c>
      <c r="AL176" s="389">
        <v>0</v>
      </c>
      <c r="AM176" s="389">
        <f t="shared" si="729"/>
        <v>0</v>
      </c>
      <c r="AN176" s="389">
        <v>8.9999999999999993E-3</v>
      </c>
      <c r="AO176" s="430">
        <v>0</v>
      </c>
      <c r="AP176" s="389">
        <v>0.01</v>
      </c>
      <c r="AQ176" s="389">
        <f t="shared" si="729"/>
        <v>0.01</v>
      </c>
      <c r="AR176" s="389">
        <v>0.02</v>
      </c>
      <c r="AS176" s="430">
        <f t="shared" si="729"/>
        <v>0.02</v>
      </c>
      <c r="AT176" s="389">
        <v>0.05</v>
      </c>
      <c r="AU176" s="389">
        <f t="shared" si="729"/>
        <v>0.05</v>
      </c>
      <c r="AV176" s="389">
        <f t="shared" si="729"/>
        <v>0.05</v>
      </c>
      <c r="AW176" s="430">
        <f t="shared" si="729"/>
        <v>0.05</v>
      </c>
      <c r="AY176" s="204"/>
      <c r="AZ176" s="204"/>
      <c r="BA176" s="426"/>
      <c r="BB176" s="426"/>
      <c r="BC176" s="426"/>
      <c r="BD176" s="426"/>
      <c r="BE176" s="426"/>
      <c r="BF176" s="426"/>
      <c r="BG176" s="426"/>
      <c r="BH176" s="426"/>
      <c r="BI176" s="426"/>
      <c r="BJ176" s="426"/>
      <c r="BK176" s="426"/>
    </row>
    <row r="177" spans="1:63">
      <c r="A177" s="290" t="s">
        <v>935</v>
      </c>
      <c r="C177" s="428"/>
      <c r="D177" s="428"/>
      <c r="E177" s="429"/>
      <c r="F177" s="428"/>
      <c r="G177" s="428"/>
      <c r="H177" s="428"/>
      <c r="I177" s="429"/>
      <c r="J177" s="428"/>
      <c r="K177" s="428"/>
      <c r="L177" s="428"/>
      <c r="M177" s="429"/>
      <c r="N177" s="431">
        <v>0</v>
      </c>
      <c r="O177" s="431">
        <v>-5.0000000000000001E-3</v>
      </c>
      <c r="P177" s="431">
        <v>0</v>
      </c>
      <c r="Q177" s="432">
        <v>-1.4999999999999999E-2</v>
      </c>
      <c r="R177" s="431">
        <v>-1.4999999999999999E-2</v>
      </c>
      <c r="S177" s="431">
        <v>0</v>
      </c>
      <c r="T177" s="389">
        <v>0.05</v>
      </c>
      <c r="U177" s="430">
        <v>0.06</v>
      </c>
      <c r="V177" s="389">
        <v>0.15</v>
      </c>
      <c r="W177" s="389">
        <v>2.5000000000000001E-2</v>
      </c>
      <c r="X177" s="389">
        <v>0.04</v>
      </c>
      <c r="Y177" s="430">
        <v>-0.04</v>
      </c>
      <c r="Z177" s="389">
        <v>0.09</v>
      </c>
      <c r="AA177" s="389">
        <v>-7.0000000000000007E-2</v>
      </c>
      <c r="AB177" s="389">
        <v>-0.02</v>
      </c>
      <c r="AC177" s="430">
        <v>-0.02</v>
      </c>
      <c r="AD177" s="389">
        <v>-1.4999999999999999E-2</v>
      </c>
      <c r="AE177" s="389">
        <v>0</v>
      </c>
      <c r="AF177" s="389">
        <v>0.05</v>
      </c>
      <c r="AG177" s="430">
        <v>3.0000000000000001E-3</v>
      </c>
      <c r="AH177" s="389">
        <v>-0.08</v>
      </c>
      <c r="AI177" s="389">
        <v>-0.1</v>
      </c>
      <c r="AJ177" s="389">
        <v>3.5000000000000003E-2</v>
      </c>
      <c r="AK177" s="430">
        <v>0.02</v>
      </c>
      <c r="AL177" s="389">
        <v>0</v>
      </c>
      <c r="AM177" s="389">
        <v>0</v>
      </c>
      <c r="AN177" s="389">
        <v>0</v>
      </c>
      <c r="AO177" s="430">
        <v>0</v>
      </c>
      <c r="AP177" s="389">
        <v>0.02</v>
      </c>
      <c r="AQ177" s="389">
        <v>0</v>
      </c>
      <c r="AR177" s="389">
        <v>0.01</v>
      </c>
      <c r="AS177" s="430">
        <f>AR177</f>
        <v>0.01</v>
      </c>
      <c r="AT177" s="389">
        <f>AS177</f>
        <v>0.01</v>
      </c>
      <c r="AU177" s="389">
        <v>0</v>
      </c>
      <c r="AV177" s="389">
        <v>0</v>
      </c>
      <c r="AW177" s="430">
        <v>0</v>
      </c>
      <c r="AY177" s="204"/>
      <c r="AZ177" s="204"/>
      <c r="BA177" s="426"/>
      <c r="BB177" s="426"/>
      <c r="BC177" s="274"/>
      <c r="BD177" s="274">
        <f t="shared" ref="BD177:BK177" si="730">BD166/BC166-1</f>
        <v>2.2622818911216314E-2</v>
      </c>
      <c r="BE177" s="274">
        <f t="shared" si="730"/>
        <v>0.2504882914791482</v>
      </c>
      <c r="BF177" s="274">
        <f t="shared" si="730"/>
        <v>1.2918047332911353E-2</v>
      </c>
      <c r="BG177" s="274">
        <f t="shared" si="730"/>
        <v>-3.2934872799673998E-2</v>
      </c>
      <c r="BH177" s="274">
        <f t="shared" si="730"/>
        <v>-0.10865122375697411</v>
      </c>
      <c r="BI177" s="274">
        <f t="shared" si="730"/>
        <v>6.0228187654880472E-3</v>
      </c>
      <c r="BJ177" s="274">
        <f t="shared" si="730"/>
        <v>2.8061418994413057E-2</v>
      </c>
      <c r="BK177" s="274">
        <f t="shared" si="730"/>
        <v>2.2222019602615717E-2</v>
      </c>
    </row>
    <row r="178" spans="1:63">
      <c r="A178" s="290" t="s">
        <v>712</v>
      </c>
      <c r="B178" s="221"/>
      <c r="C178" s="431">
        <v>0</v>
      </c>
      <c r="D178" s="431">
        <v>-0.02</v>
      </c>
      <c r="E178" s="432">
        <v>-0.02</v>
      </c>
      <c r="F178" s="431">
        <v>-0.08</v>
      </c>
      <c r="G178" s="431">
        <v>-0.04</v>
      </c>
      <c r="H178" s="431">
        <v>-0.05</v>
      </c>
      <c r="I178" s="432">
        <v>-0.01</v>
      </c>
      <c r="J178" s="431">
        <v>-0.03</v>
      </c>
      <c r="K178" s="431">
        <v>-0.02</v>
      </c>
      <c r="L178" s="431">
        <v>-0.01</v>
      </c>
      <c r="M178" s="432">
        <v>0.01</v>
      </c>
      <c r="N178" s="431">
        <v>0.02</v>
      </c>
      <c r="O178" s="431">
        <v>0.01</v>
      </c>
      <c r="P178" s="431">
        <v>0.04</v>
      </c>
      <c r="Q178" s="432">
        <v>0.03</v>
      </c>
      <c r="R178" s="431">
        <v>0</v>
      </c>
      <c r="S178" s="431">
        <v>0.05</v>
      </c>
      <c r="T178" s="389">
        <v>0.1</v>
      </c>
      <c r="U178" s="430">
        <v>0.06</v>
      </c>
      <c r="V178" s="389">
        <v>0.22</v>
      </c>
      <c r="W178" s="389">
        <v>0.05</v>
      </c>
      <c r="X178" s="389">
        <v>0.04</v>
      </c>
      <c r="Y178" s="430">
        <v>-0.04</v>
      </c>
      <c r="Z178" s="389">
        <f>Z177</f>
        <v>0.09</v>
      </c>
      <c r="AA178" s="389">
        <v>-7.0000000000000007E-2</v>
      </c>
      <c r="AB178" s="389">
        <v>-0.02</v>
      </c>
      <c r="AC178" s="430">
        <v>-0.02</v>
      </c>
      <c r="AD178" s="389">
        <v>-1.4999999999999999E-2</v>
      </c>
      <c r="AE178" s="389">
        <v>0</v>
      </c>
      <c r="AF178" s="389">
        <v>0.05</v>
      </c>
      <c r="AG178" s="430">
        <v>3.0000000000000001E-3</v>
      </c>
      <c r="AH178" s="389">
        <v>-0.08</v>
      </c>
      <c r="AI178" s="389">
        <v>-0.08</v>
      </c>
      <c r="AJ178" s="389">
        <f>AJ177</f>
        <v>3.5000000000000003E-2</v>
      </c>
      <c r="AK178" s="430">
        <v>0.02</v>
      </c>
      <c r="AL178" s="389">
        <f>AL177</f>
        <v>0</v>
      </c>
      <c r="AM178" s="389">
        <v>0</v>
      </c>
      <c r="AN178" s="389">
        <v>0</v>
      </c>
      <c r="AO178" s="430">
        <v>0</v>
      </c>
      <c r="AP178" s="389">
        <f>AP177</f>
        <v>0.02</v>
      </c>
      <c r="AQ178" s="389">
        <v>0</v>
      </c>
      <c r="AR178" s="389">
        <v>0</v>
      </c>
      <c r="AS178" s="430">
        <v>0</v>
      </c>
      <c r="AT178" s="389">
        <f>AT177</f>
        <v>0.01</v>
      </c>
      <c r="AU178" s="389">
        <v>0</v>
      </c>
      <c r="AV178" s="389">
        <v>0</v>
      </c>
      <c r="AW178" s="430">
        <v>0</v>
      </c>
      <c r="AY178" s="204"/>
      <c r="AZ178" s="204"/>
      <c r="BA178" s="274">
        <f t="shared" ref="BA178:BA185" si="731">BA167/AZ167-1</f>
        <v>-0.15496423236835566</v>
      </c>
      <c r="BB178" s="274">
        <f t="shared" ref="BB178:BK178" si="732">BB167/BA167-1</f>
        <v>-8.3607290446750415E-2</v>
      </c>
      <c r="BC178" s="274">
        <f t="shared" si="732"/>
        <v>4.9800290813536208E-2</v>
      </c>
      <c r="BD178" s="274">
        <f t="shared" si="732"/>
        <v>0.18014847675212686</v>
      </c>
      <c r="BE178" s="274">
        <f t="shared" si="732"/>
        <v>0.39319035489971976</v>
      </c>
      <c r="BF178" s="274">
        <f t="shared" si="732"/>
        <v>1.2041079534746091E-2</v>
      </c>
      <c r="BG178" s="274">
        <f t="shared" si="732"/>
        <v>-2.5932680200948743E-2</v>
      </c>
      <c r="BH178" s="274">
        <f t="shared" si="732"/>
        <v>-9.5924438607748796E-2</v>
      </c>
      <c r="BI178" s="274">
        <f t="shared" si="732"/>
        <v>1.3161886720782556E-2</v>
      </c>
      <c r="BJ178" s="274">
        <f t="shared" si="732"/>
        <v>1.9999999999999796E-2</v>
      </c>
      <c r="BK178" s="274">
        <f t="shared" si="732"/>
        <v>1.0000000000000231E-2</v>
      </c>
    </row>
    <row r="179" spans="1:63">
      <c r="A179" s="290" t="s">
        <v>711</v>
      </c>
      <c r="C179" s="431">
        <v>0.01</v>
      </c>
      <c r="D179" s="431">
        <v>-0.02</v>
      </c>
      <c r="E179" s="432">
        <v>-0.02</v>
      </c>
      <c r="F179" s="431">
        <v>-0.06</v>
      </c>
      <c r="G179" s="431">
        <v>-0.03</v>
      </c>
      <c r="H179" s="431">
        <v>-0.05</v>
      </c>
      <c r="I179" s="432">
        <v>-0.01</v>
      </c>
      <c r="J179" s="431">
        <v>-0.02</v>
      </c>
      <c r="K179" s="431">
        <v>-0.01</v>
      </c>
      <c r="L179" s="431">
        <v>0.01</v>
      </c>
      <c r="M179" s="432">
        <v>0.01</v>
      </c>
      <c r="N179" s="431">
        <v>0.02</v>
      </c>
      <c r="O179" s="431">
        <v>0.01</v>
      </c>
      <c r="P179" s="431">
        <v>0.04</v>
      </c>
      <c r="Q179" s="432">
        <v>0.03</v>
      </c>
      <c r="R179" s="431">
        <v>0.06</v>
      </c>
      <c r="S179" s="431">
        <v>0.08</v>
      </c>
      <c r="T179" s="389">
        <v>0.12</v>
      </c>
      <c r="U179" s="430">
        <v>0.06</v>
      </c>
      <c r="V179" s="389">
        <v>0</v>
      </c>
      <c r="W179" s="389">
        <v>0</v>
      </c>
      <c r="X179" s="389">
        <v>0.04</v>
      </c>
      <c r="Y179" s="430">
        <v>-0.04</v>
      </c>
      <c r="Z179" s="389">
        <f>Z178</f>
        <v>0.09</v>
      </c>
      <c r="AA179" s="389">
        <v>-0.06</v>
      </c>
      <c r="AB179" s="389">
        <v>-0.02</v>
      </c>
      <c r="AC179" s="430">
        <v>-0.02</v>
      </c>
      <c r="AD179" s="389">
        <v>-1.4999999999999999E-2</v>
      </c>
      <c r="AE179" s="389">
        <v>0</v>
      </c>
      <c r="AF179" s="389">
        <v>0.05</v>
      </c>
      <c r="AG179" s="430">
        <v>3.0000000000000001E-3</v>
      </c>
      <c r="AH179" s="389">
        <v>-0.08</v>
      </c>
      <c r="AI179" s="389">
        <f>AI178</f>
        <v>-0.08</v>
      </c>
      <c r="AJ179" s="389">
        <f t="shared" ref="AJ179:AJ182" si="733">AJ178</f>
        <v>3.5000000000000003E-2</v>
      </c>
      <c r="AK179" s="430">
        <v>0.02</v>
      </c>
      <c r="AL179" s="389">
        <f t="shared" ref="AL179:AL182" si="734">AL178</f>
        <v>0</v>
      </c>
      <c r="AM179" s="389">
        <v>0</v>
      </c>
      <c r="AN179" s="389">
        <v>0</v>
      </c>
      <c r="AO179" s="430">
        <v>0</v>
      </c>
      <c r="AP179" s="389">
        <f t="shared" ref="AP179:AP184" si="735">AP178</f>
        <v>0.02</v>
      </c>
      <c r="AQ179" s="389">
        <v>0</v>
      </c>
      <c r="AR179" s="389">
        <v>0</v>
      </c>
      <c r="AS179" s="430">
        <v>0</v>
      </c>
      <c r="AT179" s="389">
        <f t="shared" ref="AT179:AT184" si="736">AT178</f>
        <v>0.01</v>
      </c>
      <c r="AU179" s="389">
        <v>0</v>
      </c>
      <c r="AV179" s="389">
        <v>0</v>
      </c>
      <c r="AW179" s="430">
        <v>0</v>
      </c>
      <c r="AY179" s="204"/>
      <c r="AZ179" s="204"/>
      <c r="BA179" s="274">
        <f t="shared" si="731"/>
        <v>-0.126209721461497</v>
      </c>
      <c r="BB179" s="274">
        <f t="shared" ref="BB179:BK185" si="737">BB168/BA168-1</f>
        <v>-5.8731777135070384E-2</v>
      </c>
      <c r="BC179" s="274">
        <f t="shared" si="737"/>
        <v>6.7399660080043722E-2</v>
      </c>
      <c r="BD179" s="274">
        <f t="shared" si="737"/>
        <v>0.26472588104336991</v>
      </c>
      <c r="BE179" s="274">
        <f t="shared" si="737"/>
        <v>0.13301379190046747</v>
      </c>
      <c r="BF179" s="274">
        <f t="shared" si="737"/>
        <v>1.1127875304650869E-2</v>
      </c>
      <c r="BG179" s="274">
        <f t="shared" si="737"/>
        <v>-2.0936920991808772E-2</v>
      </c>
      <c r="BH179" s="274">
        <f t="shared" si="737"/>
        <v>-9.8954730526973234E-2</v>
      </c>
      <c r="BI179" s="274">
        <f t="shared" si="737"/>
        <v>1.147808279237239E-2</v>
      </c>
      <c r="BJ179" s="274">
        <f t="shared" si="737"/>
        <v>1.9999999999999796E-2</v>
      </c>
      <c r="BK179" s="274">
        <f t="shared" si="737"/>
        <v>1.0000000000000009E-2</v>
      </c>
    </row>
    <row r="180" spans="1:63">
      <c r="A180" s="290" t="s">
        <v>710</v>
      </c>
      <c r="C180" s="431">
        <v>0.01</v>
      </c>
      <c r="D180" s="431">
        <v>-0.02</v>
      </c>
      <c r="E180" s="432">
        <v>-0.02</v>
      </c>
      <c r="F180" s="431">
        <v>-0.06</v>
      </c>
      <c r="G180" s="431">
        <v>-0.02</v>
      </c>
      <c r="H180" s="431">
        <v>-0.04</v>
      </c>
      <c r="I180" s="432">
        <v>-0.01</v>
      </c>
      <c r="J180" s="431">
        <v>-0.02</v>
      </c>
      <c r="K180" s="431">
        <v>-5.0000000000000001E-3</v>
      </c>
      <c r="L180" s="431">
        <v>0.01</v>
      </c>
      <c r="M180" s="432">
        <v>0.01</v>
      </c>
      <c r="N180" s="431">
        <v>0.02</v>
      </c>
      <c r="O180" s="431">
        <v>0.01</v>
      </c>
      <c r="P180" s="431">
        <v>0.04</v>
      </c>
      <c r="Q180" s="432">
        <v>0.03</v>
      </c>
      <c r="R180" s="431">
        <v>0.06</v>
      </c>
      <c r="S180" s="431">
        <v>0.1</v>
      </c>
      <c r="T180" s="389">
        <v>0.15</v>
      </c>
      <c r="U180" s="430">
        <v>0.06</v>
      </c>
      <c r="V180" s="389">
        <v>0</v>
      </c>
      <c r="W180" s="389">
        <v>0</v>
      </c>
      <c r="X180" s="389">
        <v>0</v>
      </c>
      <c r="Y180" s="430">
        <v>-0.04</v>
      </c>
      <c r="Z180" s="389">
        <f>Z179</f>
        <v>0.09</v>
      </c>
      <c r="AA180" s="389">
        <v>-7.0000000000000007E-2</v>
      </c>
      <c r="AB180" s="389">
        <v>-0.02</v>
      </c>
      <c r="AC180" s="430">
        <v>-0.02</v>
      </c>
      <c r="AD180" s="389">
        <v>-1.4999999999999999E-2</v>
      </c>
      <c r="AE180" s="389">
        <v>0</v>
      </c>
      <c r="AF180" s="389">
        <v>0.05</v>
      </c>
      <c r="AG180" s="430">
        <v>3.0000000000000001E-3</v>
      </c>
      <c r="AH180" s="389">
        <v>-0.08</v>
      </c>
      <c r="AI180" s="389">
        <f>AI179</f>
        <v>-0.08</v>
      </c>
      <c r="AJ180" s="389">
        <f t="shared" si="733"/>
        <v>3.5000000000000003E-2</v>
      </c>
      <c r="AK180" s="430">
        <v>0.02</v>
      </c>
      <c r="AL180" s="389">
        <f t="shared" si="734"/>
        <v>0</v>
      </c>
      <c r="AM180" s="389">
        <v>0</v>
      </c>
      <c r="AN180" s="389">
        <v>0</v>
      </c>
      <c r="AO180" s="430">
        <v>0</v>
      </c>
      <c r="AP180" s="389">
        <f t="shared" si="735"/>
        <v>0.02</v>
      </c>
      <c r="AQ180" s="389">
        <v>0</v>
      </c>
      <c r="AR180" s="389">
        <v>0</v>
      </c>
      <c r="AS180" s="430">
        <v>0</v>
      </c>
      <c r="AT180" s="389">
        <f t="shared" si="736"/>
        <v>0.01</v>
      </c>
      <c r="AU180" s="389">
        <v>0</v>
      </c>
      <c r="AV180" s="389">
        <v>0</v>
      </c>
      <c r="AW180" s="430">
        <v>0</v>
      </c>
      <c r="AY180" s="204"/>
      <c r="AZ180" s="204"/>
      <c r="BA180" s="274">
        <f t="shared" si="731"/>
        <v>-0.11787620773554508</v>
      </c>
      <c r="BB180" s="274">
        <f t="shared" si="737"/>
        <v>-4.6418294574517627E-2</v>
      </c>
      <c r="BC180" s="274">
        <f t="shared" si="737"/>
        <v>6.7247860132627402E-2</v>
      </c>
      <c r="BD180" s="274">
        <f t="shared" si="737"/>
        <v>0.29313239880384012</v>
      </c>
      <c r="BE180" s="274">
        <f t="shared" si="737"/>
        <v>0.13798163576622202</v>
      </c>
      <c r="BF180" s="274">
        <f t="shared" si="737"/>
        <v>-1.8397936948720939E-2</v>
      </c>
      <c r="BG180" s="274">
        <f t="shared" si="737"/>
        <v>-2.7014241420354246E-2</v>
      </c>
      <c r="BH180" s="274">
        <f t="shared" si="737"/>
        <v>-9.4735515313220886E-2</v>
      </c>
      <c r="BI180" s="274">
        <f t="shared" si="737"/>
        <v>1.1057671044707007E-2</v>
      </c>
      <c r="BJ180" s="274">
        <f t="shared" si="737"/>
        <v>2.0000000000000018E-2</v>
      </c>
      <c r="BK180" s="274">
        <f t="shared" si="737"/>
        <v>1.0000000000000009E-2</v>
      </c>
    </row>
    <row r="181" spans="1:63">
      <c r="A181" s="290" t="s">
        <v>709</v>
      </c>
      <c r="C181" s="431">
        <v>0.01</v>
      </c>
      <c r="D181" s="431">
        <v>-0.02</v>
      </c>
      <c r="E181" s="432">
        <v>-0.02</v>
      </c>
      <c r="F181" s="431">
        <v>-0.06</v>
      </c>
      <c r="G181" s="431">
        <v>-0.02</v>
      </c>
      <c r="H181" s="431">
        <v>-0.04</v>
      </c>
      <c r="I181" s="432">
        <v>-0.01</v>
      </c>
      <c r="J181" s="431">
        <v>-0.02</v>
      </c>
      <c r="K181" s="431">
        <v>-0.02</v>
      </c>
      <c r="L181" s="431">
        <v>0.01</v>
      </c>
      <c r="M181" s="432">
        <v>0.01</v>
      </c>
      <c r="N181" s="431">
        <v>0.01</v>
      </c>
      <c r="O181" s="431">
        <v>0.01</v>
      </c>
      <c r="P181" s="431">
        <v>0.04</v>
      </c>
      <c r="Q181" s="432">
        <v>0.03</v>
      </c>
      <c r="R181" s="431">
        <v>0.06</v>
      </c>
      <c r="S181" s="431">
        <v>0.08</v>
      </c>
      <c r="T181" s="389">
        <v>0.15</v>
      </c>
      <c r="U181" s="430">
        <v>0.06</v>
      </c>
      <c r="V181" s="389">
        <v>0</v>
      </c>
      <c r="W181" s="389">
        <v>0</v>
      </c>
      <c r="X181" s="389">
        <v>0</v>
      </c>
      <c r="Y181" s="430">
        <v>-0.04</v>
      </c>
      <c r="Z181" s="389">
        <f>Z180</f>
        <v>0.09</v>
      </c>
      <c r="AA181" s="389">
        <v>-7.0000000000000007E-2</v>
      </c>
      <c r="AB181" s="389">
        <v>-0.02</v>
      </c>
      <c r="AC181" s="430">
        <v>-0.02</v>
      </c>
      <c r="AD181" s="389">
        <v>-1.4999999999999999E-2</v>
      </c>
      <c r="AE181" s="389">
        <v>0</v>
      </c>
      <c r="AF181" s="389">
        <v>0.05</v>
      </c>
      <c r="AG181" s="430">
        <v>3.0000000000000001E-3</v>
      </c>
      <c r="AH181" s="389">
        <v>-0.08</v>
      </c>
      <c r="AI181" s="389">
        <f>AI180</f>
        <v>-0.08</v>
      </c>
      <c r="AJ181" s="389">
        <f t="shared" si="733"/>
        <v>3.5000000000000003E-2</v>
      </c>
      <c r="AK181" s="430">
        <v>3.2000000000000001E-2</v>
      </c>
      <c r="AL181" s="389">
        <f t="shared" si="734"/>
        <v>0</v>
      </c>
      <c r="AM181" s="389">
        <v>0</v>
      </c>
      <c r="AN181" s="389">
        <v>0</v>
      </c>
      <c r="AO181" s="430">
        <v>0</v>
      </c>
      <c r="AP181" s="389">
        <f t="shared" si="735"/>
        <v>0.02</v>
      </c>
      <c r="AQ181" s="389">
        <v>0</v>
      </c>
      <c r="AR181" s="389">
        <v>0</v>
      </c>
      <c r="AS181" s="430">
        <v>0</v>
      </c>
      <c r="AT181" s="389">
        <f t="shared" si="736"/>
        <v>0.01</v>
      </c>
      <c r="AU181" s="389">
        <v>0</v>
      </c>
      <c r="AV181" s="389">
        <v>0</v>
      </c>
      <c r="AW181" s="430">
        <v>0</v>
      </c>
      <c r="AY181" s="204"/>
      <c r="AZ181" s="204"/>
      <c r="BA181" s="274">
        <f t="shared" si="731"/>
        <v>-0.10643547232590833</v>
      </c>
      <c r="BB181" s="274">
        <f t="shared" si="737"/>
        <v>-6.6439657567198274E-2</v>
      </c>
      <c r="BC181" s="274">
        <f t="shared" si="737"/>
        <v>6.0798487266528589E-2</v>
      </c>
      <c r="BD181" s="274">
        <f t="shared" si="737"/>
        <v>0.25506157464389911</v>
      </c>
      <c r="BE181" s="274">
        <f t="shared" si="737"/>
        <v>0.14314214719099483</v>
      </c>
      <c r="BF181" s="274">
        <f t="shared" si="737"/>
        <v>-1.5898229769284122E-2</v>
      </c>
      <c r="BG181" s="274">
        <f t="shared" si="737"/>
        <v>-3.0074646759659207E-2</v>
      </c>
      <c r="BH181" s="274">
        <f t="shared" si="737"/>
        <v>-9.0862541229714933E-2</v>
      </c>
      <c r="BI181" s="274">
        <f t="shared" si="737"/>
        <v>1.9391857822594671E-2</v>
      </c>
      <c r="BJ181" s="274">
        <f t="shared" si="737"/>
        <v>2.0000000000000462E-2</v>
      </c>
      <c r="BK181" s="274">
        <f t="shared" si="737"/>
        <v>9.9999999999997868E-3</v>
      </c>
    </row>
    <row r="182" spans="1:63">
      <c r="A182" s="290" t="s">
        <v>708</v>
      </c>
      <c r="C182" s="431">
        <v>0.02</v>
      </c>
      <c r="D182" s="431">
        <v>-0.01</v>
      </c>
      <c r="E182" s="432">
        <v>-0.01</v>
      </c>
      <c r="F182" s="431">
        <v>-0.04</v>
      </c>
      <c r="G182" s="431">
        <v>-1.4999999999999999E-2</v>
      </c>
      <c r="H182" s="431">
        <v>-0.04</v>
      </c>
      <c r="I182" s="432">
        <v>-0.01</v>
      </c>
      <c r="J182" s="431">
        <v>-0.02</v>
      </c>
      <c r="K182" s="431">
        <v>-0.02</v>
      </c>
      <c r="L182" s="431">
        <v>-0.02</v>
      </c>
      <c r="M182" s="432">
        <v>-0.02</v>
      </c>
      <c r="N182" s="431">
        <v>0.01</v>
      </c>
      <c r="O182" s="431">
        <v>5.0000000000000001E-3</v>
      </c>
      <c r="P182" s="431">
        <v>0.03</v>
      </c>
      <c r="Q182" s="432">
        <v>0.01</v>
      </c>
      <c r="R182" s="431">
        <v>0</v>
      </c>
      <c r="S182" s="431">
        <v>0.01</v>
      </c>
      <c r="T182" s="389">
        <v>0.03</v>
      </c>
      <c r="U182" s="430">
        <v>0.06</v>
      </c>
      <c r="V182" s="389">
        <v>0.1</v>
      </c>
      <c r="W182" s="389">
        <v>0.06</v>
      </c>
      <c r="X182" s="389">
        <v>0.04</v>
      </c>
      <c r="Y182" s="430">
        <v>-0.03</v>
      </c>
      <c r="Z182" s="389">
        <f>Z181</f>
        <v>0.09</v>
      </c>
      <c r="AA182" s="389">
        <v>-0.06</v>
      </c>
      <c r="AB182" s="389">
        <v>-0.02</v>
      </c>
      <c r="AC182" s="430">
        <v>-0.02</v>
      </c>
      <c r="AD182" s="389">
        <v>-1.4999999999999999E-2</v>
      </c>
      <c r="AE182" s="389">
        <v>0</v>
      </c>
      <c r="AF182" s="389">
        <v>0.05</v>
      </c>
      <c r="AG182" s="430">
        <v>3.0000000000000001E-3</v>
      </c>
      <c r="AH182" s="389">
        <v>-0.08</v>
      </c>
      <c r="AI182" s="389">
        <f>AI181</f>
        <v>-0.08</v>
      </c>
      <c r="AJ182" s="389">
        <f t="shared" si="733"/>
        <v>3.5000000000000003E-2</v>
      </c>
      <c r="AK182" s="430">
        <v>3.5000000000000003E-2</v>
      </c>
      <c r="AL182" s="389">
        <f t="shared" si="734"/>
        <v>0</v>
      </c>
      <c r="AM182" s="389">
        <v>0</v>
      </c>
      <c r="AN182" s="389">
        <v>0</v>
      </c>
      <c r="AO182" s="430">
        <v>0</v>
      </c>
      <c r="AP182" s="389">
        <f t="shared" si="735"/>
        <v>0.02</v>
      </c>
      <c r="AQ182" s="389">
        <v>0</v>
      </c>
      <c r="AR182" s="389">
        <v>0</v>
      </c>
      <c r="AS182" s="430">
        <v>0</v>
      </c>
      <c r="AT182" s="389">
        <f t="shared" si="736"/>
        <v>0.01</v>
      </c>
      <c r="AU182" s="389">
        <v>0</v>
      </c>
      <c r="AV182" s="389">
        <v>0</v>
      </c>
      <c r="AW182" s="430">
        <v>0</v>
      </c>
      <c r="AY182" s="204"/>
      <c r="AZ182" s="204"/>
      <c r="BA182" s="274">
        <f t="shared" si="731"/>
        <v>-8.1790510210732692E-2</v>
      </c>
      <c r="BB182" s="274">
        <f t="shared" si="737"/>
        <v>-7.8133631302990336E-2</v>
      </c>
      <c r="BC182" s="274">
        <f t="shared" si="737"/>
        <v>1.7731761645445321E-3</v>
      </c>
      <c r="BD182" s="274">
        <f t="shared" si="737"/>
        <v>6.294876998056198E-2</v>
      </c>
      <c r="BE182" s="274">
        <f t="shared" si="737"/>
        <v>0.23366972653551876</v>
      </c>
      <c r="BF182" s="274">
        <f t="shared" si="737"/>
        <v>3.3046162178481664E-2</v>
      </c>
      <c r="BG182" s="274">
        <f t="shared" si="737"/>
        <v>-2.9502779051727823E-2</v>
      </c>
      <c r="BH182" s="274">
        <f t="shared" si="737"/>
        <v>-8.6069855199150003E-2</v>
      </c>
      <c r="BI182" s="274">
        <f t="shared" si="737"/>
        <v>2.223624169688021E-2</v>
      </c>
      <c r="BJ182" s="274">
        <f t="shared" si="737"/>
        <v>2.0000000000000462E-2</v>
      </c>
      <c r="BK182" s="274">
        <f t="shared" si="737"/>
        <v>9.9999999999997868E-3</v>
      </c>
    </row>
    <row r="183" spans="1:63">
      <c r="A183" s="290" t="s">
        <v>707</v>
      </c>
      <c r="B183" s="408"/>
      <c r="C183" s="224">
        <f>C172/B172-1</f>
        <v>7.3583793784908202E-3</v>
      </c>
      <c r="D183" s="224">
        <f t="shared" ref="D183:AL183" si="738">D172/C172-1</f>
        <v>-6.8587744169023024E-3</v>
      </c>
      <c r="E183" s="225">
        <f t="shared" si="738"/>
        <v>-2.5237563513571093E-2</v>
      </c>
      <c r="F183" s="224">
        <f t="shared" si="738"/>
        <v>-3.1485173421001655E-2</v>
      </c>
      <c r="G183" s="224">
        <f t="shared" si="738"/>
        <v>-1.9715354908797167E-2</v>
      </c>
      <c r="H183" s="224">
        <f t="shared" si="738"/>
        <v>-2.5362212109851456E-2</v>
      </c>
      <c r="I183" s="225">
        <f t="shared" si="738"/>
        <v>-1.5251328903203243E-2</v>
      </c>
      <c r="J183" s="224">
        <f t="shared" si="738"/>
        <v>4.1352610095075626E-3</v>
      </c>
      <c r="K183" s="224">
        <f t="shared" si="738"/>
        <v>-3.8732871607065733E-2</v>
      </c>
      <c r="L183" s="224">
        <f t="shared" si="738"/>
        <v>-3.1485695647286871E-2</v>
      </c>
      <c r="M183" s="225">
        <f t="shared" si="738"/>
        <v>-2.0949368216440778E-2</v>
      </c>
      <c r="N183" s="224">
        <f t="shared" si="738"/>
        <v>8.7333666767270834E-3</v>
      </c>
      <c r="O183" s="224">
        <f t="shared" si="738"/>
        <v>3.9644581001161416E-3</v>
      </c>
      <c r="P183" s="224">
        <f t="shared" si="738"/>
        <v>2.2876132695017537E-2</v>
      </c>
      <c r="Q183" s="225">
        <f t="shared" si="738"/>
        <v>8.9550783337262185E-3</v>
      </c>
      <c r="R183" s="224">
        <f t="shared" si="738"/>
        <v>-1.6225661329201779E-2</v>
      </c>
      <c r="S183" s="224">
        <f t="shared" si="738"/>
        <v>4.730802535369838E-3</v>
      </c>
      <c r="T183" s="224">
        <f t="shared" si="738"/>
        <v>2.1903896224572117E-2</v>
      </c>
      <c r="U183" s="225">
        <f t="shared" si="738"/>
        <v>6.2063495101444488E-2</v>
      </c>
      <c r="V183" s="224">
        <f t="shared" si="738"/>
        <v>-1.3557029614292393E-2</v>
      </c>
      <c r="W183" s="224">
        <f t="shared" si="738"/>
        <v>4.9101382240962499E-2</v>
      </c>
      <c r="X183" s="224">
        <f t="shared" si="738"/>
        <v>6.1765921037698401E-2</v>
      </c>
      <c r="Y183" s="225">
        <f t="shared" si="738"/>
        <v>-3.7314207206580741E-2</v>
      </c>
      <c r="Z183" s="224">
        <f t="shared" si="738"/>
        <v>8.7372574582920359E-2</v>
      </c>
      <c r="AA183" s="224">
        <f t="shared" si="738"/>
        <v>-3.3655835035947046E-2</v>
      </c>
      <c r="AB183" s="224">
        <f t="shared" si="738"/>
        <v>-7.0509972470711668E-2</v>
      </c>
      <c r="AC183" s="225">
        <f t="shared" si="738"/>
        <v>-2.8384654864805681E-2</v>
      </c>
      <c r="AD183" s="224">
        <f t="shared" si="738"/>
        <v>-7.6326306308938108E-3</v>
      </c>
      <c r="AE183" s="224">
        <f t="shared" si="738"/>
        <v>-3.9406620585460628E-2</v>
      </c>
      <c r="AF183" s="224">
        <f t="shared" si="738"/>
        <v>-2.6552384284447283E-3</v>
      </c>
      <c r="AG183" s="225">
        <f t="shared" si="738"/>
        <v>0.1197630042738087</v>
      </c>
      <c r="AH183" s="224">
        <f t="shared" si="738"/>
        <v>-6.3532637386148116E-2</v>
      </c>
      <c r="AI183" s="224">
        <f t="shared" si="738"/>
        <v>-4.9782621023204299E-2</v>
      </c>
      <c r="AJ183" s="224">
        <f t="shared" si="738"/>
        <v>2.8310202023934306E-2</v>
      </c>
      <c r="AK183" s="225">
        <f t="shared" si="738"/>
        <v>3.6261446737144709E-2</v>
      </c>
      <c r="AL183" s="224">
        <f t="shared" si="738"/>
        <v>5.3198415143228539E-2</v>
      </c>
      <c r="AM183" s="389">
        <v>0</v>
      </c>
      <c r="AN183" s="389">
        <v>0</v>
      </c>
      <c r="AO183" s="430">
        <v>0</v>
      </c>
      <c r="AP183" s="389">
        <f t="shared" si="735"/>
        <v>0.02</v>
      </c>
      <c r="AQ183" s="389">
        <v>0</v>
      </c>
      <c r="AR183" s="389">
        <v>0</v>
      </c>
      <c r="AS183" s="430">
        <v>0</v>
      </c>
      <c r="AT183" s="389">
        <f t="shared" si="736"/>
        <v>0.01</v>
      </c>
      <c r="AU183" s="389">
        <v>0</v>
      </c>
      <c r="AV183" s="389">
        <v>0</v>
      </c>
      <c r="AW183" s="430">
        <v>0</v>
      </c>
      <c r="AY183" s="204"/>
      <c r="AZ183" s="204"/>
      <c r="BA183" s="274">
        <f t="shared" si="731"/>
        <v>-8.0665525733820909E-2</v>
      </c>
      <c r="BB183" s="274">
        <f t="shared" si="737"/>
        <v>-7.201602997147194E-2</v>
      </c>
      <c r="BC183" s="274">
        <f t="shared" si="737"/>
        <v>-1.6817194545928116E-2</v>
      </c>
      <c r="BD183" s="274">
        <f t="shared" si="737"/>
        <v>3.5010445428202086E-2</v>
      </c>
      <c r="BE183" s="274">
        <f t="shared" si="737"/>
        <v>0.10143602285905762</v>
      </c>
      <c r="BF183" s="274">
        <f t="shared" si="737"/>
        <v>2.2158372940856319E-2</v>
      </c>
      <c r="BG183" s="274">
        <f t="shared" si="737"/>
        <v>-7.6377928444090415E-2</v>
      </c>
      <c r="BH183" s="274">
        <f t="shared" si="737"/>
        <v>1.8639434374940755E-3</v>
      </c>
      <c r="BI183" s="274">
        <f t="shared" si="737"/>
        <v>8.2046722018605189E-2</v>
      </c>
      <c r="BJ183" s="274">
        <f t="shared" si="737"/>
        <v>2.0000000000000018E-2</v>
      </c>
      <c r="BK183" s="274">
        <f t="shared" si="737"/>
        <v>1.0000000000000009E-2</v>
      </c>
    </row>
    <row r="184" spans="1:63">
      <c r="A184" s="290" t="s">
        <v>827</v>
      </c>
      <c r="B184" s="408"/>
      <c r="C184" s="431">
        <v>0.02</v>
      </c>
      <c r="D184" s="431">
        <v>-0.01</v>
      </c>
      <c r="E184" s="432">
        <v>-1.4999999999999999E-2</v>
      </c>
      <c r="F184" s="431">
        <v>-0.04</v>
      </c>
      <c r="G184" s="431">
        <v>-1.4999999999999999E-2</v>
      </c>
      <c r="H184" s="431">
        <v>-0.04</v>
      </c>
      <c r="I184" s="432">
        <v>-0.01</v>
      </c>
      <c r="J184" s="431">
        <v>-0.02</v>
      </c>
      <c r="K184" s="431">
        <v>-0.02</v>
      </c>
      <c r="L184" s="431">
        <v>-0.02</v>
      </c>
      <c r="M184" s="432">
        <v>-0.02</v>
      </c>
      <c r="N184" s="431">
        <v>0.01</v>
      </c>
      <c r="O184" s="431">
        <v>5.0000000000000001E-3</v>
      </c>
      <c r="P184" s="431">
        <v>0.02</v>
      </c>
      <c r="Q184" s="432">
        <v>0.01</v>
      </c>
      <c r="R184" s="431">
        <v>0</v>
      </c>
      <c r="S184" s="431">
        <v>0.01</v>
      </c>
      <c r="T184" s="389">
        <v>0.03</v>
      </c>
      <c r="U184" s="430">
        <v>0.06</v>
      </c>
      <c r="V184" s="389">
        <v>0.1</v>
      </c>
      <c r="W184" s="389">
        <v>0.05</v>
      </c>
      <c r="X184" s="389">
        <v>3.5000000000000003E-2</v>
      </c>
      <c r="Y184" s="430">
        <v>-0.03</v>
      </c>
      <c r="Z184" s="389">
        <f>Z182</f>
        <v>0.09</v>
      </c>
      <c r="AA184" s="389">
        <v>-0.06</v>
      </c>
      <c r="AB184" s="389">
        <v>-0.02</v>
      </c>
      <c r="AC184" s="430">
        <v>-0.02</v>
      </c>
      <c r="AD184" s="389">
        <v>-1.4999999999999999E-2</v>
      </c>
      <c r="AE184" s="389">
        <v>0</v>
      </c>
      <c r="AF184" s="389">
        <v>0</v>
      </c>
      <c r="AG184" s="430">
        <v>3.0000000000000001E-3</v>
      </c>
      <c r="AH184" s="389">
        <v>-0.08</v>
      </c>
      <c r="AI184" s="389">
        <v>0</v>
      </c>
      <c r="AJ184" s="389">
        <f>AJ182</f>
        <v>3.5000000000000003E-2</v>
      </c>
      <c r="AK184" s="430">
        <v>3.5000000000000003E-2</v>
      </c>
      <c r="AL184" s="389">
        <v>0</v>
      </c>
      <c r="AM184" s="389">
        <v>0</v>
      </c>
      <c r="AN184" s="389">
        <v>0</v>
      </c>
      <c r="AO184" s="430">
        <v>0</v>
      </c>
      <c r="AP184" s="389">
        <f t="shared" si="735"/>
        <v>0.02</v>
      </c>
      <c r="AQ184" s="389">
        <v>0</v>
      </c>
      <c r="AR184" s="389">
        <v>0</v>
      </c>
      <c r="AS184" s="430">
        <v>0</v>
      </c>
      <c r="AT184" s="389">
        <f t="shared" si="736"/>
        <v>0.01</v>
      </c>
      <c r="AU184" s="389">
        <v>0</v>
      </c>
      <c r="AV184" s="389">
        <v>0</v>
      </c>
      <c r="AW184" s="430">
        <v>0</v>
      </c>
      <c r="AY184" s="204"/>
      <c r="AZ184" s="204"/>
      <c r="BA184" s="274">
        <f t="shared" si="731"/>
        <v>-8.2365072323694388E-2</v>
      </c>
      <c r="BB184" s="274">
        <f t="shared" si="737"/>
        <v>-8.0389474430829555E-2</v>
      </c>
      <c r="BC184" s="274">
        <f t="shared" si="737"/>
        <v>-3.2037608460186995E-3</v>
      </c>
      <c r="BD184" s="274">
        <f t="shared" si="737"/>
        <v>5.8218211060321101E-2</v>
      </c>
      <c r="BE184" s="274">
        <f t="shared" si="737"/>
        <v>0.22323687864475628</v>
      </c>
      <c r="BF184" s="274">
        <f t="shared" si="737"/>
        <v>2.8418981860616865E-2</v>
      </c>
      <c r="BG184" s="274">
        <f t="shared" si="737"/>
        <v>-5.0325894676739868E-2</v>
      </c>
      <c r="BH184" s="274">
        <f t="shared" si="737"/>
        <v>-5.2891352033919481E-2</v>
      </c>
      <c r="BI184" s="274">
        <f t="shared" si="737"/>
        <v>4.2917283690197205E-2</v>
      </c>
      <c r="BJ184" s="274">
        <f t="shared" si="737"/>
        <v>2.0000000000000018E-2</v>
      </c>
      <c r="BK184" s="274">
        <f t="shared" si="737"/>
        <v>1.0000000000000009E-2</v>
      </c>
    </row>
    <row r="185" spans="1:63">
      <c r="A185" s="336" t="s">
        <v>717</v>
      </c>
      <c r="B185" s="296"/>
      <c r="C185" s="433">
        <f>C174/B174-1</f>
        <v>2.12819060955316E-2</v>
      </c>
      <c r="D185" s="433">
        <f t="shared" ref="D185:V185" si="739">D174/C174-1</f>
        <v>-1.8296631159545829E-2</v>
      </c>
      <c r="E185" s="434">
        <f t="shared" si="739"/>
        <v>-8.755173950502293E-3</v>
      </c>
      <c r="F185" s="433">
        <f t="shared" si="739"/>
        <v>-8.2202246377589216E-2</v>
      </c>
      <c r="G185" s="433">
        <f t="shared" si="739"/>
        <v>-5.1577872400843106E-3</v>
      </c>
      <c r="H185" s="433">
        <f t="shared" si="739"/>
        <v>-4.1444455195544738E-2</v>
      </c>
      <c r="I185" s="434">
        <f t="shared" si="739"/>
        <v>-1.2892122217521562E-2</v>
      </c>
      <c r="J185" s="433">
        <f t="shared" si="739"/>
        <v>-4.0559963259912957E-2</v>
      </c>
      <c r="K185" s="433">
        <f t="shared" si="739"/>
        <v>-2.8473216748137187E-4</v>
      </c>
      <c r="L185" s="433">
        <f t="shared" si="739"/>
        <v>-7.0197439145601725E-3</v>
      </c>
      <c r="M185" s="434">
        <f t="shared" si="739"/>
        <v>-5.9944104663145481E-5</v>
      </c>
      <c r="N185" s="433">
        <f t="shared" si="739"/>
        <v>2.0809241541122736E-2</v>
      </c>
      <c r="O185" s="433">
        <f t="shared" si="739"/>
        <v>1.3984686655250211E-2</v>
      </c>
      <c r="P185" s="433">
        <f t="shared" si="739"/>
        <v>7.9977884140354449E-2</v>
      </c>
      <c r="Q185" s="434">
        <f t="shared" si="739"/>
        <v>-3.8968397908869745E-2</v>
      </c>
      <c r="R185" s="433">
        <f t="shared" si="739"/>
        <v>4.6903528309660603E-2</v>
      </c>
      <c r="S185" s="433">
        <f t="shared" si="739"/>
        <v>9.3826261939501387E-2</v>
      </c>
      <c r="T185" s="433">
        <f t="shared" si="739"/>
        <v>9.419143388512996E-2</v>
      </c>
      <c r="U185" s="434">
        <f t="shared" si="739"/>
        <v>6.1864663003086573E-2</v>
      </c>
      <c r="V185" s="433">
        <f t="shared" si="739"/>
        <v>0.12829744539227739</v>
      </c>
      <c r="W185" s="433">
        <f t="shared" ref="W185:AG185" si="740">W174/V174-1</f>
        <v>2.5317065892158208E-2</v>
      </c>
      <c r="X185" s="433">
        <f t="shared" si="740"/>
        <v>3.3641817791322026E-2</v>
      </c>
      <c r="Y185" s="434">
        <f t="shared" si="740"/>
        <v>-4.3735484033799454E-2</v>
      </c>
      <c r="Z185" s="433">
        <f t="shared" si="740"/>
        <v>0.14666579062492557</v>
      </c>
      <c r="AA185" s="433">
        <f t="shared" si="740"/>
        <v>-6.4591755532832917E-2</v>
      </c>
      <c r="AB185" s="433">
        <f t="shared" si="740"/>
        <v>-4.5513706196000259E-2</v>
      </c>
      <c r="AC185" s="434">
        <f t="shared" si="740"/>
        <v>-3.1026855629291195E-2</v>
      </c>
      <c r="AD185" s="433">
        <f t="shared" si="740"/>
        <v>-2.5780377268122767E-2</v>
      </c>
      <c r="AE185" s="433">
        <f t="shared" si="740"/>
        <v>-7.7715202490550639E-2</v>
      </c>
      <c r="AF185" s="433">
        <f t="shared" si="740"/>
        <v>0.154723395731728</v>
      </c>
      <c r="AG185" s="434">
        <f t="shared" si="740"/>
        <v>6.1432852778165792E-2</v>
      </c>
      <c r="AH185" s="433">
        <f t="shared" ref="AH185:AO185" si="741">AH174/AG174-1</f>
        <v>-8.9514295588044912E-2</v>
      </c>
      <c r="AI185" s="433">
        <f t="shared" si="741"/>
        <v>-6.3249831160041126E-2</v>
      </c>
      <c r="AJ185" s="433">
        <f t="shared" si="741"/>
        <v>3.7624329765358455E-2</v>
      </c>
      <c r="AK185" s="434">
        <f t="shared" si="741"/>
        <v>7.8926174762083967E-3</v>
      </c>
      <c r="AL185" s="433">
        <f t="shared" si="741"/>
        <v>2.546281362775682E-2</v>
      </c>
      <c r="AM185" s="433">
        <f t="shared" si="741"/>
        <v>-2.2100573784167521E-2</v>
      </c>
      <c r="AN185" s="433">
        <f t="shared" si="741"/>
        <v>3.1868094288017623E-2</v>
      </c>
      <c r="AO185" s="434">
        <f t="shared" si="741"/>
        <v>2.8966869766742231E-3</v>
      </c>
      <c r="AP185" s="433">
        <f t="shared" ref="AP185" si="742">AP174/AO174-1</f>
        <v>2.6287731163586958E-2</v>
      </c>
      <c r="AQ185" s="433">
        <f t="shared" ref="AQ185" si="743">AQ174/AP174-1</f>
        <v>7.5265487825515454E-3</v>
      </c>
      <c r="AR185" s="433">
        <f t="shared" ref="AR185" si="744">AR174/AQ174-1</f>
        <v>1.0392517208370089E-2</v>
      </c>
      <c r="AS185" s="434">
        <f t="shared" ref="AS185" si="745">AS174/AR174-1</f>
        <v>6.0769746853566176E-3</v>
      </c>
      <c r="AT185" s="433">
        <f t="shared" ref="AT185" si="746">AT174/AS174-1</f>
        <v>2.6222704675006536E-2</v>
      </c>
      <c r="AU185" s="433">
        <f t="shared" ref="AU185" si="747">AU174/AT174-1</f>
        <v>1.2420427587247262E-2</v>
      </c>
      <c r="AV185" s="433">
        <f t="shared" ref="AV185" si="748">AV174/AU174-1</f>
        <v>1.7080861325077468E-2</v>
      </c>
      <c r="AW185" s="434">
        <f t="shared" ref="AW185" si="749">AW174/AV174-1</f>
        <v>1.2023172649359593E-2</v>
      </c>
      <c r="AY185" s="217"/>
      <c r="AZ185" s="217"/>
      <c r="BA185" s="363">
        <f t="shared" si="731"/>
        <v>-0.11744250847262405</v>
      </c>
      <c r="BB185" s="363">
        <f t="shared" si="737"/>
        <v>-7.4030044065530154E-2</v>
      </c>
      <c r="BC185" s="363">
        <f t="shared" si="737"/>
        <v>5.8586778598681999E-2</v>
      </c>
      <c r="BD185" s="363">
        <f t="shared" si="737"/>
        <v>0.2108871532288088</v>
      </c>
      <c r="BE185" s="363">
        <f t="shared" si="737"/>
        <v>0.28502335741259532</v>
      </c>
      <c r="BF185" s="363">
        <f t="shared" si="737"/>
        <v>4.0898158640838567E-2</v>
      </c>
      <c r="BG185" s="363">
        <f t="shared" si="737"/>
        <v>-5.5125536693233612E-2</v>
      </c>
      <c r="BH185" s="363">
        <f t="shared" si="737"/>
        <v>-2.7983745660989712E-2</v>
      </c>
      <c r="BI185" s="363">
        <f t="shared" si="737"/>
        <v>3.3520255403670207E-2</v>
      </c>
      <c r="BJ185" s="363">
        <f t="shared" si="737"/>
        <v>5.2335393297763044E-2</v>
      </c>
      <c r="BK185" s="363">
        <f t="shared" si="737"/>
        <v>6.0093231306163508E-2</v>
      </c>
    </row>
    <row r="186" spans="1:63">
      <c r="A186" s="436" t="s">
        <v>716</v>
      </c>
      <c r="B186" s="277"/>
      <c r="C186" s="277"/>
      <c r="D186" s="428"/>
      <c r="E186" s="429"/>
      <c r="F186" s="428"/>
      <c r="G186" s="428"/>
      <c r="H186" s="428"/>
      <c r="I186" s="429"/>
      <c r="J186" s="428"/>
      <c r="K186" s="428"/>
      <c r="L186" s="428"/>
      <c r="M186" s="438"/>
      <c r="N186" s="437"/>
      <c r="O186" s="437"/>
      <c r="P186" s="437"/>
      <c r="Q186" s="438"/>
      <c r="R186" s="439"/>
      <c r="S186" s="439"/>
      <c r="T186" s="439"/>
      <c r="U186" s="440"/>
      <c r="V186" s="439"/>
      <c r="W186" s="439"/>
      <c r="X186" s="439"/>
      <c r="Y186" s="440"/>
      <c r="Z186" s="439"/>
      <c r="AA186" s="439"/>
      <c r="AB186" s="439"/>
      <c r="AC186" s="440"/>
      <c r="AD186" s="439"/>
      <c r="AE186" s="439"/>
      <c r="AF186" s="439"/>
      <c r="AG186" s="440"/>
      <c r="AH186" s="439"/>
      <c r="AI186" s="439"/>
      <c r="AJ186" s="439"/>
      <c r="AK186" s="440"/>
      <c r="AL186" s="439"/>
      <c r="AM186" s="439"/>
      <c r="AN186" s="439"/>
      <c r="AO186" s="440"/>
      <c r="AP186" s="439"/>
      <c r="AQ186" s="439"/>
      <c r="AR186" s="439"/>
      <c r="AS186" s="440"/>
      <c r="AT186" s="439"/>
      <c r="AU186" s="439"/>
      <c r="AV186" s="439"/>
      <c r="AW186" s="440"/>
      <c r="AY186" s="410"/>
      <c r="AZ186" s="410"/>
      <c r="BA186" s="553"/>
      <c r="BB186" s="553"/>
      <c r="BC186" s="553"/>
      <c r="BD186" s="553"/>
      <c r="BE186" s="553"/>
      <c r="BF186" s="553"/>
      <c r="BG186" s="553"/>
      <c r="BH186" s="553"/>
      <c r="BI186" s="553"/>
      <c r="BJ186" s="1081"/>
      <c r="BK186" s="1081"/>
    </row>
    <row r="187" spans="1:63">
      <c r="A187" s="441" t="s">
        <v>935</v>
      </c>
      <c r="F187" s="387"/>
      <c r="G187" s="387"/>
      <c r="H187" s="387"/>
      <c r="I187" s="388"/>
      <c r="J187" s="387"/>
      <c r="K187" s="387"/>
      <c r="L187" s="331"/>
      <c r="M187" s="442">
        <f t="shared" ref="M187:U187" si="750">M166*2.25</f>
        <v>3825</v>
      </c>
      <c r="N187" s="443">
        <f t="shared" si="750"/>
        <v>3825</v>
      </c>
      <c r="O187" s="443">
        <f t="shared" si="750"/>
        <v>3805.875</v>
      </c>
      <c r="P187" s="443">
        <f t="shared" si="750"/>
        <v>3805.875</v>
      </c>
      <c r="Q187" s="442">
        <f t="shared" si="750"/>
        <v>3748.7868750000002</v>
      </c>
      <c r="R187" s="443">
        <f t="shared" si="750"/>
        <v>3692.5550718750001</v>
      </c>
      <c r="S187" s="443">
        <f t="shared" si="750"/>
        <v>3692.5550718750001</v>
      </c>
      <c r="T187" s="443">
        <f t="shared" si="750"/>
        <v>3877.1828254687503</v>
      </c>
      <c r="U187" s="442">
        <f t="shared" si="750"/>
        <v>4109.8137949968759</v>
      </c>
      <c r="V187" s="443">
        <f t="shared" ref="V187:AF187" si="751">V166*2.25</f>
        <v>4726.2858642464062</v>
      </c>
      <c r="W187" s="443">
        <f t="shared" si="751"/>
        <v>4844.4430108525657</v>
      </c>
      <c r="X187" s="443">
        <f t="shared" si="751"/>
        <v>5038.2207312866685</v>
      </c>
      <c r="Y187" s="442">
        <f t="shared" si="751"/>
        <v>4836.6919020352016</v>
      </c>
      <c r="Z187" s="443">
        <f t="shared" si="751"/>
        <v>5271.9941732183697</v>
      </c>
      <c r="AA187" s="443">
        <f t="shared" si="751"/>
        <v>4902.954581093084</v>
      </c>
      <c r="AB187" s="443">
        <f t="shared" si="751"/>
        <v>4804.8954894712224</v>
      </c>
      <c r="AC187" s="442">
        <f t="shared" si="751"/>
        <v>4708.7975796817973</v>
      </c>
      <c r="AD187" s="443">
        <f t="shared" si="751"/>
        <v>4638.1656159865706</v>
      </c>
      <c r="AE187" s="443">
        <f t="shared" si="751"/>
        <v>4638.1656159865706</v>
      </c>
      <c r="AF187" s="443">
        <f t="shared" si="751"/>
        <v>4870.0738967858988</v>
      </c>
      <c r="AG187" s="442">
        <f t="shared" ref="AG187:AO187" si="752">AG166*2.25</f>
        <v>4884.6841184762561</v>
      </c>
      <c r="AH187" s="443">
        <f t="shared" si="752"/>
        <v>4493.9093889981559</v>
      </c>
      <c r="AI187" s="443">
        <f t="shared" si="752"/>
        <v>4044.5184500983401</v>
      </c>
      <c r="AJ187" s="443">
        <f t="shared" si="752"/>
        <v>4186.0765958517813</v>
      </c>
      <c r="AK187" s="442">
        <f t="shared" si="752"/>
        <v>4269.7981277688177</v>
      </c>
      <c r="AL187" s="443">
        <f t="shared" si="752"/>
        <v>4269.7981277688177</v>
      </c>
      <c r="AM187" s="443">
        <f t="shared" si="752"/>
        <v>4269.7981277688177</v>
      </c>
      <c r="AN187" s="443">
        <f t="shared" si="752"/>
        <v>4269.7981277688177</v>
      </c>
      <c r="AO187" s="442">
        <f t="shared" si="752"/>
        <v>4269.7981277688177</v>
      </c>
      <c r="AP187" s="443">
        <f t="shared" ref="AP187:AS187" si="753">AP166*2.25</f>
        <v>4355.1940903241939</v>
      </c>
      <c r="AQ187" s="443">
        <f t="shared" si="753"/>
        <v>4355.1940903241939</v>
      </c>
      <c r="AR187" s="443">
        <f t="shared" si="753"/>
        <v>4398.7460312274361</v>
      </c>
      <c r="AS187" s="442">
        <f t="shared" si="753"/>
        <v>4442.7334915397096</v>
      </c>
      <c r="AT187" s="443">
        <f t="shared" ref="AT187:AW187" si="754">AT166*2.25</f>
        <v>4487.1608264551069</v>
      </c>
      <c r="AU187" s="443">
        <f t="shared" si="754"/>
        <v>4487.1608264551069</v>
      </c>
      <c r="AV187" s="443">
        <f t="shared" si="754"/>
        <v>4487.1608264551069</v>
      </c>
      <c r="AW187" s="442">
        <f t="shared" si="754"/>
        <v>4487.1608264551069</v>
      </c>
      <c r="AY187" s="204"/>
      <c r="AZ187" s="444"/>
      <c r="BA187" s="443"/>
      <c r="BB187" s="443"/>
      <c r="BC187" s="443">
        <f t="shared" ref="BC187:BG188" si="755">BC166*2.25</f>
        <v>3801.2523128506377</v>
      </c>
      <c r="BD187" s="443">
        <f t="shared" si="755"/>
        <v>3887.2473555601</v>
      </c>
      <c r="BE187" s="443">
        <f t="shared" si="755"/>
        <v>4860.9573042111861</v>
      </c>
      <c r="BF187" s="443">
        <f t="shared" si="755"/>
        <v>4923.7513807502464</v>
      </c>
      <c r="BG187" s="443">
        <f t="shared" si="755"/>
        <v>4761.588255328018</v>
      </c>
      <c r="BH187" s="443">
        <f t="shared" ref="BH187:BI191" si="756">BH166*2.25</f>
        <v>4244.2358643597936</v>
      </c>
      <c r="BI187" s="443">
        <f t="shared" si="756"/>
        <v>4269.7981277688177</v>
      </c>
      <c r="BJ187" s="443">
        <f t="shared" ref="BJ187:BK187" si="757">BJ166*2.25</f>
        <v>4389.6147220536986</v>
      </c>
      <c r="BK187" s="443">
        <f t="shared" si="757"/>
        <v>4487.1608264551069</v>
      </c>
    </row>
    <row r="188" spans="1:63">
      <c r="A188" s="441" t="s">
        <v>712</v>
      </c>
      <c r="B188" s="443">
        <f t="shared" ref="B188:L188" si="758">B167*2.25</f>
        <v>2534.2456711725677</v>
      </c>
      <c r="C188" s="443">
        <f t="shared" si="758"/>
        <v>2534.2456711725677</v>
      </c>
      <c r="D188" s="443">
        <f t="shared" si="758"/>
        <v>2483.5607577491164</v>
      </c>
      <c r="E188" s="442">
        <f t="shared" si="758"/>
        <v>2433.8895425941337</v>
      </c>
      <c r="F188" s="443">
        <f t="shared" si="758"/>
        <v>2239.1783791866028</v>
      </c>
      <c r="G188" s="443">
        <f t="shared" si="758"/>
        <v>2149.6112440191387</v>
      </c>
      <c r="H188" s="443">
        <f t="shared" si="758"/>
        <v>2042.1306818181818</v>
      </c>
      <c r="I188" s="442">
        <f t="shared" si="758"/>
        <v>2021.7093750000001</v>
      </c>
      <c r="J188" s="443">
        <f t="shared" si="758"/>
        <v>1961.0580937499999</v>
      </c>
      <c r="K188" s="443">
        <f t="shared" si="758"/>
        <v>1921.8369318749999</v>
      </c>
      <c r="L188" s="443">
        <f t="shared" si="758"/>
        <v>1902.6185625562498</v>
      </c>
      <c r="M188" s="442">
        <f t="shared" ref="M188:U188" si="759">M167*2.25</f>
        <v>1921.6447481818122</v>
      </c>
      <c r="N188" s="443">
        <f t="shared" si="759"/>
        <v>1960.0776431454487</v>
      </c>
      <c r="O188" s="443">
        <f t="shared" si="759"/>
        <v>1979.678419576903</v>
      </c>
      <c r="P188" s="443">
        <f t="shared" si="759"/>
        <v>2058.8655563599796</v>
      </c>
      <c r="Q188" s="442">
        <f t="shared" si="759"/>
        <v>2120.6315230507789</v>
      </c>
      <c r="R188" s="443">
        <f t="shared" si="759"/>
        <v>2120.6315230507789</v>
      </c>
      <c r="S188" s="443">
        <f t="shared" si="759"/>
        <v>2226.6630992033179</v>
      </c>
      <c r="T188" s="443">
        <f t="shared" si="759"/>
        <v>2449.3294091236498</v>
      </c>
      <c r="U188" s="442">
        <f t="shared" si="759"/>
        <v>2596.289173671069</v>
      </c>
      <c r="V188" s="443">
        <f t="shared" ref="V188:AF188" si="760">V167*2.25</f>
        <v>3167.4727918787044</v>
      </c>
      <c r="W188" s="443">
        <f t="shared" si="760"/>
        <v>3325.8464314726393</v>
      </c>
      <c r="X188" s="443">
        <f t="shared" si="760"/>
        <v>3458.8802887315455</v>
      </c>
      <c r="Y188" s="442">
        <f t="shared" si="760"/>
        <v>3320.5250771822834</v>
      </c>
      <c r="Z188" s="443">
        <f t="shared" si="760"/>
        <v>3619.3723341286895</v>
      </c>
      <c r="AA188" s="443">
        <f t="shared" si="760"/>
        <v>3366.0162707396812</v>
      </c>
      <c r="AB188" s="443">
        <f t="shared" si="760"/>
        <v>3298.6959453248874</v>
      </c>
      <c r="AC188" s="442">
        <f t="shared" si="760"/>
        <v>3232.7220264183898</v>
      </c>
      <c r="AD188" s="443">
        <f t="shared" si="760"/>
        <v>3184.2311960221136</v>
      </c>
      <c r="AE188" s="443">
        <f t="shared" si="760"/>
        <v>3184.2311960221136</v>
      </c>
      <c r="AF188" s="443">
        <f t="shared" si="760"/>
        <v>3343.4427558232196</v>
      </c>
      <c r="AG188" s="442">
        <f t="shared" ref="AG188:AO188" si="761">AG167*2.25</f>
        <v>3353.4730840906886</v>
      </c>
      <c r="AH188" s="443">
        <f t="shared" si="761"/>
        <v>3085.195237363434</v>
      </c>
      <c r="AI188" s="443">
        <f t="shared" si="761"/>
        <v>2838.3796183743589</v>
      </c>
      <c r="AJ188" s="443">
        <f t="shared" si="761"/>
        <v>2937.7229050174615</v>
      </c>
      <c r="AK188" s="442">
        <f t="shared" si="761"/>
        <v>2996.4773631178109</v>
      </c>
      <c r="AL188" s="443">
        <f t="shared" si="761"/>
        <v>2996.4773631178109</v>
      </c>
      <c r="AM188" s="443">
        <f t="shared" si="761"/>
        <v>2996.4773631178109</v>
      </c>
      <c r="AN188" s="443">
        <f t="shared" si="761"/>
        <v>2996.4773631178109</v>
      </c>
      <c r="AO188" s="442">
        <f t="shared" si="761"/>
        <v>2996.4773631178109</v>
      </c>
      <c r="AP188" s="443">
        <f t="shared" ref="AP188:AS188" si="762">AP167*2.25</f>
        <v>3056.4069103801671</v>
      </c>
      <c r="AQ188" s="443">
        <f t="shared" si="762"/>
        <v>3056.4069103801671</v>
      </c>
      <c r="AR188" s="443">
        <f t="shared" si="762"/>
        <v>3056.4069103801671</v>
      </c>
      <c r="AS188" s="442">
        <f t="shared" si="762"/>
        <v>3056.4069103801671</v>
      </c>
      <c r="AT188" s="443">
        <f t="shared" ref="AT188:AW188" si="763">AT167*2.25</f>
        <v>3086.9709794839691</v>
      </c>
      <c r="AU188" s="443">
        <f t="shared" si="763"/>
        <v>3086.9709794839691</v>
      </c>
      <c r="AV188" s="443">
        <f t="shared" si="763"/>
        <v>3086.9709794839691</v>
      </c>
      <c r="AW188" s="442">
        <f t="shared" si="763"/>
        <v>3086.9709794839691</v>
      </c>
      <c r="AY188" s="204"/>
      <c r="AZ188" s="444">
        <f>AZ167*2.25</f>
        <v>2482.7317496042519</v>
      </c>
      <c r="BA188" s="443">
        <f>BA167*2.25</f>
        <v>2097.9971298502846</v>
      </c>
      <c r="BB188" s="443">
        <f>BB167*2.25</f>
        <v>1922.5892744584428</v>
      </c>
      <c r="BC188" s="443">
        <f t="shared" si="755"/>
        <v>2018.334779441459</v>
      </c>
      <c r="BD188" s="443">
        <f t="shared" si="755"/>
        <v>2381.9347155336777</v>
      </c>
      <c r="BE188" s="443">
        <f t="shared" si="755"/>
        <v>3318.4884716823276</v>
      </c>
      <c r="BF188" s="443">
        <f t="shared" si="755"/>
        <v>3358.446655304992</v>
      </c>
      <c r="BG188" s="443">
        <f t="shared" si="755"/>
        <v>3271.353132221022</v>
      </c>
      <c r="BH188" s="443">
        <f t="shared" si="756"/>
        <v>2957.5504195250196</v>
      </c>
      <c r="BI188" s="443">
        <f t="shared" si="756"/>
        <v>2996.4773631178109</v>
      </c>
      <c r="BJ188" s="443">
        <f t="shared" ref="BJ188:BK188" si="764">BJ167*2.25</f>
        <v>3056.4069103801667</v>
      </c>
      <c r="BK188" s="443">
        <f t="shared" si="764"/>
        <v>3086.9709794839691</v>
      </c>
    </row>
    <row r="189" spans="1:63">
      <c r="A189" s="441" t="s">
        <v>711</v>
      </c>
      <c r="B189" s="443">
        <f t="shared" ref="B189:L189" si="765">B168*2.25</f>
        <v>2069.610760739115</v>
      </c>
      <c r="C189" s="443">
        <f t="shared" si="765"/>
        <v>2090.3068683465062</v>
      </c>
      <c r="D189" s="443">
        <f t="shared" si="765"/>
        <v>2048.500730979576</v>
      </c>
      <c r="E189" s="442">
        <f t="shared" si="765"/>
        <v>2007.5307163599846</v>
      </c>
      <c r="F189" s="443">
        <f t="shared" si="765"/>
        <v>1887.0788733783857</v>
      </c>
      <c r="G189" s="443">
        <f t="shared" si="765"/>
        <v>1830.4665071770339</v>
      </c>
      <c r="H189" s="443">
        <f t="shared" si="765"/>
        <v>1738.943181818182</v>
      </c>
      <c r="I189" s="442">
        <f t="shared" si="765"/>
        <v>1721.5537500000003</v>
      </c>
      <c r="J189" s="443">
        <f t="shared" si="765"/>
        <v>1687.1226750000003</v>
      </c>
      <c r="K189" s="443">
        <f t="shared" si="765"/>
        <v>1670.2514482500003</v>
      </c>
      <c r="L189" s="443">
        <f t="shared" si="765"/>
        <v>1686.9539627325003</v>
      </c>
      <c r="M189" s="442">
        <f t="shared" ref="M189:U189" si="766">M168*2.25</f>
        <v>1703.8235023598252</v>
      </c>
      <c r="N189" s="443">
        <f t="shared" si="766"/>
        <v>1737.8999724070218</v>
      </c>
      <c r="O189" s="443">
        <f t="shared" si="766"/>
        <v>1755.2789721310921</v>
      </c>
      <c r="P189" s="443">
        <f t="shared" si="766"/>
        <v>1825.4901310163359</v>
      </c>
      <c r="Q189" s="442">
        <f t="shared" si="766"/>
        <v>1880.2548349468259</v>
      </c>
      <c r="R189" s="443">
        <f t="shared" si="766"/>
        <v>1993.0701250436357</v>
      </c>
      <c r="S189" s="443">
        <f t="shared" si="766"/>
        <v>2152.5157350471268</v>
      </c>
      <c r="T189" s="443">
        <f t="shared" si="766"/>
        <v>2410.8176232527821</v>
      </c>
      <c r="U189" s="442">
        <f t="shared" si="766"/>
        <v>2555.4666806479495</v>
      </c>
      <c r="V189" s="443">
        <f t="shared" ref="V189:AF189" si="767">V168*2.25</f>
        <v>2555.4666806479495</v>
      </c>
      <c r="W189" s="443">
        <f t="shared" si="767"/>
        <v>2555.4666806479495</v>
      </c>
      <c r="X189" s="443">
        <f t="shared" si="767"/>
        <v>2657.6853478738676</v>
      </c>
      <c r="Y189" s="442">
        <f t="shared" si="767"/>
        <v>2551.3779339589128</v>
      </c>
      <c r="Z189" s="443">
        <f t="shared" si="767"/>
        <v>2781.0019480152146</v>
      </c>
      <c r="AA189" s="443">
        <f t="shared" si="767"/>
        <v>2614.1418311343018</v>
      </c>
      <c r="AB189" s="443">
        <f t="shared" si="767"/>
        <v>2561.8589945116159</v>
      </c>
      <c r="AC189" s="442">
        <f t="shared" si="767"/>
        <v>2510.6218146213832</v>
      </c>
      <c r="AD189" s="443">
        <f t="shared" si="767"/>
        <v>2472.9624874020624</v>
      </c>
      <c r="AE189" s="443">
        <f t="shared" si="767"/>
        <v>2472.9624874020624</v>
      </c>
      <c r="AF189" s="443">
        <f t="shared" si="767"/>
        <v>2596.6106117721656</v>
      </c>
      <c r="AG189" s="442">
        <f t="shared" ref="AG189:AO189" si="768">AG168*2.25</f>
        <v>2604.400443607482</v>
      </c>
      <c r="AH189" s="443">
        <f t="shared" si="768"/>
        <v>2396.0484081188833</v>
      </c>
      <c r="AI189" s="443">
        <f t="shared" si="768"/>
        <v>2204.3645354693731</v>
      </c>
      <c r="AJ189" s="443">
        <f t="shared" si="768"/>
        <v>2281.5172942108006</v>
      </c>
      <c r="AK189" s="442">
        <f t="shared" si="768"/>
        <v>2327.1476400950169</v>
      </c>
      <c r="AL189" s="443">
        <f t="shared" si="768"/>
        <v>2327.1476400950169</v>
      </c>
      <c r="AM189" s="443">
        <f t="shared" si="768"/>
        <v>2327.1476400950169</v>
      </c>
      <c r="AN189" s="443">
        <f t="shared" si="768"/>
        <v>2327.1476400950169</v>
      </c>
      <c r="AO189" s="442">
        <f t="shared" si="768"/>
        <v>2327.1476400950169</v>
      </c>
      <c r="AP189" s="443">
        <f t="shared" ref="AP189:AS189" si="769">AP168*2.25</f>
        <v>2373.6905928969168</v>
      </c>
      <c r="AQ189" s="443">
        <f t="shared" si="769"/>
        <v>2373.6905928969168</v>
      </c>
      <c r="AR189" s="443">
        <f t="shared" si="769"/>
        <v>2373.6905928969168</v>
      </c>
      <c r="AS189" s="442">
        <f t="shared" si="769"/>
        <v>2373.6905928969168</v>
      </c>
      <c r="AT189" s="443">
        <f t="shared" ref="AT189:AW189" si="770">AT168*2.25</f>
        <v>2397.4274988258858</v>
      </c>
      <c r="AU189" s="443">
        <f t="shared" si="770"/>
        <v>2397.4274988258858</v>
      </c>
      <c r="AV189" s="443">
        <f t="shared" si="770"/>
        <v>2397.4274988258858</v>
      </c>
      <c r="AW189" s="442">
        <f t="shared" si="770"/>
        <v>2397.4274988258858</v>
      </c>
      <c r="AY189" s="204"/>
      <c r="AZ189" s="444">
        <f>AZ168*2.25</f>
        <v>2050.3349940768908</v>
      </c>
      <c r="BA189" s="443">
        <f t="shared" ref="BA189:BD191" si="771">BA168*2.25</f>
        <v>1791.5627855716864</v>
      </c>
      <c r="BB189" s="443">
        <f t="shared" si="771"/>
        <v>1686.3411193260042</v>
      </c>
      <c r="BC189" s="443">
        <f t="shared" si="771"/>
        <v>1799.9999375475775</v>
      </c>
      <c r="BD189" s="443">
        <f t="shared" si="771"/>
        <v>2276.5065068928707</v>
      </c>
      <c r="BE189" s="443">
        <f t="shared" ref="BE189:BG191" si="772">BE168*2.25</f>
        <v>2579.313269660779</v>
      </c>
      <c r="BF189" s="443">
        <f t="shared" si="772"/>
        <v>2608.0155460971955</v>
      </c>
      <c r="BG189" s="443">
        <f t="shared" si="772"/>
        <v>2553.4117306631497</v>
      </c>
      <c r="BH189" s="443">
        <f t="shared" si="756"/>
        <v>2300.7395609309651</v>
      </c>
      <c r="BI189" s="443">
        <f t="shared" si="756"/>
        <v>2327.1476400950173</v>
      </c>
      <c r="BJ189" s="443">
        <f t="shared" ref="BJ189:BK189" si="773">BJ168*2.25</f>
        <v>2373.6905928969168</v>
      </c>
      <c r="BK189" s="443">
        <f t="shared" si="773"/>
        <v>2397.4274988258858</v>
      </c>
    </row>
    <row r="190" spans="1:63">
      <c r="A190" s="441" t="s">
        <v>710</v>
      </c>
      <c r="B190" s="443">
        <f t="shared" ref="B190:L190" si="774">B169*2.25</f>
        <v>1694.163136793622</v>
      </c>
      <c r="C190" s="443">
        <f t="shared" si="774"/>
        <v>1711.1047681615582</v>
      </c>
      <c r="D190" s="443">
        <f t="shared" si="774"/>
        <v>1676.8826727983269</v>
      </c>
      <c r="E190" s="442">
        <f t="shared" si="774"/>
        <v>1643.3450193423603</v>
      </c>
      <c r="F190" s="443">
        <f t="shared" si="774"/>
        <v>1544.7443181818185</v>
      </c>
      <c r="G190" s="443">
        <f t="shared" si="774"/>
        <v>1513.8494318181822</v>
      </c>
      <c r="H190" s="443">
        <f t="shared" si="774"/>
        <v>1453.2954545454547</v>
      </c>
      <c r="I190" s="442">
        <f t="shared" si="774"/>
        <v>1438.7625</v>
      </c>
      <c r="J190" s="443">
        <f t="shared" si="774"/>
        <v>1409.9872500000001</v>
      </c>
      <c r="K190" s="443">
        <f t="shared" si="774"/>
        <v>1402.9373137500002</v>
      </c>
      <c r="L190" s="443">
        <f t="shared" si="774"/>
        <v>1416.9666868875001</v>
      </c>
      <c r="M190" s="442">
        <f t="shared" ref="M190:U190" si="775">M169*2.25</f>
        <v>1431.1363537563752</v>
      </c>
      <c r="N190" s="443">
        <f t="shared" si="775"/>
        <v>1459.7590808315026</v>
      </c>
      <c r="O190" s="443">
        <f t="shared" si="775"/>
        <v>1474.3566716398177</v>
      </c>
      <c r="P190" s="443">
        <f t="shared" si="775"/>
        <v>1533.3309385054104</v>
      </c>
      <c r="Q190" s="442">
        <f t="shared" si="775"/>
        <v>1579.3308666605728</v>
      </c>
      <c r="R190" s="443">
        <f t="shared" si="775"/>
        <v>1674.0907186602071</v>
      </c>
      <c r="S190" s="443">
        <f t="shared" si="775"/>
        <v>1841.499790526228</v>
      </c>
      <c r="T190" s="443">
        <f t="shared" si="775"/>
        <v>2117.7247591051619</v>
      </c>
      <c r="U190" s="442">
        <f t="shared" si="775"/>
        <v>2244.7882446514718</v>
      </c>
      <c r="V190" s="443">
        <f t="shared" ref="V190:AF190" si="776">V169*2.25</f>
        <v>2244.7882446514718</v>
      </c>
      <c r="W190" s="443">
        <f t="shared" si="776"/>
        <v>2244.7882446514718</v>
      </c>
      <c r="X190" s="443">
        <f t="shared" si="776"/>
        <v>2244.7882446514718</v>
      </c>
      <c r="Y190" s="442">
        <f t="shared" si="776"/>
        <v>2154.9967148654132</v>
      </c>
      <c r="Z190" s="443">
        <f t="shared" si="776"/>
        <v>2348.9464192033006</v>
      </c>
      <c r="AA190" s="443">
        <f t="shared" si="776"/>
        <v>2184.520169859069</v>
      </c>
      <c r="AB190" s="443">
        <f t="shared" si="776"/>
        <v>2140.8297664618876</v>
      </c>
      <c r="AC190" s="442">
        <f t="shared" si="776"/>
        <v>2098.0131711326499</v>
      </c>
      <c r="AD190" s="443">
        <f t="shared" si="776"/>
        <v>2066.5429735656603</v>
      </c>
      <c r="AE190" s="443">
        <f t="shared" si="776"/>
        <v>2066.5429735656603</v>
      </c>
      <c r="AF190" s="443">
        <f t="shared" si="776"/>
        <v>2169.8701222439431</v>
      </c>
      <c r="AG190" s="442">
        <f t="shared" ref="AG190:AO190" si="777">AG169*2.25</f>
        <v>2176.3797326106751</v>
      </c>
      <c r="AH190" s="443">
        <f t="shared" si="777"/>
        <v>2002.2693540018208</v>
      </c>
      <c r="AI190" s="443">
        <f t="shared" si="777"/>
        <v>1842.0878056816753</v>
      </c>
      <c r="AJ190" s="443">
        <f t="shared" si="777"/>
        <v>1906.5608788805339</v>
      </c>
      <c r="AK190" s="442">
        <f t="shared" si="777"/>
        <v>1944.6920964581448</v>
      </c>
      <c r="AL190" s="443">
        <f t="shared" si="777"/>
        <v>1944.6920964581448</v>
      </c>
      <c r="AM190" s="443">
        <f t="shared" si="777"/>
        <v>1944.6920964581448</v>
      </c>
      <c r="AN190" s="443">
        <f t="shared" si="777"/>
        <v>1944.6920964581448</v>
      </c>
      <c r="AO190" s="442">
        <f t="shared" si="777"/>
        <v>1944.6920964581448</v>
      </c>
      <c r="AP190" s="443">
        <f t="shared" ref="AP190:AS190" si="778">AP169*2.25</f>
        <v>1983.5859383873076</v>
      </c>
      <c r="AQ190" s="443">
        <f t="shared" si="778"/>
        <v>1983.5859383873076</v>
      </c>
      <c r="AR190" s="443">
        <f t="shared" si="778"/>
        <v>1983.5859383873076</v>
      </c>
      <c r="AS190" s="442">
        <f t="shared" si="778"/>
        <v>1983.5859383873076</v>
      </c>
      <c r="AT190" s="443">
        <f t="shared" ref="AT190:AW190" si="779">AT169*2.25</f>
        <v>2003.4217977711808</v>
      </c>
      <c r="AU190" s="443">
        <f t="shared" si="779"/>
        <v>2003.4217977711808</v>
      </c>
      <c r="AV190" s="443">
        <f t="shared" si="779"/>
        <v>2003.4217977711808</v>
      </c>
      <c r="AW190" s="442">
        <f t="shared" si="779"/>
        <v>2003.4217977711808</v>
      </c>
      <c r="AY190" s="204"/>
      <c r="AZ190" s="444">
        <f>AZ169*2.25</f>
        <v>1683.9395858789142</v>
      </c>
      <c r="BA190" s="443">
        <f t="shared" si="771"/>
        <v>1485.4431734397435</v>
      </c>
      <c r="BB190" s="443">
        <f t="shared" si="771"/>
        <v>1416.4914346413113</v>
      </c>
      <c r="BC190" s="443">
        <f t="shared" si="771"/>
        <v>1511.7474525171349</v>
      </c>
      <c r="BD190" s="443">
        <f t="shared" si="771"/>
        <v>1954.889609659077</v>
      </c>
      <c r="BE190" s="443">
        <f t="shared" si="772"/>
        <v>2224.6284757422277</v>
      </c>
      <c r="BF190" s="443">
        <f t="shared" si="772"/>
        <v>2183.6999013111931</v>
      </c>
      <c r="BG190" s="443">
        <f t="shared" si="772"/>
        <v>2124.7089049875685</v>
      </c>
      <c r="BH190" s="443">
        <f t="shared" si="756"/>
        <v>1923.4235119829821</v>
      </c>
      <c r="BI190" s="443">
        <f t="shared" si="756"/>
        <v>1944.6920964581448</v>
      </c>
      <c r="BJ190" s="443">
        <f t="shared" ref="BJ190:BK190" si="780">BJ169*2.25</f>
        <v>1983.5859383873076</v>
      </c>
      <c r="BK190" s="443">
        <f t="shared" si="780"/>
        <v>2003.4217977711808</v>
      </c>
    </row>
    <row r="191" spans="1:63">
      <c r="A191" s="943" t="s">
        <v>709</v>
      </c>
      <c r="B191" s="944">
        <f t="shared" ref="B191:L191" si="781">B170*2.25</f>
        <v>1460.4854627531222</v>
      </c>
      <c r="C191" s="944">
        <f t="shared" si="781"/>
        <v>1475.0903173806535</v>
      </c>
      <c r="D191" s="944">
        <f t="shared" si="781"/>
        <v>1445.5885110330403</v>
      </c>
      <c r="E191" s="945">
        <f t="shared" si="781"/>
        <v>1416.6767408123794</v>
      </c>
      <c r="F191" s="944">
        <f t="shared" si="781"/>
        <v>1331.6761363636367</v>
      </c>
      <c r="G191" s="944">
        <f t="shared" si="781"/>
        <v>1305.042613636364</v>
      </c>
      <c r="H191" s="944">
        <f t="shared" si="781"/>
        <v>1252.8409090909092</v>
      </c>
      <c r="I191" s="945">
        <f t="shared" si="781"/>
        <v>1240.3125</v>
      </c>
      <c r="J191" s="944">
        <f t="shared" si="781"/>
        <v>1215.5062500000001</v>
      </c>
      <c r="K191" s="944">
        <f t="shared" si="781"/>
        <v>1191.1961250000002</v>
      </c>
      <c r="L191" s="944">
        <f t="shared" si="781"/>
        <v>1203.1080862500003</v>
      </c>
      <c r="M191" s="945">
        <f t="shared" ref="M191:U191" si="782">M170*2.25</f>
        <v>1215.1391671125002</v>
      </c>
      <c r="N191" s="944">
        <f t="shared" si="782"/>
        <v>1227.2905587836251</v>
      </c>
      <c r="O191" s="944">
        <f t="shared" si="782"/>
        <v>1239.5634643714614</v>
      </c>
      <c r="P191" s="944">
        <f t="shared" si="782"/>
        <v>1289.1460029463196</v>
      </c>
      <c r="Q191" s="945">
        <f t="shared" si="782"/>
        <v>1327.8203830347095</v>
      </c>
      <c r="R191" s="944">
        <f t="shared" si="782"/>
        <v>1407.4896060167921</v>
      </c>
      <c r="S191" s="944">
        <f t="shared" si="782"/>
        <v>1520.0887744981358</v>
      </c>
      <c r="T191" s="944">
        <f t="shared" si="782"/>
        <v>1748.1020906728559</v>
      </c>
      <c r="U191" s="945">
        <f t="shared" si="782"/>
        <v>1852.9882161132273</v>
      </c>
      <c r="V191" s="944">
        <f t="shared" ref="V191:AF191" si="783">V170*2.25</f>
        <v>1852.9882161132273</v>
      </c>
      <c r="W191" s="944">
        <f t="shared" si="783"/>
        <v>1852.9882161132273</v>
      </c>
      <c r="X191" s="944">
        <f t="shared" si="783"/>
        <v>1852.9882161132273</v>
      </c>
      <c r="Y191" s="945">
        <f t="shared" si="783"/>
        <v>1778.8686874686982</v>
      </c>
      <c r="Z191" s="944">
        <f t="shared" si="783"/>
        <v>1938.966869340881</v>
      </c>
      <c r="AA191" s="944">
        <f t="shared" si="783"/>
        <v>1803.2391884870192</v>
      </c>
      <c r="AB191" s="944">
        <f t="shared" si="783"/>
        <v>1767.1744047172788</v>
      </c>
      <c r="AC191" s="945">
        <f t="shared" si="783"/>
        <v>1731.830916622933</v>
      </c>
      <c r="AD191" s="944">
        <f t="shared" si="783"/>
        <v>1705.853452873589</v>
      </c>
      <c r="AE191" s="944">
        <f t="shared" si="783"/>
        <v>1705.853452873589</v>
      </c>
      <c r="AF191" s="944">
        <f t="shared" si="783"/>
        <v>1791.1461255172685</v>
      </c>
      <c r="AG191" s="945">
        <f t="shared" ref="AG191:AO191" si="784">AG170*2.25</f>
        <v>1796.5195638938198</v>
      </c>
      <c r="AH191" s="944">
        <f t="shared" si="784"/>
        <v>1652.7979987823146</v>
      </c>
      <c r="AI191" s="944">
        <f t="shared" si="784"/>
        <v>1520.5741588797293</v>
      </c>
      <c r="AJ191" s="944">
        <f t="shared" si="784"/>
        <v>1573.7942544405198</v>
      </c>
      <c r="AK191" s="945">
        <f t="shared" si="784"/>
        <v>1624.1556705826165</v>
      </c>
      <c r="AL191" s="944">
        <f t="shared" si="784"/>
        <v>1624.1556705826165</v>
      </c>
      <c r="AM191" s="944">
        <f t="shared" si="784"/>
        <v>1624.1556705826165</v>
      </c>
      <c r="AN191" s="944">
        <f t="shared" si="784"/>
        <v>1624.1556705826165</v>
      </c>
      <c r="AO191" s="945">
        <f t="shared" si="784"/>
        <v>1624.1556705826165</v>
      </c>
      <c r="AP191" s="944">
        <f t="shared" ref="AP191:AS191" si="785">AP170*2.25</f>
        <v>1656.638783994269</v>
      </c>
      <c r="AQ191" s="944">
        <f t="shared" si="785"/>
        <v>1656.638783994269</v>
      </c>
      <c r="AR191" s="944">
        <f t="shared" si="785"/>
        <v>1656.638783994269</v>
      </c>
      <c r="AS191" s="945">
        <f t="shared" si="785"/>
        <v>1656.638783994269</v>
      </c>
      <c r="AT191" s="944">
        <f t="shared" ref="AT191:AW191" si="786">AT170*2.25</f>
        <v>1673.2051718342118</v>
      </c>
      <c r="AU191" s="944">
        <f t="shared" si="786"/>
        <v>1673.2051718342118</v>
      </c>
      <c r="AV191" s="944">
        <f t="shared" si="786"/>
        <v>1673.2051718342118</v>
      </c>
      <c r="AW191" s="945">
        <f t="shared" si="786"/>
        <v>1673.2051718342118</v>
      </c>
      <c r="AY191" s="204"/>
      <c r="AZ191" s="444">
        <f>AZ170*2.25</f>
        <v>1446.1459926782718</v>
      </c>
      <c r="BA191" s="443">
        <f t="shared" si="771"/>
        <v>1292.2247608953403</v>
      </c>
      <c r="BB191" s="443">
        <f t="shared" si="771"/>
        <v>1206.3697902815993</v>
      </c>
      <c r="BC191" s="944">
        <f t="shared" si="771"/>
        <v>1279.7152486147602</v>
      </c>
      <c r="BD191" s="944">
        <f t="shared" si="771"/>
        <v>1606.1214350222497</v>
      </c>
      <c r="BE191" s="944">
        <f t="shared" si="772"/>
        <v>1836.0251058808162</v>
      </c>
      <c r="BF191" s="944">
        <f t="shared" si="772"/>
        <v>1806.8355568853488</v>
      </c>
      <c r="BG191" s="944">
        <f t="shared" si="772"/>
        <v>1752.4956157592298</v>
      </c>
      <c r="BH191" s="944">
        <f t="shared" si="756"/>
        <v>1593.2594106174122</v>
      </c>
      <c r="BI191" s="944">
        <f t="shared" si="756"/>
        <v>1624.1556705826163</v>
      </c>
      <c r="BJ191" s="944">
        <f t="shared" ref="BJ191:BK191" si="787">BJ170*2.25</f>
        <v>1656.6387839942693</v>
      </c>
      <c r="BK191" s="944">
        <f t="shared" si="787"/>
        <v>1673.2051718342113</v>
      </c>
    </row>
    <row r="192" spans="1:63">
      <c r="A192" s="675"/>
      <c r="B192" s="676"/>
      <c r="C192" s="676"/>
      <c r="D192" s="676"/>
      <c r="E192" s="1109"/>
      <c r="F192" s="676"/>
      <c r="G192" s="676"/>
      <c r="H192" s="676"/>
      <c r="I192" s="1109"/>
      <c r="J192" s="676"/>
      <c r="K192" s="676"/>
      <c r="L192" s="676"/>
      <c r="M192" s="1109"/>
      <c r="N192" s="676"/>
      <c r="O192" s="676"/>
      <c r="P192" s="676"/>
      <c r="Q192" s="1109"/>
      <c r="R192" s="676"/>
      <c r="S192" s="676"/>
      <c r="T192" s="676"/>
      <c r="U192" s="1109"/>
      <c r="V192" s="676"/>
      <c r="W192" s="676"/>
      <c r="X192" s="676"/>
      <c r="AL192" s="452"/>
      <c r="AM192" s="676"/>
      <c r="AN192" s="676"/>
      <c r="AO192" s="1109"/>
      <c r="AP192" s="676"/>
      <c r="AQ192" s="676"/>
      <c r="AR192" s="676"/>
      <c r="AS192" s="1109"/>
      <c r="AT192" s="676"/>
      <c r="AU192" s="676"/>
      <c r="AV192" s="676"/>
      <c r="AW192" s="1109"/>
      <c r="AY192" s="204"/>
      <c r="AZ192" s="204"/>
    </row>
    <row r="193" spans="1:63">
      <c r="A193" s="283" t="s">
        <v>715</v>
      </c>
      <c r="B193" s="286"/>
      <c r="C193" s="286"/>
      <c r="D193" s="286"/>
      <c r="E193" s="287"/>
      <c r="F193" s="286"/>
      <c r="G193" s="286"/>
      <c r="H193" s="286"/>
      <c r="I193" s="287"/>
      <c r="J193" s="286"/>
      <c r="K193" s="286"/>
      <c r="L193" s="352"/>
      <c r="M193" s="353"/>
      <c r="N193" s="352"/>
      <c r="O193" s="352"/>
      <c r="P193" s="352"/>
      <c r="Q193" s="723"/>
      <c r="R193" s="1126" t="s">
        <v>421</v>
      </c>
      <c r="S193" s="1126" t="s">
        <v>422</v>
      </c>
      <c r="T193" s="1126" t="s">
        <v>423</v>
      </c>
      <c r="U193" s="1127" t="s">
        <v>424</v>
      </c>
      <c r="V193" s="862" t="str">
        <f>V$3</f>
        <v>1Q22</v>
      </c>
      <c r="W193" s="862" t="str">
        <f t="shared" ref="W193:AG193" si="788">W$3</f>
        <v>2Q22</v>
      </c>
      <c r="X193" s="862" t="str">
        <f t="shared" si="788"/>
        <v>3Q22</v>
      </c>
      <c r="Y193" s="869" t="str">
        <f t="shared" si="788"/>
        <v>4Q22</v>
      </c>
      <c r="Z193" s="867" t="str">
        <f t="shared" si="788"/>
        <v>1Q23</v>
      </c>
      <c r="AA193" s="867" t="str">
        <f t="shared" si="788"/>
        <v>2Q23</v>
      </c>
      <c r="AB193" s="867" t="str">
        <f t="shared" si="788"/>
        <v>3Q23</v>
      </c>
      <c r="AC193" s="869" t="str">
        <f t="shared" si="788"/>
        <v>4Q23</v>
      </c>
      <c r="AD193" s="867" t="str">
        <f t="shared" si="788"/>
        <v>1Q24</v>
      </c>
      <c r="AE193" s="867" t="str">
        <f t="shared" si="788"/>
        <v>2Q24</v>
      </c>
      <c r="AF193" s="867" t="str">
        <f t="shared" si="788"/>
        <v>3Q24</v>
      </c>
      <c r="AG193" s="869" t="str">
        <f t="shared" si="788"/>
        <v>4Q24</v>
      </c>
      <c r="AH193" s="867" t="s">
        <v>1073</v>
      </c>
      <c r="AI193" s="867" t="s">
        <v>1074</v>
      </c>
      <c r="AJ193" s="867" t="s">
        <v>1075</v>
      </c>
      <c r="AK193" s="869" t="s">
        <v>1076</v>
      </c>
      <c r="AL193" s="867" t="s">
        <v>1077</v>
      </c>
      <c r="AM193" s="863" t="s">
        <v>1078</v>
      </c>
      <c r="AN193" s="863" t="s">
        <v>1079</v>
      </c>
      <c r="AO193" s="864" t="s">
        <v>1080</v>
      </c>
      <c r="AP193" s="863" t="s">
        <v>1081</v>
      </c>
      <c r="AQ193" s="863" t="s">
        <v>1082</v>
      </c>
      <c r="AR193" s="863" t="s">
        <v>1083</v>
      </c>
      <c r="AS193" s="864" t="s">
        <v>1084</v>
      </c>
      <c r="AT193" s="863" t="s">
        <v>1085</v>
      </c>
      <c r="AU193" s="863" t="s">
        <v>1086</v>
      </c>
      <c r="AV193" s="863" t="s">
        <v>1087</v>
      </c>
      <c r="AW193" s="864" t="s">
        <v>1088</v>
      </c>
      <c r="AX193" s="865"/>
      <c r="AY193" s="866"/>
      <c r="AZ193" s="866"/>
      <c r="BA193" s="862"/>
      <c r="BB193" s="867">
        <f t="shared" ref="BB193:BK193" si="789">BB$3</f>
        <v>2019</v>
      </c>
      <c r="BC193" s="867">
        <f t="shared" si="789"/>
        <v>2020</v>
      </c>
      <c r="BD193" s="867">
        <f t="shared" si="789"/>
        <v>2021</v>
      </c>
      <c r="BE193" s="867">
        <f t="shared" si="789"/>
        <v>2022</v>
      </c>
      <c r="BF193" s="867">
        <f t="shared" si="789"/>
        <v>2023</v>
      </c>
      <c r="BG193" s="867">
        <f t="shared" si="789"/>
        <v>2024</v>
      </c>
      <c r="BH193" s="867">
        <f t="shared" si="789"/>
        <v>2025</v>
      </c>
      <c r="BI193" s="871">
        <f t="shared" si="789"/>
        <v>2026</v>
      </c>
      <c r="BJ193" s="871">
        <f t="shared" si="789"/>
        <v>2027</v>
      </c>
      <c r="BK193" s="871">
        <f t="shared" si="789"/>
        <v>2028</v>
      </c>
    </row>
    <row r="194" spans="1:63">
      <c r="A194" s="290" t="s">
        <v>1204</v>
      </c>
      <c r="B194" s="465"/>
      <c r="C194" s="465"/>
      <c r="D194" s="465"/>
      <c r="E194" s="466"/>
      <c r="F194" s="465"/>
      <c r="G194" s="465"/>
      <c r="H194" s="465"/>
      <c r="I194" s="466"/>
      <c r="J194" s="465"/>
      <c r="K194" s="465"/>
      <c r="L194" s="643"/>
      <c r="M194" s="644"/>
      <c r="N194" s="643"/>
      <c r="O194" s="643"/>
      <c r="P194" s="643"/>
      <c r="Q194" s="644"/>
      <c r="R194" s="1129">
        <v>-2.5</v>
      </c>
      <c r="S194" s="1129">
        <v>-4.5</v>
      </c>
      <c r="T194" s="1129">
        <v>-1.5</v>
      </c>
      <c r="U194" s="1130">
        <v>-1</v>
      </c>
      <c r="V194" s="1129">
        <v>-0.1</v>
      </c>
      <c r="W194" s="1129">
        <f>V194</f>
        <v>-0.1</v>
      </c>
      <c r="X194" s="1129">
        <f>W194</f>
        <v>-0.1</v>
      </c>
      <c r="Y194" s="1130">
        <f>X194</f>
        <v>-0.1</v>
      </c>
      <c r="Z194" s="1129">
        <v>-0.1</v>
      </c>
      <c r="AA194" s="1129">
        <v>-0.5</v>
      </c>
      <c r="AB194" s="1129">
        <v>-0.8</v>
      </c>
      <c r="AC194" s="1130">
        <f>AB194</f>
        <v>-0.8</v>
      </c>
      <c r="AD194" s="1129">
        <v>-0.8</v>
      </c>
      <c r="AE194" s="1129">
        <f>AD194</f>
        <v>-0.8</v>
      </c>
      <c r="AF194" s="1129">
        <v>-0.1</v>
      </c>
      <c r="AG194" s="1130">
        <v>-0.1</v>
      </c>
      <c r="AH194" s="1129">
        <v>3.5000000000000003E-2</v>
      </c>
      <c r="AI194" s="1129">
        <f>AH194</f>
        <v>3.5000000000000003E-2</v>
      </c>
      <c r="AJ194" s="1129">
        <f>AI194</f>
        <v>3.5000000000000003E-2</v>
      </c>
      <c r="AK194" s="1130">
        <f>AJ194</f>
        <v>3.5000000000000003E-2</v>
      </c>
      <c r="AL194" s="431">
        <v>2.7650733722815415E-2</v>
      </c>
      <c r="AM194" s="274">
        <f t="shared" ref="AM194:AO195" si="790">AM207/AM48</f>
        <v>3.494208899198329E-2</v>
      </c>
      <c r="AN194" s="274">
        <f t="shared" si="790"/>
        <v>0.17111383989708856</v>
      </c>
      <c r="AO194" s="345">
        <f t="shared" si="790"/>
        <v>0.18085277580988143</v>
      </c>
      <c r="AP194" s="274">
        <f t="shared" ref="AP194:AS195" si="791">AP207/AP48</f>
        <v>0.24229345873462849</v>
      </c>
      <c r="AQ194" s="274">
        <f t="shared" si="791"/>
        <v>0.23253674912728564</v>
      </c>
      <c r="AR194" s="274">
        <f t="shared" si="791"/>
        <v>0.27132538589960942</v>
      </c>
      <c r="AS194" s="345">
        <f t="shared" si="791"/>
        <v>0.27992788364758381</v>
      </c>
      <c r="AT194" s="274">
        <f t="shared" ref="AT194:AW195" si="792">AT207/AT48</f>
        <v>0.34900909742939085</v>
      </c>
      <c r="AU194" s="274">
        <f t="shared" si="792"/>
        <v>0.39998769929911682</v>
      </c>
      <c r="AV194" s="274">
        <f t="shared" si="792"/>
        <v>0.45862654474566106</v>
      </c>
      <c r="AW194" s="345">
        <f t="shared" si="792"/>
        <v>0.49280818310068669</v>
      </c>
      <c r="AX194" s="221"/>
      <c r="AY194" s="642"/>
      <c r="AZ194" s="642"/>
      <c r="BA194" s="471"/>
      <c r="BB194" s="471"/>
      <c r="BC194" s="471"/>
      <c r="BD194" s="471"/>
      <c r="BE194" s="471"/>
      <c r="BF194" s="274"/>
      <c r="BG194" s="274"/>
      <c r="BH194" s="274"/>
      <c r="BI194" s="274"/>
      <c r="BJ194" s="274"/>
      <c r="BK194" s="274"/>
    </row>
    <row r="195" spans="1:63">
      <c r="A195" s="290" t="s">
        <v>935</v>
      </c>
      <c r="B195" s="328"/>
      <c r="C195" s="328"/>
      <c r="D195" s="328"/>
      <c r="E195" s="445"/>
      <c r="F195" s="328"/>
      <c r="G195" s="328"/>
      <c r="H195" s="328"/>
      <c r="I195" s="445"/>
      <c r="J195" s="328"/>
      <c r="K195" s="328"/>
      <c r="L195" s="328"/>
      <c r="M195" s="432">
        <v>-0.05</v>
      </c>
      <c r="N195" s="431">
        <v>-0.03</v>
      </c>
      <c r="O195" s="431">
        <v>-0.05</v>
      </c>
      <c r="P195" s="431">
        <v>0.05</v>
      </c>
      <c r="Q195" s="432">
        <v>-2.2999999999999998</v>
      </c>
      <c r="R195" s="431">
        <v>-0.84777124342441623</v>
      </c>
      <c r="S195" s="431">
        <v>-0.05</v>
      </c>
      <c r="T195" s="431">
        <v>0.05</v>
      </c>
      <c r="U195" s="432">
        <v>0.12</v>
      </c>
      <c r="V195" s="431">
        <v>0.18</v>
      </c>
      <c r="W195" s="431">
        <v>0.15</v>
      </c>
      <c r="X195" s="431">
        <v>0.16</v>
      </c>
      <c r="Y195" s="432">
        <v>0.09</v>
      </c>
      <c r="Z195" s="431">
        <v>0</v>
      </c>
      <c r="AA195" s="431">
        <v>0</v>
      </c>
      <c r="AB195" s="431">
        <v>-0.04</v>
      </c>
      <c r="AC195" s="432">
        <v>-0.04</v>
      </c>
      <c r="AD195" s="431">
        <v>-0.09</v>
      </c>
      <c r="AE195" s="431">
        <v>-0.09</v>
      </c>
      <c r="AF195" s="431">
        <v>0</v>
      </c>
      <c r="AG195" s="432">
        <v>0.04</v>
      </c>
      <c r="AH195" s="431">
        <v>0.04</v>
      </c>
      <c r="AI195" s="431">
        <v>0.04</v>
      </c>
      <c r="AJ195" s="431">
        <f>AI195</f>
        <v>0.04</v>
      </c>
      <c r="AK195" s="432">
        <f>AJ195</f>
        <v>0.04</v>
      </c>
      <c r="AL195" s="431">
        <v>5.4067798601090303E-2</v>
      </c>
      <c r="AM195" s="274">
        <f t="shared" si="790"/>
        <v>3.4540474246362363E-2</v>
      </c>
      <c r="AN195" s="274">
        <f t="shared" si="790"/>
        <v>6.3194986747009185E-2</v>
      </c>
      <c r="AO195" s="345">
        <f t="shared" si="790"/>
        <v>0.16803099339574434</v>
      </c>
      <c r="AP195" s="274">
        <f t="shared" si="791"/>
        <v>0.14543990601548301</v>
      </c>
      <c r="AQ195" s="274">
        <f t="shared" si="791"/>
        <v>0.14911226946833406</v>
      </c>
      <c r="AR195" s="274">
        <f t="shared" si="791"/>
        <v>0.20832836895798759</v>
      </c>
      <c r="AS195" s="345">
        <f t="shared" si="791"/>
        <v>0.3129456329822351</v>
      </c>
      <c r="AT195" s="274">
        <f t="shared" si="792"/>
        <v>0.29934059601158614</v>
      </c>
      <c r="AU195" s="274">
        <f t="shared" si="792"/>
        <v>0.29233400197170217</v>
      </c>
      <c r="AV195" s="274">
        <f t="shared" si="792"/>
        <v>0.29233400197170206</v>
      </c>
      <c r="AW195" s="345">
        <f t="shared" si="792"/>
        <v>0.29233400197170206</v>
      </c>
      <c r="AY195" s="204"/>
      <c r="AZ195" s="346"/>
      <c r="BA195" s="274"/>
      <c r="BB195" s="872">
        <f t="shared" ref="BB195:BI203" si="793">BB208/BB49</f>
        <v>-0.05</v>
      </c>
      <c r="BC195" s="872">
        <f t="shared" si="793"/>
        <v>-0.23223819431229667</v>
      </c>
      <c r="BD195" s="872">
        <f t="shared" si="793"/>
        <v>-1.561258809892853E-2</v>
      </c>
      <c r="BE195" s="872">
        <f t="shared" si="793"/>
        <v>0.14705046438808875</v>
      </c>
      <c r="BF195" s="872">
        <f t="shared" si="793"/>
        <v>-1.9175695080610115E-2</v>
      </c>
      <c r="BG195" s="872">
        <f t="shared" si="793"/>
        <v>-3.1942372905639602E-2</v>
      </c>
      <c r="BH195" s="872">
        <f t="shared" si="793"/>
        <v>0.04</v>
      </c>
      <c r="BI195" s="872">
        <f t="shared" si="793"/>
        <v>8.0683470273800198E-2</v>
      </c>
      <c r="BJ195" s="872">
        <f t="shared" ref="BJ195:BK195" si="794">BJ208/BJ49</f>
        <v>0.20736613824783273</v>
      </c>
      <c r="BK195" s="872">
        <f t="shared" si="794"/>
        <v>0.29401558454127424</v>
      </c>
    </row>
    <row r="196" spans="1:63" s="221" customFormat="1">
      <c r="A196" s="290" t="s">
        <v>712</v>
      </c>
      <c r="B196" s="431">
        <v>-0.05</v>
      </c>
      <c r="C196" s="431">
        <v>0.1</v>
      </c>
      <c r="D196" s="431">
        <v>7.0000000000000007E-2</v>
      </c>
      <c r="E196" s="432">
        <v>0.08</v>
      </c>
      <c r="F196" s="431">
        <v>-0.45</v>
      </c>
      <c r="G196" s="431">
        <v>0.1</v>
      </c>
      <c r="H196" s="431">
        <v>0.05</v>
      </c>
      <c r="I196" s="432">
        <v>0.04</v>
      </c>
      <c r="J196" s="431">
        <v>-0.13</v>
      </c>
      <c r="K196" s="431">
        <v>0.05</v>
      </c>
      <c r="L196" s="431">
        <v>7.4276339185034068E-2</v>
      </c>
      <c r="M196" s="432">
        <v>0.12996500957237658</v>
      </c>
      <c r="N196" s="431">
        <v>0.155</v>
      </c>
      <c r="O196" s="431">
        <v>0.159</v>
      </c>
      <c r="P196" s="431">
        <v>0.14000000000000001</v>
      </c>
      <c r="Q196" s="432">
        <v>-0.05</v>
      </c>
      <c r="R196" s="431">
        <v>8.8220711641264424E-2</v>
      </c>
      <c r="S196" s="431">
        <v>0.22</v>
      </c>
      <c r="T196" s="431">
        <v>0.28000000000000003</v>
      </c>
      <c r="U196" s="432">
        <v>0.32</v>
      </c>
      <c r="V196" s="431">
        <v>0.42</v>
      </c>
      <c r="W196" s="431">
        <v>0.42</v>
      </c>
      <c r="X196" s="431">
        <v>0.43</v>
      </c>
      <c r="Y196" s="432">
        <v>0.37</v>
      </c>
      <c r="Z196" s="431">
        <v>0.33</v>
      </c>
      <c r="AA196" s="431">
        <v>0.32</v>
      </c>
      <c r="AB196" s="431">
        <v>0.32</v>
      </c>
      <c r="AC196" s="432">
        <v>0.28999999999999998</v>
      </c>
      <c r="AD196" s="431">
        <f>AC196-2%</f>
        <v>0.26999999999999996</v>
      </c>
      <c r="AE196" s="431">
        <v>0.26999999999999996</v>
      </c>
      <c r="AF196" s="431">
        <v>0.35</v>
      </c>
      <c r="AG196" s="432">
        <v>0.39</v>
      </c>
      <c r="AH196" s="431">
        <f t="shared" ref="AH196:AH200" si="795">AG196</f>
        <v>0.39</v>
      </c>
      <c r="AI196" s="431">
        <v>0.35</v>
      </c>
      <c r="AJ196" s="431">
        <v>0.33369963922952661</v>
      </c>
      <c r="AK196" s="432">
        <v>0.27123357940896714</v>
      </c>
      <c r="AL196" s="431">
        <v>0.28000000000000003</v>
      </c>
      <c r="AM196" s="274">
        <f t="shared" ref="AM196:AO196" si="796">AM209/AM50</f>
        <v>0.27372527880726949</v>
      </c>
      <c r="AN196" s="274">
        <f t="shared" si="796"/>
        <v>0.2957492166626462</v>
      </c>
      <c r="AO196" s="345">
        <f t="shared" si="796"/>
        <v>0.32791467679917585</v>
      </c>
      <c r="AP196" s="274">
        <f t="shared" ref="AP196:AS196" si="797">AP209/AP50</f>
        <v>0.28154198171261613</v>
      </c>
      <c r="AQ196" s="274">
        <f t="shared" si="797"/>
        <v>0.26990715062836895</v>
      </c>
      <c r="AR196" s="274">
        <f t="shared" si="797"/>
        <v>0.31049902286332759</v>
      </c>
      <c r="AS196" s="345">
        <f t="shared" si="797"/>
        <v>0.30569394270059375</v>
      </c>
      <c r="AT196" s="274">
        <f t="shared" ref="AT196:AW196" si="798">AT209/AT50</f>
        <v>0.27600567000458293</v>
      </c>
      <c r="AU196" s="274">
        <f t="shared" si="798"/>
        <v>0.27369323484394986</v>
      </c>
      <c r="AV196" s="274">
        <f t="shared" si="798"/>
        <v>0.28697934541797965</v>
      </c>
      <c r="AW196" s="345">
        <f t="shared" si="798"/>
        <v>0.28932347505985673</v>
      </c>
      <c r="AY196" s="446"/>
      <c r="AZ196" s="346">
        <f t="shared" ref="AZ196:BA203" si="799">AZ209/AZ50</f>
        <v>6.0532584750076529E-2</v>
      </c>
      <c r="BA196" s="274">
        <f t="shared" si="799"/>
        <v>7.1238604603047319E-3</v>
      </c>
      <c r="BB196" s="872">
        <f t="shared" si="793"/>
        <v>5.3898230724969812E-2</v>
      </c>
      <c r="BC196" s="872">
        <f t="shared" si="793"/>
        <v>0.12031336986282505</v>
      </c>
      <c r="BD196" s="872">
        <f t="shared" si="793"/>
        <v>0.24788158982170294</v>
      </c>
      <c r="BE196" s="872">
        <f t="shared" si="793"/>
        <v>0.41524967683147579</v>
      </c>
      <c r="BF196" s="872">
        <f t="shared" si="793"/>
        <v>0.31320977682458423</v>
      </c>
      <c r="BG196" s="872">
        <f t="shared" si="793"/>
        <v>0.32389399277465258</v>
      </c>
      <c r="BH196" s="872">
        <f t="shared" si="793"/>
        <v>0.33253709964608902</v>
      </c>
      <c r="BI196" s="872">
        <f t="shared" si="793"/>
        <v>0.29510588553231021</v>
      </c>
      <c r="BJ196" s="872">
        <f t="shared" ref="BJ196:BK196" si="800">BJ209/BJ50</f>
        <v>0.29355426747217805</v>
      </c>
      <c r="BK196" s="872">
        <f t="shared" si="800"/>
        <v>0.281803941531306</v>
      </c>
    </row>
    <row r="197" spans="1:63">
      <c r="A197" s="290" t="s">
        <v>711</v>
      </c>
      <c r="B197" s="431">
        <v>0.22</v>
      </c>
      <c r="C197" s="431">
        <v>0.2</v>
      </c>
      <c r="D197" s="431">
        <v>0.24</v>
      </c>
      <c r="E197" s="432">
        <v>0.21</v>
      </c>
      <c r="F197" s="431">
        <v>0.2</v>
      </c>
      <c r="G197" s="431">
        <v>0.21</v>
      </c>
      <c r="H197" s="431">
        <v>0.2</v>
      </c>
      <c r="I197" s="432">
        <v>0.18</v>
      </c>
      <c r="J197" s="431">
        <v>0.15</v>
      </c>
      <c r="K197" s="431">
        <v>0.22500000000000001</v>
      </c>
      <c r="L197" s="431">
        <v>0.22978733773706519</v>
      </c>
      <c r="M197" s="432">
        <v>0.27144699428995744</v>
      </c>
      <c r="N197" s="431">
        <v>0.3</v>
      </c>
      <c r="O197" s="431">
        <v>0.33</v>
      </c>
      <c r="P197" s="431">
        <v>0.31</v>
      </c>
      <c r="Q197" s="432">
        <v>0.24</v>
      </c>
      <c r="R197" s="431">
        <v>0.28999999999999998</v>
      </c>
      <c r="S197" s="431">
        <v>0.37</v>
      </c>
      <c r="T197" s="431">
        <v>0.39</v>
      </c>
      <c r="U197" s="432">
        <v>0.41</v>
      </c>
      <c r="V197" s="431">
        <v>0.47</v>
      </c>
      <c r="W197" s="431">
        <v>0.44</v>
      </c>
      <c r="X197" s="431">
        <v>0.43</v>
      </c>
      <c r="Y197" s="432">
        <v>0.36</v>
      </c>
      <c r="Z197" s="431">
        <v>0.26</v>
      </c>
      <c r="AA197" s="431">
        <v>0.25</v>
      </c>
      <c r="AB197" s="431">
        <v>0.24</v>
      </c>
      <c r="AC197" s="432">
        <v>0.18466041981415793</v>
      </c>
      <c r="AD197" s="431">
        <f>AC197-2%</f>
        <v>0.16466041981415794</v>
      </c>
      <c r="AE197" s="431">
        <v>0.16466041981415794</v>
      </c>
      <c r="AF197" s="431">
        <v>0.24</v>
      </c>
      <c r="AG197" s="432">
        <v>0.27</v>
      </c>
      <c r="AH197" s="431">
        <f t="shared" si="795"/>
        <v>0.27</v>
      </c>
      <c r="AI197" s="431">
        <f>AH197-2.5%</f>
        <v>0.24500000000000002</v>
      </c>
      <c r="AJ197" s="431">
        <v>0.22538029591556888</v>
      </c>
      <c r="AK197" s="432">
        <v>0.17769152415410622</v>
      </c>
      <c r="AL197" s="431">
        <v>0.19</v>
      </c>
      <c r="AM197" s="274">
        <f t="shared" ref="AM197:AO197" si="801">AM210/AM51</f>
        <v>0.15255140899431252</v>
      </c>
      <c r="AN197" s="274">
        <f t="shared" si="801"/>
        <v>0.18979308768529993</v>
      </c>
      <c r="AO197" s="345">
        <f t="shared" si="801"/>
        <v>0.22550913338964143</v>
      </c>
      <c r="AP197" s="274">
        <f t="shared" ref="AP197:AS197" si="802">AP210/AP51</f>
        <v>0.20699187828922894</v>
      </c>
      <c r="AQ197" s="274">
        <f t="shared" si="802"/>
        <v>0.19514036794135037</v>
      </c>
      <c r="AR197" s="274">
        <f t="shared" si="802"/>
        <v>0.21101973448186173</v>
      </c>
      <c r="AS197" s="345">
        <f t="shared" si="802"/>
        <v>0.2068629206297638</v>
      </c>
      <c r="AT197" s="274">
        <f t="shared" ref="AT197:AW197" si="803">AT210/AT51</f>
        <v>0.19326558270641855</v>
      </c>
      <c r="AU197" s="274">
        <f t="shared" si="803"/>
        <v>0.1910602344688449</v>
      </c>
      <c r="AV197" s="274">
        <f t="shared" si="803"/>
        <v>0.20059022787817873</v>
      </c>
      <c r="AW197" s="345">
        <f t="shared" si="803"/>
        <v>0.2056056329162482</v>
      </c>
      <c r="AY197" s="204"/>
      <c r="AZ197" s="346">
        <f t="shared" si="799"/>
        <v>0.21761924001340438</v>
      </c>
      <c r="BA197" s="274">
        <f t="shared" si="799"/>
        <v>0.19732693547298921</v>
      </c>
      <c r="BB197" s="872">
        <f t="shared" si="793"/>
        <v>0.2234583974320539</v>
      </c>
      <c r="BC197" s="872">
        <f t="shared" si="793"/>
        <v>0.29590264703603247</v>
      </c>
      <c r="BD197" s="872">
        <f t="shared" si="793"/>
        <v>0.36896371403838618</v>
      </c>
      <c r="BE197" s="872">
        <f t="shared" si="793"/>
        <v>0.42459428807556288</v>
      </c>
      <c r="BF197" s="872">
        <f t="shared" si="793"/>
        <v>0.23219502875112563</v>
      </c>
      <c r="BG197" s="872">
        <f t="shared" si="793"/>
        <v>0.22349305140722997</v>
      </c>
      <c r="BH197" s="872">
        <f t="shared" si="793"/>
        <v>0.2299621703352123</v>
      </c>
      <c r="BI197" s="872">
        <f t="shared" si="793"/>
        <v>0.19092176753213122</v>
      </c>
      <c r="BJ197" s="872">
        <f t="shared" ref="BJ197:BK197" si="804">BJ210/BJ51</f>
        <v>0.20533428978823667</v>
      </c>
      <c r="BK197" s="872">
        <f t="shared" si="804"/>
        <v>0.19800979540963853</v>
      </c>
    </row>
    <row r="198" spans="1:63">
      <c r="A198" s="290" t="s">
        <v>710</v>
      </c>
      <c r="B198" s="431">
        <v>0.3</v>
      </c>
      <c r="C198" s="431">
        <v>0.31</v>
      </c>
      <c r="D198" s="431">
        <v>0.28000000000000003</v>
      </c>
      <c r="E198" s="432">
        <v>0.19</v>
      </c>
      <c r="F198" s="431">
        <v>0.14000000000000001</v>
      </c>
      <c r="G198" s="431">
        <v>0.18</v>
      </c>
      <c r="H198" s="431">
        <v>0.18</v>
      </c>
      <c r="I198" s="432">
        <v>0.16</v>
      </c>
      <c r="J198" s="431">
        <v>0.15</v>
      </c>
      <c r="K198" s="431">
        <v>0.2</v>
      </c>
      <c r="L198" s="431">
        <v>0.18995720979895167</v>
      </c>
      <c r="M198" s="432">
        <v>0.24333699082904059</v>
      </c>
      <c r="N198" s="431">
        <v>0.28000000000000003</v>
      </c>
      <c r="O198" s="431">
        <v>0.29499999999999998</v>
      </c>
      <c r="P198" s="431">
        <v>0.24</v>
      </c>
      <c r="Q198" s="432">
        <v>0.24</v>
      </c>
      <c r="R198" s="431">
        <v>0.28999999999999998</v>
      </c>
      <c r="S198" s="431">
        <v>0.35</v>
      </c>
      <c r="T198" s="431">
        <v>0.38</v>
      </c>
      <c r="U198" s="432">
        <v>0.39</v>
      </c>
      <c r="V198" s="431">
        <v>0.49</v>
      </c>
      <c r="W198" s="431">
        <v>0.47</v>
      </c>
      <c r="X198" s="431">
        <v>0.46</v>
      </c>
      <c r="Y198" s="432">
        <v>0.38500000000000001</v>
      </c>
      <c r="Z198" s="431">
        <v>0.27</v>
      </c>
      <c r="AA198" s="431">
        <v>0.26</v>
      </c>
      <c r="AB198" s="431">
        <v>0.26</v>
      </c>
      <c r="AC198" s="432">
        <v>0.19461531769808565</v>
      </c>
      <c r="AD198" s="431">
        <f>AC198-2%</f>
        <v>0.17461531769808566</v>
      </c>
      <c r="AE198" s="431">
        <v>0.17461531769808566</v>
      </c>
      <c r="AF198" s="431">
        <v>0.22</v>
      </c>
      <c r="AG198" s="432">
        <v>0.23499999999999999</v>
      </c>
      <c r="AH198" s="431">
        <f t="shared" si="795"/>
        <v>0.23499999999999999</v>
      </c>
      <c r="AI198" s="431">
        <f>AH198-2%</f>
        <v>0.215</v>
      </c>
      <c r="AJ198" s="431">
        <v>0.21410054394763892</v>
      </c>
      <c r="AK198" s="432">
        <v>0.16537781499176668</v>
      </c>
      <c r="AL198" s="431">
        <v>0.185</v>
      </c>
      <c r="AM198" s="274">
        <f t="shared" ref="AM198:AO198" si="805">AM211/AM52</f>
        <v>0.17849653387409845</v>
      </c>
      <c r="AN198" s="274">
        <f t="shared" si="805"/>
        <v>0.20116180966475558</v>
      </c>
      <c r="AO198" s="345">
        <f t="shared" si="805"/>
        <v>0.22800265961214325</v>
      </c>
      <c r="AP198" s="274">
        <f t="shared" ref="AP198:AS198" si="806">AP211/AP52</f>
        <v>0.19131186563495109</v>
      </c>
      <c r="AQ198" s="274">
        <f t="shared" si="806"/>
        <v>0.20669474467927426</v>
      </c>
      <c r="AR198" s="274">
        <f t="shared" si="806"/>
        <v>0.22621148459502222</v>
      </c>
      <c r="AS198" s="345">
        <f t="shared" si="806"/>
        <v>0.2189478030278276</v>
      </c>
      <c r="AT198" s="274">
        <f t="shared" ref="AT198:AW198" si="807">AT211/AT52</f>
        <v>0.21387201672035799</v>
      </c>
      <c r="AU198" s="274">
        <f t="shared" si="807"/>
        <v>0.21355313873610957</v>
      </c>
      <c r="AV198" s="274">
        <f t="shared" si="807"/>
        <v>0.22213823296485682</v>
      </c>
      <c r="AW198" s="345">
        <f t="shared" si="807"/>
        <v>0.22601028768897496</v>
      </c>
      <c r="AY198" s="204"/>
      <c r="AZ198" s="346">
        <f t="shared" si="799"/>
        <v>0.27553104446863386</v>
      </c>
      <c r="BA198" s="274">
        <f t="shared" si="799"/>
        <v>0.16643334324375253</v>
      </c>
      <c r="BB198" s="872">
        <f t="shared" si="793"/>
        <v>0.20156615197502417</v>
      </c>
      <c r="BC198" s="872">
        <f t="shared" si="793"/>
        <v>0.26341896184384511</v>
      </c>
      <c r="BD198" s="872">
        <f t="shared" si="793"/>
        <v>0.35460988608231359</v>
      </c>
      <c r="BE198" s="872">
        <f t="shared" si="793"/>
        <v>0.4540132087528479</v>
      </c>
      <c r="BF198" s="872">
        <f t="shared" si="793"/>
        <v>0.2451188140504082</v>
      </c>
      <c r="BG198" s="872">
        <f t="shared" si="793"/>
        <v>0.20418861382834955</v>
      </c>
      <c r="BH198" s="872">
        <f t="shared" si="793"/>
        <v>0.20584979918744878</v>
      </c>
      <c r="BI198" s="872">
        <f t="shared" si="793"/>
        <v>0.19927308198136592</v>
      </c>
      <c r="BJ198" s="872">
        <f t="shared" ref="BJ198:BK198" si="808">BJ211/BJ52</f>
        <v>0.21167178951963295</v>
      </c>
      <c r="BK198" s="872">
        <f t="shared" si="808"/>
        <v>0.21912004063633628</v>
      </c>
    </row>
    <row r="199" spans="1:63">
      <c r="A199" s="290" t="s">
        <v>709</v>
      </c>
      <c r="B199" s="431">
        <v>0.18</v>
      </c>
      <c r="C199" s="431">
        <v>0.22</v>
      </c>
      <c r="D199" s="431">
        <v>0.21</v>
      </c>
      <c r="E199" s="432">
        <v>0.23</v>
      </c>
      <c r="F199" s="431">
        <v>0.24</v>
      </c>
      <c r="G199" s="431">
        <v>0.1</v>
      </c>
      <c r="H199" s="431">
        <v>0.15</v>
      </c>
      <c r="I199" s="432">
        <v>0.15</v>
      </c>
      <c r="J199" s="431">
        <v>0.19</v>
      </c>
      <c r="K199" s="431">
        <v>0.14000000000000001</v>
      </c>
      <c r="L199" s="431">
        <v>0.17525399086840493</v>
      </c>
      <c r="M199" s="432">
        <v>0.21419312236065483</v>
      </c>
      <c r="N199" s="431">
        <v>0.255</v>
      </c>
      <c r="O199" s="431">
        <v>0.28000000000000003</v>
      </c>
      <c r="P199" s="431">
        <v>0.21</v>
      </c>
      <c r="Q199" s="432">
        <v>0.22</v>
      </c>
      <c r="R199" s="431">
        <v>0.27</v>
      </c>
      <c r="S199" s="431">
        <v>0.3</v>
      </c>
      <c r="T199" s="431">
        <v>0.35499999999999998</v>
      </c>
      <c r="U199" s="432">
        <v>0.3</v>
      </c>
      <c r="V199" s="431">
        <v>0.45200000000000001</v>
      </c>
      <c r="W199" s="431">
        <v>0.42</v>
      </c>
      <c r="X199" s="431">
        <v>0.41</v>
      </c>
      <c r="Y199" s="432">
        <v>0.33500000000000002</v>
      </c>
      <c r="Z199" s="431">
        <v>0.28999999999999998</v>
      </c>
      <c r="AA199" s="431">
        <v>0.28000000000000003</v>
      </c>
      <c r="AB199" s="431">
        <v>0.28000000000000003</v>
      </c>
      <c r="AC199" s="432">
        <v>0.18032198666611302</v>
      </c>
      <c r="AD199" s="431">
        <f>AC199-2%</f>
        <v>0.16032198666611303</v>
      </c>
      <c r="AE199" s="431">
        <v>0.16032198666611303</v>
      </c>
      <c r="AF199" s="431">
        <v>0.2</v>
      </c>
      <c r="AG199" s="432">
        <v>0.215</v>
      </c>
      <c r="AH199" s="431">
        <f t="shared" si="795"/>
        <v>0.215</v>
      </c>
      <c r="AI199" s="431">
        <f>AH199-2%</f>
        <v>0.19500000000000001</v>
      </c>
      <c r="AJ199" s="431">
        <v>0.20171576079525544</v>
      </c>
      <c r="AK199" s="432">
        <v>0.16586527992847155</v>
      </c>
      <c r="AL199" s="431">
        <v>0.185</v>
      </c>
      <c r="AM199" s="274">
        <f t="shared" ref="AM199:AO199" si="809">AM212/AM53</f>
        <v>0.18203024977377455</v>
      </c>
      <c r="AN199" s="274">
        <f t="shared" si="809"/>
        <v>0.20175162859813148</v>
      </c>
      <c r="AO199" s="345">
        <f t="shared" si="809"/>
        <v>0.22084954030706683</v>
      </c>
      <c r="AP199" s="274">
        <f t="shared" ref="AP199:AS199" si="810">AP212/AP53</f>
        <v>0.18415921492548795</v>
      </c>
      <c r="AQ199" s="274">
        <f t="shared" si="810"/>
        <v>0.18520335981065134</v>
      </c>
      <c r="AR199" s="274">
        <f t="shared" si="810"/>
        <v>0.22654759904417501</v>
      </c>
      <c r="AS199" s="345">
        <f t="shared" si="810"/>
        <v>0.21718483940740693</v>
      </c>
      <c r="AT199" s="274">
        <f t="shared" ref="AT199:AW199" si="811">AT212/AT53</f>
        <v>0.21216888609571596</v>
      </c>
      <c r="AU199" s="274">
        <f t="shared" si="811"/>
        <v>0.22111501200142428</v>
      </c>
      <c r="AV199" s="274">
        <f t="shared" si="811"/>
        <v>0.23082764922819257</v>
      </c>
      <c r="AW199" s="345">
        <f t="shared" si="811"/>
        <v>0.23510726047500285</v>
      </c>
      <c r="AY199" s="204"/>
      <c r="AZ199" s="346">
        <f t="shared" si="799"/>
        <v>0.21187725840986968</v>
      </c>
      <c r="BA199" s="274">
        <f t="shared" si="799"/>
        <v>0.18169068713068121</v>
      </c>
      <c r="BB199" s="872">
        <f t="shared" si="793"/>
        <v>0.17961146410667356</v>
      </c>
      <c r="BC199" s="872">
        <f t="shared" si="793"/>
        <v>0.23595340252001476</v>
      </c>
      <c r="BD199" s="872">
        <f t="shared" si="793"/>
        <v>0.30653603442230015</v>
      </c>
      <c r="BE199" s="872">
        <f t="shared" si="793"/>
        <v>0.40671159444303923</v>
      </c>
      <c r="BF199" s="872">
        <f t="shared" si="793"/>
        <v>0.2577510435590567</v>
      </c>
      <c r="BG199" s="872">
        <f t="shared" si="793"/>
        <v>0.18599267528733965</v>
      </c>
      <c r="BH199" s="872">
        <f t="shared" si="793"/>
        <v>0.19440579939457328</v>
      </c>
      <c r="BI199" s="872">
        <f t="shared" si="793"/>
        <v>0.19766101526770938</v>
      </c>
      <c r="BJ199" s="872">
        <f t="shared" ref="BJ199:BK199" si="812">BJ212/BJ53</f>
        <v>0.20386976043378455</v>
      </c>
      <c r="BK199" s="872">
        <f t="shared" si="812"/>
        <v>0.22493375367038168</v>
      </c>
    </row>
    <row r="200" spans="1:63">
      <c r="A200" s="290" t="s">
        <v>708</v>
      </c>
      <c r="B200" s="431">
        <v>0.28999999999999998</v>
      </c>
      <c r="C200" s="431">
        <v>0.28999999999999998</v>
      </c>
      <c r="D200" s="431">
        <v>0.24</v>
      </c>
      <c r="E200" s="432">
        <v>0.15</v>
      </c>
      <c r="F200" s="431">
        <v>0.16</v>
      </c>
      <c r="G200" s="431">
        <v>0.22</v>
      </c>
      <c r="H200" s="431">
        <v>0.23</v>
      </c>
      <c r="I200" s="432">
        <v>0.2</v>
      </c>
      <c r="J200" s="431">
        <v>0.2</v>
      </c>
      <c r="K200" s="431">
        <v>0.18099999999999999</v>
      </c>
      <c r="L200" s="431">
        <v>0.23268102047106243</v>
      </c>
      <c r="M200" s="432">
        <v>0.25842629852522297</v>
      </c>
      <c r="N200" s="431">
        <v>0.26500000000000001</v>
      </c>
      <c r="O200" s="431">
        <v>0.28999999999999998</v>
      </c>
      <c r="P200" s="431">
        <v>0.28999999999999998</v>
      </c>
      <c r="Q200" s="432">
        <v>0.22</v>
      </c>
      <c r="R200" s="431">
        <v>0.27</v>
      </c>
      <c r="S200" s="431">
        <v>0.38500000000000001</v>
      </c>
      <c r="T200" s="431">
        <v>0.4</v>
      </c>
      <c r="U200" s="432">
        <v>0.43</v>
      </c>
      <c r="V200" s="431">
        <v>0.43</v>
      </c>
      <c r="W200" s="431">
        <v>0.41</v>
      </c>
      <c r="X200" s="431">
        <v>0.41</v>
      </c>
      <c r="Y200" s="432">
        <v>0.34</v>
      </c>
      <c r="Z200" s="431">
        <v>0.18</v>
      </c>
      <c r="AA200" s="431">
        <v>0.17</v>
      </c>
      <c r="AB200" s="431">
        <v>0.16500000000000001</v>
      </c>
      <c r="AC200" s="432">
        <v>0.14265268063103706</v>
      </c>
      <c r="AD200" s="431">
        <f>AC200-2%</f>
        <v>0.12265268063103706</v>
      </c>
      <c r="AE200" s="431">
        <v>0.12265268063103706</v>
      </c>
      <c r="AF200" s="431">
        <v>0.15</v>
      </c>
      <c r="AG200" s="432">
        <v>0.16500000000000001</v>
      </c>
      <c r="AH200" s="431">
        <f t="shared" si="795"/>
        <v>0.16500000000000001</v>
      </c>
      <c r="AI200" s="431">
        <f>AH200-2%</f>
        <v>0.14500000000000002</v>
      </c>
      <c r="AJ200" s="431">
        <v>0.12497782817332401</v>
      </c>
      <c r="AK200" s="432">
        <v>6.5103701700513258E-2</v>
      </c>
      <c r="AL200" s="431">
        <v>6.864300812404539E-2</v>
      </c>
      <c r="AM200" s="274">
        <f t="shared" ref="AM200:AO200" si="813">AM213/AM54</f>
        <v>0.15947079961810751</v>
      </c>
      <c r="AN200" s="274">
        <f t="shared" si="813"/>
        <v>0.1482523132046443</v>
      </c>
      <c r="AO200" s="345">
        <f t="shared" si="813"/>
        <v>0.16901861026938922</v>
      </c>
      <c r="AP200" s="274">
        <f t="shared" ref="AP200:AS200" si="814">AP213/AP54</f>
        <v>0.13664433550161112</v>
      </c>
      <c r="AQ200" s="274">
        <f t="shared" si="814"/>
        <v>0.10939426978942676</v>
      </c>
      <c r="AR200" s="274">
        <f t="shared" si="814"/>
        <v>0.13624363570190426</v>
      </c>
      <c r="AS200" s="345">
        <f t="shared" si="814"/>
        <v>0.12158588209007819</v>
      </c>
      <c r="AT200" s="274">
        <f t="shared" ref="AT200:AW200" si="815">AT213/AT54</f>
        <v>8.3952690845970138E-2</v>
      </c>
      <c r="AU200" s="274">
        <f t="shared" si="815"/>
        <v>6.5408509082053534E-2</v>
      </c>
      <c r="AV200" s="274">
        <f t="shared" si="815"/>
        <v>7.4654252674809879E-2</v>
      </c>
      <c r="AW200" s="345">
        <f t="shared" si="815"/>
        <v>6.984585353056795E-2</v>
      </c>
      <c r="AY200" s="204"/>
      <c r="AZ200" s="346">
        <f t="shared" si="799"/>
        <v>0.26174963625847963</v>
      </c>
      <c r="BA200" s="274">
        <f t="shared" si="799"/>
        <v>0.20508150075811177</v>
      </c>
      <c r="BB200" s="872">
        <f t="shared" si="793"/>
        <v>0.21817506050121052</v>
      </c>
      <c r="BC200" s="872">
        <f t="shared" si="793"/>
        <v>0.26355650147213228</v>
      </c>
      <c r="BD200" s="872">
        <f t="shared" si="793"/>
        <v>0.37608080303402236</v>
      </c>
      <c r="BE200" s="872">
        <f t="shared" si="793"/>
        <v>0.3997093116065133</v>
      </c>
      <c r="BF200" s="872">
        <f t="shared" si="793"/>
        <v>0.16305513392532672</v>
      </c>
      <c r="BG200" s="872">
        <f t="shared" si="793"/>
        <v>0.13759242005795561</v>
      </c>
      <c r="BH200" s="872">
        <f t="shared" si="793"/>
        <v>0.12401781396652557</v>
      </c>
      <c r="BI200" s="872">
        <f t="shared" si="793"/>
        <v>0.14204591614028331</v>
      </c>
      <c r="BJ200" s="872">
        <f t="shared" ref="BJ200:BK200" si="816">BJ213/BJ54</f>
        <v>0.12611524056476137</v>
      </c>
      <c r="BK200" s="872">
        <f t="shared" si="816"/>
        <v>7.3432122341255804E-2</v>
      </c>
    </row>
    <row r="201" spans="1:63">
      <c r="A201" s="290" t="s">
        <v>707</v>
      </c>
      <c r="B201" s="274">
        <f t="shared" ref="B201:AL201" si="817">B214/B55</f>
        <v>0.34416419301821871</v>
      </c>
      <c r="C201" s="274">
        <f t="shared" si="817"/>
        <v>0.26860062178057237</v>
      </c>
      <c r="D201" s="274">
        <f t="shared" si="817"/>
        <v>0.23290743499662031</v>
      </c>
      <c r="E201" s="345">
        <f t="shared" si="817"/>
        <v>0.20970947768339845</v>
      </c>
      <c r="F201" s="274">
        <f t="shared" si="817"/>
        <v>0.1713930895298649</v>
      </c>
      <c r="G201" s="274">
        <f t="shared" si="817"/>
        <v>0.2192991063436317</v>
      </c>
      <c r="H201" s="274">
        <f t="shared" si="817"/>
        <v>0.24033625577122925</v>
      </c>
      <c r="I201" s="345">
        <f t="shared" si="817"/>
        <v>0.18112742325303491</v>
      </c>
      <c r="J201" s="274">
        <f t="shared" si="817"/>
        <v>0.21918551904332603</v>
      </c>
      <c r="K201" s="274">
        <f t="shared" si="817"/>
        <v>0.18097083203562492</v>
      </c>
      <c r="L201" s="274">
        <f t="shared" si="817"/>
        <v>0.22162934196394504</v>
      </c>
      <c r="M201" s="345">
        <f t="shared" si="817"/>
        <v>0.24207139396817151</v>
      </c>
      <c r="N201" s="274">
        <f t="shared" si="817"/>
        <v>0.25934186725262154</v>
      </c>
      <c r="O201" s="274">
        <f t="shared" si="817"/>
        <v>0.26035877087692239</v>
      </c>
      <c r="P201" s="274">
        <f t="shared" si="817"/>
        <v>0.28491280708204508</v>
      </c>
      <c r="Q201" s="345">
        <f t="shared" si="817"/>
        <v>0.19641547970695433</v>
      </c>
      <c r="R201" s="274">
        <f t="shared" si="817"/>
        <v>0.3055947063310791</v>
      </c>
      <c r="S201" s="274">
        <f t="shared" si="817"/>
        <v>0.45644915617479176</v>
      </c>
      <c r="T201" s="274">
        <f t="shared" si="817"/>
        <v>0.49939303922393974</v>
      </c>
      <c r="U201" s="345">
        <f t="shared" si="817"/>
        <v>0.52036134790800903</v>
      </c>
      <c r="V201" s="274">
        <f t="shared" si="817"/>
        <v>0.54458784009168715</v>
      </c>
      <c r="W201" s="274">
        <f t="shared" si="817"/>
        <v>0.53972401337468734</v>
      </c>
      <c r="X201" s="274">
        <f t="shared" si="817"/>
        <v>0.54545472460551947</v>
      </c>
      <c r="Y201" s="345">
        <f t="shared" si="817"/>
        <v>0.45420972904455692</v>
      </c>
      <c r="Z201" s="274">
        <f t="shared" si="817"/>
        <v>0.24449644228577272</v>
      </c>
      <c r="AA201" s="274">
        <f t="shared" si="817"/>
        <v>0.31406752054875781</v>
      </c>
      <c r="AB201" s="274">
        <f t="shared" si="817"/>
        <v>0.40563359828226803</v>
      </c>
      <c r="AC201" s="345">
        <f t="shared" si="817"/>
        <v>0.36114899477998991</v>
      </c>
      <c r="AD201" s="274">
        <f t="shared" si="817"/>
        <v>0.29683910177743061</v>
      </c>
      <c r="AE201" s="274">
        <f t="shared" si="817"/>
        <v>0.25741657819550667</v>
      </c>
      <c r="AF201" s="274">
        <f t="shared" si="817"/>
        <v>0.30803015009535833</v>
      </c>
      <c r="AG201" s="345">
        <f t="shared" si="817"/>
        <v>0.34135243241532187</v>
      </c>
      <c r="AH201" s="274">
        <f t="shared" si="817"/>
        <v>0.23840162838493609</v>
      </c>
      <c r="AI201" s="274">
        <f t="shared" si="817"/>
        <v>0.17552584455691245</v>
      </c>
      <c r="AJ201" s="274">
        <f t="shared" si="817"/>
        <v>0.34499927598001429</v>
      </c>
      <c r="AK201" s="345">
        <f t="shared" si="817"/>
        <v>0.39561906194749086</v>
      </c>
      <c r="AL201" s="274">
        <f t="shared" si="817"/>
        <v>0.39725410982222592</v>
      </c>
      <c r="AM201" s="274">
        <f t="shared" ref="AM201:AO201" si="818">AM214/AM55</f>
        <v>0.47072066373408028</v>
      </c>
      <c r="AN201" s="274">
        <f t="shared" si="818"/>
        <v>0.4103103725858811</v>
      </c>
      <c r="AO201" s="345">
        <f t="shared" si="818"/>
        <v>0.39597334920200628</v>
      </c>
      <c r="AP201" s="274">
        <f t="shared" ref="AP201:AS201" si="819">AP214/AP55</f>
        <v>0.39935366961256208</v>
      </c>
      <c r="AQ201" s="274">
        <f t="shared" si="819"/>
        <v>0.38884148679914038</v>
      </c>
      <c r="AR201" s="274">
        <f t="shared" si="819"/>
        <v>0.43138735427523656</v>
      </c>
      <c r="AS201" s="345">
        <f t="shared" si="819"/>
        <v>0.41341233303850433</v>
      </c>
      <c r="AT201" s="274">
        <f t="shared" ref="AT201:AW201" si="820">AT214/AT55</f>
        <v>0.37697753014559832</v>
      </c>
      <c r="AU201" s="274">
        <f t="shared" si="820"/>
        <v>0.35923992395244481</v>
      </c>
      <c r="AV201" s="274">
        <f t="shared" si="820"/>
        <v>0.37057811681817093</v>
      </c>
      <c r="AW201" s="345">
        <f t="shared" si="820"/>
        <v>0.36468150543955563</v>
      </c>
      <c r="AY201" s="204"/>
      <c r="AZ201" s="346">
        <f t="shared" si="799"/>
        <v>0.26093052178999276</v>
      </c>
      <c r="BA201" s="274">
        <f t="shared" si="799"/>
        <v>0.20466470001694739</v>
      </c>
      <c r="BB201" s="872">
        <f t="shared" si="793"/>
        <v>0.2154805964977892</v>
      </c>
      <c r="BC201" s="872">
        <f t="shared" si="793"/>
        <v>0.25031171320728718</v>
      </c>
      <c r="BD201" s="872">
        <f t="shared" si="793"/>
        <v>0.45348791592833992</v>
      </c>
      <c r="BE201" s="872">
        <f t="shared" si="793"/>
        <v>0.52370343187870816</v>
      </c>
      <c r="BF201" s="872">
        <f t="shared" si="793"/>
        <v>0.33549098641499209</v>
      </c>
      <c r="BG201" s="872">
        <f t="shared" si="793"/>
        <v>0.29466620972524549</v>
      </c>
      <c r="BH201" s="872">
        <f t="shared" si="793"/>
        <v>0.29262310758798382</v>
      </c>
      <c r="BI201" s="872">
        <f t="shared" si="793"/>
        <v>0.42092042242330036</v>
      </c>
      <c r="BJ201" s="872">
        <f t="shared" ref="BJ201:BK201" si="821">BJ214/BJ55</f>
        <v>0.4089602203980065</v>
      </c>
      <c r="BK201" s="872">
        <f t="shared" si="821"/>
        <v>0.36786272652172719</v>
      </c>
    </row>
    <row r="202" spans="1:63">
      <c r="A202" s="290" t="s">
        <v>827</v>
      </c>
      <c r="B202" s="431">
        <v>0.28000000000000003</v>
      </c>
      <c r="C202" s="431">
        <v>0.28999999999999998</v>
      </c>
      <c r="D202" s="431">
        <v>0.24</v>
      </c>
      <c r="E202" s="432">
        <v>0.21</v>
      </c>
      <c r="F202" s="431">
        <v>0.17</v>
      </c>
      <c r="G202" s="431">
        <v>0.21</v>
      </c>
      <c r="H202" s="431">
        <v>0.22</v>
      </c>
      <c r="I202" s="432">
        <v>0.17</v>
      </c>
      <c r="J202" s="431">
        <v>0.215</v>
      </c>
      <c r="K202" s="431">
        <v>0.21</v>
      </c>
      <c r="L202" s="431">
        <v>0.22590456222329153</v>
      </c>
      <c r="M202" s="432">
        <v>0.26142493238290815</v>
      </c>
      <c r="N202" s="431">
        <v>0.26</v>
      </c>
      <c r="O202" s="431">
        <v>0.27</v>
      </c>
      <c r="P202" s="431">
        <v>0.25</v>
      </c>
      <c r="Q202" s="432">
        <v>0.23</v>
      </c>
      <c r="R202" s="431">
        <v>0.26</v>
      </c>
      <c r="S202" s="431">
        <v>0.36</v>
      </c>
      <c r="T202" s="431">
        <v>0.38</v>
      </c>
      <c r="U202" s="432">
        <v>0.4</v>
      </c>
      <c r="V202" s="431">
        <v>0.38</v>
      </c>
      <c r="W202" s="431">
        <v>0.38</v>
      </c>
      <c r="X202" s="431">
        <v>0.37</v>
      </c>
      <c r="Y202" s="432">
        <v>0.28000000000000003</v>
      </c>
      <c r="Z202" s="431">
        <v>0.14000000000000001</v>
      </c>
      <c r="AA202" s="431">
        <v>0.12</v>
      </c>
      <c r="AB202" s="431">
        <v>0.16</v>
      </c>
      <c r="AC202" s="432">
        <v>0.12</v>
      </c>
      <c r="AD202" s="431">
        <f>AC202-2%</f>
        <v>9.9999999999999992E-2</v>
      </c>
      <c r="AE202" s="431">
        <v>9.9999999999999992E-2</v>
      </c>
      <c r="AF202" s="431">
        <v>0.12</v>
      </c>
      <c r="AG202" s="432">
        <v>0.04</v>
      </c>
      <c r="AH202" s="431">
        <v>0.04</v>
      </c>
      <c r="AI202" s="431">
        <v>0.1</v>
      </c>
      <c r="AJ202" s="431">
        <v>9.0030035462002903E-2</v>
      </c>
      <c r="AK202" s="432">
        <v>-1.1655246363029847E-2</v>
      </c>
      <c r="AL202" s="431">
        <v>3.4812733171851573E-2</v>
      </c>
      <c r="AM202" s="274">
        <f t="shared" ref="AM202:AO202" si="822">AM215/AM56</f>
        <v>0.19790309420511809</v>
      </c>
      <c r="AN202" s="274">
        <f t="shared" si="822"/>
        <v>2.9925653099191599E-2</v>
      </c>
      <c r="AO202" s="345">
        <f t="shared" si="822"/>
        <v>1.1614288982069267E-2</v>
      </c>
      <c r="AP202" s="274">
        <f t="shared" ref="AP202:AS202" si="823">AP215/AP56</f>
        <v>0.10610107630858397</v>
      </c>
      <c r="AQ202" s="274">
        <f t="shared" si="823"/>
        <v>8.8263341059492156E-2</v>
      </c>
      <c r="AR202" s="274">
        <f t="shared" si="823"/>
        <v>0.14538380889916011</v>
      </c>
      <c r="AS202" s="345">
        <f t="shared" si="823"/>
        <v>0.12065247538490856</v>
      </c>
      <c r="AT202" s="274">
        <f t="shared" ref="AT202:AW202" si="824">AT215/AT56</f>
        <v>6.9091596132712846E-2</v>
      </c>
      <c r="AU202" s="274">
        <f t="shared" si="824"/>
        <v>4.3949824840389298E-2</v>
      </c>
      <c r="AV202" s="274">
        <f t="shared" si="824"/>
        <v>5.9549730148882422E-2</v>
      </c>
      <c r="AW202" s="345">
        <f t="shared" si="824"/>
        <v>5.1436745986702032E-2</v>
      </c>
      <c r="AY202" s="204"/>
      <c r="AZ202" s="346">
        <f t="shared" si="799"/>
        <v>0.25196845730010403</v>
      </c>
      <c r="BA202" s="274">
        <f t="shared" si="799"/>
        <v>0.19360422688835202</v>
      </c>
      <c r="BB202" s="872">
        <f t="shared" si="793"/>
        <v>0.228836026960236</v>
      </c>
      <c r="BC202" s="872">
        <f t="shared" si="793"/>
        <v>0.25281305547669192</v>
      </c>
      <c r="BD202" s="872">
        <f t="shared" si="793"/>
        <v>0.35242633085749064</v>
      </c>
      <c r="BE202" s="872">
        <f t="shared" si="793"/>
        <v>0.35545304064017819</v>
      </c>
      <c r="BF202" s="872">
        <f t="shared" si="793"/>
        <v>0.13491511774597606</v>
      </c>
      <c r="BG202" s="872">
        <f t="shared" si="793"/>
        <v>8.9819239444367635E-2</v>
      </c>
      <c r="BH202" s="872">
        <f t="shared" si="793"/>
        <v>5.3732759992691233E-2</v>
      </c>
      <c r="BI202" s="872">
        <f t="shared" si="793"/>
        <v>7.7750863609150067E-2</v>
      </c>
      <c r="BJ202" s="872">
        <f t="shared" ref="BJ202:BK202" si="825">BJ215/BJ56</f>
        <v>0.1160010787681255</v>
      </c>
      <c r="BK202" s="872">
        <f t="shared" si="825"/>
        <v>5.5992937768718665E-2</v>
      </c>
    </row>
    <row r="203" spans="1:63">
      <c r="A203" s="336" t="s">
        <v>919</v>
      </c>
      <c r="B203" s="433">
        <f t="shared" ref="B203:I203" si="826">B32</f>
        <v>0.27776333304713968</v>
      </c>
      <c r="C203" s="433">
        <f t="shared" si="826"/>
        <v>0.25771858280348831</v>
      </c>
      <c r="D203" s="433">
        <f t="shared" si="826"/>
        <v>0.2300190104287225</v>
      </c>
      <c r="E203" s="434">
        <f t="shared" si="826"/>
        <v>0.18858018256432463</v>
      </c>
      <c r="F203" s="433">
        <f t="shared" si="826"/>
        <v>0.15284191182711745</v>
      </c>
      <c r="G203" s="433">
        <f t="shared" si="826"/>
        <v>0.19616996845348736</v>
      </c>
      <c r="H203" s="433">
        <f t="shared" si="826"/>
        <v>0.20371282102963556</v>
      </c>
      <c r="I203" s="434">
        <f t="shared" si="826"/>
        <v>0.1688663127989245</v>
      </c>
      <c r="J203" s="433">
        <f t="shared" ref="J203:AF203" si="827">J216/J57</f>
        <v>0.18080033875992996</v>
      </c>
      <c r="K203" s="433">
        <f t="shared" si="827"/>
        <v>0.1898997411657512</v>
      </c>
      <c r="L203" s="433">
        <f t="shared" si="827"/>
        <v>0.20782854780625631</v>
      </c>
      <c r="M203" s="434">
        <f t="shared" si="827"/>
        <v>0.24008586817112743</v>
      </c>
      <c r="N203" s="433">
        <f t="shared" si="827"/>
        <v>0.26185518366237559</v>
      </c>
      <c r="O203" s="433">
        <f t="shared" si="827"/>
        <v>0.26938339438938436</v>
      </c>
      <c r="P203" s="433">
        <f t="shared" si="827"/>
        <v>0.24577279580959807</v>
      </c>
      <c r="Q203" s="434">
        <f t="shared" si="827"/>
        <v>0.17524503090476018</v>
      </c>
      <c r="R203" s="433">
        <f t="shared" si="827"/>
        <v>0.22919362727086201</v>
      </c>
      <c r="S203" s="433">
        <f t="shared" si="827"/>
        <v>0.31049656035364087</v>
      </c>
      <c r="T203" s="433">
        <f t="shared" si="827"/>
        <v>0.33905565794347925</v>
      </c>
      <c r="U203" s="434">
        <f t="shared" si="827"/>
        <v>0.36508334550169064</v>
      </c>
      <c r="V203" s="433">
        <f t="shared" si="827"/>
        <v>0.42332756801833743</v>
      </c>
      <c r="W203" s="433">
        <f t="shared" si="827"/>
        <v>0.40589480267493749</v>
      </c>
      <c r="X203" s="433">
        <f t="shared" si="827"/>
        <v>0.40374601423647127</v>
      </c>
      <c r="Y203" s="434">
        <f t="shared" si="827"/>
        <v>0.33066694580891132</v>
      </c>
      <c r="Z203" s="433">
        <f t="shared" si="827"/>
        <v>0.2082094307657236</v>
      </c>
      <c r="AA203" s="433">
        <f t="shared" si="827"/>
        <v>0.20208080328780123</v>
      </c>
      <c r="AB203" s="433">
        <f t="shared" si="827"/>
        <v>0.19733279700590325</v>
      </c>
      <c r="AC203" s="434">
        <f t="shared" si="827"/>
        <v>0.16030093424510561</v>
      </c>
      <c r="AD203" s="433">
        <f t="shared" si="827"/>
        <v>0.13108595702031028</v>
      </c>
      <c r="AE203" s="433">
        <f t="shared" si="827"/>
        <v>0.13365338428624646</v>
      </c>
      <c r="AF203" s="433">
        <f t="shared" si="827"/>
        <v>0.20395130574925738</v>
      </c>
      <c r="AG203" s="434">
        <f t="shared" ref="AG203:AO203" si="828">AG216/AG57</f>
        <v>0.22697294746770322</v>
      </c>
      <c r="AH203" s="433">
        <f t="shared" si="828"/>
        <v>0.22536791952195068</v>
      </c>
      <c r="AI203" s="433">
        <f t="shared" si="828"/>
        <v>0.20267971665462864</v>
      </c>
      <c r="AJ203" s="433">
        <f t="shared" si="828"/>
        <v>0.21947526224345357</v>
      </c>
      <c r="AK203" s="434">
        <f t="shared" ref="AK203:AL203" si="829">AK216/AK57</f>
        <v>0.1898225063173169</v>
      </c>
      <c r="AL203" s="433">
        <f t="shared" si="829"/>
        <v>0.1994409425995872</v>
      </c>
      <c r="AM203" s="433">
        <f t="shared" si="828"/>
        <v>0.20949385119551417</v>
      </c>
      <c r="AN203" s="433">
        <f t="shared" si="828"/>
        <v>0.2213775643915151</v>
      </c>
      <c r="AO203" s="434">
        <f t="shared" si="828"/>
        <v>0.24719605250427462</v>
      </c>
      <c r="AP203" s="433">
        <f t="shared" ref="AP203:AS203" si="830">AP216/AP57</f>
        <v>0.23230043658312183</v>
      </c>
      <c r="AQ203" s="433">
        <f t="shared" si="830"/>
        <v>0.2280272915571942</v>
      </c>
      <c r="AR203" s="433">
        <f t="shared" si="830"/>
        <v>0.25687303810682671</v>
      </c>
      <c r="AS203" s="434">
        <f t="shared" si="830"/>
        <v>0.25650125624036446</v>
      </c>
      <c r="AT203" s="433">
        <f t="shared" ref="AT203:AW203" si="831">AT216/AT57</f>
        <v>0.25058423313781258</v>
      </c>
      <c r="AU203" s="433">
        <f t="shared" si="831"/>
        <v>0.25520153459049194</v>
      </c>
      <c r="AV203" s="433">
        <f t="shared" si="831"/>
        <v>0.27439867675126994</v>
      </c>
      <c r="AW203" s="434">
        <f t="shared" si="831"/>
        <v>0.28432795497743146</v>
      </c>
      <c r="AY203" s="217"/>
      <c r="AZ203" s="435">
        <f t="shared" si="799"/>
        <v>0.23803223265401213</v>
      </c>
      <c r="BA203" s="433">
        <f t="shared" si="799"/>
        <v>0.18164435703022605</v>
      </c>
      <c r="BB203" s="874">
        <f t="shared" si="793"/>
        <v>0.20591557177576597</v>
      </c>
      <c r="BC203" s="874">
        <f t="shared" si="793"/>
        <v>0.23766251418551021</v>
      </c>
      <c r="BD203" s="874">
        <f t="shared" si="793"/>
        <v>0.31718328320827932</v>
      </c>
      <c r="BE203" s="874">
        <f t="shared" si="793"/>
        <v>0.39324562845954125</v>
      </c>
      <c r="BF203" s="874">
        <f t="shared" si="793"/>
        <v>0.19105353604905442</v>
      </c>
      <c r="BG203" s="874">
        <f t="shared" si="793"/>
        <v>0.1777983440702654</v>
      </c>
      <c r="BH203" s="874">
        <f t="shared" si="793"/>
        <v>0.20916611063289639</v>
      </c>
      <c r="BI203" s="874">
        <f t="shared" si="793"/>
        <v>0.22064334968446889</v>
      </c>
      <c r="BJ203" s="874">
        <f t="shared" ref="BJ203:BK203" si="832">BJ216/BJ57</f>
        <v>0.24447220739518249</v>
      </c>
      <c r="BK203" s="874">
        <f t="shared" si="832"/>
        <v>0.21634628810986692</v>
      </c>
    </row>
    <row r="204" spans="1:63">
      <c r="A204" s="290" t="s">
        <v>843</v>
      </c>
      <c r="B204" s="274">
        <f t="shared" ref="B204:AO204" si="833">SUM(B213:B215)/SUM(B54:B56)</f>
        <v>0.32480335212212708</v>
      </c>
      <c r="C204" s="274">
        <f t="shared" si="833"/>
        <v>0.27723850467239003</v>
      </c>
      <c r="D204" s="274">
        <f t="shared" si="833"/>
        <v>0.23452859271167856</v>
      </c>
      <c r="E204" s="345">
        <f t="shared" si="833"/>
        <v>0.20177628449117252</v>
      </c>
      <c r="F204" s="274">
        <f t="shared" si="833"/>
        <v>0.16956728537126478</v>
      </c>
      <c r="G204" s="274">
        <f t="shared" si="833"/>
        <v>0.21868034732677805</v>
      </c>
      <c r="H204" s="274">
        <f t="shared" si="833"/>
        <v>0.23718691318462468</v>
      </c>
      <c r="I204" s="447">
        <f t="shared" si="833"/>
        <v>0.18309740483654133</v>
      </c>
      <c r="J204" s="274">
        <f t="shared" si="833"/>
        <v>0.21641306544181974</v>
      </c>
      <c r="K204" s="274">
        <f t="shared" si="833"/>
        <v>0.18333959504226316</v>
      </c>
      <c r="L204" s="274">
        <f t="shared" si="833"/>
        <v>0.22357992143253366</v>
      </c>
      <c r="M204" s="447">
        <f t="shared" si="833"/>
        <v>0.24606145833360507</v>
      </c>
      <c r="N204" s="274">
        <f t="shared" si="833"/>
        <v>0.26011643541154428</v>
      </c>
      <c r="O204" s="274">
        <f t="shared" si="833"/>
        <v>0.26507820700090018</v>
      </c>
      <c r="P204" s="274">
        <f t="shared" si="833"/>
        <v>0.2824430661784566</v>
      </c>
      <c r="Q204" s="345">
        <f t="shared" si="833"/>
        <v>0.2029860208542392</v>
      </c>
      <c r="R204" s="274">
        <f t="shared" si="833"/>
        <v>0.29612831082284952</v>
      </c>
      <c r="S204" s="274">
        <f t="shared" si="833"/>
        <v>0.43697749427637567</v>
      </c>
      <c r="T204" s="274">
        <f t="shared" si="833"/>
        <v>0.47474010452749099</v>
      </c>
      <c r="U204" s="345">
        <f t="shared" si="833"/>
        <v>0.49786235190676786</v>
      </c>
      <c r="V204" s="274">
        <f t="shared" si="833"/>
        <v>0.51595124713073504</v>
      </c>
      <c r="W204" s="274">
        <f t="shared" si="833"/>
        <v>0.50939138303897047</v>
      </c>
      <c r="X204" s="274">
        <f t="shared" si="833"/>
        <v>0.51310174478864268</v>
      </c>
      <c r="Y204" s="345">
        <f t="shared" si="833"/>
        <v>0.42487037572122111</v>
      </c>
      <c r="Z204" s="274">
        <f t="shared" si="833"/>
        <v>0.22590205126535068</v>
      </c>
      <c r="AA204" s="274">
        <f t="shared" si="833"/>
        <v>0.27571811089429166</v>
      </c>
      <c r="AB204" s="274">
        <f t="shared" si="833"/>
        <v>0.34783447474297075</v>
      </c>
      <c r="AC204" s="345">
        <f t="shared" si="833"/>
        <v>0.30813441158607818</v>
      </c>
      <c r="AD204" s="274">
        <f t="shared" si="833"/>
        <v>0.2537775129215275</v>
      </c>
      <c r="AE204" s="274">
        <f t="shared" si="833"/>
        <v>0.21785781822092523</v>
      </c>
      <c r="AF204" s="274">
        <f t="shared" si="833"/>
        <v>0.26290670114390352</v>
      </c>
      <c r="AG204" s="345">
        <f t="shared" si="833"/>
        <v>0.27477818758728606</v>
      </c>
      <c r="AH204" s="274">
        <f t="shared" si="833"/>
        <v>0.21117813959920617</v>
      </c>
      <c r="AI204" s="274">
        <f t="shared" si="833"/>
        <v>0.16407834806198041</v>
      </c>
      <c r="AJ204" s="274">
        <f t="shared" si="833"/>
        <v>0.28597297246231995</v>
      </c>
      <c r="AK204" s="345">
        <f t="shared" ref="AK204:AL204" si="834">SUM(AK213:AK215)/SUM(AK54:AK56)</f>
        <v>0.30863743719307229</v>
      </c>
      <c r="AL204" s="274">
        <f t="shared" si="834"/>
        <v>0.31546281076718896</v>
      </c>
      <c r="AM204" s="274">
        <f t="shared" si="833"/>
        <v>0.39310850948722903</v>
      </c>
      <c r="AN204" s="274">
        <f t="shared" si="833"/>
        <v>0.33332071893670129</v>
      </c>
      <c r="AO204" s="345">
        <f t="shared" si="833"/>
        <v>0.32519407395351652</v>
      </c>
      <c r="AP204" s="274">
        <f t="shared" ref="AP204:AS204" si="835">SUM(AP213:AP215)/SUM(AP54:AP56)</f>
        <v>0.32851224059242484</v>
      </c>
      <c r="AQ204" s="274">
        <f t="shared" si="835"/>
        <v>0.31444836670447718</v>
      </c>
      <c r="AR204" s="274">
        <f t="shared" si="835"/>
        <v>0.35547938131173468</v>
      </c>
      <c r="AS204" s="345">
        <f t="shared" si="835"/>
        <v>0.33751321825905228</v>
      </c>
      <c r="AT204" s="274">
        <f t="shared" ref="AT204:AW204" si="836">SUM(AT213:AT215)/SUM(AT54:AT56)</f>
        <v>0.29958769363193777</v>
      </c>
      <c r="AU204" s="274">
        <f t="shared" si="836"/>
        <v>0.28108185997115981</v>
      </c>
      <c r="AV204" s="274">
        <f t="shared" si="836"/>
        <v>0.29241446531641102</v>
      </c>
      <c r="AW204" s="345">
        <f t="shared" si="836"/>
        <v>0.28652075981858288</v>
      </c>
      <c r="AY204" s="204"/>
      <c r="AZ204" s="346">
        <f t="shared" ref="AZ204:BI204" si="837">SUM(AZ213:AZ215)/SUM(AZ54:AZ56)</f>
        <v>0.26059180914907143</v>
      </c>
      <c r="BA204" s="274">
        <f t="shared" si="837"/>
        <v>0.20390777519655703</v>
      </c>
      <c r="BB204" s="274">
        <f t="shared" si="837"/>
        <v>0.21696591241064467</v>
      </c>
      <c r="BC204" s="274">
        <f t="shared" si="837"/>
        <v>0.25224015107336811</v>
      </c>
      <c r="BD204" s="274">
        <f t="shared" si="837"/>
        <v>0.43340773208816352</v>
      </c>
      <c r="BE204" s="274">
        <f t="shared" si="837"/>
        <v>0.49348852194028686</v>
      </c>
      <c r="BF204" s="274">
        <f t="shared" si="837"/>
        <v>0.29233984298357152</v>
      </c>
      <c r="BG204" s="274">
        <f t="shared" si="837"/>
        <v>0.24790319478081299</v>
      </c>
      <c r="BH204" s="274">
        <f t="shared" si="837"/>
        <v>0.24494040683364698</v>
      </c>
      <c r="BI204" s="274">
        <f t="shared" si="837"/>
        <v>0.34447856442962682</v>
      </c>
      <c r="BJ204" s="274">
        <f t="shared" ref="BJ204:BK204" si="838">SUM(BJ213:BJ215)/SUM(BJ54:BJ56)</f>
        <v>0.33461719547455487</v>
      </c>
      <c r="BK204" s="274">
        <f t="shared" si="838"/>
        <v>0.28988934817859324</v>
      </c>
    </row>
    <row r="205" spans="1:63" s="296" customFormat="1">
      <c r="A205" s="304" t="s">
        <v>844</v>
      </c>
      <c r="B205" s="307">
        <f t="shared" ref="B205:AO205" si="839">SUM(B208:B212)/SUM(B49:B53)</f>
        <v>0.22741200828157346</v>
      </c>
      <c r="C205" s="307">
        <f t="shared" si="839"/>
        <v>0.23873767258382647</v>
      </c>
      <c r="D205" s="307">
        <f t="shared" si="839"/>
        <v>0.22568627450980397</v>
      </c>
      <c r="E205" s="308">
        <f t="shared" si="839"/>
        <v>0.17673624288425052</v>
      </c>
      <c r="F205" s="307">
        <f t="shared" si="839"/>
        <v>0.13584677419354838</v>
      </c>
      <c r="G205" s="307">
        <f t="shared" si="839"/>
        <v>0.17497087378640777</v>
      </c>
      <c r="H205" s="307">
        <f t="shared" si="839"/>
        <v>0.16773858921161824</v>
      </c>
      <c r="I205" s="308">
        <f t="shared" si="839"/>
        <v>0.15486111111111112</v>
      </c>
      <c r="J205" s="307">
        <f t="shared" si="839"/>
        <v>0.13222222222222221</v>
      </c>
      <c r="K205" s="307">
        <f t="shared" si="839"/>
        <v>0.19622789783889985</v>
      </c>
      <c r="L205" s="307">
        <f t="shared" si="839"/>
        <v>0.19408296707620901</v>
      </c>
      <c r="M205" s="308">
        <f t="shared" si="839"/>
        <v>0.2351371618756935</v>
      </c>
      <c r="N205" s="307">
        <f t="shared" si="839"/>
        <v>0.26317223198594025</v>
      </c>
      <c r="O205" s="307">
        <f t="shared" si="839"/>
        <v>0.27259162303664919</v>
      </c>
      <c r="P205" s="307">
        <f t="shared" si="839"/>
        <v>0.222327868852459</v>
      </c>
      <c r="Q205" s="308">
        <f t="shared" si="839"/>
        <v>0.15457242582897035</v>
      </c>
      <c r="R205" s="307">
        <f t="shared" si="839"/>
        <v>0.20727924706802861</v>
      </c>
      <c r="S205" s="307">
        <f t="shared" si="839"/>
        <v>0.27279032258064517</v>
      </c>
      <c r="T205" s="307">
        <f t="shared" si="839"/>
        <v>0.30422025723472673</v>
      </c>
      <c r="U205" s="308">
        <f t="shared" si="839"/>
        <v>0.32985294117647063</v>
      </c>
      <c r="V205" s="307">
        <f t="shared" si="839"/>
        <v>0.41951773049645397</v>
      </c>
      <c r="W205" s="307">
        <f t="shared" si="839"/>
        <v>0.3971631205673759</v>
      </c>
      <c r="X205" s="307">
        <f t="shared" si="839"/>
        <v>0.39277314796506008</v>
      </c>
      <c r="Y205" s="308">
        <f t="shared" si="839"/>
        <v>0.32102836879432622</v>
      </c>
      <c r="Z205" s="307">
        <f t="shared" si="839"/>
        <v>0.22012016021361816</v>
      </c>
      <c r="AA205" s="307">
        <f t="shared" si="839"/>
        <v>0.21986648865153538</v>
      </c>
      <c r="AB205" s="307">
        <f t="shared" si="839"/>
        <v>0.21350288231197301</v>
      </c>
      <c r="AC205" s="308">
        <f t="shared" si="839"/>
        <v>0.16553958100874913</v>
      </c>
      <c r="AD205" s="307">
        <f t="shared" si="839"/>
        <v>0.14022192789581256</v>
      </c>
      <c r="AE205" s="307">
        <f t="shared" si="839"/>
        <v>0.14698021978790712</v>
      </c>
      <c r="AF205" s="307">
        <f t="shared" si="839"/>
        <v>0.21368397572904632</v>
      </c>
      <c r="AG205" s="308">
        <f t="shared" si="839"/>
        <v>0.24101121188842561</v>
      </c>
      <c r="AH205" s="307">
        <f t="shared" si="839"/>
        <v>0.24367701294549549</v>
      </c>
      <c r="AI205" s="307">
        <f t="shared" si="839"/>
        <v>0.22494854049944632</v>
      </c>
      <c r="AJ205" s="307">
        <f t="shared" si="839"/>
        <v>0.21814832580202712</v>
      </c>
      <c r="AK205" s="308">
        <f t="shared" ref="AK205:AL205" si="840">SUM(AK208:AK212)/SUM(AK49:AK53)</f>
        <v>0.17265006656726872</v>
      </c>
      <c r="AL205" s="307">
        <f t="shared" si="840"/>
        <v>0.1881273986732189</v>
      </c>
      <c r="AM205" s="307">
        <f t="shared" si="839"/>
        <v>0.17209510497637798</v>
      </c>
      <c r="AN205" s="307">
        <f t="shared" si="839"/>
        <v>0.1993801812621685</v>
      </c>
      <c r="AO205" s="308">
        <f t="shared" si="839"/>
        <v>0.23646677785415862</v>
      </c>
      <c r="AP205" s="307">
        <f t="shared" ref="AP205:AS205" si="841">SUM(AP208:AP212)/SUM(AP49:AP53)</f>
        <v>0.20547586409608298</v>
      </c>
      <c r="AQ205" s="307">
        <f t="shared" si="841"/>
        <v>0.20630435797813798</v>
      </c>
      <c r="AR205" s="307">
        <f t="shared" si="841"/>
        <v>0.23098447923765864</v>
      </c>
      <c r="AS205" s="308">
        <f t="shared" si="841"/>
        <v>0.23326578642044996</v>
      </c>
      <c r="AT205" s="307">
        <f t="shared" ref="AT205:AW205" si="842">SUM(AT208:AT212)/SUM(AT49:AT53)</f>
        <v>0.21937836621388954</v>
      </c>
      <c r="AU205" s="307">
        <f t="shared" si="842"/>
        <v>0.21775253248565293</v>
      </c>
      <c r="AV205" s="307">
        <f t="shared" si="842"/>
        <v>0.22675769885535252</v>
      </c>
      <c r="AW205" s="308">
        <f t="shared" si="842"/>
        <v>0.2302713598872605</v>
      </c>
      <c r="AX205" s="208"/>
      <c r="AY205" s="217"/>
      <c r="AZ205" s="309">
        <f t="shared" ref="AZ205:BI205" si="843">SUM(AZ208:AZ212)/SUM(AZ49:AZ53)</f>
        <v>0.21608131480084067</v>
      </c>
      <c r="BA205" s="307">
        <f t="shared" si="843"/>
        <v>0.15931419499300661</v>
      </c>
      <c r="BB205" s="307">
        <f t="shared" si="843"/>
        <v>0.19516598374366084</v>
      </c>
      <c r="BC205" s="307">
        <f t="shared" si="843"/>
        <v>0.22718810483907806</v>
      </c>
      <c r="BD205" s="307">
        <f t="shared" si="843"/>
        <v>0.28459165033847056</v>
      </c>
      <c r="BE205" s="307">
        <f t="shared" si="843"/>
        <v>0.38497312817697593</v>
      </c>
      <c r="BF205" s="307">
        <f t="shared" si="843"/>
        <v>0.20396233729918148</v>
      </c>
      <c r="BG205" s="307">
        <f t="shared" si="843"/>
        <v>0.19211704092293119</v>
      </c>
      <c r="BH205" s="307">
        <f t="shared" si="843"/>
        <v>0.21422639800014434</v>
      </c>
      <c r="BI205" s="307">
        <f t="shared" si="843"/>
        <v>0.20013621868654632</v>
      </c>
      <c r="BJ205" s="307">
        <f t="shared" ref="BJ205:BK205" si="844">SUM(BJ208:BJ212)/SUM(BJ49:BJ53)</f>
        <v>0.22010677341913676</v>
      </c>
      <c r="BK205" s="307">
        <f t="shared" si="844"/>
        <v>0.22381309818972522</v>
      </c>
    </row>
    <row r="206" spans="1:63" outlineLevel="1">
      <c r="A206" s="319" t="s">
        <v>714</v>
      </c>
      <c r="B206" s="408"/>
      <c r="C206" s="408"/>
      <c r="D206" s="408"/>
      <c r="E206" s="409"/>
      <c r="H206" s="448"/>
      <c r="I206" s="449"/>
      <c r="Q206" s="445"/>
      <c r="AY206" s="204"/>
      <c r="AZ206" s="204"/>
      <c r="BA206" s="448"/>
    </row>
    <row r="207" spans="1:63" outlineLevel="1">
      <c r="A207" s="290" t="s">
        <v>1204</v>
      </c>
      <c r="B207" s="408"/>
      <c r="C207" s="408"/>
      <c r="D207" s="408"/>
      <c r="E207" s="409"/>
      <c r="H207" s="448"/>
      <c r="I207" s="449"/>
      <c r="R207" s="684">
        <f t="shared" ref="M207:AF208" si="845">R48*R194</f>
        <v>-12.5815986</v>
      </c>
      <c r="S207" s="684">
        <f t="shared" si="845"/>
        <v>-27.732184515000007</v>
      </c>
      <c r="T207" s="684">
        <f t="shared" si="845"/>
        <v>-29.901793004999995</v>
      </c>
      <c r="U207" s="1131">
        <f t="shared" si="845"/>
        <v>-28.2830561</v>
      </c>
      <c r="V207" s="684">
        <f t="shared" si="845"/>
        <v>-6.8150078000000009</v>
      </c>
      <c r="W207" s="684">
        <f t="shared" si="845"/>
        <v>-7.163509296</v>
      </c>
      <c r="X207" s="684">
        <f t="shared" si="845"/>
        <v>-7.0557372000000003</v>
      </c>
      <c r="Y207" s="1131">
        <f t="shared" si="845"/>
        <v>-5.9079078799999998</v>
      </c>
      <c r="Z207" s="684">
        <f t="shared" si="845"/>
        <v>-5.5217457168000017</v>
      </c>
      <c r="AA207" s="684">
        <f t="shared" si="845"/>
        <v>-28.949246790000004</v>
      </c>
      <c r="AB207" s="684">
        <f t="shared" si="845"/>
        <v>-53.148443292000003</v>
      </c>
      <c r="AC207" s="1131">
        <f t="shared" si="845"/>
        <v>-49.892472672000004</v>
      </c>
      <c r="AD207" s="684">
        <f t="shared" si="845"/>
        <v>-52.085237760000012</v>
      </c>
      <c r="AE207" s="684">
        <f t="shared" si="845"/>
        <v>-56.521132928000014</v>
      </c>
      <c r="AF207" s="684">
        <f t="shared" si="845"/>
        <v>-13.322409568000001</v>
      </c>
      <c r="AG207" s="1131">
        <f t="shared" ref="AG207:AJ207" si="846">AG48*AG194</f>
        <v>-11.842062565000001</v>
      </c>
      <c r="AH207" s="684">
        <f t="shared" si="846"/>
        <v>4.3428507645600005</v>
      </c>
      <c r="AI207" s="684">
        <f t="shared" si="846"/>
        <v>4.2422461650800001</v>
      </c>
      <c r="AJ207" s="684">
        <f t="shared" si="846"/>
        <v>4.7617385424000007</v>
      </c>
      <c r="AK207" s="1131">
        <f t="shared" ref="AK207:AL207" si="847">AK48*AK194</f>
        <v>5.2315172910000003</v>
      </c>
      <c r="AL207" s="684">
        <f t="shared" si="847"/>
        <v>4.7322250316378103</v>
      </c>
      <c r="AM207" s="684">
        <f t="shared" ref="AM207:AN215" si="848">AM48-AM229-AM240</f>
        <v>6.6380441838123119</v>
      </c>
      <c r="AN207" s="684">
        <f t="shared" si="848"/>
        <v>42.836718247218414</v>
      </c>
      <c r="AO207" s="1131">
        <f t="shared" ref="AO207:AR215" si="849">AO48-AO229-AO240</f>
        <v>49.357662901316921</v>
      </c>
      <c r="AP207" s="684">
        <f t="shared" si="849"/>
        <v>81.567653085099138</v>
      </c>
      <c r="AQ207" s="684">
        <f t="shared" si="849"/>
        <v>85.106594106857301</v>
      </c>
      <c r="AR207" s="684">
        <f t="shared" si="849"/>
        <v>115.40240986747855</v>
      </c>
      <c r="AS207" s="1131">
        <f t="shared" ref="AS207:AV215" si="850">AS48-AS229-AS240</f>
        <v>129.49099650926837</v>
      </c>
      <c r="AT207" s="684">
        <f t="shared" si="850"/>
        <v>185.30747744750965</v>
      </c>
      <c r="AU207" s="684">
        <f t="shared" si="850"/>
        <v>236.04249496528459</v>
      </c>
      <c r="AV207" s="684">
        <f t="shared" si="850"/>
        <v>315.67282798667009</v>
      </c>
      <c r="AW207" s="1131">
        <f t="shared" ref="AW207:AW215" si="851">AW48-AW229-AW240</f>
        <v>374.81804386725611</v>
      </c>
      <c r="AY207" s="204"/>
      <c r="AZ207" s="204"/>
      <c r="BA207" s="448"/>
      <c r="BE207" s="208">
        <f t="shared" ref="BE207:BE216" si="852">SUM(V207:Y207)</f>
        <v>-26.942162176</v>
      </c>
      <c r="BF207" s="215">
        <f t="shared" ref="BF207:BF216" si="853">SUM(Z207:AC207)</f>
        <v>-137.51190847079999</v>
      </c>
      <c r="BG207" s="215">
        <f t="shared" ref="BG207:BG216" si="854">SUM(AD207:AG207)</f>
        <v>-133.77084282100003</v>
      </c>
      <c r="BH207" s="215">
        <f t="shared" ref="BH207:BH216" si="855">SUM(AH207:AK207)</f>
        <v>18.578352763040002</v>
      </c>
      <c r="BI207" s="215">
        <f t="shared" ref="BI207:BI216" si="856">SUM(AL207:AO207)</f>
        <v>103.56465036398546</v>
      </c>
      <c r="BJ207" s="215">
        <f>SUM(AP207:AS207)</f>
        <v>411.56765356870335</v>
      </c>
      <c r="BK207" s="215">
        <f>SUM(AT207:AW207)</f>
        <v>1111.8408442667205</v>
      </c>
    </row>
    <row r="208" spans="1:63" outlineLevel="1">
      <c r="A208" s="290" t="s">
        <v>935</v>
      </c>
      <c r="B208" s="408"/>
      <c r="C208" s="408"/>
      <c r="D208" s="408"/>
      <c r="E208" s="409"/>
      <c r="H208" s="448"/>
      <c r="I208" s="449"/>
      <c r="L208" s="384"/>
      <c r="M208" s="385">
        <f t="shared" si="845"/>
        <v>-0.38446306200000002</v>
      </c>
      <c r="N208" s="384">
        <f t="shared" si="845"/>
        <v>-0.32150618448000001</v>
      </c>
      <c r="O208" s="384">
        <f t="shared" si="845"/>
        <v>-1.1089817270999998</v>
      </c>
      <c r="P208" s="384">
        <f t="shared" si="845"/>
        <v>3.6978370800000002</v>
      </c>
      <c r="Q208" s="385">
        <f t="shared" si="845"/>
        <v>-30.124521974999997</v>
      </c>
      <c r="R208" s="684">
        <f t="shared" si="845"/>
        <v>-32.425605167742233</v>
      </c>
      <c r="S208" s="684">
        <f t="shared" si="845"/>
        <v>-7.0871138205000008</v>
      </c>
      <c r="T208" s="684">
        <f t="shared" si="845"/>
        <v>8.9705379015000002</v>
      </c>
      <c r="U208" s="1131">
        <f t="shared" si="845"/>
        <v>22.060783757999999</v>
      </c>
      <c r="V208" s="684">
        <f t="shared" si="845"/>
        <v>39.867795630000003</v>
      </c>
      <c r="W208" s="684">
        <f t="shared" si="845"/>
        <v>34.922107817999994</v>
      </c>
      <c r="X208" s="684">
        <f t="shared" si="845"/>
        <v>36.689833440000001</v>
      </c>
      <c r="Y208" s="1131">
        <f t="shared" si="845"/>
        <v>17.280630549000001</v>
      </c>
      <c r="Z208" s="684">
        <f t="shared" si="845"/>
        <v>0</v>
      </c>
      <c r="AA208" s="684">
        <f t="shared" si="845"/>
        <v>0</v>
      </c>
      <c r="AB208" s="684">
        <f t="shared" si="845"/>
        <v>-6.9683514538400004</v>
      </c>
      <c r="AC208" s="1131">
        <f t="shared" si="845"/>
        <v>-7.2344085374400002</v>
      </c>
      <c r="AD208" s="684">
        <f t="shared" si="845"/>
        <v>-16.846319088000001</v>
      </c>
      <c r="AE208" s="684">
        <f t="shared" si="845"/>
        <v>-15.1017402042</v>
      </c>
      <c r="AF208" s="684">
        <f t="shared" si="845"/>
        <v>0</v>
      </c>
      <c r="AG208" s="1131">
        <f t="shared" ref="AG208:AI213" si="857">AG49*AG195</f>
        <v>7.8914441882603219</v>
      </c>
      <c r="AH208" s="684">
        <f t="shared" si="857"/>
        <v>7.2737401968000004</v>
      </c>
      <c r="AI208" s="684">
        <f t="shared" si="857"/>
        <v>6.8894900411233548</v>
      </c>
      <c r="AJ208" s="684">
        <f t="shared" ref="AJ208:AL208" si="858">AJ49*AJ195</f>
        <v>7.3748106842126981</v>
      </c>
      <c r="AK208" s="1131">
        <f t="shared" si="858"/>
        <v>6.4387905120000006</v>
      </c>
      <c r="AL208" s="684">
        <f t="shared" si="858"/>
        <v>8.7060699559621924</v>
      </c>
      <c r="AM208" s="684">
        <f t="shared" si="848"/>
        <v>6.2417583701702029</v>
      </c>
      <c r="AN208" s="684">
        <f t="shared" si="848"/>
        <v>11.419873238204914</v>
      </c>
      <c r="AO208" s="1131">
        <f t="shared" si="849"/>
        <v>30.364634023123088</v>
      </c>
      <c r="AP208" s="684">
        <f t="shared" si="849"/>
        <v>23.985994708644824</v>
      </c>
      <c r="AQ208" s="684">
        <f t="shared" si="849"/>
        <v>24.591642035857262</v>
      </c>
      <c r="AR208" s="684">
        <f t="shared" si="849"/>
        <v>38.375395437037412</v>
      </c>
      <c r="AS208" s="1131">
        <f t="shared" si="850"/>
        <v>58.223018789117532</v>
      </c>
      <c r="AT208" s="684">
        <f t="shared" si="850"/>
        <v>53.855178840274661</v>
      </c>
      <c r="AU208" s="684">
        <f t="shared" si="850"/>
        <v>49.672681078904148</v>
      </c>
      <c r="AV208" s="684">
        <f t="shared" si="850"/>
        <v>58.43844832812249</v>
      </c>
      <c r="AW208" s="1131">
        <f t="shared" si="851"/>
        <v>58.43844832812249</v>
      </c>
      <c r="AY208" s="204"/>
      <c r="AZ208" s="335">
        <f t="shared" ref="AZ208:AZ216" si="859">SUM(B208:E208)</f>
        <v>0</v>
      </c>
      <c r="BA208" s="215">
        <f t="shared" ref="BA208:BA216" si="860">SUM(F208:I208)</f>
        <v>0</v>
      </c>
      <c r="BB208" s="215">
        <f t="shared" ref="BB208:BB216" si="861">SUM(J208:M208)</f>
        <v>-0.38446306200000002</v>
      </c>
      <c r="BC208" s="215">
        <f>SUM(N208:Q208)</f>
        <v>-27.857172806579996</v>
      </c>
      <c r="BD208" s="215">
        <f t="shared" ref="BD208:BD216" si="862">SUM(R208:U208)</f>
        <v>-8.4813973287422328</v>
      </c>
      <c r="BE208" s="215">
        <f t="shared" si="852"/>
        <v>128.76036743699999</v>
      </c>
      <c r="BF208" s="215">
        <f t="shared" si="853"/>
        <v>-14.202759991280001</v>
      </c>
      <c r="BG208" s="215">
        <f t="shared" si="854"/>
        <v>-24.056615103939677</v>
      </c>
      <c r="BH208" s="215">
        <f t="shared" si="855"/>
        <v>27.976831434136052</v>
      </c>
      <c r="BI208" s="215">
        <f t="shared" si="856"/>
        <v>56.732335587460398</v>
      </c>
      <c r="BJ208" s="215">
        <f t="shared" ref="BJ208:BK216" si="863">SUM(AP208:AS208)</f>
        <v>145.17605097065703</v>
      </c>
      <c r="BK208" s="215">
        <f t="shared" ref="BK208:BK215" si="864">SUM(AT208:AW208)</f>
        <v>220.40475657542379</v>
      </c>
    </row>
    <row r="209" spans="1:63" outlineLevel="1">
      <c r="A209" s="290" t="s">
        <v>712</v>
      </c>
      <c r="B209" s="384">
        <f t="shared" ref="B209:L209" si="865">B50*B196</f>
        <v>-1.9232311250000003</v>
      </c>
      <c r="C209" s="384">
        <f t="shared" si="865"/>
        <v>4.7992218384000003</v>
      </c>
      <c r="D209" s="384">
        <f t="shared" si="865"/>
        <v>4.6656297811199998</v>
      </c>
      <c r="E209" s="385">
        <f t="shared" si="865"/>
        <v>7.0947048011200007</v>
      </c>
      <c r="F209" s="384">
        <f t="shared" si="865"/>
        <v>-9.9924730560000015</v>
      </c>
      <c r="G209" s="384">
        <f t="shared" si="865"/>
        <v>6.8941186199999995</v>
      </c>
      <c r="H209" s="384">
        <f t="shared" si="865"/>
        <v>2.8507384943999998</v>
      </c>
      <c r="I209" s="385">
        <f t="shared" si="865"/>
        <v>1.5854628528000003</v>
      </c>
      <c r="J209" s="384">
        <f t="shared" si="865"/>
        <v>-2.4574011462000001</v>
      </c>
      <c r="K209" s="384">
        <f t="shared" si="865"/>
        <v>1.4110125761999999</v>
      </c>
      <c r="L209" s="384">
        <f t="shared" si="865"/>
        <v>2.4120779374339101</v>
      </c>
      <c r="M209" s="385">
        <f t="shared" ref="M209:AF209" si="866">M50*M196</f>
        <v>4.996674553305521</v>
      </c>
      <c r="N209" s="384">
        <f t="shared" si="866"/>
        <v>8.3055764324000005</v>
      </c>
      <c r="O209" s="384">
        <f t="shared" si="866"/>
        <v>8.8164047304449991</v>
      </c>
      <c r="P209" s="384">
        <f t="shared" si="866"/>
        <v>8.5420036547999807</v>
      </c>
      <c r="Q209" s="385">
        <f t="shared" si="866"/>
        <v>-1.5280554624999967</v>
      </c>
      <c r="R209" s="684">
        <f t="shared" si="866"/>
        <v>2.3087117707196132</v>
      </c>
      <c r="S209" s="684">
        <f t="shared" si="866"/>
        <v>6.778978436999977</v>
      </c>
      <c r="T209" s="684">
        <f t="shared" si="866"/>
        <v>11.907558458879928</v>
      </c>
      <c r="U209" s="1131">
        <f t="shared" si="866"/>
        <v>16.291040313599964</v>
      </c>
      <c r="V209" s="684">
        <f t="shared" si="866"/>
        <v>53.668186424999966</v>
      </c>
      <c r="W209" s="684">
        <f t="shared" si="866"/>
        <v>57.164804182079877</v>
      </c>
      <c r="X209" s="684">
        <f t="shared" si="866"/>
        <v>60.871591613962423</v>
      </c>
      <c r="Y209" s="1131">
        <f t="shared" si="866"/>
        <v>27.324073944999899</v>
      </c>
      <c r="Z209" s="684">
        <f t="shared" si="866"/>
        <v>32.888056196159937</v>
      </c>
      <c r="AA209" s="684">
        <f t="shared" si="866"/>
        <v>37.958817254399939</v>
      </c>
      <c r="AB209" s="684">
        <f t="shared" si="866"/>
        <v>35.7840378224437</v>
      </c>
      <c r="AC209" s="1131">
        <f t="shared" si="866"/>
        <v>40.459316254736521</v>
      </c>
      <c r="AD209" s="684">
        <f t="shared" si="866"/>
        <v>38.443508812609444</v>
      </c>
      <c r="AE209" s="684">
        <f t="shared" si="866"/>
        <v>49.984386669093965</v>
      </c>
      <c r="AF209" s="684">
        <f t="shared" si="866"/>
        <v>71.299372896534209</v>
      </c>
      <c r="AG209" s="1131">
        <f t="shared" si="857"/>
        <v>72.758423865461737</v>
      </c>
      <c r="AH209" s="684">
        <f t="shared" si="857"/>
        <v>71.931483318855726</v>
      </c>
      <c r="AI209" s="684">
        <f t="shared" si="857"/>
        <v>73.91791941585484</v>
      </c>
      <c r="AJ209" s="684">
        <f t="shared" ref="AJ209:AL209" si="867">AJ50*AJ196</f>
        <v>91.919379742006541</v>
      </c>
      <c r="AK209" s="1131">
        <f t="shared" si="867"/>
        <v>64.626554972559134</v>
      </c>
      <c r="AL209" s="684">
        <f t="shared" si="867"/>
        <v>68.877196346835063</v>
      </c>
      <c r="AM209" s="684">
        <f t="shared" si="848"/>
        <v>86.740657721855882</v>
      </c>
      <c r="AN209" s="684">
        <f t="shared" si="848"/>
        <v>93.719811651390302</v>
      </c>
      <c r="AO209" s="1131">
        <f t="shared" si="849"/>
        <v>102.81888920153872</v>
      </c>
      <c r="AP209" s="684">
        <f t="shared" si="849"/>
        <v>76.633298787776667</v>
      </c>
      <c r="AQ209" s="684">
        <f t="shared" si="849"/>
        <v>82.177828739305596</v>
      </c>
      <c r="AR209" s="684">
        <f t="shared" si="849"/>
        <v>112.26234971878898</v>
      </c>
      <c r="AS209" s="1131">
        <f t="shared" si="850"/>
        <v>109.36162929883193</v>
      </c>
      <c r="AT209" s="684">
        <f t="shared" si="850"/>
        <v>90.179658912611302</v>
      </c>
      <c r="AU209" s="684">
        <f t="shared" si="850"/>
        <v>98.903702320131714</v>
      </c>
      <c r="AV209" s="684">
        <f t="shared" si="850"/>
        <v>109.80515032668663</v>
      </c>
      <c r="AW209" s="1131">
        <f t="shared" si="851"/>
        <v>109.47204729969133</v>
      </c>
      <c r="AY209" s="204"/>
      <c r="AZ209" s="335">
        <f t="shared" si="859"/>
        <v>14.636325295640001</v>
      </c>
      <c r="BA209" s="215">
        <f t="shared" si="860"/>
        <v>1.3378469111999982</v>
      </c>
      <c r="BB209" s="215">
        <f t="shared" si="861"/>
        <v>6.3623639207394307</v>
      </c>
      <c r="BC209" s="215">
        <f t="shared" ref="BC209:BC216" si="868">SUM(N209:Q209)</f>
        <v>24.135929355144984</v>
      </c>
      <c r="BD209" s="215">
        <f t="shared" si="862"/>
        <v>37.28628898019948</v>
      </c>
      <c r="BE209" s="215">
        <f t="shared" si="852"/>
        <v>199.02865616604214</v>
      </c>
      <c r="BF209" s="215">
        <f t="shared" si="853"/>
        <v>147.09022752774013</v>
      </c>
      <c r="BG209" s="215">
        <f t="shared" si="854"/>
        <v>232.48569224369936</v>
      </c>
      <c r="BH209" s="215">
        <f t="shared" si="855"/>
        <v>302.39533744927621</v>
      </c>
      <c r="BI209" s="215">
        <f t="shared" si="856"/>
        <v>352.15655492162</v>
      </c>
      <c r="BJ209" s="215">
        <f t="shared" si="863"/>
        <v>380.43510654470316</v>
      </c>
      <c r="BK209" s="215">
        <f t="shared" si="864"/>
        <v>408.36055885912094</v>
      </c>
    </row>
    <row r="210" spans="1:63" outlineLevel="1">
      <c r="A210" s="290" t="s">
        <v>711</v>
      </c>
      <c r="B210" s="384">
        <f t="shared" ref="B210:L210" si="869">B51*B197</f>
        <v>33.848867800000001</v>
      </c>
      <c r="C210" s="384">
        <f t="shared" si="869"/>
        <v>27.777314276800002</v>
      </c>
      <c r="D210" s="384">
        <f t="shared" si="869"/>
        <v>37.446223438079997</v>
      </c>
      <c r="E210" s="385">
        <f t="shared" si="869"/>
        <v>38.895306409679996</v>
      </c>
      <c r="F210" s="384">
        <f t="shared" si="869"/>
        <v>30.116203516000002</v>
      </c>
      <c r="G210" s="384">
        <f t="shared" si="869"/>
        <v>29.460332474999998</v>
      </c>
      <c r="H210" s="384">
        <f t="shared" si="869"/>
        <v>30.033132307200006</v>
      </c>
      <c r="I210" s="385">
        <f t="shared" si="869"/>
        <v>26.820746593200006</v>
      </c>
      <c r="J210" s="384">
        <f t="shared" si="869"/>
        <v>14.460860591099998</v>
      </c>
      <c r="K210" s="384">
        <f t="shared" si="869"/>
        <v>32.081970153599997</v>
      </c>
      <c r="L210" s="384">
        <f t="shared" si="869"/>
        <v>32.104817972821266</v>
      </c>
      <c r="M210" s="385">
        <f t="shared" ref="M210:AF210" si="870">M51*M197</f>
        <v>33.81307500091399</v>
      </c>
      <c r="N210" s="384">
        <f t="shared" si="870"/>
        <v>36.849554990400001</v>
      </c>
      <c r="O210" s="384">
        <f t="shared" si="870"/>
        <v>43.352654900940003</v>
      </c>
      <c r="P210" s="384">
        <f t="shared" si="870"/>
        <v>49.292168276399998</v>
      </c>
      <c r="Q210" s="385">
        <f t="shared" si="870"/>
        <v>31.015160015999996</v>
      </c>
      <c r="R210" s="684">
        <f t="shared" si="870"/>
        <v>47.578573265759999</v>
      </c>
      <c r="S210" s="684">
        <f t="shared" si="870"/>
        <v>67.950014769420008</v>
      </c>
      <c r="T210" s="684">
        <f t="shared" si="870"/>
        <v>72.043386613379994</v>
      </c>
      <c r="U210" s="1131">
        <f t="shared" si="870"/>
        <v>88.709805457649992</v>
      </c>
      <c r="V210" s="684">
        <f t="shared" si="870"/>
        <v>120.114512475</v>
      </c>
      <c r="W210" s="684">
        <f t="shared" si="870"/>
        <v>118.19790338399999</v>
      </c>
      <c r="X210" s="684">
        <f t="shared" si="870"/>
        <v>113.77376234999997</v>
      </c>
      <c r="Y210" s="1131">
        <f t="shared" si="870"/>
        <v>95.708107655999996</v>
      </c>
      <c r="Z210" s="684">
        <f t="shared" si="870"/>
        <v>70.031896896000006</v>
      </c>
      <c r="AA210" s="684">
        <f t="shared" si="870"/>
        <v>70.60791900000001</v>
      </c>
      <c r="AB210" s="684">
        <f t="shared" si="870"/>
        <v>70.864591056000009</v>
      </c>
      <c r="AC210" s="1131">
        <f t="shared" si="870"/>
        <v>57.582280932362018</v>
      </c>
      <c r="AD210" s="684">
        <f t="shared" si="870"/>
        <v>50.922239124360878</v>
      </c>
      <c r="AE210" s="684">
        <f t="shared" si="870"/>
        <v>45.079780900810235</v>
      </c>
      <c r="AF210" s="684">
        <f t="shared" si="870"/>
        <v>112.15419254784</v>
      </c>
      <c r="AG210" s="1131">
        <f t="shared" si="857"/>
        <v>154.35516033000002</v>
      </c>
      <c r="AH210" s="684">
        <f t="shared" si="857"/>
        <v>167.5099580616</v>
      </c>
      <c r="AI210" s="684">
        <f t="shared" si="857"/>
        <v>148.4786157778</v>
      </c>
      <c r="AJ210" s="684">
        <f t="shared" ref="AJ210:AL210" si="871">AJ51*AJ197</f>
        <v>132.87263374155106</v>
      </c>
      <c r="AK210" s="1131">
        <f t="shared" si="871"/>
        <v>106.23957498015437</v>
      </c>
      <c r="AL210" s="684">
        <f t="shared" si="871"/>
        <v>121.90504947430966</v>
      </c>
      <c r="AM210" s="684">
        <f t="shared" si="848"/>
        <v>100.05350609460885</v>
      </c>
      <c r="AN210" s="684">
        <f t="shared" si="848"/>
        <v>147.61705239797459</v>
      </c>
      <c r="AO210" s="1131">
        <f t="shared" si="849"/>
        <v>173.66076198780439</v>
      </c>
      <c r="AP210" s="684">
        <f t="shared" si="849"/>
        <v>164.61956988551964</v>
      </c>
      <c r="AQ210" s="684">
        <f t="shared" si="849"/>
        <v>163.42547136904631</v>
      </c>
      <c r="AR210" s="684">
        <f t="shared" si="849"/>
        <v>211.53651930427588</v>
      </c>
      <c r="AS210" s="1131">
        <f t="shared" si="850"/>
        <v>205.63135700341161</v>
      </c>
      <c r="AT210" s="684">
        <f t="shared" si="850"/>
        <v>201.172297951823</v>
      </c>
      <c r="AU210" s="684">
        <f t="shared" si="850"/>
        <v>205.94585928022161</v>
      </c>
      <c r="AV210" s="684">
        <f t="shared" si="850"/>
        <v>241.28503533751666</v>
      </c>
      <c r="AW210" s="1131">
        <f t="shared" si="851"/>
        <v>252.42098724966513</v>
      </c>
      <c r="AY210" s="204"/>
      <c r="AZ210" s="335">
        <f t="shared" si="859"/>
        <v>137.96771192456001</v>
      </c>
      <c r="BA210" s="215">
        <f t="shared" si="860"/>
        <v>116.43041489140001</v>
      </c>
      <c r="BB210" s="215">
        <f t="shared" si="861"/>
        <v>112.46072371843525</v>
      </c>
      <c r="BC210" s="215">
        <f t="shared" si="868"/>
        <v>160.50953818374001</v>
      </c>
      <c r="BD210" s="215">
        <f t="shared" si="862"/>
        <v>276.28178010621002</v>
      </c>
      <c r="BE210" s="215">
        <f t="shared" si="852"/>
        <v>447.79428586499995</v>
      </c>
      <c r="BF210" s="215">
        <f t="shared" si="853"/>
        <v>269.08668788436205</v>
      </c>
      <c r="BG210" s="215">
        <f t="shared" si="854"/>
        <v>362.51137290301108</v>
      </c>
      <c r="BH210" s="215">
        <f t="shared" si="855"/>
        <v>555.10078256110546</v>
      </c>
      <c r="BI210" s="215">
        <f t="shared" si="856"/>
        <v>543.23636995469747</v>
      </c>
      <c r="BJ210" s="215">
        <f t="shared" si="863"/>
        <v>745.21291756225344</v>
      </c>
      <c r="BK210" s="215">
        <f t="shared" si="864"/>
        <v>900.8241798192264</v>
      </c>
    </row>
    <row r="211" spans="1:63" outlineLevel="1">
      <c r="A211" s="290" t="s">
        <v>710</v>
      </c>
      <c r="B211" s="384">
        <f t="shared" ref="B211:L211" si="872">B52*B198</f>
        <v>50.773301699999998</v>
      </c>
      <c r="C211" s="384">
        <f t="shared" si="872"/>
        <v>53.198646923839995</v>
      </c>
      <c r="D211" s="384">
        <f t="shared" si="872"/>
        <v>42.838964353920005</v>
      </c>
      <c r="E211" s="385">
        <f t="shared" si="872"/>
        <v>23.858299331200001</v>
      </c>
      <c r="F211" s="384">
        <f t="shared" si="872"/>
        <v>20.304150112400002</v>
      </c>
      <c r="G211" s="384">
        <f t="shared" si="872"/>
        <v>34.919512451999999</v>
      </c>
      <c r="H211" s="384">
        <f t="shared" si="872"/>
        <v>30.354342278400001</v>
      </c>
      <c r="I211" s="385">
        <f t="shared" si="872"/>
        <v>27.011589344000004</v>
      </c>
      <c r="J211" s="384">
        <f t="shared" si="872"/>
        <v>20.604363456599998</v>
      </c>
      <c r="K211" s="384">
        <f t="shared" si="872"/>
        <v>38.914241575200002</v>
      </c>
      <c r="L211" s="384">
        <f t="shared" si="872"/>
        <v>42.033523058240036</v>
      </c>
      <c r="M211" s="385">
        <f t="shared" ref="M211:AF211" si="873">M52*M198</f>
        <v>58.003532447039291</v>
      </c>
      <c r="N211" s="384">
        <f t="shared" si="873"/>
        <v>75.248934664960018</v>
      </c>
      <c r="O211" s="384">
        <f t="shared" si="873"/>
        <v>75.496063729499994</v>
      </c>
      <c r="P211" s="384">
        <f t="shared" si="873"/>
        <v>57.242517998400004</v>
      </c>
      <c r="Q211" s="385">
        <f t="shared" si="873"/>
        <v>71.251043280000005</v>
      </c>
      <c r="R211" s="684">
        <f t="shared" si="873"/>
        <v>95.740932706559988</v>
      </c>
      <c r="S211" s="684">
        <f t="shared" si="873"/>
        <v>128.9854715331</v>
      </c>
      <c r="T211" s="684">
        <f t="shared" si="873"/>
        <v>143.92729699739996</v>
      </c>
      <c r="U211" s="1131">
        <f t="shared" si="873"/>
        <v>147.80725117860001</v>
      </c>
      <c r="V211" s="684">
        <f t="shared" si="873"/>
        <v>267.14830576000003</v>
      </c>
      <c r="W211" s="684">
        <f t="shared" si="873"/>
        <v>269.34794952959999</v>
      </c>
      <c r="X211" s="684">
        <f t="shared" si="873"/>
        <v>255.59408006999999</v>
      </c>
      <c r="Y211" s="1131">
        <f t="shared" si="873"/>
        <v>179.12038203674999</v>
      </c>
      <c r="Z211" s="684">
        <f t="shared" si="873"/>
        <v>105.4518755184</v>
      </c>
      <c r="AA211" s="684">
        <f t="shared" si="873"/>
        <v>110.14835364000001</v>
      </c>
      <c r="AB211" s="684">
        <f t="shared" si="873"/>
        <v>119.03743871572274</v>
      </c>
      <c r="AC211" s="1131">
        <f t="shared" si="873"/>
        <v>87.995419741976804</v>
      </c>
      <c r="AD211" s="684">
        <f t="shared" si="873"/>
        <v>81.769539765396203</v>
      </c>
      <c r="AE211" s="684">
        <f t="shared" si="873"/>
        <v>73.929346994447997</v>
      </c>
      <c r="AF211" s="684">
        <f t="shared" si="873"/>
        <v>121.8190820937933</v>
      </c>
      <c r="AG211" s="1131">
        <f t="shared" si="857"/>
        <v>134.346158065</v>
      </c>
      <c r="AH211" s="684">
        <f t="shared" si="857"/>
        <v>135.12123866264525</v>
      </c>
      <c r="AI211" s="684">
        <f t="shared" si="857"/>
        <v>118.752978436888</v>
      </c>
      <c r="AJ211" s="684">
        <f t="shared" ref="AJ211:AL211" si="874">AJ52*AJ198</f>
        <v>134.2828450675143</v>
      </c>
      <c r="AK211" s="1131">
        <f t="shared" si="874"/>
        <v>110.28628598522886</v>
      </c>
      <c r="AL211" s="684">
        <f t="shared" si="874"/>
        <v>123.11563117039104</v>
      </c>
      <c r="AM211" s="684">
        <f t="shared" si="848"/>
        <v>139.3882542996912</v>
      </c>
      <c r="AN211" s="684">
        <f t="shared" si="848"/>
        <v>159.84751321818851</v>
      </c>
      <c r="AO211" s="1131">
        <f t="shared" si="849"/>
        <v>192.23145357879764</v>
      </c>
      <c r="AP211" s="684">
        <f t="shared" si="849"/>
        <v>149.61712318126297</v>
      </c>
      <c r="AQ211" s="684">
        <f t="shared" si="849"/>
        <v>179.65977298318978</v>
      </c>
      <c r="AR211" s="684">
        <f t="shared" si="849"/>
        <v>206.35996913633841</v>
      </c>
      <c r="AS211" s="1131">
        <f t="shared" si="850"/>
        <v>210.19004937772581</v>
      </c>
      <c r="AT211" s="684">
        <f t="shared" si="850"/>
        <v>208.57426763875486</v>
      </c>
      <c r="AU211" s="684">
        <f t="shared" si="850"/>
        <v>217.48050639967244</v>
      </c>
      <c r="AV211" s="684">
        <f t="shared" si="850"/>
        <v>234.36311555925369</v>
      </c>
      <c r="AW211" s="1131">
        <f t="shared" si="851"/>
        <v>249.39015044036876</v>
      </c>
      <c r="AY211" s="204"/>
      <c r="AZ211" s="335">
        <f t="shared" si="859"/>
        <v>170.66921230895997</v>
      </c>
      <c r="BA211" s="215">
        <f t="shared" si="860"/>
        <v>112.5895941868</v>
      </c>
      <c r="BB211" s="215">
        <f t="shared" si="861"/>
        <v>159.55566053707935</v>
      </c>
      <c r="BC211" s="215">
        <f t="shared" si="868"/>
        <v>279.23855967285999</v>
      </c>
      <c r="BD211" s="215">
        <f t="shared" si="862"/>
        <v>516.46095241566002</v>
      </c>
      <c r="BE211" s="215">
        <f t="shared" si="852"/>
        <v>971.21071739634999</v>
      </c>
      <c r="BF211" s="215">
        <f t="shared" si="853"/>
        <v>422.63308761609949</v>
      </c>
      <c r="BG211" s="215">
        <f t="shared" si="854"/>
        <v>411.86412691863751</v>
      </c>
      <c r="BH211" s="215">
        <f t="shared" si="855"/>
        <v>498.44334815227643</v>
      </c>
      <c r="BI211" s="215">
        <f t="shared" si="856"/>
        <v>614.58285226706835</v>
      </c>
      <c r="BJ211" s="215">
        <f t="shared" si="863"/>
        <v>745.82691467851703</v>
      </c>
      <c r="BK211" s="215">
        <f t="shared" si="864"/>
        <v>909.80804003804974</v>
      </c>
    </row>
    <row r="212" spans="1:63" outlineLevel="1">
      <c r="A212" s="290" t="s">
        <v>709</v>
      </c>
      <c r="B212" s="384">
        <f t="shared" ref="B212:L212" si="875">B53*B199</f>
        <v>1.800144333</v>
      </c>
      <c r="C212" s="384">
        <f t="shared" si="875"/>
        <v>2.2396368579199999</v>
      </c>
      <c r="D212" s="384">
        <f t="shared" si="875"/>
        <v>2.2267778500799995</v>
      </c>
      <c r="E212" s="385">
        <f t="shared" si="875"/>
        <v>3.2491236589199999</v>
      </c>
      <c r="F212" s="384">
        <f t="shared" si="875"/>
        <v>6.3285662688000004</v>
      </c>
      <c r="G212" s="384">
        <f t="shared" si="875"/>
        <v>0.96197004000000019</v>
      </c>
      <c r="H212" s="384">
        <f t="shared" si="875"/>
        <v>1.6863523488000001</v>
      </c>
      <c r="I212" s="385">
        <f t="shared" si="875"/>
        <v>1.8717269790000004</v>
      </c>
      <c r="J212" s="384">
        <f t="shared" si="875"/>
        <v>2.6338299464399997</v>
      </c>
      <c r="K212" s="384">
        <f t="shared" si="875"/>
        <v>1.76747891124</v>
      </c>
      <c r="L212" s="384">
        <f t="shared" si="875"/>
        <v>1.7206148180137038</v>
      </c>
      <c r="M212" s="385">
        <f t="shared" ref="M212:AF212" si="876">M53*M199</f>
        <v>2.4704803104635404</v>
      </c>
      <c r="N212" s="384">
        <f t="shared" si="876"/>
        <v>3.3634493145600004</v>
      </c>
      <c r="O212" s="384">
        <f t="shared" si="876"/>
        <v>6.6880128772800003</v>
      </c>
      <c r="P212" s="384">
        <f t="shared" si="876"/>
        <v>6.6006391878000006</v>
      </c>
      <c r="Q212" s="385">
        <f t="shared" si="876"/>
        <v>6.7234440350000009</v>
      </c>
      <c r="R212" s="684">
        <f t="shared" si="876"/>
        <v>11.142263720160001</v>
      </c>
      <c r="S212" s="684">
        <f t="shared" si="876"/>
        <v>11.832398726400001</v>
      </c>
      <c r="T212" s="684">
        <f t="shared" si="876"/>
        <v>14.625299200889996</v>
      </c>
      <c r="U212" s="1131">
        <f t="shared" si="876"/>
        <v>10.606146037499999</v>
      </c>
      <c r="V212" s="684">
        <f t="shared" si="876"/>
        <v>23.102876441999999</v>
      </c>
      <c r="W212" s="684">
        <f t="shared" si="876"/>
        <v>21.812885806319997</v>
      </c>
      <c r="X212" s="684">
        <f t="shared" si="876"/>
        <v>21.51308213529158</v>
      </c>
      <c r="Y212" s="1131">
        <f t="shared" si="876"/>
        <v>14.843618548499999</v>
      </c>
      <c r="Z212" s="684">
        <f t="shared" si="876"/>
        <v>13.669687567200002</v>
      </c>
      <c r="AA212" s="684">
        <f t="shared" si="876"/>
        <v>13.839152124000003</v>
      </c>
      <c r="AB212" s="684">
        <f t="shared" si="876"/>
        <v>13.228056997120001</v>
      </c>
      <c r="AC212" s="1131">
        <f t="shared" si="876"/>
        <v>8.5490148828322496</v>
      </c>
      <c r="AD212" s="684">
        <f t="shared" si="876"/>
        <v>7.5884194444955835</v>
      </c>
      <c r="AE212" s="684">
        <f t="shared" si="876"/>
        <v>5.4029514799512528</v>
      </c>
      <c r="AF212" s="684">
        <f t="shared" si="876"/>
        <v>9.4060271235597366</v>
      </c>
      <c r="AG212" s="1131">
        <f t="shared" si="857"/>
        <v>10.535352212999999</v>
      </c>
      <c r="AH212" s="684">
        <f t="shared" si="857"/>
        <v>9.6884124329127026</v>
      </c>
      <c r="AI212" s="684">
        <f t="shared" si="857"/>
        <v>7.8916344049456777</v>
      </c>
      <c r="AJ212" s="684">
        <f t="shared" ref="AJ212:AL212" si="877">AJ53*AJ199</f>
        <v>8.7011629369696575</v>
      </c>
      <c r="AK212" s="1131">
        <f t="shared" si="877"/>
        <v>7.3655383274688093</v>
      </c>
      <c r="AL212" s="684">
        <f t="shared" si="877"/>
        <v>7.8972131251043782</v>
      </c>
      <c r="AM212" s="684">
        <f t="shared" si="848"/>
        <v>8.6286953254475058</v>
      </c>
      <c r="AN212" s="684">
        <f t="shared" si="848"/>
        <v>9.5635386796954585</v>
      </c>
      <c r="AO212" s="1131">
        <f t="shared" si="849"/>
        <v>10.357457600217746</v>
      </c>
      <c r="AP212" s="684">
        <f t="shared" si="849"/>
        <v>8.0516755880644624</v>
      </c>
      <c r="AQ212" s="684">
        <f t="shared" si="849"/>
        <v>8.0973269332098781</v>
      </c>
      <c r="AR212" s="684">
        <f t="shared" si="849"/>
        <v>10.604122690517237</v>
      </c>
      <c r="AS212" s="1131">
        <f t="shared" si="850"/>
        <v>10.05416256883812</v>
      </c>
      <c r="AT212" s="684">
        <f t="shared" si="850"/>
        <v>9.9201780541533715</v>
      </c>
      <c r="AU212" s="684">
        <f t="shared" si="850"/>
        <v>10.568207156286945</v>
      </c>
      <c r="AV212" s="684">
        <f t="shared" si="850"/>
        <v>11.272258607881767</v>
      </c>
      <c r="AW212" s="1131">
        <f t="shared" si="851"/>
        <v>11.359108583779513</v>
      </c>
      <c r="AY212" s="204"/>
      <c r="AZ212" s="335">
        <f t="shared" si="859"/>
        <v>9.5156826999199993</v>
      </c>
      <c r="BA212" s="215">
        <f t="shared" si="860"/>
        <v>10.8486156366</v>
      </c>
      <c r="BB212" s="215">
        <f t="shared" si="861"/>
        <v>8.5924039861572439</v>
      </c>
      <c r="BC212" s="215">
        <f t="shared" si="868"/>
        <v>23.375545414640001</v>
      </c>
      <c r="BD212" s="215">
        <f t="shared" si="862"/>
        <v>48.206107684949998</v>
      </c>
      <c r="BE212" s="215">
        <f t="shared" si="852"/>
        <v>81.27246293211158</v>
      </c>
      <c r="BF212" s="215">
        <f t="shared" si="853"/>
        <v>49.285911571152255</v>
      </c>
      <c r="BG212" s="215">
        <f t="shared" si="854"/>
        <v>32.932750261006575</v>
      </c>
      <c r="BH212" s="215">
        <f t="shared" si="855"/>
        <v>33.646748102296847</v>
      </c>
      <c r="BI212" s="215">
        <f t="shared" si="856"/>
        <v>36.446904730465093</v>
      </c>
      <c r="BJ212" s="215">
        <f t="shared" si="863"/>
        <v>36.807287780629693</v>
      </c>
      <c r="BK212" s="215">
        <f t="shared" si="864"/>
        <v>43.119752402101597</v>
      </c>
    </row>
    <row r="213" spans="1:63" outlineLevel="1">
      <c r="A213" s="290" t="s">
        <v>708</v>
      </c>
      <c r="B213" s="384">
        <f t="shared" ref="B213:L213" si="878">B54*B200</f>
        <v>34.356600817</v>
      </c>
      <c r="C213" s="384">
        <f t="shared" si="878"/>
        <v>36.059607722159996</v>
      </c>
      <c r="D213" s="384">
        <f t="shared" si="878"/>
        <v>14.724000478080001</v>
      </c>
      <c r="E213" s="385">
        <f t="shared" si="878"/>
        <v>7.4164779170999999</v>
      </c>
      <c r="F213" s="384">
        <f t="shared" si="878"/>
        <v>8.4380883583999999</v>
      </c>
      <c r="G213" s="384">
        <f t="shared" si="878"/>
        <v>13.403449224000001</v>
      </c>
      <c r="H213" s="384">
        <f t="shared" si="878"/>
        <v>16.068528809280004</v>
      </c>
      <c r="I213" s="385">
        <f t="shared" si="878"/>
        <v>10.716554468000002</v>
      </c>
      <c r="J213" s="384">
        <f t="shared" si="878"/>
        <v>9.3255222983999992</v>
      </c>
      <c r="K213" s="384">
        <f t="shared" si="878"/>
        <v>8.7371383994699983</v>
      </c>
      <c r="L213" s="384">
        <f t="shared" si="878"/>
        <v>11.597844600290315</v>
      </c>
      <c r="M213" s="385">
        <f t="shared" ref="M213:AF213" si="879">M54*M200</f>
        <v>12.320065388009329</v>
      </c>
      <c r="N213" s="384">
        <f t="shared" si="879"/>
        <v>11.796803845920001</v>
      </c>
      <c r="O213" s="384">
        <f t="shared" si="879"/>
        <v>13.358964497219999</v>
      </c>
      <c r="P213" s="384">
        <f t="shared" si="879"/>
        <v>11.7961002852</v>
      </c>
      <c r="Q213" s="385">
        <f t="shared" si="879"/>
        <v>11.910100862</v>
      </c>
      <c r="R213" s="684">
        <f t="shared" si="879"/>
        <v>16.305751785599998</v>
      </c>
      <c r="S213" s="684">
        <f t="shared" si="879"/>
        <v>27.997180944810001</v>
      </c>
      <c r="T213" s="684">
        <f t="shared" si="879"/>
        <v>28.705721284799996</v>
      </c>
      <c r="U213" s="1131">
        <f t="shared" si="879"/>
        <v>32.228542425949996</v>
      </c>
      <c r="V213" s="684">
        <f t="shared" si="879"/>
        <v>25.641466847500002</v>
      </c>
      <c r="W213" s="684">
        <f t="shared" si="879"/>
        <v>25.699089599399997</v>
      </c>
      <c r="X213" s="684">
        <f t="shared" si="879"/>
        <v>25.312457205000001</v>
      </c>
      <c r="Y213" s="1131">
        <f t="shared" si="879"/>
        <v>17.576025943000005</v>
      </c>
      <c r="Z213" s="684">
        <f t="shared" si="879"/>
        <v>7.9997974531200002</v>
      </c>
      <c r="AA213" s="684">
        <f t="shared" si="879"/>
        <v>7.9222085118000019</v>
      </c>
      <c r="AB213" s="684">
        <f t="shared" si="879"/>
        <v>8.3921074938423619</v>
      </c>
      <c r="AC213" s="1131">
        <f t="shared" si="879"/>
        <v>8.2200274292683666</v>
      </c>
      <c r="AD213" s="684">
        <f t="shared" si="879"/>
        <v>7.9970487176026426</v>
      </c>
      <c r="AE213" s="684">
        <f t="shared" si="879"/>
        <v>14.081576571404829</v>
      </c>
      <c r="AF213" s="684">
        <f t="shared" si="879"/>
        <v>12.216587387869994</v>
      </c>
      <c r="AG213" s="1131">
        <f t="shared" si="857"/>
        <v>10.10658787875</v>
      </c>
      <c r="AH213" s="684">
        <f t="shared" si="857"/>
        <v>11.554878305060742</v>
      </c>
      <c r="AI213" s="684">
        <f t="shared" si="857"/>
        <v>9.7595595273932627</v>
      </c>
      <c r="AJ213" s="684">
        <f t="shared" ref="AJ213:AL213" si="880">AJ54*AJ200</f>
        <v>8.9660325467230777</v>
      </c>
      <c r="AK213" s="1131">
        <f t="shared" si="880"/>
        <v>4.808222532408756</v>
      </c>
      <c r="AL213" s="684">
        <f t="shared" si="880"/>
        <v>4.7070004638235545</v>
      </c>
      <c r="AM213" s="684">
        <f t="shared" si="848"/>
        <v>16.317252059416688</v>
      </c>
      <c r="AN213" s="684">
        <f t="shared" si="848"/>
        <v>14.523857685026954</v>
      </c>
      <c r="AO213" s="1131">
        <f t="shared" si="849"/>
        <v>16.558272775717761</v>
      </c>
      <c r="AP213" s="684">
        <f t="shared" si="849"/>
        <v>12.895813013728635</v>
      </c>
      <c r="AQ213" s="684">
        <f t="shared" si="849"/>
        <v>10.324087294209114</v>
      </c>
      <c r="AR213" s="684">
        <f t="shared" si="849"/>
        <v>14.219431930951593</v>
      </c>
      <c r="AS213" s="1131">
        <f t="shared" si="850"/>
        <v>12.689636218511517</v>
      </c>
      <c r="AT213" s="684">
        <f t="shared" si="850"/>
        <v>8.3788452549257642</v>
      </c>
      <c r="AU213" s="684">
        <f t="shared" si="850"/>
        <v>6.5280549132063967</v>
      </c>
      <c r="AV213" s="684">
        <f t="shared" si="850"/>
        <v>7.8694059314007987</v>
      </c>
      <c r="AW213" s="1131">
        <f t="shared" si="851"/>
        <v>7.3625460621972891</v>
      </c>
      <c r="AY213" s="204"/>
      <c r="AZ213" s="335">
        <f t="shared" si="859"/>
        <v>92.556686934339993</v>
      </c>
      <c r="BA213" s="215">
        <f t="shared" si="860"/>
        <v>48.626620859680003</v>
      </c>
      <c r="BB213" s="215">
        <f t="shared" si="861"/>
        <v>41.980570686169642</v>
      </c>
      <c r="BC213" s="215">
        <f t="shared" si="868"/>
        <v>48.861969490340002</v>
      </c>
      <c r="BD213" s="215">
        <f t="shared" si="862"/>
        <v>105.23719644115999</v>
      </c>
      <c r="BE213" s="215">
        <f t="shared" si="852"/>
        <v>94.229039594900001</v>
      </c>
      <c r="BF213" s="215">
        <f t="shared" si="853"/>
        <v>32.534140888030734</v>
      </c>
      <c r="BG213" s="215">
        <f t="shared" si="854"/>
        <v>44.401800555627467</v>
      </c>
      <c r="BH213" s="215">
        <f t="shared" si="855"/>
        <v>35.088692911585838</v>
      </c>
      <c r="BI213" s="215">
        <f t="shared" si="856"/>
        <v>52.106382983984957</v>
      </c>
      <c r="BJ213" s="215">
        <f t="shared" si="863"/>
        <v>50.128968457400859</v>
      </c>
      <c r="BK213" s="215">
        <f t="shared" si="864"/>
        <v>30.138852161730249</v>
      </c>
    </row>
    <row r="214" spans="1:63" outlineLevel="1">
      <c r="A214" s="290" t="s">
        <v>707</v>
      </c>
      <c r="B214" s="419">
        <f>B216-SUM(B208:B213,B215)</f>
        <v>89.225102439000068</v>
      </c>
      <c r="C214" s="419">
        <f t="shared" ref="C214:H214" si="881">C216-SUM(C208:C213,C215)</f>
        <v>57.422385929999933</v>
      </c>
      <c r="D214" s="419">
        <f t="shared" si="881"/>
        <v>66.681400804639907</v>
      </c>
      <c r="E214" s="420">
        <f t="shared" si="881"/>
        <v>62.212228409819986</v>
      </c>
      <c r="F214" s="419">
        <f t="shared" si="881"/>
        <v>46.26508906419992</v>
      </c>
      <c r="G214" s="419">
        <f t="shared" si="881"/>
        <v>65.221543422999986</v>
      </c>
      <c r="H214" s="419">
        <f t="shared" si="881"/>
        <v>76.233421772159986</v>
      </c>
      <c r="I214" s="420">
        <f t="shared" ref="I214:N214" si="882">I216-SUM(I208:I213,I215)</f>
        <v>51.451435213400003</v>
      </c>
      <c r="J214" s="419">
        <f t="shared" si="882"/>
        <v>63.530334111450053</v>
      </c>
      <c r="K214" s="419">
        <f t="shared" si="882"/>
        <v>51.876799101089901</v>
      </c>
      <c r="L214" s="419">
        <f t="shared" si="882"/>
        <v>59.921499614129388</v>
      </c>
      <c r="M214" s="420">
        <f t="shared" si="882"/>
        <v>65.147256543328083</v>
      </c>
      <c r="N214" s="419">
        <f t="shared" si="882"/>
        <v>71.407499354480024</v>
      </c>
      <c r="O214" s="419">
        <f t="shared" ref="O214:Q214" si="883">O216-SUM(O208:O213,O215)</f>
        <v>73.293791845844964</v>
      </c>
      <c r="P214" s="419">
        <f t="shared" si="883"/>
        <v>82.177769122400093</v>
      </c>
      <c r="Q214" s="420">
        <f t="shared" si="883"/>
        <v>55.739124384500045</v>
      </c>
      <c r="R214" s="1132">
        <f>R216-SUM(R207:R213,R215)</f>
        <v>93.199647087262576</v>
      </c>
      <c r="S214" s="1132">
        <f t="shared" ref="S214:AK214" si="884">S216-SUM(S207:S213,S215)</f>
        <v>159.7762822530901</v>
      </c>
      <c r="T214" s="1132">
        <f t="shared" si="884"/>
        <v>185.16606635894993</v>
      </c>
      <c r="U214" s="1133">
        <f t="shared" si="884"/>
        <v>210.45895149069986</v>
      </c>
      <c r="V214" s="1132">
        <f t="shared" si="884"/>
        <v>185.56851890050007</v>
      </c>
      <c r="W214" s="1132">
        <f t="shared" si="884"/>
        <v>193.31589935420004</v>
      </c>
      <c r="X214" s="1132">
        <f t="shared" si="884"/>
        <v>192.42925956574595</v>
      </c>
      <c r="Y214" s="1133">
        <f t="shared" si="884"/>
        <v>134.17146186975015</v>
      </c>
      <c r="Z214" s="1132">
        <f t="shared" si="884"/>
        <v>52.684768115680157</v>
      </c>
      <c r="AA214" s="1132">
        <f t="shared" si="884"/>
        <v>70.962092964600089</v>
      </c>
      <c r="AB214" s="1132">
        <f t="shared" si="884"/>
        <v>99.933635782561737</v>
      </c>
      <c r="AC214" s="1133">
        <f t="shared" si="884"/>
        <v>100.88820988362141</v>
      </c>
      <c r="AD214" s="1132">
        <f t="shared" si="884"/>
        <v>92.416127628651012</v>
      </c>
      <c r="AE214" s="1132">
        <f t="shared" si="884"/>
        <v>113.66778620358703</v>
      </c>
      <c r="AF214" s="1132">
        <f t="shared" si="884"/>
        <v>99.88131499572188</v>
      </c>
      <c r="AG214" s="1133">
        <f t="shared" si="884"/>
        <v>83.634141959527767</v>
      </c>
      <c r="AH214" s="1132">
        <f t="shared" si="884"/>
        <v>73.509163734727224</v>
      </c>
      <c r="AI214" s="1132">
        <f t="shared" si="884"/>
        <v>50.48818749691452</v>
      </c>
      <c r="AJ214" s="1132">
        <f t="shared" si="884"/>
        <v>105.77231625533324</v>
      </c>
      <c r="AK214" s="1133">
        <f t="shared" si="884"/>
        <v>131.91417787603837</v>
      </c>
      <c r="AL214" s="1132">
        <f t="shared" ref="AL214" si="885">AL216-SUM(AL207:AL213,AL215)</f>
        <v>128.102562977459</v>
      </c>
      <c r="AM214" s="684">
        <f t="shared" si="848"/>
        <v>203.5633115957155</v>
      </c>
      <c r="AN214" s="684">
        <f t="shared" si="848"/>
        <v>160.45003350552992</v>
      </c>
      <c r="AO214" s="1131">
        <f t="shared" si="849"/>
        <v>154.8436047237891</v>
      </c>
      <c r="AP214" s="684">
        <f t="shared" si="849"/>
        <v>159.28877315820196</v>
      </c>
      <c r="AQ214" s="684">
        <f t="shared" si="849"/>
        <v>155.09581631073092</v>
      </c>
      <c r="AR214" s="684">
        <f t="shared" si="849"/>
        <v>190.28468067362633</v>
      </c>
      <c r="AS214" s="1131">
        <f t="shared" si="850"/>
        <v>182.35591052717703</v>
      </c>
      <c r="AT214" s="684">
        <f t="shared" si="850"/>
        <v>159.01401644619636</v>
      </c>
      <c r="AU214" s="684">
        <f t="shared" si="850"/>
        <v>151.53206386980565</v>
      </c>
      <c r="AV214" s="684">
        <f t="shared" si="850"/>
        <v>165.09638334037186</v>
      </c>
      <c r="AW214" s="1131">
        <f t="shared" si="851"/>
        <v>162.46938199196052</v>
      </c>
      <c r="AY214" s="204"/>
      <c r="AZ214" s="335">
        <f t="shared" si="859"/>
        <v>275.54111758345988</v>
      </c>
      <c r="BA214" s="215">
        <f t="shared" si="860"/>
        <v>239.17148947275987</v>
      </c>
      <c r="BB214" s="215">
        <f t="shared" si="861"/>
        <v>240.47588936999739</v>
      </c>
      <c r="BC214" s="215">
        <f t="shared" si="868"/>
        <v>282.61818470722511</v>
      </c>
      <c r="BD214" s="215">
        <f t="shared" si="862"/>
        <v>648.60094719000244</v>
      </c>
      <c r="BE214" s="215">
        <f t="shared" si="852"/>
        <v>705.48513969019621</v>
      </c>
      <c r="BF214" s="215">
        <f t="shared" si="853"/>
        <v>324.4687067464634</v>
      </c>
      <c r="BG214" s="215">
        <f t="shared" si="854"/>
        <v>389.59937078748766</v>
      </c>
      <c r="BH214" s="215">
        <f t="shared" si="855"/>
        <v>361.68384536301335</v>
      </c>
      <c r="BI214" s="215">
        <f t="shared" si="856"/>
        <v>646.95951280249346</v>
      </c>
      <c r="BJ214" s="215">
        <f t="shared" si="863"/>
        <v>687.02518066973619</v>
      </c>
      <c r="BK214" s="215">
        <f t="shared" si="864"/>
        <v>638.11184564833434</v>
      </c>
    </row>
    <row r="215" spans="1:63" outlineLevel="1">
      <c r="A215" s="290" t="s">
        <v>827</v>
      </c>
      <c r="B215" s="384">
        <f t="shared" ref="B215:AF215" si="886">B56*B202</f>
        <v>5.6004490360000005</v>
      </c>
      <c r="C215" s="384">
        <f t="shared" si="886"/>
        <v>5.9044971708799991</v>
      </c>
      <c r="D215" s="384">
        <f t="shared" si="886"/>
        <v>5.6351112940799997</v>
      </c>
      <c r="E215" s="385">
        <f t="shared" si="886"/>
        <v>5.2739398521599998</v>
      </c>
      <c r="F215" s="384">
        <f t="shared" si="886"/>
        <v>4.6007011362000005</v>
      </c>
      <c r="G215" s="384">
        <f t="shared" si="886"/>
        <v>6.3971007659999994</v>
      </c>
      <c r="H215" s="384">
        <f t="shared" si="886"/>
        <v>6.3599574297599997</v>
      </c>
      <c r="I215" s="385">
        <f t="shared" si="886"/>
        <v>4.4921447496000004</v>
      </c>
      <c r="J215" s="384">
        <f t="shared" si="886"/>
        <v>5.8253009222099994</v>
      </c>
      <c r="K215" s="384">
        <f t="shared" si="886"/>
        <v>6.2381608631999983</v>
      </c>
      <c r="L215" s="384">
        <f t="shared" si="886"/>
        <v>7.1655029990714532</v>
      </c>
      <c r="M215" s="385">
        <f t="shared" si="886"/>
        <v>8.2416748589402165</v>
      </c>
      <c r="N215" s="384">
        <f t="shared" si="886"/>
        <v>9.2165106217600012</v>
      </c>
      <c r="O215" s="384">
        <f t="shared" si="886"/>
        <v>9.9040598858699997</v>
      </c>
      <c r="P215" s="384">
        <f t="shared" si="886"/>
        <v>7.8579037950000012</v>
      </c>
      <c r="Q215" s="385">
        <f t="shared" si="886"/>
        <v>8.0332058600000007</v>
      </c>
      <c r="R215" s="684">
        <f t="shared" si="886"/>
        <v>9.4211010316799992</v>
      </c>
      <c r="S215" s="684">
        <f t="shared" si="886"/>
        <v>14.198878471680001</v>
      </c>
      <c r="T215" s="684">
        <f t="shared" si="886"/>
        <v>15.150241789199997</v>
      </c>
      <c r="U215" s="1131">
        <f t="shared" si="886"/>
        <v>16.404172538000001</v>
      </c>
      <c r="V215" s="684">
        <f t="shared" si="886"/>
        <v>12.948514820000002</v>
      </c>
      <c r="W215" s="684">
        <f t="shared" si="886"/>
        <v>13.610667662399999</v>
      </c>
      <c r="X215" s="684">
        <f t="shared" si="886"/>
        <v>13.05311382</v>
      </c>
      <c r="Y215" s="1131">
        <f t="shared" si="886"/>
        <v>8.271071032</v>
      </c>
      <c r="Z215" s="684">
        <f t="shared" si="886"/>
        <v>3.2053060502400008</v>
      </c>
      <c r="AA215" s="684">
        <f t="shared" si="886"/>
        <v>2.8808030952000001</v>
      </c>
      <c r="AB215" s="684">
        <f t="shared" si="886"/>
        <v>4.2083427481494624</v>
      </c>
      <c r="AC215" s="1131">
        <f t="shared" si="886"/>
        <v>3.364173994642683</v>
      </c>
      <c r="AD215" s="684">
        <f t="shared" si="886"/>
        <v>3.1585245548843699</v>
      </c>
      <c r="AE215" s="684">
        <f t="shared" si="886"/>
        <v>5.5470661729048167</v>
      </c>
      <c r="AF215" s="684">
        <f t="shared" si="886"/>
        <v>4.5647290026808562</v>
      </c>
      <c r="AG215" s="1131">
        <f t="shared" ref="AG215:AL215" si="887">AG56*AG202</f>
        <v>1.6333879400000002</v>
      </c>
      <c r="AH215" s="684">
        <f t="shared" si="887"/>
        <v>1.2058319628383642</v>
      </c>
      <c r="AI215" s="684">
        <f t="shared" si="887"/>
        <v>3.1346646539999998</v>
      </c>
      <c r="AJ215" s="684">
        <f t="shared" si="887"/>
        <v>3.0080401632897522</v>
      </c>
      <c r="AK215" s="1131">
        <f t="shared" si="887"/>
        <v>-0.40089367685823607</v>
      </c>
      <c r="AL215" s="684">
        <f t="shared" si="887"/>
        <v>1.1722423794775736</v>
      </c>
      <c r="AM215" s="684">
        <f t="shared" si="848"/>
        <v>9.7907602307779769</v>
      </c>
      <c r="AN215" s="684">
        <f t="shared" si="848"/>
        <v>1.1812474329511762</v>
      </c>
      <c r="AO215" s="1131">
        <f t="shared" si="849"/>
        <v>0.45844777389313052</v>
      </c>
      <c r="AP215" s="684">
        <f t="shared" si="849"/>
        <v>4.841443456228312</v>
      </c>
      <c r="AQ215" s="684">
        <f t="shared" si="849"/>
        <v>4.027498964803188</v>
      </c>
      <c r="AR215" s="684">
        <f t="shared" si="849"/>
        <v>7.3363500479253876</v>
      </c>
      <c r="AS215" s="1131">
        <f t="shared" si="850"/>
        <v>6.0883588088295308</v>
      </c>
      <c r="AT215" s="684">
        <f t="shared" si="850"/>
        <v>3.3340549627613072</v>
      </c>
      <c r="AU215" s="684">
        <f t="shared" si="850"/>
        <v>2.1208242365703853</v>
      </c>
      <c r="AV215" s="684">
        <f t="shared" si="850"/>
        <v>3.0350452751865102</v>
      </c>
      <c r="AW215" s="1131">
        <f t="shared" si="851"/>
        <v>2.621554329257334</v>
      </c>
      <c r="AY215" s="204"/>
      <c r="AZ215" s="335">
        <f t="shared" si="859"/>
        <v>22.413997353119996</v>
      </c>
      <c r="BA215" s="215">
        <f t="shared" si="860"/>
        <v>21.849904081559998</v>
      </c>
      <c r="BB215" s="215">
        <f t="shared" si="861"/>
        <v>27.47063964342167</v>
      </c>
      <c r="BC215" s="215">
        <f t="shared" si="868"/>
        <v>35.01168016263</v>
      </c>
      <c r="BD215" s="215">
        <f t="shared" si="862"/>
        <v>55.174393830559993</v>
      </c>
      <c r="BE215" s="215">
        <f t="shared" si="852"/>
        <v>47.883367334399999</v>
      </c>
      <c r="BF215" s="215">
        <f t="shared" si="853"/>
        <v>13.658625888232148</v>
      </c>
      <c r="BG215" s="215">
        <f t="shared" si="854"/>
        <v>14.903707670470043</v>
      </c>
      <c r="BH215" s="215">
        <f t="shared" si="855"/>
        <v>6.94764310326988</v>
      </c>
      <c r="BI215" s="215">
        <f t="shared" si="856"/>
        <v>12.602697817099857</v>
      </c>
      <c r="BJ215" s="215">
        <f t="shared" si="863"/>
        <v>22.293651277786417</v>
      </c>
      <c r="BK215" s="215">
        <f t="shared" si="864"/>
        <v>11.111478803775537</v>
      </c>
    </row>
    <row r="216" spans="1:63" s="296" customFormat="1" outlineLevel="1">
      <c r="A216" s="336" t="s">
        <v>706</v>
      </c>
      <c r="B216" s="342">
        <f t="shared" ref="B216:AF216" si="888">B31</f>
        <v>213.68123500000007</v>
      </c>
      <c r="C216" s="342">
        <f t="shared" si="888"/>
        <v>187.40131071999994</v>
      </c>
      <c r="D216" s="342">
        <f t="shared" si="888"/>
        <v>174.21810799999992</v>
      </c>
      <c r="E216" s="413">
        <f t="shared" si="888"/>
        <v>148.00008037999999</v>
      </c>
      <c r="F216" s="342">
        <f t="shared" si="888"/>
        <v>106.06032539999993</v>
      </c>
      <c r="G216" s="342">
        <f t="shared" si="888"/>
        <v>157.25802699999997</v>
      </c>
      <c r="H216" s="342">
        <f t="shared" si="888"/>
        <v>163.58647343999999</v>
      </c>
      <c r="I216" s="413">
        <f t="shared" si="888"/>
        <v>123.94966020000001</v>
      </c>
      <c r="J216" s="342">
        <f t="shared" si="888"/>
        <v>113.92281018000004</v>
      </c>
      <c r="K216" s="342">
        <f t="shared" si="888"/>
        <v>141.0268015799999</v>
      </c>
      <c r="L216" s="342">
        <f t="shared" si="888"/>
        <v>156.95588100000006</v>
      </c>
      <c r="M216" s="413">
        <f t="shared" si="888"/>
        <v>184.60829603999997</v>
      </c>
      <c r="N216" s="342">
        <f t="shared" si="888"/>
        <v>215.86682304000004</v>
      </c>
      <c r="O216" s="342">
        <f t="shared" si="888"/>
        <v>229.80097073999994</v>
      </c>
      <c r="P216" s="342">
        <f t="shared" si="888"/>
        <v>227.20693940000007</v>
      </c>
      <c r="Q216" s="413">
        <f t="shared" si="888"/>
        <v>153.01950100000005</v>
      </c>
      <c r="R216" s="337">
        <f t="shared" si="888"/>
        <v>230.68977759999993</v>
      </c>
      <c r="S216" s="337">
        <f t="shared" si="888"/>
        <v>382.69990680000006</v>
      </c>
      <c r="T216" s="337">
        <f t="shared" si="888"/>
        <v>450.59431559999985</v>
      </c>
      <c r="U216" s="338">
        <f t="shared" si="888"/>
        <v>516.28363709999985</v>
      </c>
      <c r="V216" s="337">
        <f t="shared" si="888"/>
        <v>721.24516950000009</v>
      </c>
      <c r="W216" s="337">
        <f t="shared" si="888"/>
        <v>726.90779803999999</v>
      </c>
      <c r="X216" s="337">
        <f t="shared" si="888"/>
        <v>712.18144299999994</v>
      </c>
      <c r="Y216" s="338">
        <f t="shared" si="888"/>
        <v>488.38746370000001</v>
      </c>
      <c r="Z216" s="337">
        <f t="shared" si="888"/>
        <v>280.40964208000014</v>
      </c>
      <c r="AA216" s="337">
        <f t="shared" si="888"/>
        <v>285.37009980000005</v>
      </c>
      <c r="AB216" s="337">
        <f t="shared" si="888"/>
        <v>291.33141587</v>
      </c>
      <c r="AC216" s="338">
        <f t="shared" si="888"/>
        <v>249.93156191000003</v>
      </c>
      <c r="AD216" s="337">
        <f t="shared" si="888"/>
        <v>213.36385120000011</v>
      </c>
      <c r="AE216" s="337">
        <f t="shared" si="888"/>
        <v>236.07002186000011</v>
      </c>
      <c r="AF216" s="337">
        <f t="shared" si="888"/>
        <v>418.01889647999997</v>
      </c>
      <c r="AG216" s="338">
        <f t="shared" ref="AG216:AL216" si="889">AG31</f>
        <v>463.41859387499983</v>
      </c>
      <c r="AH216" s="337">
        <f t="shared" si="889"/>
        <v>482.13755744000002</v>
      </c>
      <c r="AI216" s="337">
        <f t="shared" si="889"/>
        <v>423.55529591999971</v>
      </c>
      <c r="AJ216" s="337">
        <f t="shared" si="889"/>
        <v>497.65895968000029</v>
      </c>
      <c r="AK216" s="338">
        <f t="shared" si="889"/>
        <v>436.50976880000007</v>
      </c>
      <c r="AL216" s="337">
        <f t="shared" si="889"/>
        <v>469.21519092500023</v>
      </c>
      <c r="AM216" s="337">
        <f t="shared" ref="AM216:AO216" si="890">SUM(AM207:AM215)</f>
        <v>577.36223988149618</v>
      </c>
      <c r="AN216" s="337">
        <f t="shared" si="890"/>
        <v>641.15964605618024</v>
      </c>
      <c r="AO216" s="338">
        <f t="shared" si="890"/>
        <v>730.65118456619859</v>
      </c>
      <c r="AP216" s="337">
        <f t="shared" ref="AP216:AS216" si="891">SUM(AP207:AP215)</f>
        <v>681.50134486452657</v>
      </c>
      <c r="AQ216" s="337">
        <f t="shared" si="891"/>
        <v>712.50603873720934</v>
      </c>
      <c r="AR216" s="337">
        <f t="shared" si="891"/>
        <v>906.3812288069397</v>
      </c>
      <c r="AS216" s="338">
        <f t="shared" si="891"/>
        <v>924.08511910171148</v>
      </c>
      <c r="AT216" s="337">
        <f t="shared" ref="AT216:AW216" si="892">SUM(AT207:AT215)</f>
        <v>919.73597550901025</v>
      </c>
      <c r="AU216" s="337">
        <f t="shared" si="892"/>
        <v>978.79439422008386</v>
      </c>
      <c r="AV216" s="337">
        <f t="shared" si="892"/>
        <v>1146.8376706930906</v>
      </c>
      <c r="AW216" s="338">
        <f t="shared" si="892"/>
        <v>1228.3522681522984</v>
      </c>
      <c r="AX216" s="208"/>
      <c r="AY216" s="204"/>
      <c r="AZ216" s="324">
        <f t="shared" si="859"/>
        <v>723.30073409999989</v>
      </c>
      <c r="BA216" s="212">
        <f t="shared" si="860"/>
        <v>550.85448603999987</v>
      </c>
      <c r="BB216" s="212">
        <f t="shared" si="861"/>
        <v>596.51378879999993</v>
      </c>
      <c r="BC216" s="212">
        <f t="shared" si="868"/>
        <v>825.89423418000001</v>
      </c>
      <c r="BD216" s="212">
        <f t="shared" si="862"/>
        <v>1580.2676370999998</v>
      </c>
      <c r="BE216" s="212">
        <f t="shared" si="852"/>
        <v>2648.72187424</v>
      </c>
      <c r="BF216" s="212">
        <f t="shared" si="853"/>
        <v>1107.0427196600003</v>
      </c>
      <c r="BG216" s="212">
        <f t="shared" si="854"/>
        <v>1330.8713634149999</v>
      </c>
      <c r="BH216" s="212">
        <f t="shared" si="855"/>
        <v>1839.8615818400001</v>
      </c>
      <c r="BI216" s="212">
        <f t="shared" si="856"/>
        <v>2418.3882614288755</v>
      </c>
      <c r="BJ216" s="344">
        <f t="shared" si="863"/>
        <v>3224.4737315103871</v>
      </c>
      <c r="BK216" s="344">
        <f t="shared" si="863"/>
        <v>3462.7083621548704</v>
      </c>
    </row>
    <row r="217" spans="1:63" outlineLevel="1">
      <c r="A217" s="436" t="s">
        <v>851</v>
      </c>
      <c r="B217" s="822"/>
      <c r="C217" s="822"/>
      <c r="D217" s="822"/>
      <c r="E217" s="823"/>
      <c r="F217" s="824"/>
      <c r="G217" s="825"/>
      <c r="H217" s="825"/>
      <c r="I217" s="826"/>
      <c r="J217" s="824"/>
      <c r="K217" s="825"/>
      <c r="L217" s="827"/>
      <c r="M217" s="828"/>
      <c r="N217" s="827"/>
      <c r="O217" s="827"/>
      <c r="P217" s="827"/>
      <c r="Q217" s="828"/>
      <c r="R217" s="827"/>
      <c r="S217" s="827"/>
      <c r="T217" s="827"/>
      <c r="U217" s="828"/>
      <c r="V217" s="827"/>
      <c r="W217" s="827"/>
      <c r="X217" s="827"/>
      <c r="Y217" s="828"/>
      <c r="Z217" s="827"/>
      <c r="AA217" s="827"/>
      <c r="AB217" s="827"/>
      <c r="AC217" s="828"/>
      <c r="AD217" s="827"/>
      <c r="AE217" s="827"/>
      <c r="AF217" s="827"/>
      <c r="AG217" s="828"/>
      <c r="AH217" s="827"/>
      <c r="AI217" s="827"/>
      <c r="AJ217" s="827"/>
      <c r="AK217" s="828"/>
      <c r="AL217" s="827"/>
      <c r="AM217" s="827"/>
      <c r="AN217" s="827"/>
      <c r="AO217" s="828"/>
      <c r="AP217" s="827"/>
      <c r="AQ217" s="827"/>
      <c r="AR217" s="827"/>
      <c r="AS217" s="828"/>
      <c r="AT217" s="827"/>
      <c r="AU217" s="827"/>
      <c r="AV217" s="827"/>
      <c r="AW217" s="828"/>
      <c r="AY217" s="410"/>
      <c r="AZ217" s="549"/>
      <c r="BA217" s="550"/>
      <c r="BB217" s="550"/>
      <c r="BC217" s="550"/>
      <c r="BD217" s="550"/>
      <c r="BE217" s="550"/>
      <c r="BF217" s="550"/>
      <c r="BG217" s="550"/>
      <c r="BH217" s="550"/>
      <c r="BI217" s="550"/>
      <c r="BJ217" s="212"/>
      <c r="BK217" s="212"/>
    </row>
    <row r="218" spans="1:63" outlineLevel="1">
      <c r="A218" s="441" t="s">
        <v>1204</v>
      </c>
      <c r="B218" s="822"/>
      <c r="C218" s="822"/>
      <c r="D218" s="822"/>
      <c r="E218" s="823"/>
      <c r="F218" s="822"/>
      <c r="G218" s="822"/>
      <c r="H218" s="822"/>
      <c r="I218" s="823"/>
      <c r="J218" s="822"/>
      <c r="K218" s="822"/>
      <c r="L218" s="827"/>
      <c r="M218" s="828"/>
      <c r="N218" s="827"/>
      <c r="O218" s="827"/>
      <c r="P218" s="827"/>
      <c r="Q218" s="828"/>
      <c r="R218" s="830">
        <f t="shared" ref="B218:T219" si="893">R207/R$216</f>
        <v>-5.4539038230881728E-2</v>
      </c>
      <c r="S218" s="830">
        <f t="shared" si="893"/>
        <v>-7.2464570861505109E-2</v>
      </c>
      <c r="T218" s="830">
        <f t="shared" si="893"/>
        <v>-6.6360786121288581E-2</v>
      </c>
      <c r="U218" s="829">
        <f t="shared" ref="U218:X226" si="894">U207/U$216</f>
        <v>-5.4782011413082622E-2</v>
      </c>
      <c r="V218" s="827"/>
      <c r="W218" s="827"/>
      <c r="X218" s="827"/>
      <c r="Y218" s="829"/>
      <c r="Z218" s="830"/>
      <c r="AA218" s="827"/>
      <c r="AB218" s="827"/>
      <c r="AC218" s="829">
        <f t="shared" ref="AC218:AF219" si="895">AC207/AC$216</f>
        <v>-0.19962453837649446</v>
      </c>
      <c r="AD218" s="827"/>
      <c r="AE218" s="827"/>
      <c r="AF218" s="827"/>
      <c r="AG218" s="828"/>
      <c r="AH218" s="827"/>
      <c r="AI218" s="827"/>
      <c r="AJ218" s="827"/>
      <c r="AK218" s="829">
        <f t="shared" ref="AK218:AN226" si="896">AK207/AK$216</f>
        <v>1.1984880213292489E-2</v>
      </c>
      <c r="AL218" s="827"/>
      <c r="AM218" s="827"/>
      <c r="AN218" s="827"/>
      <c r="AO218" s="829">
        <f t="shared" ref="AO218:AR226" si="897">AO207/AO$216</f>
        <v>6.7552977322032942E-2</v>
      </c>
      <c r="AP218" s="827"/>
      <c r="AQ218" s="827"/>
      <c r="AR218" s="827"/>
      <c r="AS218" s="829">
        <f t="shared" ref="AS218:AV226" si="898">AS207/AS$216</f>
        <v>0.14012886240949807</v>
      </c>
      <c r="AT218" s="827"/>
      <c r="AU218" s="827"/>
      <c r="AV218" s="827"/>
      <c r="AW218" s="829">
        <f t="shared" ref="AW218:AW226" si="899">AW207/AW$216</f>
        <v>0.30513888693433333</v>
      </c>
      <c r="AY218" s="204"/>
      <c r="AZ218" s="324"/>
      <c r="BA218" s="212"/>
      <c r="BB218" s="212"/>
      <c r="BC218" s="212"/>
      <c r="BD218" s="212"/>
      <c r="BE218" s="212">
        <f t="shared" ref="BE218:BG226" si="900">BE207/BE$216</f>
        <v>-1.0171759609049379E-2</v>
      </c>
      <c r="BF218" s="264">
        <f t="shared" si="900"/>
        <v>-0.12421553931815137</v>
      </c>
      <c r="BG218" s="264">
        <f t="shared" si="900"/>
        <v>-0.10051372844761319</v>
      </c>
      <c r="BH218" s="264">
        <f t="shared" ref="BH218:BI226" si="901">BH207/BH$216</f>
        <v>1.009769047107351E-2</v>
      </c>
      <c r="BI218" s="264">
        <f t="shared" si="901"/>
        <v>4.282383106788467E-2</v>
      </c>
      <c r="BJ218" s="264">
        <f t="shared" ref="BJ218:BK218" si="902">BJ207/BJ$216</f>
        <v>0.12763870567366026</v>
      </c>
      <c r="BK218" s="264">
        <f t="shared" si="902"/>
        <v>0.32108994693818604</v>
      </c>
    </row>
    <row r="219" spans="1:63" outlineLevel="1">
      <c r="A219" s="441" t="str">
        <f t="shared" ref="A219:A227" si="903">A208</f>
        <v>12/14nm</v>
      </c>
      <c r="B219" s="830">
        <f t="shared" si="893"/>
        <v>0</v>
      </c>
      <c r="C219" s="830">
        <f t="shared" si="893"/>
        <v>0</v>
      </c>
      <c r="D219" s="830">
        <f t="shared" si="893"/>
        <v>0</v>
      </c>
      <c r="E219" s="829">
        <f t="shared" si="893"/>
        <v>0</v>
      </c>
      <c r="F219" s="830">
        <f t="shared" si="893"/>
        <v>0</v>
      </c>
      <c r="G219" s="830">
        <f t="shared" si="893"/>
        <v>0</v>
      </c>
      <c r="H219" s="830">
        <f t="shared" si="893"/>
        <v>0</v>
      </c>
      <c r="I219" s="829">
        <f t="shared" si="893"/>
        <v>0</v>
      </c>
      <c r="J219" s="830">
        <f t="shared" si="893"/>
        <v>0</v>
      </c>
      <c r="K219" s="830">
        <f t="shared" si="893"/>
        <v>0</v>
      </c>
      <c r="L219" s="830">
        <f t="shared" si="893"/>
        <v>0</v>
      </c>
      <c r="M219" s="829">
        <f t="shared" si="893"/>
        <v>-2.0825882164943257E-3</v>
      </c>
      <c r="N219" s="830">
        <f t="shared" si="893"/>
        <v>-1.4893728454993987E-3</v>
      </c>
      <c r="O219" s="830">
        <f t="shared" ref="O219:P226" si="904">O208/O$216</f>
        <v>-4.8258356939436834E-3</v>
      </c>
      <c r="P219" s="830">
        <f t="shared" si="904"/>
        <v>1.627519427780294E-2</v>
      </c>
      <c r="Q219" s="829">
        <f t="shared" si="893"/>
        <v>-0.19686720828477924</v>
      </c>
      <c r="R219" s="830">
        <f t="shared" si="893"/>
        <v>-0.14055934989874577</v>
      </c>
      <c r="S219" s="830">
        <f t="shared" si="893"/>
        <v>-1.851872366460686E-2</v>
      </c>
      <c r="T219" s="830">
        <f t="shared" si="893"/>
        <v>1.9908235836386578E-2</v>
      </c>
      <c r="U219" s="829">
        <f t="shared" si="894"/>
        <v>4.2729968902204443E-2</v>
      </c>
      <c r="V219" s="830">
        <f t="shared" si="894"/>
        <v>5.5276343351648612E-2</v>
      </c>
      <c r="W219" s="830">
        <f t="shared" si="894"/>
        <v>4.8042004656109513E-2</v>
      </c>
      <c r="X219" s="830">
        <f t="shared" si="894"/>
        <v>5.1517536437691205E-2</v>
      </c>
      <c r="Y219" s="829">
        <f>Y208/Y$216</f>
        <v>3.5383034646472647E-2</v>
      </c>
      <c r="Z219" s="830">
        <f>Z208/Z$216</f>
        <v>0</v>
      </c>
      <c r="AA219" s="830">
        <f t="shared" ref="AA219:AB226" si="905">AA208/AA$216</f>
        <v>0</v>
      </c>
      <c r="AB219" s="830">
        <f t="shared" si="905"/>
        <v>-2.3918983927739081E-2</v>
      </c>
      <c r="AC219" s="829">
        <f t="shared" si="895"/>
        <v>-2.8945558064591696E-2</v>
      </c>
      <c r="AD219" s="830">
        <f t="shared" si="895"/>
        <v>-7.8955825896715875E-2</v>
      </c>
      <c r="AE219" s="830">
        <f t="shared" si="895"/>
        <v>-6.3971444087703749E-2</v>
      </c>
      <c r="AF219" s="830">
        <f t="shared" si="895"/>
        <v>0</v>
      </c>
      <c r="AG219" s="829">
        <f t="shared" ref="AG219:AG226" si="906">AG208/AG$216</f>
        <v>1.7028760374662309E-2</v>
      </c>
      <c r="AH219" s="830">
        <f t="shared" ref="AH219:AJ226" si="907">AH208/AH$216</f>
        <v>1.5086441793543924E-2</v>
      </c>
      <c r="AI219" s="830">
        <f t="shared" si="907"/>
        <v>1.6265857392147042E-2</v>
      </c>
      <c r="AJ219" s="830">
        <f t="shared" si="907"/>
        <v>1.4819005145521293E-2</v>
      </c>
      <c r="AK219" s="829">
        <f t="shared" si="896"/>
        <v>1.4750621800975373E-2</v>
      </c>
      <c r="AL219" s="830">
        <f t="shared" si="896"/>
        <v>1.8554535582701922E-2</v>
      </c>
      <c r="AM219" s="830">
        <f t="shared" si="896"/>
        <v>1.081081847585205E-2</v>
      </c>
      <c r="AN219" s="830">
        <f t="shared" si="896"/>
        <v>1.7811278842093992E-2</v>
      </c>
      <c r="AO219" s="829">
        <f t="shared" si="897"/>
        <v>4.1558317654889106E-2</v>
      </c>
      <c r="AP219" s="830">
        <f t="shared" si="897"/>
        <v>3.5195814196687936E-2</v>
      </c>
      <c r="AQ219" s="830">
        <f t="shared" si="897"/>
        <v>3.4514292790334224E-2</v>
      </c>
      <c r="AR219" s="830">
        <f t="shared" si="897"/>
        <v>4.2339133046202369E-2</v>
      </c>
      <c r="AS219" s="829">
        <f t="shared" si="898"/>
        <v>6.3006120957466785E-2</v>
      </c>
      <c r="AT219" s="830">
        <f t="shared" si="898"/>
        <v>5.8555042179870745E-2</v>
      </c>
      <c r="AU219" s="830">
        <f t="shared" si="898"/>
        <v>5.0748840994828119E-2</v>
      </c>
      <c r="AV219" s="830">
        <f t="shared" si="898"/>
        <v>5.0956163911850975E-2</v>
      </c>
      <c r="AW219" s="829">
        <f t="shared" si="899"/>
        <v>4.7574665544458411E-2</v>
      </c>
      <c r="AY219" s="204"/>
      <c r="AZ219" s="295">
        <f t="shared" ref="AZ219:BD226" si="908">AZ208/AZ$216</f>
        <v>0</v>
      </c>
      <c r="BA219" s="264">
        <f t="shared" si="908"/>
        <v>0</v>
      </c>
      <c r="BB219" s="264">
        <f t="shared" si="908"/>
        <v>-6.4451663853977296E-4</v>
      </c>
      <c r="BC219" s="264">
        <f t="shared" si="908"/>
        <v>-3.3729709754225803E-2</v>
      </c>
      <c r="BD219" s="264">
        <f t="shared" si="908"/>
        <v>-5.3670638628699118E-3</v>
      </c>
      <c r="BE219" s="264">
        <f t="shared" si="900"/>
        <v>4.8612264160028243E-2</v>
      </c>
      <c r="BF219" s="264">
        <f t="shared" si="900"/>
        <v>-1.2829459730011154E-2</v>
      </c>
      <c r="BG219" s="264">
        <f t="shared" si="900"/>
        <v>-1.8075837954925029E-2</v>
      </c>
      <c r="BH219" s="264">
        <f t="shared" si="901"/>
        <v>1.5205943593950754E-2</v>
      </c>
      <c r="BI219" s="264">
        <f t="shared" si="901"/>
        <v>2.3458737578365842E-2</v>
      </c>
      <c r="BJ219" s="264">
        <f t="shared" ref="BJ219:BK219" si="909">BJ208/BJ$216</f>
        <v>4.5023176821680791E-2</v>
      </c>
      <c r="BK219" s="264">
        <f t="shared" si="909"/>
        <v>6.3650973031486882E-2</v>
      </c>
    </row>
    <row r="220" spans="1:63" outlineLevel="1">
      <c r="A220" s="441" t="str">
        <f t="shared" si="903"/>
        <v>28nm</v>
      </c>
      <c r="B220" s="830">
        <f t="shared" ref="B220:T220" si="910">B209/B$216</f>
        <v>-9.000468033610905E-3</v>
      </c>
      <c r="C220" s="830">
        <f t="shared" si="910"/>
        <v>2.5609329091463046E-2</v>
      </c>
      <c r="D220" s="830">
        <f t="shared" si="910"/>
        <v>2.6780395187852701E-2</v>
      </c>
      <c r="E220" s="829">
        <f t="shared" si="910"/>
        <v>4.7937168567097239E-2</v>
      </c>
      <c r="F220" s="830">
        <f t="shared" si="910"/>
        <v>-9.4214995270983856E-2</v>
      </c>
      <c r="G220" s="830">
        <f t="shared" si="910"/>
        <v>4.383953399084678E-2</v>
      </c>
      <c r="H220" s="830">
        <f t="shared" si="910"/>
        <v>1.7426492756111585E-2</v>
      </c>
      <c r="I220" s="829">
        <f t="shared" si="910"/>
        <v>1.2791183535652808E-2</v>
      </c>
      <c r="J220" s="830">
        <f t="shared" si="910"/>
        <v>-2.1570756043651513E-2</v>
      </c>
      <c r="K220" s="830">
        <f t="shared" si="910"/>
        <v>1.0005279566661508E-2</v>
      </c>
      <c r="L220" s="830">
        <f t="shared" si="910"/>
        <v>1.5367872309505301E-2</v>
      </c>
      <c r="M220" s="829">
        <f t="shared" si="910"/>
        <v>2.706635974920037E-2</v>
      </c>
      <c r="N220" s="830">
        <f t="shared" si="910"/>
        <v>3.8475465175401131E-2</v>
      </c>
      <c r="O220" s="830">
        <f t="shared" si="904"/>
        <v>3.8365393766852288E-2</v>
      </c>
      <c r="P220" s="830">
        <f t="shared" si="904"/>
        <v>3.7595698781724703E-2</v>
      </c>
      <c r="Q220" s="829">
        <f t="shared" si="910"/>
        <v>-9.9860178115467532E-3</v>
      </c>
      <c r="R220" s="830">
        <f t="shared" si="910"/>
        <v>1.0007863351113717E-2</v>
      </c>
      <c r="S220" s="830">
        <f t="shared" si="910"/>
        <v>1.7713561766145629E-2</v>
      </c>
      <c r="T220" s="830">
        <f t="shared" si="910"/>
        <v>2.6426339717632984E-2</v>
      </c>
      <c r="U220" s="829">
        <f t="shared" si="894"/>
        <v>3.1554438573935521E-2</v>
      </c>
      <c r="V220" s="830">
        <f t="shared" si="894"/>
        <v>7.4410462204142311E-2</v>
      </c>
      <c r="W220" s="830">
        <f t="shared" si="894"/>
        <v>7.8641066083231417E-2</v>
      </c>
      <c r="X220" s="830">
        <f t="shared" si="894"/>
        <v>8.5472027124922467E-2</v>
      </c>
      <c r="Y220" s="829">
        <f t="shared" ref="Y220:AF226" si="911">Y209/Y$216</f>
        <v>5.5947533415362516E-2</v>
      </c>
      <c r="Z220" s="830">
        <f t="shared" ref="Z220:Z226" si="912">Z209/Z$216</f>
        <v>0.11728575362888934</v>
      </c>
      <c r="AA220" s="830">
        <f t="shared" si="905"/>
        <v>0.13301609832635988</v>
      </c>
      <c r="AB220" s="830">
        <f t="shared" si="905"/>
        <v>0.12282931353483523</v>
      </c>
      <c r="AC220" s="829">
        <f t="shared" si="911"/>
        <v>0.16188158048364398</v>
      </c>
      <c r="AD220" s="830">
        <f t="shared" si="911"/>
        <v>0.18017817262106781</v>
      </c>
      <c r="AE220" s="830">
        <f t="shared" si="911"/>
        <v>0.21173542610478896</v>
      </c>
      <c r="AF220" s="830">
        <f t="shared" si="911"/>
        <v>0.17056495172089789</v>
      </c>
      <c r="AG220" s="829">
        <f t="shared" si="906"/>
        <v>0.15700367837438828</v>
      </c>
      <c r="AH220" s="830">
        <f t="shared" si="907"/>
        <v>0.1491928645857615</v>
      </c>
      <c r="AI220" s="830">
        <f t="shared" si="907"/>
        <v>0.17451775512639633</v>
      </c>
      <c r="AJ220" s="830">
        <f t="shared" si="907"/>
        <v>0.18470355642971167</v>
      </c>
      <c r="AK220" s="829">
        <f t="shared" si="896"/>
        <v>0.14805294083159387</v>
      </c>
      <c r="AL220" s="830">
        <f t="shared" si="896"/>
        <v>0.14679234108139619</v>
      </c>
      <c r="AM220" s="830">
        <f t="shared" si="896"/>
        <v>0.15023611128372275</v>
      </c>
      <c r="AN220" s="830">
        <f t="shared" si="896"/>
        <v>0.14617234916119207</v>
      </c>
      <c r="AO220" s="829">
        <f t="shared" si="897"/>
        <v>0.14072226443126104</v>
      </c>
      <c r="AP220" s="830">
        <f t="shared" si="897"/>
        <v>0.11244775870986777</v>
      </c>
      <c r="AQ220" s="830">
        <f t="shared" si="897"/>
        <v>0.11533632596988404</v>
      </c>
      <c r="AR220" s="830">
        <f t="shared" si="897"/>
        <v>0.12385776111731568</v>
      </c>
      <c r="AS220" s="829">
        <f t="shared" si="898"/>
        <v>0.1183458396182601</v>
      </c>
      <c r="AT220" s="830">
        <f t="shared" si="898"/>
        <v>9.8049506938883299E-2</v>
      </c>
      <c r="AU220" s="830">
        <f t="shared" si="898"/>
        <v>0.10104645358021229</v>
      </c>
      <c r="AV220" s="830">
        <f t="shared" si="898"/>
        <v>9.5746026776680579E-2</v>
      </c>
      <c r="AW220" s="829">
        <f t="shared" si="899"/>
        <v>8.9121052761485464E-2</v>
      </c>
      <c r="AY220" s="204"/>
      <c r="AZ220" s="295">
        <f t="shared" si="908"/>
        <v>2.023546307311843E-2</v>
      </c>
      <c r="BA220" s="264">
        <f t="shared" si="908"/>
        <v>2.4286757121967989E-3</v>
      </c>
      <c r="BB220" s="264">
        <f t="shared" si="908"/>
        <v>1.0665912574357294E-2</v>
      </c>
      <c r="BC220" s="264">
        <f t="shared" si="908"/>
        <v>2.9223995466088535E-2</v>
      </c>
      <c r="BD220" s="264">
        <f t="shared" si="908"/>
        <v>2.359492031908263E-2</v>
      </c>
      <c r="BE220" s="264">
        <f t="shared" si="900"/>
        <v>7.5141394837141814E-2</v>
      </c>
      <c r="BF220" s="264">
        <f t="shared" si="900"/>
        <v>0.13286770683331453</v>
      </c>
      <c r="BG220" s="264">
        <f t="shared" si="900"/>
        <v>0.17468682446299233</v>
      </c>
      <c r="BH220" s="264">
        <f t="shared" si="901"/>
        <v>0.16435765626828194</v>
      </c>
      <c r="BI220" s="264">
        <f t="shared" si="901"/>
        <v>0.14561621909029304</v>
      </c>
      <c r="BJ220" s="264">
        <f t="shared" ref="BJ220:BK220" si="913">BJ209/BJ$216</f>
        <v>0.11798362716588241</v>
      </c>
      <c r="BK220" s="264">
        <f t="shared" si="913"/>
        <v>0.11793097083261005</v>
      </c>
    </row>
    <row r="221" spans="1:63" outlineLevel="1">
      <c r="A221" s="441" t="str">
        <f t="shared" si="903"/>
        <v>40/45nm</v>
      </c>
      <c r="B221" s="830">
        <f t="shared" ref="B221:T221" si="914">B210/B$216</f>
        <v>0.15840823739155191</v>
      </c>
      <c r="C221" s="830">
        <f t="shared" si="914"/>
        <v>0.14822369262028612</v>
      </c>
      <c r="D221" s="830">
        <f t="shared" si="914"/>
        <v>0.21493875618302558</v>
      </c>
      <c r="E221" s="829">
        <f t="shared" si="914"/>
        <v>0.26280598165767022</v>
      </c>
      <c r="F221" s="830">
        <f t="shared" si="914"/>
        <v>0.28395352741393742</v>
      </c>
      <c r="G221" s="830">
        <f t="shared" si="914"/>
        <v>0.18733754350739759</v>
      </c>
      <c r="H221" s="830">
        <f t="shared" si="914"/>
        <v>0.18359178283903477</v>
      </c>
      <c r="I221" s="829">
        <f t="shared" si="914"/>
        <v>0.21638418814479335</v>
      </c>
      <c r="J221" s="830">
        <f t="shared" si="914"/>
        <v>0.12693560287225697</v>
      </c>
      <c r="K221" s="830">
        <f t="shared" si="914"/>
        <v>0.22748846172619849</v>
      </c>
      <c r="L221" s="830">
        <f t="shared" si="914"/>
        <v>0.20454676669822427</v>
      </c>
      <c r="M221" s="829">
        <f t="shared" si="914"/>
        <v>0.18316118899438597</v>
      </c>
      <c r="N221" s="830">
        <f t="shared" si="914"/>
        <v>0.17070504152262339</v>
      </c>
      <c r="O221" s="830">
        <f t="shared" si="904"/>
        <v>0.18865305382016775</v>
      </c>
      <c r="P221" s="830">
        <f t="shared" si="904"/>
        <v>0.21694833972311314</v>
      </c>
      <c r="Q221" s="829">
        <f t="shared" si="914"/>
        <v>0.20268763009493793</v>
      </c>
      <c r="R221" s="830">
        <f t="shared" si="914"/>
        <v>0.20624482697390234</v>
      </c>
      <c r="S221" s="830">
        <f t="shared" si="914"/>
        <v>0.17755430184865673</v>
      </c>
      <c r="T221" s="830">
        <f t="shared" si="914"/>
        <v>0.15988525402822462</v>
      </c>
      <c r="U221" s="829">
        <f t="shared" si="894"/>
        <v>0.17182377879713365</v>
      </c>
      <c r="V221" s="830">
        <f t="shared" si="894"/>
        <v>0.16653770112355668</v>
      </c>
      <c r="W221" s="830">
        <f t="shared" si="894"/>
        <v>0.16260370806683222</v>
      </c>
      <c r="X221" s="830">
        <f t="shared" si="894"/>
        <v>0.15975389904957124</v>
      </c>
      <c r="Y221" s="829">
        <f t="shared" si="911"/>
        <v>0.19596757650354077</v>
      </c>
      <c r="Z221" s="830">
        <f t="shared" si="912"/>
        <v>0.24974853352589099</v>
      </c>
      <c r="AA221" s="830">
        <f t="shared" si="905"/>
        <v>0.24742577813683056</v>
      </c>
      <c r="AB221" s="830">
        <f t="shared" si="905"/>
        <v>0.24324390434988899</v>
      </c>
      <c r="AC221" s="829">
        <f t="shared" si="911"/>
        <v>0.23039219413631845</v>
      </c>
      <c r="AD221" s="830">
        <f t="shared" si="911"/>
        <v>0.23866385443440502</v>
      </c>
      <c r="AE221" s="830">
        <f t="shared" si="911"/>
        <v>0.19095936258922586</v>
      </c>
      <c r="AF221" s="830">
        <f t="shared" si="911"/>
        <v>0.26829933644687759</v>
      </c>
      <c r="AG221" s="829">
        <f t="shared" si="906"/>
        <v>0.33307934202492312</v>
      </c>
      <c r="AH221" s="830">
        <f t="shared" si="907"/>
        <v>0.34743188012779092</v>
      </c>
      <c r="AI221" s="830">
        <f t="shared" si="907"/>
        <v>0.35055308529501744</v>
      </c>
      <c r="AJ221" s="830">
        <f t="shared" si="907"/>
        <v>0.26699536129519197</v>
      </c>
      <c r="AK221" s="829">
        <f t="shared" si="896"/>
        <v>0.24338418650335222</v>
      </c>
      <c r="AL221" s="830">
        <f t="shared" si="896"/>
        <v>0.25980627190263983</v>
      </c>
      <c r="AM221" s="830">
        <f t="shared" si="896"/>
        <v>0.17329416297668665</v>
      </c>
      <c r="AN221" s="830">
        <f t="shared" si="896"/>
        <v>0.23023447172007447</v>
      </c>
      <c r="AO221" s="829">
        <f t="shared" si="897"/>
        <v>0.23767943672179231</v>
      </c>
      <c r="AP221" s="830">
        <f t="shared" si="897"/>
        <v>0.24155428470686852</v>
      </c>
      <c r="AQ221" s="830">
        <f t="shared" si="897"/>
        <v>0.22936713864024083</v>
      </c>
      <c r="AR221" s="830">
        <f t="shared" si="897"/>
        <v>0.23338581226215291</v>
      </c>
      <c r="AS221" s="829">
        <f t="shared" si="898"/>
        <v>0.22252425967350561</v>
      </c>
      <c r="AT221" s="830">
        <f t="shared" si="898"/>
        <v>0.21872831259045625</v>
      </c>
      <c r="AU221" s="830">
        <f t="shared" si="898"/>
        <v>0.21040768162993206</v>
      </c>
      <c r="AV221" s="830">
        <f t="shared" si="898"/>
        <v>0.2103916199331822</v>
      </c>
      <c r="AW221" s="829">
        <f t="shared" si="899"/>
        <v>0.20549560072808729</v>
      </c>
      <c r="AY221" s="204"/>
      <c r="AZ221" s="295">
        <f t="shared" si="908"/>
        <v>0.19074736886066163</v>
      </c>
      <c r="BA221" s="264">
        <f t="shared" si="908"/>
        <v>0.21136328711489427</v>
      </c>
      <c r="BB221" s="264">
        <f t="shared" si="908"/>
        <v>0.18852996498986421</v>
      </c>
      <c r="BC221" s="264">
        <f t="shared" si="908"/>
        <v>0.19434636003132291</v>
      </c>
      <c r="BD221" s="264">
        <f t="shared" si="908"/>
        <v>0.17483227120516348</v>
      </c>
      <c r="BE221" s="264">
        <f t="shared" si="900"/>
        <v>0.16906051564718774</v>
      </c>
      <c r="BF221" s="264">
        <f t="shared" si="900"/>
        <v>0.24306802538478831</v>
      </c>
      <c r="BG221" s="264">
        <f t="shared" si="900"/>
        <v>0.27238648517675762</v>
      </c>
      <c r="BH221" s="264">
        <f t="shared" si="901"/>
        <v>0.30170790457288799</v>
      </c>
      <c r="BI221" s="264">
        <f t="shared" si="901"/>
        <v>0.22462744242470514</v>
      </c>
      <c r="BJ221" s="264">
        <f t="shared" ref="BJ221:BK221" si="915">BJ210/BJ$216</f>
        <v>0.23111148659077016</v>
      </c>
      <c r="BK221" s="264">
        <f t="shared" si="915"/>
        <v>0.26015017310283572</v>
      </c>
    </row>
    <row r="222" spans="1:63" outlineLevel="1">
      <c r="A222" s="441" t="str">
        <f t="shared" si="903"/>
        <v>55/65nm</v>
      </c>
      <c r="B222" s="830">
        <f t="shared" ref="B222:T222" si="916">B211/B$216</f>
        <v>0.23761235608732784</v>
      </c>
      <c r="C222" s="830">
        <f t="shared" si="916"/>
        <v>0.28387553277749034</v>
      </c>
      <c r="D222" s="830">
        <f t="shared" si="916"/>
        <v>0.24589271945210212</v>
      </c>
      <c r="E222" s="829">
        <f t="shared" si="916"/>
        <v>0.16120463765926507</v>
      </c>
      <c r="F222" s="830">
        <f t="shared" si="916"/>
        <v>0.19143963622423524</v>
      </c>
      <c r="G222" s="830">
        <f t="shared" si="916"/>
        <v>0.22205233728387044</v>
      </c>
      <c r="H222" s="830">
        <f t="shared" si="916"/>
        <v>0.18555533131859658</v>
      </c>
      <c r="I222" s="829">
        <f t="shared" si="916"/>
        <v>0.21792386764445523</v>
      </c>
      <c r="J222" s="830">
        <f t="shared" si="916"/>
        <v>0.18086249298138574</v>
      </c>
      <c r="K222" s="830">
        <f t="shared" si="916"/>
        <v>0.27593507857529637</v>
      </c>
      <c r="L222" s="830">
        <f t="shared" si="916"/>
        <v>0.26780470276382967</v>
      </c>
      <c r="M222" s="829">
        <f t="shared" si="916"/>
        <v>0.31419786483740353</v>
      </c>
      <c r="N222" s="830">
        <f t="shared" si="916"/>
        <v>0.34858962394150034</v>
      </c>
      <c r="O222" s="830">
        <f t="shared" si="904"/>
        <v>0.3285280453184739</v>
      </c>
      <c r="P222" s="830">
        <f t="shared" si="904"/>
        <v>0.25194000742038952</v>
      </c>
      <c r="Q222" s="829">
        <f t="shared" si="916"/>
        <v>0.46563374481269537</v>
      </c>
      <c r="R222" s="830">
        <f t="shared" si="916"/>
        <v>0.41502026532171754</v>
      </c>
      <c r="S222" s="830">
        <f t="shared" si="916"/>
        <v>0.33704077069584482</v>
      </c>
      <c r="T222" s="830">
        <f t="shared" si="916"/>
        <v>0.31941658386380234</v>
      </c>
      <c r="U222" s="829">
        <f t="shared" si="894"/>
        <v>0.28629079164476984</v>
      </c>
      <c r="V222" s="830">
        <f t="shared" si="894"/>
        <v>0.37039874519395305</v>
      </c>
      <c r="W222" s="830">
        <f t="shared" si="894"/>
        <v>0.37053935898866008</v>
      </c>
      <c r="X222" s="830">
        <f t="shared" si="894"/>
        <v>0.35888899181833922</v>
      </c>
      <c r="Y222" s="829">
        <f t="shared" si="911"/>
        <v>0.36675876297016829</v>
      </c>
      <c r="Z222" s="830">
        <f t="shared" si="912"/>
        <v>0.37606365721302426</v>
      </c>
      <c r="AA222" s="830">
        <f t="shared" si="905"/>
        <v>0.38598421389345566</v>
      </c>
      <c r="AB222" s="830">
        <f t="shared" si="905"/>
        <v>0.40859801666168571</v>
      </c>
      <c r="AC222" s="829">
        <f t="shared" si="911"/>
        <v>0.35207806116805618</v>
      </c>
      <c r="AD222" s="830">
        <f t="shared" si="911"/>
        <v>0.38323989422532584</v>
      </c>
      <c r="AE222" s="830">
        <f t="shared" si="911"/>
        <v>0.31316702735890517</v>
      </c>
      <c r="AF222" s="830">
        <f t="shared" si="911"/>
        <v>0.29142003655717919</v>
      </c>
      <c r="AG222" s="829">
        <f t="shared" si="906"/>
        <v>0.28990239028095161</v>
      </c>
      <c r="AH222" s="830">
        <f t="shared" si="907"/>
        <v>0.28025453851821225</v>
      </c>
      <c r="AI222" s="830">
        <f t="shared" si="907"/>
        <v>0.28037184183695779</v>
      </c>
      <c r="AJ222" s="830">
        <f t="shared" si="907"/>
        <v>0.26982905151322811</v>
      </c>
      <c r="AK222" s="829">
        <f t="shared" si="896"/>
        <v>0.25265479461871976</v>
      </c>
      <c r="AL222" s="830">
        <f t="shared" si="896"/>
        <v>0.2623862857630071</v>
      </c>
      <c r="AM222" s="830">
        <f t="shared" si="896"/>
        <v>0.24142253280765416</v>
      </c>
      <c r="AN222" s="830">
        <f t="shared" si="896"/>
        <v>0.24931000290087224</v>
      </c>
      <c r="AO222" s="829">
        <f t="shared" si="897"/>
        <v>0.26309606778086464</v>
      </c>
      <c r="AP222" s="830">
        <f t="shared" si="897"/>
        <v>0.21954046651368658</v>
      </c>
      <c r="AQ222" s="830">
        <f t="shared" si="897"/>
        <v>0.25215193025115251</v>
      </c>
      <c r="AR222" s="830">
        <f t="shared" si="897"/>
        <v>0.22767458391428508</v>
      </c>
      <c r="AS222" s="829">
        <f t="shared" si="898"/>
        <v>0.22745745498212139</v>
      </c>
      <c r="AT222" s="830">
        <f t="shared" si="898"/>
        <v>0.22677624143529171</v>
      </c>
      <c r="AU222" s="830">
        <f t="shared" si="898"/>
        <v>0.22219222717653972</v>
      </c>
      <c r="AV222" s="830">
        <f t="shared" si="898"/>
        <v>0.20435596209323723</v>
      </c>
      <c r="AW222" s="829">
        <f t="shared" si="899"/>
        <v>0.20302820038383965</v>
      </c>
      <c r="AY222" s="204"/>
      <c r="AZ222" s="295">
        <f t="shared" si="908"/>
        <v>0.23595885399082717</v>
      </c>
      <c r="BA222" s="264">
        <f t="shared" si="908"/>
        <v>0.20439080926105846</v>
      </c>
      <c r="BB222" s="264">
        <f t="shared" si="908"/>
        <v>0.26748025533165909</v>
      </c>
      <c r="BC222" s="264">
        <f t="shared" si="908"/>
        <v>0.33810450311486395</v>
      </c>
      <c r="BD222" s="264">
        <f t="shared" si="908"/>
        <v>0.32681866051717301</v>
      </c>
      <c r="BE222" s="264">
        <f t="shared" si="900"/>
        <v>0.36667146023967512</v>
      </c>
      <c r="BF222" s="264">
        <f t="shared" si="900"/>
        <v>0.38176764104089889</v>
      </c>
      <c r="BG222" s="264">
        <f t="shared" si="900"/>
        <v>0.30946952368243846</v>
      </c>
      <c r="BH222" s="264">
        <f t="shared" si="901"/>
        <v>0.27091350407664666</v>
      </c>
      <c r="BI222" s="264">
        <f t="shared" si="901"/>
        <v>0.25412910824498852</v>
      </c>
      <c r="BJ222" s="264">
        <f t="shared" ref="BJ222:BK222" si="917">BJ211/BJ$216</f>
        <v>0.23130190436662718</v>
      </c>
      <c r="BK222" s="264">
        <f t="shared" si="917"/>
        <v>0.26274463364621015</v>
      </c>
    </row>
    <row r="223" spans="1:63" outlineLevel="1">
      <c r="A223" s="441" t="str">
        <f t="shared" si="903"/>
        <v>90nm</v>
      </c>
      <c r="B223" s="830">
        <f t="shared" ref="B223:T223" si="918">B212/B$216</f>
        <v>8.4244380794598062E-3</v>
      </c>
      <c r="C223" s="830">
        <f t="shared" si="918"/>
        <v>1.1951020242682754E-2</v>
      </c>
      <c r="D223" s="830">
        <f t="shared" si="918"/>
        <v>1.2781552248747878E-2</v>
      </c>
      <c r="E223" s="829">
        <f t="shared" si="918"/>
        <v>2.1953526312807805E-2</v>
      </c>
      <c r="F223" s="830">
        <f t="shared" si="918"/>
        <v>5.9669497004956433E-2</v>
      </c>
      <c r="G223" s="830">
        <f t="shared" si="918"/>
        <v>6.117144277792576E-3</v>
      </c>
      <c r="H223" s="830">
        <f t="shared" si="918"/>
        <v>1.0308629517699812E-2</v>
      </c>
      <c r="I223" s="829">
        <f t="shared" si="918"/>
        <v>1.5100702785145676E-2</v>
      </c>
      <c r="J223" s="830">
        <f t="shared" si="918"/>
        <v>2.3119425708323926E-2</v>
      </c>
      <c r="K223" s="830">
        <f t="shared" si="918"/>
        <v>1.2532929141397049E-2</v>
      </c>
      <c r="L223" s="830">
        <f t="shared" si="918"/>
        <v>1.0962410628077728E-2</v>
      </c>
      <c r="M223" s="829">
        <f t="shared" si="918"/>
        <v>1.3382282180472807E-2</v>
      </c>
      <c r="N223" s="830">
        <f t="shared" si="918"/>
        <v>1.5581131306762941E-2</v>
      </c>
      <c r="O223" s="830">
        <f t="shared" si="904"/>
        <v>2.9103501415783453E-2</v>
      </c>
      <c r="P223" s="830">
        <f t="shared" si="904"/>
        <v>2.9051221785878246E-2</v>
      </c>
      <c r="Q223" s="829">
        <f t="shared" si="918"/>
        <v>4.3938478370805813E-2</v>
      </c>
      <c r="R223" s="830">
        <f t="shared" si="918"/>
        <v>4.8299772257268864E-2</v>
      </c>
      <c r="S223" s="830">
        <f t="shared" si="918"/>
        <v>3.0918216900908842E-2</v>
      </c>
      <c r="T223" s="830">
        <f t="shared" si="918"/>
        <v>3.2457797833990255E-2</v>
      </c>
      <c r="U223" s="829">
        <f t="shared" si="894"/>
        <v>2.0543254279905981E-2</v>
      </c>
      <c r="V223" s="830">
        <f t="shared" si="894"/>
        <v>3.2031932301211756E-2</v>
      </c>
      <c r="W223" s="830">
        <f t="shared" si="894"/>
        <v>3.0007775215969944E-2</v>
      </c>
      <c r="X223" s="830">
        <f t="shared" si="894"/>
        <v>3.0207305100045385E-2</v>
      </c>
      <c r="Y223" s="829">
        <f t="shared" si="911"/>
        <v>3.0393119504021369E-2</v>
      </c>
      <c r="Z223" s="830">
        <f t="shared" si="912"/>
        <v>4.8748992601688343E-2</v>
      </c>
      <c r="AA223" s="830">
        <f t="shared" si="905"/>
        <v>4.84954525148188E-2</v>
      </c>
      <c r="AB223" s="830">
        <f t="shared" si="905"/>
        <v>4.5405528811979276E-2</v>
      </c>
      <c r="AC223" s="829">
        <f t="shared" si="911"/>
        <v>3.4205423346694949E-2</v>
      </c>
      <c r="AD223" s="830">
        <f t="shared" si="911"/>
        <v>3.5565628394017196E-2</v>
      </c>
      <c r="AE223" s="830">
        <f t="shared" si="911"/>
        <v>2.2887071545049629E-2</v>
      </c>
      <c r="AF223" s="830">
        <f t="shared" si="911"/>
        <v>2.2501440013274056E-2</v>
      </c>
      <c r="AG223" s="829">
        <f t="shared" si="906"/>
        <v>2.2733986836621735E-2</v>
      </c>
      <c r="AH223" s="830">
        <f t="shared" si="907"/>
        <v>2.0094705926572386E-2</v>
      </c>
      <c r="AI223" s="830">
        <f t="shared" si="907"/>
        <v>1.8631886983739271E-2</v>
      </c>
      <c r="AJ223" s="830">
        <f t="shared" si="907"/>
        <v>1.7484188253266038E-2</v>
      </c>
      <c r="AK223" s="829">
        <f t="shared" si="896"/>
        <v>1.6873707884515979E-2</v>
      </c>
      <c r="AL223" s="830">
        <f t="shared" si="896"/>
        <v>1.6830685105347912E-2</v>
      </c>
      <c r="AM223" s="830">
        <f t="shared" si="896"/>
        <v>1.4945028838772949E-2</v>
      </c>
      <c r="AN223" s="830">
        <f t="shared" si="896"/>
        <v>1.4916002182173321E-2</v>
      </c>
      <c r="AO223" s="829">
        <f t="shared" si="897"/>
        <v>1.4175652923039007E-2</v>
      </c>
      <c r="AP223" s="830">
        <f t="shared" si="897"/>
        <v>1.181461437858942E-2</v>
      </c>
      <c r="AQ223" s="830">
        <f t="shared" si="897"/>
        <v>1.1364573060406554E-2</v>
      </c>
      <c r="AR223" s="830">
        <f t="shared" si="897"/>
        <v>1.169940677663342E-2</v>
      </c>
      <c r="AS223" s="829">
        <f t="shared" si="898"/>
        <v>1.088012604143178E-2</v>
      </c>
      <c r="AT223" s="830">
        <f t="shared" si="898"/>
        <v>1.0785897603563065E-2</v>
      </c>
      <c r="AU223" s="830">
        <f t="shared" si="898"/>
        <v>1.0797167636731135E-2</v>
      </c>
      <c r="AV223" s="830">
        <f t="shared" si="898"/>
        <v>9.8289922767093845E-3</v>
      </c>
      <c r="AW223" s="829">
        <f t="shared" si="899"/>
        <v>9.24743567320962E-3</v>
      </c>
      <c r="AY223" s="204"/>
      <c r="AZ223" s="295">
        <f t="shared" si="908"/>
        <v>1.3155914616567234E-2</v>
      </c>
      <c r="BA223" s="264">
        <f t="shared" si="908"/>
        <v>1.9694158641765578E-2</v>
      </c>
      <c r="BB223" s="264">
        <f t="shared" si="908"/>
        <v>1.4404367757269259E-2</v>
      </c>
      <c r="BC223" s="264">
        <f t="shared" si="908"/>
        <v>2.8303315905636173E-2</v>
      </c>
      <c r="BD223" s="264">
        <f t="shared" si="908"/>
        <v>3.050502747333014E-2</v>
      </c>
      <c r="BE223" s="264">
        <f t="shared" si="900"/>
        <v>3.0683653018658729E-2</v>
      </c>
      <c r="BF223" s="264">
        <f t="shared" si="900"/>
        <v>4.4520333945458901E-2</v>
      </c>
      <c r="BG223" s="264">
        <f t="shared" si="900"/>
        <v>2.4745254249442662E-2</v>
      </c>
      <c r="BH223" s="264">
        <f t="shared" si="901"/>
        <v>1.8287651872510739E-2</v>
      </c>
      <c r="BI223" s="264">
        <f t="shared" si="901"/>
        <v>1.5070741663677643E-2</v>
      </c>
      <c r="BJ223" s="264">
        <f t="shared" ref="BJ223:BK223" si="919">BJ212/BJ$216</f>
        <v>1.141497523175314E-2</v>
      </c>
      <c r="BK223" s="264">
        <f t="shared" si="919"/>
        <v>1.245260873637878E-2</v>
      </c>
    </row>
    <row r="224" spans="1:63" outlineLevel="1">
      <c r="A224" s="441" t="str">
        <f t="shared" si="903"/>
        <v>0.11/0.13um</v>
      </c>
      <c r="B224" s="830">
        <f t="shared" ref="B224:T224" si="920">B213/B$216</f>
        <v>0.16078436095242518</v>
      </c>
      <c r="C224" s="830">
        <f t="shared" si="920"/>
        <v>0.19241918630994731</v>
      </c>
      <c r="D224" s="830">
        <f t="shared" si="920"/>
        <v>8.4514753644781906E-2</v>
      </c>
      <c r="E224" s="829">
        <f t="shared" si="920"/>
        <v>5.0111310061843904E-2</v>
      </c>
      <c r="F224" s="830">
        <f t="shared" si="920"/>
        <v>7.9559329339941906E-2</v>
      </c>
      <c r="G224" s="830">
        <f t="shared" si="920"/>
        <v>8.523221027057655E-2</v>
      </c>
      <c r="H224" s="830">
        <f t="shared" si="920"/>
        <v>9.8226512690082507E-2</v>
      </c>
      <c r="I224" s="829">
        <f t="shared" si="920"/>
        <v>8.645892575024583E-2</v>
      </c>
      <c r="J224" s="830">
        <f t="shared" si="920"/>
        <v>8.1858253704113426E-2</v>
      </c>
      <c r="K224" s="830">
        <f t="shared" si="920"/>
        <v>6.1953744264090858E-2</v>
      </c>
      <c r="L224" s="830">
        <f t="shared" si="920"/>
        <v>7.3892386359771453E-2</v>
      </c>
      <c r="M224" s="829">
        <f t="shared" si="920"/>
        <v>6.6736249953468399E-2</v>
      </c>
      <c r="N224" s="830">
        <f t="shared" si="920"/>
        <v>5.4648526715631786E-2</v>
      </c>
      <c r="O224" s="830">
        <f t="shared" si="904"/>
        <v>5.8132759205506229E-2</v>
      </c>
      <c r="P224" s="830">
        <f t="shared" si="904"/>
        <v>5.1917869746191371E-2</v>
      </c>
      <c r="Q224" s="829">
        <f t="shared" si="920"/>
        <v>7.7833875971141719E-2</v>
      </c>
      <c r="R224" s="830">
        <f t="shared" si="920"/>
        <v>7.0682593547222713E-2</v>
      </c>
      <c r="S224" s="830">
        <f t="shared" si="920"/>
        <v>7.3157010094181699E-2</v>
      </c>
      <c r="T224" s="830">
        <f t="shared" si="920"/>
        <v>6.3706354676437038E-2</v>
      </c>
      <c r="U224" s="829">
        <f t="shared" si="894"/>
        <v>6.2424102005207642E-2</v>
      </c>
      <c r="V224" s="830">
        <f t="shared" si="894"/>
        <v>3.5551665275312457E-2</v>
      </c>
      <c r="W224" s="830">
        <f t="shared" si="894"/>
        <v>3.5353988041803668E-2</v>
      </c>
      <c r="X224" s="830">
        <f t="shared" si="894"/>
        <v>3.5542146532734076E-2</v>
      </c>
      <c r="Y224" s="829">
        <f t="shared" si="911"/>
        <v>3.5987872845557656E-2</v>
      </c>
      <c r="Z224" s="830">
        <f t="shared" si="912"/>
        <v>2.8528967098919084E-2</v>
      </c>
      <c r="AA224" s="830">
        <f t="shared" si="905"/>
        <v>2.7761172306952391E-2</v>
      </c>
      <c r="AB224" s="830">
        <f t="shared" si="905"/>
        <v>2.8806050555107824E-2</v>
      </c>
      <c r="AC224" s="829">
        <f t="shared" si="911"/>
        <v>3.2889113189427374E-2</v>
      </c>
      <c r="AD224" s="830">
        <f t="shared" si="911"/>
        <v>3.748080414102798E-2</v>
      </c>
      <c r="AE224" s="830">
        <f t="shared" si="911"/>
        <v>5.964999901493559E-2</v>
      </c>
      <c r="AF224" s="830">
        <f t="shared" si="911"/>
        <v>2.9224964447162247E-2</v>
      </c>
      <c r="AG224" s="829">
        <f t="shared" si="906"/>
        <v>2.1808766442108059E-2</v>
      </c>
      <c r="AH224" s="830">
        <f t="shared" si="907"/>
        <v>2.3965936954618388E-2</v>
      </c>
      <c r="AI224" s="830">
        <f t="shared" si="907"/>
        <v>2.3041996219630857E-2</v>
      </c>
      <c r="AJ224" s="830">
        <f t="shared" si="907"/>
        <v>1.8016419422024123E-2</v>
      </c>
      <c r="AK224" s="829">
        <f t="shared" si="896"/>
        <v>1.1015154473236512E-2</v>
      </c>
      <c r="AL224" s="830">
        <f t="shared" si="896"/>
        <v>1.0031645511187053E-2</v>
      </c>
      <c r="AM224" s="830">
        <f t="shared" si="896"/>
        <v>2.8261723632577375E-2</v>
      </c>
      <c r="AN224" s="830">
        <f t="shared" si="896"/>
        <v>2.2652482535924185E-2</v>
      </c>
      <c r="AO224" s="829">
        <f t="shared" si="897"/>
        <v>2.2662349867466128E-2</v>
      </c>
      <c r="AP224" s="830">
        <f t="shared" si="897"/>
        <v>1.8922652333565316E-2</v>
      </c>
      <c r="AQ224" s="830">
        <f t="shared" si="897"/>
        <v>1.4489824272235965E-2</v>
      </c>
      <c r="AR224" s="830">
        <f t="shared" si="897"/>
        <v>1.5688135939960369E-2</v>
      </c>
      <c r="AS224" s="829">
        <f t="shared" si="898"/>
        <v>1.3732107525816356E-2</v>
      </c>
      <c r="AT224" s="830">
        <f t="shared" si="898"/>
        <v>9.1100549266746392E-3</v>
      </c>
      <c r="AU224" s="830">
        <f t="shared" si="898"/>
        <v>6.6694853911663807E-3</v>
      </c>
      <c r="AV224" s="830">
        <f t="shared" si="898"/>
        <v>6.8618306953981802E-3</v>
      </c>
      <c r="AW224" s="829">
        <f t="shared" si="899"/>
        <v>5.9938392699613085E-3</v>
      </c>
      <c r="AY224" s="204"/>
      <c r="AZ224" s="295">
        <f t="shared" si="908"/>
        <v>0.12796432046969772</v>
      </c>
      <c r="BA224" s="264">
        <f t="shared" si="908"/>
        <v>8.827489308337777E-2</v>
      </c>
      <c r="BB224" s="264">
        <f t="shared" si="908"/>
        <v>7.0376530223419456E-2</v>
      </c>
      <c r="BC224" s="264">
        <f t="shared" si="908"/>
        <v>5.9162502252910448E-2</v>
      </c>
      <c r="BD224" s="264">
        <f t="shared" si="908"/>
        <v>6.6594540045307876E-2</v>
      </c>
      <c r="BE224" s="264">
        <f t="shared" si="900"/>
        <v>3.5575286522650559E-2</v>
      </c>
      <c r="BF224" s="264">
        <f t="shared" si="900"/>
        <v>2.9388333720330825E-2</v>
      </c>
      <c r="BG224" s="264">
        <f t="shared" si="900"/>
        <v>3.3362954359234975E-2</v>
      </c>
      <c r="BH224" s="264">
        <f t="shared" si="901"/>
        <v>1.9071376487189054E-2</v>
      </c>
      <c r="BI224" s="264">
        <f t="shared" si="901"/>
        <v>2.1545912959897735E-2</v>
      </c>
      <c r="BJ224" s="264">
        <f t="shared" ref="BJ224:BK224" si="921">BJ213/BJ$216</f>
        <v>1.5546403113018933E-2</v>
      </c>
      <c r="BK224" s="264">
        <f t="shared" si="921"/>
        <v>8.7038378660842831E-3</v>
      </c>
    </row>
    <row r="225" spans="1:63" outlineLevel="1">
      <c r="A225" s="441" t="str">
        <f t="shared" si="903"/>
        <v>0.15/0.18um</v>
      </c>
      <c r="B225" s="830">
        <f t="shared" ref="B225:T225" si="922">B214/B$216</f>
        <v>0.41756171260897118</v>
      </c>
      <c r="C225" s="830">
        <f t="shared" si="922"/>
        <v>0.30641400377287581</v>
      </c>
      <c r="D225" s="830">
        <f t="shared" si="922"/>
        <v>0.38274667065400536</v>
      </c>
      <c r="E225" s="829">
        <f t="shared" si="922"/>
        <v>0.42035266636400453</v>
      </c>
      <c r="F225" s="830">
        <f t="shared" si="922"/>
        <v>0.43621485121523068</v>
      </c>
      <c r="G225" s="830">
        <f t="shared" si="922"/>
        <v>0.41474222122219551</v>
      </c>
      <c r="H225" s="830">
        <f t="shared" si="922"/>
        <v>0.46601299098314974</v>
      </c>
      <c r="I225" s="829">
        <f t="shared" si="922"/>
        <v>0.41509944545535754</v>
      </c>
      <c r="J225" s="830">
        <f t="shared" si="922"/>
        <v>0.55766122702794119</v>
      </c>
      <c r="K225" s="830">
        <f t="shared" si="922"/>
        <v>0.36785063916848376</v>
      </c>
      <c r="L225" s="830">
        <f t="shared" si="922"/>
        <v>0.38177288568199214</v>
      </c>
      <c r="M225" s="829">
        <f t="shared" si="922"/>
        <v>0.35289452283992867</v>
      </c>
      <c r="N225" s="830">
        <f t="shared" si="922"/>
        <v>0.33079422927926372</v>
      </c>
      <c r="O225" s="830">
        <f t="shared" si="904"/>
        <v>0.31894465723894</v>
      </c>
      <c r="P225" s="830">
        <f t="shared" si="904"/>
        <v>0.36168688042456887</v>
      </c>
      <c r="Q225" s="829">
        <f t="shared" si="922"/>
        <v>0.36426157463747072</v>
      </c>
      <c r="R225" s="830">
        <f t="shared" si="922"/>
        <v>0.40400423485111808</v>
      </c>
      <c r="S225" s="830">
        <f t="shared" si="922"/>
        <v>0.41749757293928369</v>
      </c>
      <c r="T225" s="830">
        <f t="shared" si="922"/>
        <v>0.4109374218633618</v>
      </c>
      <c r="U225" s="829">
        <f t="shared" si="894"/>
        <v>0.40764211059033761</v>
      </c>
      <c r="V225" s="830">
        <f t="shared" si="894"/>
        <v>0.25728909772684455</v>
      </c>
      <c r="W225" s="830">
        <f t="shared" si="894"/>
        <v>0.26594280578011126</v>
      </c>
      <c r="X225" s="830">
        <f t="shared" si="894"/>
        <v>0.270196958172843</v>
      </c>
      <c r="Y225" s="829">
        <f t="shared" si="911"/>
        <v>0.27472339452219674</v>
      </c>
      <c r="Z225" s="830">
        <f t="shared" si="912"/>
        <v>0.18788500896359808</v>
      </c>
      <c r="AA225" s="830">
        <f t="shared" si="905"/>
        <v>0.24866688210970053</v>
      </c>
      <c r="AB225" s="830">
        <f t="shared" si="905"/>
        <v>0.34302389079506224</v>
      </c>
      <c r="AC225" s="829">
        <f t="shared" si="911"/>
        <v>0.40366334332736697</v>
      </c>
      <c r="AD225" s="830">
        <f t="shared" si="911"/>
        <v>0.43313863669447566</v>
      </c>
      <c r="AE225" s="830">
        <f t="shared" si="911"/>
        <v>0.48150029939420691</v>
      </c>
      <c r="AF225" s="830">
        <f t="shared" si="911"/>
        <v>0.23893971262253855</v>
      </c>
      <c r="AG225" s="829">
        <f t="shared" si="906"/>
        <v>0.18047213267857529</v>
      </c>
      <c r="AH225" s="830">
        <f t="shared" si="907"/>
        <v>0.1524651266021215</v>
      </c>
      <c r="AI225" s="830">
        <f t="shared" si="907"/>
        <v>0.11920093546994778</v>
      </c>
      <c r="AJ225" s="830">
        <f t="shared" si="907"/>
        <v>0.21253976080998502</v>
      </c>
      <c r="AK225" s="829">
        <f t="shared" si="896"/>
        <v>0.30220212078799724</v>
      </c>
      <c r="AL225" s="830">
        <f t="shared" si="896"/>
        <v>0.27301452607474302</v>
      </c>
      <c r="AM225" s="830">
        <f t="shared" si="896"/>
        <v>0.3525746880112855</v>
      </c>
      <c r="AN225" s="830">
        <f t="shared" si="896"/>
        <v>0.25024973809950418</v>
      </c>
      <c r="AO225" s="829">
        <f t="shared" si="897"/>
        <v>0.21192548235684128</v>
      </c>
      <c r="AP225" s="830">
        <f t="shared" si="897"/>
        <v>0.23373214793855829</v>
      </c>
      <c r="AQ225" s="830">
        <f t="shared" si="897"/>
        <v>0.21767649378187834</v>
      </c>
      <c r="AR225" s="830">
        <f t="shared" si="897"/>
        <v>0.20993890277725202</v>
      </c>
      <c r="AS225" s="829">
        <f t="shared" si="898"/>
        <v>0.19733670281850477</v>
      </c>
      <c r="AT225" s="830">
        <f t="shared" si="898"/>
        <v>0.17289093900909236</v>
      </c>
      <c r="AU225" s="830">
        <f t="shared" si="898"/>
        <v>0.15481500993939426</v>
      </c>
      <c r="AV225" s="830">
        <f t="shared" si="898"/>
        <v>0.14395793542480687</v>
      </c>
      <c r="AW225" s="829">
        <f t="shared" si="899"/>
        <v>0.13226611470042615</v>
      </c>
      <c r="AY225" s="204"/>
      <c r="AZ225" s="295">
        <f t="shared" si="908"/>
        <v>0.38094958928296202</v>
      </c>
      <c r="BA225" s="264">
        <f t="shared" si="908"/>
        <v>0.43418270257200486</v>
      </c>
      <c r="BB225" s="264">
        <f t="shared" si="908"/>
        <v>0.4031355081560814</v>
      </c>
      <c r="BC225" s="264">
        <f t="shared" si="908"/>
        <v>0.34219658282010684</v>
      </c>
      <c r="BD225" s="264">
        <f t="shared" si="908"/>
        <v>0.41043740437554682</v>
      </c>
      <c r="BE225" s="264">
        <f t="shared" si="900"/>
        <v>0.2663492707752193</v>
      </c>
      <c r="BF225" s="264">
        <f t="shared" si="900"/>
        <v>0.29309501881383188</v>
      </c>
      <c r="BG225" s="264">
        <f t="shared" si="900"/>
        <v>0.29274006601793606</v>
      </c>
      <c r="BH225" s="264">
        <f t="shared" si="901"/>
        <v>0.19658209559509487</v>
      </c>
      <c r="BI225" s="264">
        <f t="shared" si="901"/>
        <v>0.26751680990224674</v>
      </c>
      <c r="BJ225" s="264">
        <f t="shared" ref="BJ225:BK225" si="923">BJ214/BJ$216</f>
        <v>0.21306583271432772</v>
      </c>
      <c r="BK225" s="264">
        <f t="shared" si="923"/>
        <v>0.18428114034161178</v>
      </c>
    </row>
    <row r="226" spans="1:63" outlineLevel="1">
      <c r="A226" s="441" t="str">
        <f t="shared" si="903"/>
        <v>0.25um/0.35um</v>
      </c>
      <c r="B226" s="830">
        <f t="shared" ref="B226:T226" si="924">B215/B$216</f>
        <v>2.6209362913874955E-2</v>
      </c>
      <c r="C226" s="830">
        <f t="shared" si="924"/>
        <v>3.1507235185254528E-2</v>
      </c>
      <c r="D226" s="830">
        <f t="shared" si="924"/>
        <v>3.2345152629484432E-2</v>
      </c>
      <c r="E226" s="829">
        <f t="shared" si="924"/>
        <v>3.5634709377311218E-2</v>
      </c>
      <c r="F226" s="830">
        <f t="shared" si="924"/>
        <v>4.3378154072682147E-2</v>
      </c>
      <c r="G226" s="830">
        <f t="shared" si="924"/>
        <v>4.067900944732062E-2</v>
      </c>
      <c r="H226" s="830">
        <f t="shared" si="924"/>
        <v>3.8878259895325E-2</v>
      </c>
      <c r="I226" s="829">
        <f t="shared" si="924"/>
        <v>3.6241686684349621E-2</v>
      </c>
      <c r="J226" s="830">
        <f t="shared" si="924"/>
        <v>5.1133753749630313E-2</v>
      </c>
      <c r="K226" s="830">
        <f t="shared" si="924"/>
        <v>4.4233867557871925E-2</v>
      </c>
      <c r="L226" s="830">
        <f t="shared" si="924"/>
        <v>4.5652975558599491E-2</v>
      </c>
      <c r="M226" s="829">
        <f t="shared" si="924"/>
        <v>4.4644119661634563E-2</v>
      </c>
      <c r="N226" s="830">
        <f t="shared" si="924"/>
        <v>4.2695354904316099E-2</v>
      </c>
      <c r="O226" s="830">
        <f t="shared" si="904"/>
        <v>4.3098424928220136E-2</v>
      </c>
      <c r="P226" s="830">
        <f t="shared" si="904"/>
        <v>3.4584787840331248E-2</v>
      </c>
      <c r="Q226" s="829">
        <f t="shared" si="924"/>
        <v>5.2497922209274475E-2</v>
      </c>
      <c r="R226" s="830">
        <f t="shared" si="924"/>
        <v>4.0838831827284233E-2</v>
      </c>
      <c r="S226" s="830">
        <f t="shared" si="924"/>
        <v>3.710186028109061E-2</v>
      </c>
      <c r="T226" s="830">
        <f t="shared" si="924"/>
        <v>3.3622798301452879E-2</v>
      </c>
      <c r="U226" s="829">
        <f t="shared" si="894"/>
        <v>3.1773566619587926E-2</v>
      </c>
      <c r="V226" s="830">
        <f t="shared" si="894"/>
        <v>1.795300040480895E-2</v>
      </c>
      <c r="W226" s="830">
        <f t="shared" si="894"/>
        <v>1.8724063353150376E-2</v>
      </c>
      <c r="X226" s="830">
        <f t="shared" si="894"/>
        <v>1.8328354309563217E-2</v>
      </c>
      <c r="Y226" s="829">
        <f t="shared" si="911"/>
        <v>1.6935469574380069E-2</v>
      </c>
      <c r="Z226" s="830">
        <f t="shared" si="912"/>
        <v>1.1430798265223474E-2</v>
      </c>
      <c r="AA226" s="830">
        <f t="shared" si="905"/>
        <v>1.0094971747982686E-2</v>
      </c>
      <c r="AB226" s="830">
        <f t="shared" si="905"/>
        <v>1.4445207481596627E-2</v>
      </c>
      <c r="AC226" s="829">
        <f t="shared" si="911"/>
        <v>1.3460380789578376E-2</v>
      </c>
      <c r="AD226" s="830">
        <f t="shared" si="911"/>
        <v>1.4803466178175023E-2</v>
      </c>
      <c r="AE226" s="830">
        <f t="shared" si="911"/>
        <v>2.3497545894219769E-2</v>
      </c>
      <c r="AF226" s="830">
        <f t="shared" si="911"/>
        <v>1.0919910657434251E-2</v>
      </c>
      <c r="AG226" s="829">
        <f t="shared" si="906"/>
        <v>3.5246491219568586E-3</v>
      </c>
      <c r="AH226" s="830">
        <f t="shared" si="907"/>
        <v>2.5010123028808536E-3</v>
      </c>
      <c r="AI226" s="830">
        <f t="shared" si="907"/>
        <v>7.4008392391629292E-3</v>
      </c>
      <c r="AJ226" s="830">
        <f t="shared" si="907"/>
        <v>6.0443806039862163E-3</v>
      </c>
      <c r="AK226" s="829">
        <f t="shared" si="896"/>
        <v>-9.1840711368344524E-4</v>
      </c>
      <c r="AL226" s="830">
        <f t="shared" si="896"/>
        <v>2.4983044073373698E-3</v>
      </c>
      <c r="AM226" s="830">
        <f t="shared" si="896"/>
        <v>1.6957742565200547E-2</v>
      </c>
      <c r="AN226" s="830">
        <f t="shared" si="896"/>
        <v>1.8423608538327627E-3</v>
      </c>
      <c r="AO226" s="829">
        <f t="shared" si="897"/>
        <v>6.2745094181339018E-4</v>
      </c>
      <c r="AP226" s="830">
        <f t="shared" si="897"/>
        <v>7.1040849628708023E-3</v>
      </c>
      <c r="AQ226" s="830">
        <f t="shared" si="897"/>
        <v>5.6525822180275359E-3</v>
      </c>
      <c r="AR226" s="830">
        <f t="shared" si="897"/>
        <v>8.0941107502658129E-3</v>
      </c>
      <c r="AS226" s="829">
        <f t="shared" si="898"/>
        <v>6.5885259733951002E-3</v>
      </c>
      <c r="AT226" s="830">
        <f t="shared" si="898"/>
        <v>3.6250131032616599E-3</v>
      </c>
      <c r="AU226" s="830">
        <f t="shared" si="898"/>
        <v>2.1667719483214713E-3</v>
      </c>
      <c r="AV226" s="830">
        <f t="shared" si="898"/>
        <v>2.6464471413397877E-3</v>
      </c>
      <c r="AW226" s="829">
        <f t="shared" si="899"/>
        <v>2.1342040041988169E-3</v>
      </c>
      <c r="AY226" s="204"/>
      <c r="AZ226" s="295">
        <f t="shared" si="908"/>
        <v>3.0988489706165776E-2</v>
      </c>
      <c r="BA226" s="264">
        <f t="shared" si="908"/>
        <v>3.9665473614702275E-2</v>
      </c>
      <c r="BB226" s="264">
        <f t="shared" si="908"/>
        <v>4.6051977605889124E-2</v>
      </c>
      <c r="BC226" s="264">
        <f t="shared" si="908"/>
        <v>4.2392450163297013E-2</v>
      </c>
      <c r="BD226" s="264">
        <f t="shared" si="908"/>
        <v>3.4914588222418011E-2</v>
      </c>
      <c r="BE226" s="264">
        <f t="shared" si="900"/>
        <v>1.8077914408487758E-2</v>
      </c>
      <c r="BF226" s="264">
        <f t="shared" si="900"/>
        <v>1.233793930953906E-2</v>
      </c>
      <c r="BG226" s="264">
        <f t="shared" si="900"/>
        <v>1.1198458453736135E-2</v>
      </c>
      <c r="BH226" s="264">
        <f t="shared" si="901"/>
        <v>3.7761770623645032E-3</v>
      </c>
      <c r="BI226" s="264">
        <f t="shared" si="901"/>
        <v>5.2111970679404908E-3</v>
      </c>
      <c r="BJ226" s="264">
        <f t="shared" ref="BJ226:BK226" si="925">BJ215/BJ$216</f>
        <v>6.9138883222794219E-3</v>
      </c>
      <c r="BK226" s="264">
        <f t="shared" si="925"/>
        <v>3.2088982500567205E-3</v>
      </c>
    </row>
    <row r="227" spans="1:63" outlineLevel="1">
      <c r="A227" s="441" t="str">
        <f t="shared" si="903"/>
        <v>Total</v>
      </c>
      <c r="B227" s="822"/>
      <c r="C227" s="822"/>
      <c r="D227" s="822"/>
      <c r="E227" s="823"/>
      <c r="F227" s="822"/>
      <c r="G227" s="822"/>
      <c r="H227" s="822"/>
      <c r="I227" s="823"/>
      <c r="J227" s="822"/>
      <c r="K227" s="822"/>
      <c r="L227" s="827"/>
      <c r="M227" s="828"/>
      <c r="N227" s="827"/>
      <c r="O227" s="827"/>
      <c r="P227" s="827"/>
      <c r="Q227" s="828"/>
      <c r="R227" s="827"/>
      <c r="S227" s="827"/>
      <c r="T227" s="827"/>
      <c r="U227" s="828"/>
      <c r="V227" s="827"/>
      <c r="W227" s="827"/>
      <c r="X227" s="827"/>
      <c r="Y227" s="828"/>
      <c r="Z227" s="827"/>
      <c r="AA227" s="827"/>
      <c r="AB227" s="827"/>
      <c r="AC227" s="828"/>
      <c r="AD227" s="827"/>
      <c r="AE227" s="827"/>
      <c r="AF227" s="827"/>
      <c r="AG227" s="828"/>
      <c r="AH227" s="827"/>
      <c r="AI227" s="827"/>
      <c r="AJ227" s="827"/>
      <c r="AK227" s="828"/>
      <c r="AL227" s="827"/>
      <c r="AM227" s="827"/>
      <c r="AN227" s="827"/>
      <c r="AO227" s="828"/>
      <c r="AP227" s="827"/>
      <c r="AQ227" s="827"/>
      <c r="AR227" s="827"/>
      <c r="AS227" s="828"/>
      <c r="AT227" s="827"/>
      <c r="AU227" s="827"/>
      <c r="AV227" s="827"/>
      <c r="AW227" s="828"/>
      <c r="AY227" s="204"/>
      <c r="AZ227" s="324"/>
      <c r="BA227" s="212"/>
      <c r="BB227" s="212"/>
      <c r="BC227" s="212"/>
      <c r="BD227" s="212"/>
      <c r="BE227" s="212"/>
      <c r="BF227" s="212"/>
      <c r="BG227" s="212"/>
      <c r="BH227" s="212"/>
      <c r="BI227" s="212"/>
      <c r="BJ227" s="212"/>
      <c r="BK227" s="212"/>
    </row>
    <row r="228" spans="1:63" outlineLevel="1">
      <c r="A228" s="505" t="s">
        <v>138</v>
      </c>
      <c r="B228" s="506"/>
      <c r="C228" s="506"/>
      <c r="D228" s="506"/>
      <c r="E228" s="507"/>
      <c r="F228" s="632"/>
      <c r="G228" s="506"/>
      <c r="H228" s="506"/>
      <c r="I228" s="507"/>
      <c r="J228" s="632"/>
      <c r="K228" s="506"/>
      <c r="L228" s="506"/>
      <c r="M228" s="507"/>
      <c r="N228" s="632"/>
      <c r="O228" s="632"/>
      <c r="P228" s="632"/>
      <c r="Q228" s="507"/>
      <c r="R228" s="632"/>
      <c r="S228" s="632"/>
      <c r="T228" s="632"/>
      <c r="U228" s="507"/>
      <c r="V228" s="632"/>
      <c r="W228" s="632"/>
      <c r="X228" s="632"/>
      <c r="Y228" s="507"/>
      <c r="Z228" s="632"/>
      <c r="AA228" s="632"/>
      <c r="AB228" s="632"/>
      <c r="AC228" s="507"/>
      <c r="AD228" s="632"/>
      <c r="AE228" s="632"/>
      <c r="AF228" s="632"/>
      <c r="AG228" s="507"/>
      <c r="AH228" s="632"/>
      <c r="AI228" s="632"/>
      <c r="AJ228" s="632"/>
      <c r="AK228" s="507"/>
      <c r="AL228" s="632"/>
      <c r="AM228" s="632"/>
      <c r="AN228" s="632"/>
      <c r="AO228" s="507"/>
      <c r="AP228" s="632"/>
      <c r="AQ228" s="632"/>
      <c r="AR228" s="632"/>
      <c r="AS228" s="507"/>
      <c r="AT228" s="632"/>
      <c r="AU228" s="632"/>
      <c r="AV228" s="632"/>
      <c r="AW228" s="507"/>
      <c r="AX228" s="221"/>
      <c r="AY228" s="288"/>
      <c r="AZ228" s="288"/>
      <c r="BA228" s="289"/>
      <c r="BB228" s="289"/>
      <c r="BC228" s="289"/>
      <c r="BD228" s="289"/>
      <c r="BE228" s="289"/>
      <c r="BF228" s="289"/>
      <c r="BG228" s="289"/>
      <c r="BH228" s="289"/>
      <c r="BI228" s="289"/>
      <c r="BJ228" s="289"/>
      <c r="BK228" s="289"/>
    </row>
    <row r="229" spans="1:63" outlineLevel="1">
      <c r="A229" s="290" t="s">
        <v>1204</v>
      </c>
      <c r="B229" s="643"/>
      <c r="C229" s="643"/>
      <c r="D229" s="643"/>
      <c r="E229" s="644"/>
      <c r="F229" s="643"/>
      <c r="G229" s="643"/>
      <c r="H229" s="643"/>
      <c r="I229" s="644"/>
      <c r="J229" s="643"/>
      <c r="K229" s="643"/>
      <c r="L229" s="643"/>
      <c r="M229" s="644"/>
      <c r="N229" s="643"/>
      <c r="O229" s="643"/>
      <c r="P229" s="643"/>
      <c r="Q229" s="644"/>
      <c r="R229" s="450">
        <f>Depreciation!AT192</f>
        <v>16.071428571428573</v>
      </c>
      <c r="S229" s="450">
        <f>Depreciation!AU192</f>
        <v>32.142857142857146</v>
      </c>
      <c r="T229" s="450">
        <f>Depreciation!AV192</f>
        <v>42.857142857142861</v>
      </c>
      <c r="U229" s="451">
        <f>Depreciation!AW192</f>
        <v>53.571428571428577</v>
      </c>
      <c r="V229" s="450">
        <f>Depreciation!AX192</f>
        <v>53.571428571428577</v>
      </c>
      <c r="W229" s="450">
        <f>Depreciation!AY192</f>
        <v>53.571428571428577</v>
      </c>
      <c r="X229" s="450">
        <f>Depreciation!AZ192</f>
        <v>53.571428571428577</v>
      </c>
      <c r="Y229" s="451">
        <f>Depreciation!BA192</f>
        <v>53.571428571428577</v>
      </c>
      <c r="Z229" s="450">
        <f>Depreciation!BB192</f>
        <v>53.571428571428577</v>
      </c>
      <c r="AA229" s="450">
        <f>Depreciation!BC192</f>
        <v>77.380952380952394</v>
      </c>
      <c r="AB229" s="450">
        <f>Depreciation!BD192</f>
        <v>101.1904761904762</v>
      </c>
      <c r="AC229" s="451">
        <f>Depreciation!BE192</f>
        <v>108.33333333333334</v>
      </c>
      <c r="AD229" s="450">
        <f>Depreciation!BF192</f>
        <v>108.33333333333334</v>
      </c>
      <c r="AE229" s="450">
        <f>Depreciation!BG192</f>
        <v>108.33333333333334</v>
      </c>
      <c r="AF229" s="450">
        <f>Depreciation!BH192</f>
        <v>108.33333333333334</v>
      </c>
      <c r="AG229" s="451">
        <f>Depreciation!BI192</f>
        <v>108.33333333333334</v>
      </c>
      <c r="AH229" s="450">
        <f>Depreciation!BJ192</f>
        <v>108.33333333333334</v>
      </c>
      <c r="AI229" s="450">
        <f>Depreciation!BK192</f>
        <v>108.33333333333334</v>
      </c>
      <c r="AJ229" s="450">
        <f>Depreciation!BL192</f>
        <v>108.33333333333334</v>
      </c>
      <c r="AK229" s="451">
        <f>Depreciation!BM192</f>
        <v>108.33333333333334</v>
      </c>
      <c r="AL229" s="450">
        <f>Depreciation!BN192</f>
        <v>125.29761904761907</v>
      </c>
      <c r="AM229" s="1128">
        <f>Depreciation!BO192</f>
        <v>142.26190476190479</v>
      </c>
      <c r="AN229" s="1128">
        <f>Depreciation!BP192</f>
        <v>159.22619047619051</v>
      </c>
      <c r="AO229" s="451">
        <f>Depreciation!BQ192</f>
        <v>176.19047619047623</v>
      </c>
      <c r="AP229" s="1128">
        <f>Depreciation!BR192</f>
        <v>194.04761904761909</v>
      </c>
      <c r="AQ229" s="1128">
        <f>Depreciation!BS192</f>
        <v>211.90476190476195</v>
      </c>
      <c r="AR229" s="1128">
        <f>Depreciation!BT192</f>
        <v>229.76190476190482</v>
      </c>
      <c r="AS229" s="451">
        <f>Depreciation!BU192</f>
        <v>247.61904761904768</v>
      </c>
      <c r="AT229" s="1128">
        <f>Depreciation!BV192</f>
        <v>249.40476190476195</v>
      </c>
      <c r="AU229" s="1128">
        <f>Depreciation!BW192</f>
        <v>251.19047619047623</v>
      </c>
      <c r="AV229" s="1128">
        <f>Depreciation!BX192</f>
        <v>258.33333333333337</v>
      </c>
      <c r="AW229" s="451">
        <f>Depreciation!BY192</f>
        <v>265.47619047619054</v>
      </c>
      <c r="AX229" s="221"/>
      <c r="AY229" s="642"/>
      <c r="AZ229" s="642"/>
      <c r="BA229" s="471"/>
      <c r="BB229" s="471"/>
      <c r="BC229" s="471"/>
      <c r="BD229" s="471"/>
      <c r="BE229" s="471">
        <f t="shared" ref="BE229:BE238" si="926">SUM(V229:Y229)</f>
        <v>214.28571428571431</v>
      </c>
      <c r="BF229" s="215">
        <f t="shared" ref="BF229:BF238" si="927">SUM(Z229:AC229)</f>
        <v>340.47619047619048</v>
      </c>
      <c r="BG229" s="215">
        <f t="shared" ref="BG229:BG238" si="928">SUM(AD229:AG229)</f>
        <v>433.33333333333337</v>
      </c>
      <c r="BH229" s="215">
        <f t="shared" ref="BH229:BH238" si="929">SUM(AH229:AK229)</f>
        <v>433.33333333333337</v>
      </c>
      <c r="BI229" s="215">
        <f t="shared" ref="BI229:BI249" si="930">SUM(AL229:AO229)</f>
        <v>602.9761904761906</v>
      </c>
      <c r="BJ229" s="215">
        <f>SUM(AP229:AS229)</f>
        <v>883.3333333333336</v>
      </c>
      <c r="BK229" s="215">
        <f>SUM(AT229:AW229)</f>
        <v>1024.4047619047622</v>
      </c>
    </row>
    <row r="230" spans="1:63" outlineLevel="1">
      <c r="A230" s="290" t="s">
        <v>935</v>
      </c>
      <c r="M230" s="451">
        <v>0</v>
      </c>
      <c r="N230" s="450">
        <v>0</v>
      </c>
      <c r="O230" s="450">
        <f>Depreciation!AQ150*1/3</f>
        <v>4.2126190886878536</v>
      </c>
      <c r="P230" s="450">
        <f>Depreciation!AR150*1/3</f>
        <v>6.4884352347990797</v>
      </c>
      <c r="Q230" s="451">
        <f>Depreciation!AS150</f>
        <v>29.226180244153273</v>
      </c>
      <c r="R230" s="450">
        <f>Depreciation!AT150</f>
        <v>32.914277945129882</v>
      </c>
      <c r="S230" s="450">
        <f>Depreciation!AU150</f>
        <v>39.206129890195491</v>
      </c>
      <c r="T230" s="450">
        <f>Depreciation!AV150</f>
        <v>39.33546060715517</v>
      </c>
      <c r="U230" s="451">
        <f>Depreciation!AW150</f>
        <v>38.387925901413993</v>
      </c>
      <c r="V230" s="450">
        <f>Depreciation!AX150</f>
        <v>37.305074250313936</v>
      </c>
      <c r="W230" s="450">
        <f>Depreciation!AY150</f>
        <v>36.862102528331228</v>
      </c>
      <c r="X230" s="450">
        <f>Depreciation!AZ150</f>
        <v>34.365554166293464</v>
      </c>
      <c r="Y230" s="451">
        <f>Depreciation!BA150</f>
        <v>32.154455437892778</v>
      </c>
      <c r="Z230" s="450">
        <f>Depreciation!BB150</f>
        <v>36.237021163862096</v>
      </c>
      <c r="AA230" s="450">
        <f>Depreciation!BC150</f>
        <v>38.816036051628558</v>
      </c>
      <c r="AB230" s="450">
        <f>Depreciation!BD150</f>
        <v>36.291673673288386</v>
      </c>
      <c r="AC230" s="451">
        <f>Depreciation!BE150</f>
        <v>39.591996409898037</v>
      </c>
      <c r="AD230" s="450">
        <f>Depreciation!BF150</f>
        <v>39.338336370497167</v>
      </c>
      <c r="AE230" s="450">
        <f>Depreciation!BG150</f>
        <v>41.603082618065386</v>
      </c>
      <c r="AF230" s="450">
        <f>Depreciation!BH150</f>
        <v>40.105964474102407</v>
      </c>
      <c r="AG230" s="451">
        <f>Depreciation!BI150</f>
        <v>44.39477600124733</v>
      </c>
      <c r="AH230" s="450">
        <f>Depreciation!BJ150</f>
        <v>43.745539814182862</v>
      </c>
      <c r="AI230" s="450">
        <f>Depreciation!BK150</f>
        <v>39.638718632891816</v>
      </c>
      <c r="AJ230" s="450">
        <f>Depreciation!BL150</f>
        <v>40.384656938345586</v>
      </c>
      <c r="AK230" s="451">
        <f>Depreciation!BM150</f>
        <v>44.327264186133498</v>
      </c>
      <c r="AL230" s="450">
        <f>Depreciation!BN150</f>
        <v>40.973864057548049</v>
      </c>
      <c r="AM230" s="450">
        <f>Depreciation!BO150</f>
        <v>45.013901191457563</v>
      </c>
      <c r="AN230" s="450">
        <f>Depreciation!BP150</f>
        <v>45.013901191457563</v>
      </c>
      <c r="AO230" s="451">
        <f>Depreciation!BQ150</f>
        <v>36.011120953166056</v>
      </c>
      <c r="AP230" s="450">
        <f>Depreciation!BR150</f>
        <v>33.010194207068878</v>
      </c>
      <c r="AQ230" s="450">
        <f>Depreciation!BS150</f>
        <v>27.008340714874535</v>
      </c>
      <c r="AR230" s="450">
        <f>Depreciation!BT150</f>
        <v>18.005560476583025</v>
      </c>
      <c r="AS230" s="451">
        <f>Depreciation!BU150</f>
        <v>0</v>
      </c>
      <c r="AT230" s="450">
        <f>Depreciation!BV150</f>
        <v>0</v>
      </c>
      <c r="AU230" s="450">
        <f>Depreciation!BW150</f>
        <v>0</v>
      </c>
      <c r="AV230" s="450">
        <f>Depreciation!BX150</f>
        <v>0</v>
      </c>
      <c r="AW230" s="451">
        <f>Depreciation!BY150</f>
        <v>0</v>
      </c>
      <c r="AY230" s="204"/>
      <c r="AZ230" s="335">
        <f t="shared" ref="AZ230:AZ238" si="931">SUM(B230:E230)</f>
        <v>0</v>
      </c>
      <c r="BA230" s="215">
        <f t="shared" ref="BA230:BA238" si="932">SUM(F230:I230)</f>
        <v>0</v>
      </c>
      <c r="BB230" s="215">
        <f t="shared" ref="BB230:BB238" si="933">SUM(J230:M230)</f>
        <v>0</v>
      </c>
      <c r="BC230" s="215">
        <f t="shared" ref="BC230:BC238" si="934">SUM(N230:Q230)</f>
        <v>39.927234567640205</v>
      </c>
      <c r="BD230" s="215">
        <f t="shared" ref="BD230:BD238" si="935">SUM(R230:U230)</f>
        <v>149.84379434389456</v>
      </c>
      <c r="BE230" s="215">
        <f t="shared" si="926"/>
        <v>140.68718638283141</v>
      </c>
      <c r="BF230" s="215">
        <f t="shared" si="927"/>
        <v>150.93672729867708</v>
      </c>
      <c r="BG230" s="215">
        <f t="shared" si="928"/>
        <v>165.4421594639123</v>
      </c>
      <c r="BH230" s="215">
        <f t="shared" si="929"/>
        <v>168.09617957155376</v>
      </c>
      <c r="BI230" s="215">
        <f t="shared" si="930"/>
        <v>167.01278739362922</v>
      </c>
      <c r="BJ230" s="215">
        <f t="shared" ref="BJ230:BJ238" si="936">SUM(AP230:AS230)</f>
        <v>78.024095398526441</v>
      </c>
      <c r="BK230" s="215">
        <f t="shared" ref="BK230:BK238" si="937">SUM(AT230:AW230)</f>
        <v>0</v>
      </c>
    </row>
    <row r="231" spans="1:63" outlineLevel="1">
      <c r="A231" s="290" t="s">
        <v>712</v>
      </c>
      <c r="B231" s="384">
        <f t="shared" ref="B231:K231" si="938">B$238*60%*B123/B$118</f>
        <v>16.55494252873563</v>
      </c>
      <c r="C231" s="384">
        <f t="shared" si="938"/>
        <v>14.779698924731184</v>
      </c>
      <c r="D231" s="384">
        <f t="shared" si="938"/>
        <v>23.234233856893539</v>
      </c>
      <c r="E231" s="385">
        <f t="shared" si="938"/>
        <v>27.559204678362573</v>
      </c>
      <c r="F231" s="384">
        <f t="shared" si="938"/>
        <v>18.261614035087721</v>
      </c>
      <c r="G231" s="384">
        <f t="shared" si="938"/>
        <v>19.769263157894734</v>
      </c>
      <c r="H231" s="384">
        <f t="shared" si="938"/>
        <v>17.921290322580646</v>
      </c>
      <c r="I231" s="385">
        <f t="shared" si="938"/>
        <v>13.126545454545454</v>
      </c>
      <c r="J231" s="384">
        <f t="shared" si="938"/>
        <v>9.2759856630824373</v>
      </c>
      <c r="K231" s="384">
        <f t="shared" si="938"/>
        <v>8.4947079037800677</v>
      </c>
      <c r="L231" s="384">
        <f>L$238*65%*L123/L$118</f>
        <v>9.8384343775824536</v>
      </c>
      <c r="M231" s="385">
        <f t="shared" ref="M231:O234" si="939">((M$238-M$230)*65%)*(M123/(M$118-M$122))</f>
        <v>10.062253411306044</v>
      </c>
      <c r="N231" s="384">
        <f t="shared" si="939"/>
        <v>13.859481481481483</v>
      </c>
      <c r="O231" s="384">
        <f t="shared" si="939"/>
        <v>13.479094249537507</v>
      </c>
      <c r="P231" s="384">
        <f t="shared" ref="P231:Q234" si="940">((P$238-P$230)*70%)*(P123/(P$118-P$122))</f>
        <v>17.054805750404533</v>
      </c>
      <c r="Q231" s="385">
        <f t="shared" si="940"/>
        <v>9.6376063074850222</v>
      </c>
      <c r="R231" s="384">
        <f>((R$238-R$230-R$229)*70%)*(R123/(R$118-R$122-R$121))</f>
        <v>7.8703371395418298</v>
      </c>
      <c r="S231" s="384">
        <f t="shared" ref="S231:AK231" si="941">((S$238-S$230-S$229)*70%)*(S123/(S$118-S$122-S$121))</f>
        <v>10.214645900497377</v>
      </c>
      <c r="T231" s="384">
        <f t="shared" si="941"/>
        <v>16.690500519624873</v>
      </c>
      <c r="U231" s="385">
        <f t="shared" si="941"/>
        <v>20.688101262897085</v>
      </c>
      <c r="V231" s="384">
        <f t="shared" si="941"/>
        <v>21.83193650513439</v>
      </c>
      <c r="W231" s="384">
        <f t="shared" si="941"/>
        <v>22.048105912979274</v>
      </c>
      <c r="X231" s="384">
        <f t="shared" si="941"/>
        <v>20.715407472861532</v>
      </c>
      <c r="Y231" s="385">
        <f t="shared" si="941"/>
        <v>20.299021195128319</v>
      </c>
      <c r="Z231" s="384">
        <f t="shared" si="941"/>
        <v>23.152878289400306</v>
      </c>
      <c r="AA231" s="384">
        <f t="shared" si="941"/>
        <v>25.393144061023062</v>
      </c>
      <c r="AB231" s="384">
        <f t="shared" si="941"/>
        <v>22.449670421191374</v>
      </c>
      <c r="AC231" s="385">
        <f t="shared" si="941"/>
        <v>35.084015973010246</v>
      </c>
      <c r="AD231" s="384">
        <f t="shared" si="941"/>
        <v>36.428403729147675</v>
      </c>
      <c r="AE231" s="384">
        <f t="shared" si="941"/>
        <v>48.846577825958242</v>
      </c>
      <c r="AF231" s="384">
        <f t="shared" si="941"/>
        <v>42.665598064552718</v>
      </c>
      <c r="AG231" s="385">
        <f t="shared" si="941"/>
        <v>44.14611453798932</v>
      </c>
      <c r="AH231" s="384">
        <f t="shared" si="941"/>
        <v>42.848744769435797</v>
      </c>
      <c r="AI231" s="384">
        <f t="shared" si="941"/>
        <v>46.233049481597021</v>
      </c>
      <c r="AJ231" s="384">
        <f t="shared" si="941"/>
        <v>57.934509717886954</v>
      </c>
      <c r="AK231" s="385">
        <f t="shared" si="941"/>
        <v>64.43993205697511</v>
      </c>
      <c r="AL231" s="384">
        <f t="shared" ref="AL231" si="942">((AL$238-AL$230-AL$229)*70%)*(AL123/(AL$118-AL$122-AL$121))</f>
        <v>58.069901915010981</v>
      </c>
      <c r="AM231" s="384">
        <f t="shared" ref="AM231:AW231" si="943">((AM$238-AM$230-AM$229)*70%)*(AM123/(AM$118-AM$122-AM$121))</f>
        <v>71.27453241826241</v>
      </c>
      <c r="AN231" s="384">
        <f t="shared" si="943"/>
        <v>70.650349565489734</v>
      </c>
      <c r="AO231" s="385">
        <f t="shared" si="943"/>
        <v>71.894166949205214</v>
      </c>
      <c r="AP231" s="384">
        <f t="shared" si="943"/>
        <v>70.896821759445444</v>
      </c>
      <c r="AQ231" s="384">
        <f t="shared" si="943"/>
        <v>75.873820988694419</v>
      </c>
      <c r="AR231" s="384">
        <f t="shared" si="943"/>
        <v>71.946619033120768</v>
      </c>
      <c r="AS231" s="385">
        <f t="shared" si="943"/>
        <v>72.908297676741995</v>
      </c>
      <c r="AT231" s="384">
        <f t="shared" si="943"/>
        <v>73.113524201426912</v>
      </c>
      <c r="AU231" s="384">
        <f t="shared" si="943"/>
        <v>79.892076396814957</v>
      </c>
      <c r="AV231" s="384">
        <f t="shared" si="943"/>
        <v>79.50802713831574</v>
      </c>
      <c r="AW231" s="385">
        <f t="shared" si="943"/>
        <v>77.737650415699832</v>
      </c>
      <c r="AX231" s="331"/>
      <c r="AY231" s="204"/>
      <c r="AZ231" s="335">
        <f t="shared" si="931"/>
        <v>82.128079988722931</v>
      </c>
      <c r="BA231" s="215">
        <f t="shared" si="932"/>
        <v>69.078712970108555</v>
      </c>
      <c r="BB231" s="215">
        <f t="shared" si="933"/>
        <v>37.671381355751002</v>
      </c>
      <c r="BC231" s="215">
        <f t="shared" si="934"/>
        <v>54.030987788908547</v>
      </c>
      <c r="BD231" s="215">
        <f t="shared" si="935"/>
        <v>55.463584822561167</v>
      </c>
      <c r="BE231" s="215">
        <f t="shared" si="926"/>
        <v>84.894471086103508</v>
      </c>
      <c r="BF231" s="215">
        <f t="shared" si="927"/>
        <v>106.07970874462498</v>
      </c>
      <c r="BG231" s="215">
        <f t="shared" si="928"/>
        <v>172.08669415764794</v>
      </c>
      <c r="BH231" s="215">
        <f t="shared" si="929"/>
        <v>211.4562360258949</v>
      </c>
      <c r="BI231" s="215">
        <f t="shared" si="930"/>
        <v>271.88895084796832</v>
      </c>
      <c r="BJ231" s="215">
        <f t="shared" si="936"/>
        <v>291.62555945800261</v>
      </c>
      <c r="BK231" s="215">
        <f t="shared" si="937"/>
        <v>310.25127815225744</v>
      </c>
    </row>
    <row r="232" spans="1:63" outlineLevel="1">
      <c r="A232" s="290" t="s">
        <v>711</v>
      </c>
      <c r="B232" s="384">
        <f t="shared" ref="B232:K232" si="944">B$238*60%*B124/B$118</f>
        <v>39.042072796934868</v>
      </c>
      <c r="C232" s="384">
        <f t="shared" si="944"/>
        <v>41.506321146953404</v>
      </c>
      <c r="D232" s="384">
        <f t="shared" si="944"/>
        <v>41.427468760907495</v>
      </c>
      <c r="E232" s="385">
        <f t="shared" si="944"/>
        <v>48.474672514619876</v>
      </c>
      <c r="F232" s="384">
        <f t="shared" si="944"/>
        <v>38.577659649122808</v>
      </c>
      <c r="G232" s="384">
        <f t="shared" si="944"/>
        <v>38.797178947368423</v>
      </c>
      <c r="H232" s="384">
        <f t="shared" si="944"/>
        <v>44.355193548387099</v>
      </c>
      <c r="I232" s="385">
        <f t="shared" si="944"/>
        <v>47.911890909090907</v>
      </c>
      <c r="J232" s="384">
        <f t="shared" si="944"/>
        <v>33.509498207885301</v>
      </c>
      <c r="K232" s="384">
        <f t="shared" si="944"/>
        <v>37.843923711340203</v>
      </c>
      <c r="L232" s="384">
        <f>L$238*65%*L124/L$118</f>
        <v>40.642572413793104</v>
      </c>
      <c r="M232" s="385">
        <f t="shared" si="939"/>
        <v>35.670688343079924</v>
      </c>
      <c r="N232" s="384">
        <f t="shared" si="939"/>
        <v>34.846696296296301</v>
      </c>
      <c r="O232" s="384">
        <f t="shared" si="939"/>
        <v>33.302990720821604</v>
      </c>
      <c r="P232" s="384">
        <f t="shared" si="940"/>
        <v>48.228554261322536</v>
      </c>
      <c r="Q232" s="385">
        <f t="shared" si="940"/>
        <v>33.613829110217218</v>
      </c>
      <c r="R232" s="384">
        <f>((R$238-R$230-R$229)*70%)*(R124/(R$118-R$122-R$121))</f>
        <v>37.133681594747372</v>
      </c>
      <c r="S232" s="384">
        <f t="shared" ref="S232:AK232" si="945">((S$238-S$230-S$229)*70%)*(S124/(S$118-S$122-S$121))</f>
        <v>40.48972138891601</v>
      </c>
      <c r="T232" s="384">
        <f t="shared" si="945"/>
        <v>38.997486928393357</v>
      </c>
      <c r="U232" s="385">
        <f t="shared" si="945"/>
        <v>44.943573833306559</v>
      </c>
      <c r="V232" s="384">
        <f t="shared" si="945"/>
        <v>50.908106486972471</v>
      </c>
      <c r="W232" s="384">
        <f t="shared" si="945"/>
        <v>56.172560746476748</v>
      </c>
      <c r="X232" s="384">
        <f t="shared" si="945"/>
        <v>58.838819293656144</v>
      </c>
      <c r="Y232" s="385">
        <f t="shared" si="945"/>
        <v>58.867161465872144</v>
      </c>
      <c r="Z232" s="384">
        <f t="shared" si="945"/>
        <v>75.167924173655322</v>
      </c>
      <c r="AA232" s="384">
        <f t="shared" si="945"/>
        <v>75.005340575946633</v>
      </c>
      <c r="AB232" s="384">
        <f t="shared" si="945"/>
        <v>76.208182279248589</v>
      </c>
      <c r="AC232" s="385">
        <f t="shared" si="945"/>
        <v>81.84844214191294</v>
      </c>
      <c r="AD232" s="384">
        <f t="shared" si="945"/>
        <v>92.981279274519622</v>
      </c>
      <c r="AE232" s="384">
        <f t="shared" si="945"/>
        <v>100.71015016469627</v>
      </c>
      <c r="AF232" s="384">
        <f t="shared" si="945"/>
        <v>124.7062448004443</v>
      </c>
      <c r="AG232" s="385">
        <f t="shared" si="945"/>
        <v>166.57944820682803</v>
      </c>
      <c r="AH232" s="384">
        <f t="shared" si="945"/>
        <v>183.21339103375752</v>
      </c>
      <c r="AI232" s="384">
        <f t="shared" si="945"/>
        <v>158.70820592535111</v>
      </c>
      <c r="AJ232" s="384">
        <f t="shared" si="945"/>
        <v>163.07395403550512</v>
      </c>
      <c r="AK232" s="385">
        <f t="shared" si="945"/>
        <v>192.3662007638041</v>
      </c>
      <c r="AL232" s="384">
        <f t="shared" ref="AL232" si="946">((AL$238-AL$230-AL$229)*70%)*(AL124/(AL$118-AL$122-AL$121))</f>
        <v>184.18965637683917</v>
      </c>
      <c r="AM232" s="384">
        <f t="shared" ref="AM232:AW232" si="947">((AM$238-AM$230-AM$229)*70%)*(AM124/(AM$118-AM$122-AM$121))</f>
        <v>200.49835858528596</v>
      </c>
      <c r="AN232" s="384">
        <f t="shared" si="947"/>
        <v>225.6552617594194</v>
      </c>
      <c r="AO232" s="385">
        <f t="shared" si="947"/>
        <v>227.95850089585932</v>
      </c>
      <c r="AP232" s="384">
        <f t="shared" si="947"/>
        <v>237.09102162103872</v>
      </c>
      <c r="AQ232" s="384">
        <f t="shared" si="947"/>
        <v>238.86848342712818</v>
      </c>
      <c r="AR232" s="384">
        <f t="shared" si="947"/>
        <v>259.58619798319353</v>
      </c>
      <c r="AS232" s="385">
        <f t="shared" si="947"/>
        <v>261.54241625946452</v>
      </c>
      <c r="AT232" s="384">
        <f t="shared" si="947"/>
        <v>277.10154848178604</v>
      </c>
      <c r="AU232" s="384">
        <f t="shared" si="947"/>
        <v>283.50201039598198</v>
      </c>
      <c r="AV232" s="384">
        <f t="shared" si="947"/>
        <v>304.9056634977598</v>
      </c>
      <c r="AW232" s="385">
        <f t="shared" si="947"/>
        <v>305.03955987400167</v>
      </c>
      <c r="AY232" s="204"/>
      <c r="AZ232" s="335">
        <f t="shared" si="931"/>
        <v>170.45053521941563</v>
      </c>
      <c r="BA232" s="215">
        <f t="shared" si="932"/>
        <v>169.64192305396924</v>
      </c>
      <c r="BB232" s="215">
        <f t="shared" si="933"/>
        <v>147.66668267609853</v>
      </c>
      <c r="BC232" s="215">
        <f t="shared" si="934"/>
        <v>149.99207038865765</v>
      </c>
      <c r="BD232" s="215">
        <f t="shared" si="935"/>
        <v>161.5644637453633</v>
      </c>
      <c r="BE232" s="215">
        <f t="shared" si="926"/>
        <v>224.78664799297752</v>
      </c>
      <c r="BF232" s="215">
        <f t="shared" si="927"/>
        <v>308.2298891707635</v>
      </c>
      <c r="BG232" s="215">
        <f t="shared" si="928"/>
        <v>484.97712244648824</v>
      </c>
      <c r="BH232" s="215">
        <f t="shared" si="929"/>
        <v>697.36175175841777</v>
      </c>
      <c r="BI232" s="215">
        <f t="shared" si="930"/>
        <v>838.30177761740379</v>
      </c>
      <c r="BJ232" s="215">
        <f t="shared" si="936"/>
        <v>997.08811929082492</v>
      </c>
      <c r="BK232" s="215">
        <f t="shared" si="937"/>
        <v>1170.5487822495295</v>
      </c>
    </row>
    <row r="233" spans="1:63" outlineLevel="1">
      <c r="A233" s="290" t="s">
        <v>710</v>
      </c>
      <c r="B233" s="384">
        <f t="shared" ref="B233:K233" si="948">B$238*60%*B125/B$118</f>
        <v>47.825389527458491</v>
      </c>
      <c r="C233" s="384">
        <f t="shared" si="948"/>
        <v>42.696908004778969</v>
      </c>
      <c r="D233" s="384">
        <f t="shared" si="948"/>
        <v>38.170527050610815</v>
      </c>
      <c r="E233" s="385">
        <f t="shared" si="948"/>
        <v>45.27583625730994</v>
      </c>
      <c r="F233" s="384">
        <f t="shared" si="948"/>
        <v>51.132519298245604</v>
      </c>
      <c r="G233" s="384">
        <f t="shared" si="948"/>
        <v>63.261642105263157</v>
      </c>
      <c r="H233" s="384">
        <f t="shared" si="948"/>
        <v>57.746379928315413</v>
      </c>
      <c r="I233" s="385">
        <f t="shared" si="948"/>
        <v>63.444969696969693</v>
      </c>
      <c r="J233" s="384">
        <f t="shared" si="948"/>
        <v>49.008124253285544</v>
      </c>
      <c r="K233" s="384">
        <f t="shared" si="948"/>
        <v>59.462955326460474</v>
      </c>
      <c r="L233" s="384">
        <f>L$238*65%*L125/L$118</f>
        <v>76.346250770039831</v>
      </c>
      <c r="M233" s="385">
        <f t="shared" si="939"/>
        <v>78.485576608187145</v>
      </c>
      <c r="N233" s="384">
        <f t="shared" si="939"/>
        <v>85.136814814814812</v>
      </c>
      <c r="O233" s="384">
        <f t="shared" si="939"/>
        <v>78.94898060443397</v>
      </c>
      <c r="P233" s="384">
        <f t="shared" si="940"/>
        <v>90.146830394995376</v>
      </c>
      <c r="Q233" s="385">
        <f t="shared" si="940"/>
        <v>94.234372784297989</v>
      </c>
      <c r="R233" s="384">
        <f>((R$238-R$230-R$229)*70%)*(R125/(R$118-R$122-R$121))</f>
        <v>101.36040255470539</v>
      </c>
      <c r="S233" s="384">
        <f t="shared" ref="S233:AK233" si="949">((S$238-S$230-S$229)*70%)*(S125/(S$118-S$122-S$121))</f>
        <v>124.84567211719018</v>
      </c>
      <c r="T233" s="384">
        <f t="shared" si="949"/>
        <v>125.84107534637799</v>
      </c>
      <c r="U233" s="385">
        <f t="shared" si="949"/>
        <v>128.63755272442418</v>
      </c>
      <c r="V233" s="384">
        <f t="shared" si="949"/>
        <v>124.04509377917266</v>
      </c>
      <c r="W233" s="384">
        <f t="shared" si="949"/>
        <v>132.78972879407974</v>
      </c>
      <c r="X233" s="384">
        <f t="shared" si="949"/>
        <v>131.82532028184613</v>
      </c>
      <c r="Y233" s="385">
        <f t="shared" si="949"/>
        <v>132.63564985453164</v>
      </c>
      <c r="Z233" s="384">
        <f t="shared" si="949"/>
        <v>153.91402044658156</v>
      </c>
      <c r="AA233" s="384">
        <f t="shared" si="949"/>
        <v>167.92240427450736</v>
      </c>
      <c r="AB233" s="384">
        <f t="shared" si="949"/>
        <v>150.87144100263021</v>
      </c>
      <c r="AC233" s="385">
        <f t="shared" si="949"/>
        <v>181.12479790944315</v>
      </c>
      <c r="AD233" s="384">
        <f t="shared" si="949"/>
        <v>188.06533632527459</v>
      </c>
      <c r="AE233" s="384">
        <f t="shared" si="949"/>
        <v>214.22257334129395</v>
      </c>
      <c r="AF233" s="384">
        <f t="shared" si="949"/>
        <v>189.90374040496997</v>
      </c>
      <c r="AG233" s="385">
        <f t="shared" si="949"/>
        <v>213.80569197810516</v>
      </c>
      <c r="AH233" s="384">
        <f t="shared" si="949"/>
        <v>207.52235211864004</v>
      </c>
      <c r="AI233" s="384">
        <f t="shared" si="949"/>
        <v>199.83793519094669</v>
      </c>
      <c r="AJ233" s="384">
        <f t="shared" si="949"/>
        <v>219.78742251718549</v>
      </c>
      <c r="AK233" s="385">
        <f t="shared" si="949"/>
        <v>264.69496755241795</v>
      </c>
      <c r="AL233" s="384">
        <f t="shared" ref="AL233" si="950">((AL$238-AL$230-AL$229)*70%)*(AL125/(AL$118-AL$122-AL$121))</f>
        <v>238.52928320246664</v>
      </c>
      <c r="AM233" s="384">
        <f t="shared" ref="AM233:AW233" si="951">((AM$238-AM$230-AM$229)*70%)*(AM125/(AM$118-AM$122-AM$121))</f>
        <v>272.13912377882014</v>
      </c>
      <c r="AN233" s="384">
        <f t="shared" si="951"/>
        <v>273.94463606223491</v>
      </c>
      <c r="AO233" s="385">
        <f t="shared" si="951"/>
        <v>298.65916784037421</v>
      </c>
      <c r="AP233" s="384">
        <f t="shared" si="951"/>
        <v>294.5160461232299</v>
      </c>
      <c r="AQ233" s="384">
        <f t="shared" si="951"/>
        <v>295.18401734470865</v>
      </c>
      <c r="AR233" s="384">
        <f t="shared" si="951"/>
        <v>283.71882275958575</v>
      </c>
      <c r="AS233" s="385">
        <f t="shared" si="951"/>
        <v>305.54502135906716</v>
      </c>
      <c r="AT233" s="384">
        <f t="shared" si="951"/>
        <v>306.40508728937215</v>
      </c>
      <c r="AU233" s="384">
        <f t="shared" si="951"/>
        <v>315.48436557975498</v>
      </c>
      <c r="AV233" s="384">
        <f t="shared" si="951"/>
        <v>317.77808929723</v>
      </c>
      <c r="AW233" s="385">
        <f t="shared" si="951"/>
        <v>328.0876555883051</v>
      </c>
      <c r="AY233" s="204"/>
      <c r="AZ233" s="335">
        <f t="shared" si="931"/>
        <v>173.96866084015824</v>
      </c>
      <c r="BA233" s="215">
        <f t="shared" si="932"/>
        <v>235.58551102879386</v>
      </c>
      <c r="BB233" s="215">
        <f t="shared" si="933"/>
        <v>263.30290695797299</v>
      </c>
      <c r="BC233" s="215">
        <f t="shared" si="934"/>
        <v>348.46699859854215</v>
      </c>
      <c r="BD233" s="215">
        <f t="shared" si="935"/>
        <v>480.68470274269771</v>
      </c>
      <c r="BE233" s="215">
        <f t="shared" si="926"/>
        <v>521.29579270963018</v>
      </c>
      <c r="BF233" s="215">
        <f t="shared" si="927"/>
        <v>653.83266363316227</v>
      </c>
      <c r="BG233" s="215">
        <f t="shared" si="928"/>
        <v>805.99734204964375</v>
      </c>
      <c r="BH233" s="215">
        <f t="shared" si="929"/>
        <v>891.84267737919026</v>
      </c>
      <c r="BI233" s="215">
        <f t="shared" si="930"/>
        <v>1083.2722108838959</v>
      </c>
      <c r="BJ233" s="215">
        <f t="shared" si="936"/>
        <v>1178.9639075865916</v>
      </c>
      <c r="BK233" s="215">
        <f t="shared" si="937"/>
        <v>1267.7551977546623</v>
      </c>
    </row>
    <row r="234" spans="1:63" outlineLevel="1">
      <c r="A234" s="290" t="s">
        <v>709</v>
      </c>
      <c r="B234" s="384">
        <f t="shared" ref="B234:K234" si="952">B$238*60%*B126/B$118</f>
        <v>4.5985951468710091</v>
      </c>
      <c r="C234" s="384">
        <f t="shared" si="952"/>
        <v>4.1054719235364399</v>
      </c>
      <c r="D234" s="384">
        <f t="shared" si="952"/>
        <v>4.1489703315881323</v>
      </c>
      <c r="E234" s="385">
        <f t="shared" si="952"/>
        <v>4.9212865497076015</v>
      </c>
      <c r="F234" s="384">
        <f t="shared" si="952"/>
        <v>9.1308070175438605</v>
      </c>
      <c r="G234" s="384">
        <f t="shared" si="952"/>
        <v>4.9423157894736836</v>
      </c>
      <c r="H234" s="384">
        <f t="shared" si="952"/>
        <v>4.9781362007168459</v>
      </c>
      <c r="I234" s="385">
        <f t="shared" si="952"/>
        <v>5.4693939393939388</v>
      </c>
      <c r="J234" s="384">
        <f t="shared" si="952"/>
        <v>5.2563918757467141</v>
      </c>
      <c r="K234" s="384">
        <f t="shared" si="952"/>
        <v>5.436613058419244</v>
      </c>
      <c r="L234" s="384">
        <f>L$238*65%*L126/L$118</f>
        <v>4.1321424385846299</v>
      </c>
      <c r="M234" s="385">
        <f t="shared" si="939"/>
        <v>4.8298816374269009</v>
      </c>
      <c r="N234" s="384">
        <f t="shared" si="939"/>
        <v>5.1478074074074076</v>
      </c>
      <c r="O234" s="384">
        <f t="shared" si="939"/>
        <v>8.6651320175598254</v>
      </c>
      <c r="P234" s="384">
        <f t="shared" si="940"/>
        <v>14.618404928918167</v>
      </c>
      <c r="Q234" s="385">
        <f t="shared" si="940"/>
        <v>11.993465627092473</v>
      </c>
      <c r="R234" s="384">
        <f>((R$238-R$230-R$229)*70%)*(R126/(R$118-R$122-R$121))</f>
        <v>15.263684149414459</v>
      </c>
      <c r="S234" s="384">
        <f t="shared" ref="S234:AK234" si="953">((S$238-S$230-S$229)*70%)*(S126/(S$118-S$122-S$121))</f>
        <v>16.740669670259592</v>
      </c>
      <c r="T234" s="384">
        <f t="shared" si="953"/>
        <v>15.895714780595116</v>
      </c>
      <c r="U234" s="385">
        <f t="shared" si="953"/>
        <v>15.913924048382373</v>
      </c>
      <c r="V234" s="384">
        <f t="shared" si="953"/>
        <v>14.88541125350072</v>
      </c>
      <c r="W234" s="384">
        <f t="shared" si="953"/>
        <v>16.285532776632419</v>
      </c>
      <c r="X234" s="384">
        <f t="shared" si="953"/>
        <v>16.478165035230766</v>
      </c>
      <c r="Y234" s="385">
        <f t="shared" si="953"/>
        <v>16.14694867794298</v>
      </c>
      <c r="Z234" s="384">
        <f t="shared" si="953"/>
        <v>18.417062275659333</v>
      </c>
      <c r="AA234" s="384">
        <f t="shared" si="953"/>
        <v>19.113119185716283</v>
      </c>
      <c r="AB234" s="384">
        <f t="shared" si="953"/>
        <v>16.897601392294582</v>
      </c>
      <c r="AC234" s="385">
        <f t="shared" si="953"/>
        <v>19.966513155371686</v>
      </c>
      <c r="AD234" s="384">
        <f t="shared" si="953"/>
        <v>20.731611878376725</v>
      </c>
      <c r="AE234" s="384">
        <f t="shared" si="953"/>
        <v>22.348107502072395</v>
      </c>
      <c r="AF234" s="384">
        <f t="shared" si="953"/>
        <v>19.520208264828042</v>
      </c>
      <c r="AG234" s="385">
        <f t="shared" si="953"/>
        <v>20.197568742870931</v>
      </c>
      <c r="AH234" s="384">
        <f t="shared" si="953"/>
        <v>19.604000874905267</v>
      </c>
      <c r="AI234" s="384">
        <f t="shared" si="953"/>
        <v>17.684773025747493</v>
      </c>
      <c r="AJ234" s="384">
        <f t="shared" si="953"/>
        <v>18.185720539247026</v>
      </c>
      <c r="AK234" s="385">
        <f t="shared" si="953"/>
        <v>20.227781363176042</v>
      </c>
      <c r="AL234" s="384">
        <f t="shared" ref="AL234" si="954">((AL$238-AL$230-AL$229)*70%)*(AL126/(AL$118-AL$122-AL$121))</f>
        <v>18.228220332066225</v>
      </c>
      <c r="AM234" s="384">
        <f t="shared" ref="AM234:AW234" si="955">((AM$238-AM$230-AM$229)*70%)*(AM126/(AM$118-AM$122-AM$121))</f>
        <v>19.720226360784064</v>
      </c>
      <c r="AN234" s="384">
        <f t="shared" si="955"/>
        <v>19.547527547763963</v>
      </c>
      <c r="AO234" s="385">
        <f t="shared" si="955"/>
        <v>19.891666744839387</v>
      </c>
      <c r="AP234" s="384">
        <f t="shared" si="955"/>
        <v>19.615721435419687</v>
      </c>
      <c r="AQ234" s="384">
        <f t="shared" si="955"/>
        <v>18.767376216284838</v>
      </c>
      <c r="AR234" s="384">
        <f t="shared" si="955"/>
        <v>17.795983506425632</v>
      </c>
      <c r="AS234" s="385">
        <f t="shared" si="955"/>
        <v>18.033854549017455</v>
      </c>
      <c r="AT234" s="384">
        <f t="shared" si="955"/>
        <v>18.084617293639166</v>
      </c>
      <c r="AU234" s="384">
        <f t="shared" si="955"/>
        <v>17.867237532834018</v>
      </c>
      <c r="AV234" s="384">
        <f t="shared" si="955"/>
        <v>17.781347922307035</v>
      </c>
      <c r="AW234" s="385">
        <f t="shared" si="955"/>
        <v>17.385417025875363</v>
      </c>
      <c r="AY234" s="204"/>
      <c r="AZ234" s="335">
        <f t="shared" si="931"/>
        <v>17.774323951703185</v>
      </c>
      <c r="BA234" s="215">
        <f t="shared" si="932"/>
        <v>24.52065294712833</v>
      </c>
      <c r="BB234" s="215">
        <f t="shared" si="933"/>
        <v>19.65502901017749</v>
      </c>
      <c r="BC234" s="215">
        <f t="shared" si="934"/>
        <v>40.424809980977869</v>
      </c>
      <c r="BD234" s="215">
        <f t="shared" si="935"/>
        <v>63.813992648651535</v>
      </c>
      <c r="BE234" s="215">
        <f t="shared" si="926"/>
        <v>63.796057743306882</v>
      </c>
      <c r="BF234" s="215">
        <f t="shared" si="927"/>
        <v>74.394296009041881</v>
      </c>
      <c r="BG234" s="215">
        <f t="shared" si="928"/>
        <v>82.79749638814809</v>
      </c>
      <c r="BH234" s="215">
        <f t="shared" si="929"/>
        <v>75.702275803075821</v>
      </c>
      <c r="BI234" s="215">
        <f t="shared" si="930"/>
        <v>77.387640985453643</v>
      </c>
      <c r="BJ234" s="215">
        <f t="shared" si="936"/>
        <v>74.212935707147608</v>
      </c>
      <c r="BK234" s="215">
        <f t="shared" si="937"/>
        <v>71.118619774655571</v>
      </c>
    </row>
    <row r="235" spans="1:63" outlineLevel="1">
      <c r="A235" s="290" t="s">
        <v>708</v>
      </c>
      <c r="B235" s="384">
        <f t="shared" ref="B235:K235" si="956">B$238*40%*B127/B$117</f>
        <v>19.118761061946902</v>
      </c>
      <c r="C235" s="384">
        <f t="shared" si="956"/>
        <v>18.006707423580785</v>
      </c>
      <c r="D235" s="384">
        <f t="shared" si="956"/>
        <v>10.199978547677787</v>
      </c>
      <c r="E235" s="385">
        <f t="shared" si="956"/>
        <v>12.249490538573507</v>
      </c>
      <c r="F235" s="384">
        <f t="shared" si="956"/>
        <v>11.120854700854702</v>
      </c>
      <c r="G235" s="384">
        <f t="shared" si="956"/>
        <v>11.971188781472431</v>
      </c>
      <c r="H235" s="384">
        <f t="shared" si="956"/>
        <v>11.726253491981378</v>
      </c>
      <c r="I235" s="385">
        <f t="shared" si="956"/>
        <v>10.829756241981643</v>
      </c>
      <c r="J235" s="384">
        <f t="shared" si="956"/>
        <v>7.9620454030247094</v>
      </c>
      <c r="K235" s="384">
        <f t="shared" si="956"/>
        <v>9.1649325640783115</v>
      </c>
      <c r="L235" s="384">
        <f>L$238*35%*L127/L$117</f>
        <v>8.7881048048048029</v>
      </c>
      <c r="M235" s="385">
        <f t="shared" ref="M235:O237" si="957">(M$238-M$230)*35%*M127/M$117</f>
        <v>8.0256146198830418</v>
      </c>
      <c r="N235" s="384">
        <f t="shared" si="957"/>
        <v>8.4584474964234602</v>
      </c>
      <c r="O235" s="384">
        <f t="shared" si="957"/>
        <v>7.6284495236509748</v>
      </c>
      <c r="P235" s="384">
        <f t="shared" ref="P235:Q237" si="958">(P$238-P$230)*30%*P127/P$117</f>
        <v>6.9879750408648658</v>
      </c>
      <c r="Q235" s="385">
        <f t="shared" si="958"/>
        <v>7.4720746838098524</v>
      </c>
      <c r="R235" s="384">
        <f>(R$238-R$230-R$229)*30%*R127/R$117</f>
        <v>8.5003195341088365</v>
      </c>
      <c r="S235" s="384">
        <f t="shared" ref="S235:AK235" si="959">(S$238-S$230-S$229)*30%*S127/S$117</f>
        <v>10.955649901577578</v>
      </c>
      <c r="T235" s="384">
        <f t="shared" si="959"/>
        <v>11.042325509100595</v>
      </c>
      <c r="U235" s="385">
        <f t="shared" si="959"/>
        <v>11.487093847824879</v>
      </c>
      <c r="V235" s="384">
        <f t="shared" si="959"/>
        <v>12.253321883621373</v>
      </c>
      <c r="W235" s="384">
        <f t="shared" si="959"/>
        <v>14.220808856944828</v>
      </c>
      <c r="X235" s="384">
        <f t="shared" si="959"/>
        <v>14.180776508674596</v>
      </c>
      <c r="Y235" s="385">
        <f t="shared" si="959"/>
        <v>14.132437651491308</v>
      </c>
      <c r="Z235" s="384">
        <f t="shared" si="959"/>
        <v>16.540675746839113</v>
      </c>
      <c r="AA235" s="384">
        <f t="shared" si="959"/>
        <v>17.96690943524008</v>
      </c>
      <c r="AB235" s="384">
        <f t="shared" si="959"/>
        <v>16.454123214080706</v>
      </c>
      <c r="AC235" s="385">
        <f t="shared" si="959"/>
        <v>19.474503631987819</v>
      </c>
      <c r="AD235" s="384">
        <f t="shared" si="959"/>
        <v>20.710421377613578</v>
      </c>
      <c r="AE235" s="384">
        <f t="shared" si="959"/>
        <v>23.644898131806929</v>
      </c>
      <c r="AF235" s="384">
        <f t="shared" si="959"/>
        <v>23.073467211864003</v>
      </c>
      <c r="AG235" s="385">
        <f t="shared" si="959"/>
        <v>27.233414377085086</v>
      </c>
      <c r="AH235" s="384">
        <f t="shared" si="959"/>
        <v>27.751450446017348</v>
      </c>
      <c r="AI235" s="384">
        <f t="shared" si="959"/>
        <v>25.870003412615272</v>
      </c>
      <c r="AJ235" s="384">
        <f t="shared" si="959"/>
        <v>28.106197822533773</v>
      </c>
      <c r="AK235" s="385">
        <f t="shared" si="959"/>
        <v>33.173309976604912</v>
      </c>
      <c r="AL235" s="384">
        <f t="shared" ref="AL235" si="960">(AL$238-AL$230-AL$229)*30%*AL127/AL$117</f>
        <v>30.557808958830957</v>
      </c>
      <c r="AM235" s="384">
        <f t="shared" ref="AM235:AW235" si="961">(AM$238-AM$230-AM$229)*30%*AM127/AM$117</f>
        <v>34.514584100297789</v>
      </c>
      <c r="AN235" s="384">
        <f t="shared" si="961"/>
        <v>36.116856736002745</v>
      </c>
      <c r="AO235" s="385">
        <f t="shared" si="961"/>
        <v>37.868557074128709</v>
      </c>
      <c r="AP235" s="384">
        <f t="shared" si="961"/>
        <v>38.096116695974665</v>
      </c>
      <c r="AQ235" s="384">
        <f t="shared" si="961"/>
        <v>38.498687491932984</v>
      </c>
      <c r="AR235" s="384">
        <f t="shared" si="961"/>
        <v>38.765304463344407</v>
      </c>
      <c r="AS235" s="385">
        <f t="shared" si="961"/>
        <v>40.295100175784484</v>
      </c>
      <c r="AT235" s="384">
        <f t="shared" si="961"/>
        <v>41.316221958128303</v>
      </c>
      <c r="AU235" s="384">
        <f t="shared" si="961"/>
        <v>42.665919291603672</v>
      </c>
      <c r="AV235" s="384">
        <f t="shared" si="961"/>
        <v>44.088274689409836</v>
      </c>
      <c r="AW235" s="385">
        <f t="shared" si="961"/>
        <v>44.595134558613346</v>
      </c>
      <c r="AY235" s="204"/>
      <c r="AZ235" s="335">
        <f t="shared" si="931"/>
        <v>59.574937571778989</v>
      </c>
      <c r="BA235" s="215">
        <f t="shared" si="932"/>
        <v>45.648053216290151</v>
      </c>
      <c r="BB235" s="215">
        <f t="shared" si="933"/>
        <v>33.940697391790863</v>
      </c>
      <c r="BC235" s="215">
        <f t="shared" si="934"/>
        <v>30.54694674474915</v>
      </c>
      <c r="BD235" s="215">
        <f t="shared" si="935"/>
        <v>41.985388792611886</v>
      </c>
      <c r="BE235" s="215">
        <f t="shared" si="926"/>
        <v>54.787344900732108</v>
      </c>
      <c r="BF235" s="215">
        <f t="shared" si="927"/>
        <v>70.436212028147722</v>
      </c>
      <c r="BG235" s="215">
        <f t="shared" si="928"/>
        <v>94.662201098369593</v>
      </c>
      <c r="BH235" s="215">
        <f t="shared" si="929"/>
        <v>114.9009616577713</v>
      </c>
      <c r="BI235" s="215">
        <f t="shared" si="930"/>
        <v>139.05780686926019</v>
      </c>
      <c r="BJ235" s="215">
        <f t="shared" si="936"/>
        <v>155.65520882703652</v>
      </c>
      <c r="BK235" s="215">
        <f t="shared" si="937"/>
        <v>172.66555049775516</v>
      </c>
    </row>
    <row r="236" spans="1:63" outlineLevel="1">
      <c r="A236" s="290" t="s">
        <v>707</v>
      </c>
      <c r="B236" s="384">
        <f t="shared" ref="B236:K236" si="962">B$238*40%*B128/B$117</f>
        <v>47.584471976401176</v>
      </c>
      <c r="C236" s="384">
        <f t="shared" si="962"/>
        <v>45.717029403202332</v>
      </c>
      <c r="D236" s="384">
        <f t="shared" si="962"/>
        <v>55.000834323715544</v>
      </c>
      <c r="E236" s="385">
        <f t="shared" si="962"/>
        <v>64.554815138282379</v>
      </c>
      <c r="F236" s="384">
        <f t="shared" si="962"/>
        <v>59.162947008547007</v>
      </c>
      <c r="G236" s="384">
        <f t="shared" si="962"/>
        <v>63.803443408052694</v>
      </c>
      <c r="H236" s="384">
        <f t="shared" si="962"/>
        <v>63.215427832384897</v>
      </c>
      <c r="I236" s="385">
        <f t="shared" si="962"/>
        <v>67.255636198559159</v>
      </c>
      <c r="J236" s="384">
        <f t="shared" si="962"/>
        <v>49.697830240616604</v>
      </c>
      <c r="K236" s="384">
        <f t="shared" si="962"/>
        <v>57.138210952425993</v>
      </c>
      <c r="L236" s="384">
        <f>L$238*35%*L128/L$117</f>
        <v>52.834509609609611</v>
      </c>
      <c r="M236" s="385">
        <f t="shared" si="957"/>
        <v>52.725240350877201</v>
      </c>
      <c r="N236" s="384">
        <f t="shared" si="957"/>
        <v>56.211201716738181</v>
      </c>
      <c r="O236" s="384">
        <f t="shared" si="957"/>
        <v>54.636192534256978</v>
      </c>
      <c r="P236" s="384">
        <f t="shared" si="958"/>
        <v>56.63564906430679</v>
      </c>
      <c r="Q236" s="385">
        <f t="shared" si="958"/>
        <v>48.362793501220949</v>
      </c>
      <c r="R236" s="384">
        <f>(R$238-R$230-R$229)*30%*R128/R$117</f>
        <v>51.931902658632247</v>
      </c>
      <c r="S236" s="384">
        <f t="shared" ref="S236:AK236" si="963">(S$238-S$230-S$229)*30%*S128/S$117</f>
        <v>61.356402774878596</v>
      </c>
      <c r="T236" s="384">
        <f t="shared" si="963"/>
        <v>63.390149938873769</v>
      </c>
      <c r="U236" s="385">
        <f t="shared" si="963"/>
        <v>68.003295915805495</v>
      </c>
      <c r="V236" s="384">
        <f t="shared" si="963"/>
        <v>67.581677437200099</v>
      </c>
      <c r="W236" s="384">
        <f t="shared" si="963"/>
        <v>71.75325512384552</v>
      </c>
      <c r="X236" s="384">
        <f t="shared" si="963"/>
        <v>71.829364799728594</v>
      </c>
      <c r="Y236" s="385">
        <f t="shared" si="963"/>
        <v>71.956422021329956</v>
      </c>
      <c r="Z236" s="384">
        <f t="shared" si="963"/>
        <v>85.872223982537378</v>
      </c>
      <c r="AA236" s="384">
        <f t="shared" si="963"/>
        <v>90.723756931300414</v>
      </c>
      <c r="AB236" s="384">
        <f t="shared" si="963"/>
        <v>84.305731310039846</v>
      </c>
      <c r="AC236" s="385">
        <f t="shared" si="963"/>
        <v>100.93430237684217</v>
      </c>
      <c r="AD236" s="384">
        <f t="shared" si="963"/>
        <v>107.33993395581565</v>
      </c>
      <c r="AE236" s="384">
        <f t="shared" si="963"/>
        <v>122.54901808050988</v>
      </c>
      <c r="AF236" s="384">
        <f t="shared" si="963"/>
        <v>119.58735177306886</v>
      </c>
      <c r="AG236" s="385">
        <f t="shared" si="963"/>
        <v>141.14792004123444</v>
      </c>
      <c r="AH236" s="384">
        <f t="shared" si="963"/>
        <v>143.83284645639785</v>
      </c>
      <c r="AI236" s="384">
        <f t="shared" si="963"/>
        <v>134.081504529331</v>
      </c>
      <c r="AJ236" s="384">
        <f t="shared" si="963"/>
        <v>145.67146476705338</v>
      </c>
      <c r="AK236" s="385">
        <f t="shared" si="963"/>
        <v>171.93377368137735</v>
      </c>
      <c r="AL236" s="384">
        <f t="shared" ref="AL236" si="964">(AL$238-AL$230-AL$229)*30%*AL128/AL$117</f>
        <v>158.37790722215155</v>
      </c>
      <c r="AM236" s="384">
        <f t="shared" ref="AM236:AW236" si="965">(AM$238-AM$230-AM$229)*30%*AM128/AM$117</f>
        <v>178.88545627772763</v>
      </c>
      <c r="AN236" s="384">
        <f t="shared" si="965"/>
        <v>187.189866688309</v>
      </c>
      <c r="AO236" s="385">
        <f t="shared" si="965"/>
        <v>196.2687451513066</v>
      </c>
      <c r="AP236" s="384">
        <f t="shared" si="965"/>
        <v>197.4481627176898</v>
      </c>
      <c r="AQ236" s="384">
        <f t="shared" si="965"/>
        <v>199.53464477726845</v>
      </c>
      <c r="AR236" s="384">
        <f t="shared" si="965"/>
        <v>200.91649247514954</v>
      </c>
      <c r="AS236" s="385">
        <f t="shared" si="965"/>
        <v>208.84526262159883</v>
      </c>
      <c r="AT236" s="384">
        <f t="shared" si="965"/>
        <v>214.13762933298344</v>
      </c>
      <c r="AU236" s="384">
        <f t="shared" si="965"/>
        <v>221.13296853898277</v>
      </c>
      <c r="AV236" s="384">
        <f t="shared" si="965"/>
        <v>228.50488684419128</v>
      </c>
      <c r="AW236" s="385">
        <f t="shared" si="965"/>
        <v>231.13188819260262</v>
      </c>
      <c r="AY236" s="204"/>
      <c r="AZ236" s="335">
        <f t="shared" si="931"/>
        <v>212.85715084160142</v>
      </c>
      <c r="BA236" s="215">
        <f t="shared" si="932"/>
        <v>253.43745444754376</v>
      </c>
      <c r="BB236" s="215">
        <f t="shared" si="933"/>
        <v>212.39579115352939</v>
      </c>
      <c r="BC236" s="215">
        <f t="shared" si="934"/>
        <v>215.8458368165229</v>
      </c>
      <c r="BD236" s="215">
        <f t="shared" si="935"/>
        <v>244.6817512881901</v>
      </c>
      <c r="BE236" s="215">
        <f t="shared" si="926"/>
        <v>283.12071938210414</v>
      </c>
      <c r="BF236" s="215">
        <f t="shared" si="927"/>
        <v>361.83601460071986</v>
      </c>
      <c r="BG236" s="215">
        <f t="shared" si="928"/>
        <v>490.62422385062882</v>
      </c>
      <c r="BH236" s="215">
        <f t="shared" si="929"/>
        <v>595.51958943415957</v>
      </c>
      <c r="BI236" s="215">
        <f t="shared" si="930"/>
        <v>720.72197533949475</v>
      </c>
      <c r="BJ236" s="215">
        <f t="shared" si="936"/>
        <v>806.74456259170665</v>
      </c>
      <c r="BK236" s="215">
        <f t="shared" si="937"/>
        <v>894.90737290876018</v>
      </c>
    </row>
    <row r="237" spans="1:63" outlineLevel="1">
      <c r="A237" s="290" t="s">
        <v>827</v>
      </c>
      <c r="B237" s="384">
        <f t="shared" ref="B237:K237" si="966">B$238*40%*B129/B$117</f>
        <v>5.3107669616519173</v>
      </c>
      <c r="C237" s="384">
        <f t="shared" si="966"/>
        <v>5.0018631732168854</v>
      </c>
      <c r="D237" s="384">
        <f t="shared" si="966"/>
        <v>6.119987128606672</v>
      </c>
      <c r="E237" s="385">
        <f t="shared" si="966"/>
        <v>7.3496943231441048</v>
      </c>
      <c r="F237" s="384">
        <f t="shared" si="966"/>
        <v>7.7845982905982902</v>
      </c>
      <c r="G237" s="384">
        <f t="shared" si="966"/>
        <v>8.7389678104748754</v>
      </c>
      <c r="H237" s="384">
        <f t="shared" si="966"/>
        <v>8.3923186756337298</v>
      </c>
      <c r="I237" s="385">
        <f t="shared" si="966"/>
        <v>8.5498075594591914</v>
      </c>
      <c r="J237" s="384">
        <f t="shared" si="966"/>
        <v>7.0401243563586906</v>
      </c>
      <c r="K237" s="384">
        <f t="shared" si="966"/>
        <v>7.8556564834956966</v>
      </c>
      <c r="L237" s="384">
        <f>L$238*35%*L129/L$117</f>
        <v>8.8939855855855861</v>
      </c>
      <c r="M237" s="385">
        <f t="shared" si="957"/>
        <v>8.736745029239767</v>
      </c>
      <c r="N237" s="384">
        <f t="shared" si="957"/>
        <v>10.171550786838338</v>
      </c>
      <c r="O237" s="384">
        <f t="shared" si="957"/>
        <v>10.102541261051291</v>
      </c>
      <c r="P237" s="384">
        <f t="shared" si="958"/>
        <v>9.2543453243886056</v>
      </c>
      <c r="Q237" s="385">
        <f t="shared" si="958"/>
        <v>8.2276777417232072</v>
      </c>
      <c r="R237" s="384">
        <f>(R$238-R$230-R$229)*30%*R129/R$117</f>
        <v>8.8369658522913639</v>
      </c>
      <c r="S237" s="384">
        <f t="shared" ref="S237:AK237" si="967">(S$238-S$230-S$229)*30%*S129/S$117</f>
        <v>10.09825121362803</v>
      </c>
      <c r="T237" s="384">
        <f t="shared" si="967"/>
        <v>10.178143512736201</v>
      </c>
      <c r="U237" s="385">
        <f t="shared" si="967"/>
        <v>10.588103894516845</v>
      </c>
      <c r="V237" s="384">
        <f t="shared" si="967"/>
        <v>10.88094983265578</v>
      </c>
      <c r="W237" s="384">
        <f t="shared" si="967"/>
        <v>11.438476689281709</v>
      </c>
      <c r="X237" s="384">
        <f t="shared" si="967"/>
        <v>11.643163870280194</v>
      </c>
      <c r="Y237" s="385">
        <f t="shared" si="967"/>
        <v>11.603475124382339</v>
      </c>
      <c r="Z237" s="384">
        <f t="shared" si="967"/>
        <v>13.580765350036323</v>
      </c>
      <c r="AA237" s="384">
        <f t="shared" si="967"/>
        <v>14.495337103685216</v>
      </c>
      <c r="AB237" s="384">
        <f t="shared" si="967"/>
        <v>13.423100516750051</v>
      </c>
      <c r="AC237" s="385">
        <f t="shared" si="967"/>
        <v>15.88709506820059</v>
      </c>
      <c r="AD237" s="384">
        <f t="shared" si="967"/>
        <v>16.895343755421599</v>
      </c>
      <c r="AE237" s="384">
        <f t="shared" si="967"/>
        <v>19.289259002263549</v>
      </c>
      <c r="AF237" s="384">
        <f t="shared" si="967"/>
        <v>18.823091672836423</v>
      </c>
      <c r="AG237" s="385">
        <f t="shared" si="967"/>
        <v>22.216732781306252</v>
      </c>
      <c r="AH237" s="384">
        <f t="shared" si="967"/>
        <v>22.639341153329941</v>
      </c>
      <c r="AI237" s="384">
        <f t="shared" si="967"/>
        <v>21.104476468186139</v>
      </c>
      <c r="AJ237" s="384">
        <f t="shared" si="967"/>
        <v>22.928740328909132</v>
      </c>
      <c r="AK237" s="385">
        <f t="shared" si="967"/>
        <v>27.062437086177692</v>
      </c>
      <c r="AL237" s="384">
        <f t="shared" ref="AL237" si="968">(AL$238-AL$230-AL$229)*30%*AL129/AL$117</f>
        <v>24.928738887467361</v>
      </c>
      <c r="AM237" s="384">
        <f t="shared" ref="AM237:AW237" si="969">(AM$238-AM$230-AM$229)*30%*AM129/AM$117</f>
        <v>28.156634397611352</v>
      </c>
      <c r="AN237" s="384">
        <f t="shared" si="969"/>
        <v>29.463751547791713</v>
      </c>
      <c r="AO237" s="385">
        <f t="shared" si="969"/>
        <v>30.892770244683945</v>
      </c>
      <c r="AP237" s="384">
        <f t="shared" si="969"/>
        <v>31.078410988821435</v>
      </c>
      <c r="AQ237" s="384">
        <f t="shared" si="969"/>
        <v>31.406824006576905</v>
      </c>
      <c r="AR237" s="384">
        <f t="shared" si="969"/>
        <v>31.624327325359911</v>
      </c>
      <c r="AS237" s="385">
        <f t="shared" si="969"/>
        <v>32.872318564455767</v>
      </c>
      <c r="AT237" s="384">
        <f t="shared" si="969"/>
        <v>33.705338965841513</v>
      </c>
      <c r="AU237" s="384">
        <f t="shared" si="969"/>
        <v>34.806407843150367</v>
      </c>
      <c r="AV237" s="384">
        <f t="shared" si="969"/>
        <v>35.96675040451855</v>
      </c>
      <c r="AW237" s="385">
        <f t="shared" si="969"/>
        <v>36.380241350447726</v>
      </c>
      <c r="AY237" s="204"/>
      <c r="AZ237" s="335">
        <f t="shared" si="931"/>
        <v>23.782311586619578</v>
      </c>
      <c r="BA237" s="215">
        <f t="shared" si="932"/>
        <v>33.465692336166086</v>
      </c>
      <c r="BB237" s="215">
        <f t="shared" si="933"/>
        <v>32.526511454679735</v>
      </c>
      <c r="BC237" s="215">
        <f t="shared" si="934"/>
        <v>37.756115114001446</v>
      </c>
      <c r="BD237" s="215">
        <f t="shared" si="935"/>
        <v>39.701464473172436</v>
      </c>
      <c r="BE237" s="215">
        <f t="shared" si="926"/>
        <v>45.56606551660002</v>
      </c>
      <c r="BF237" s="215">
        <f t="shared" si="927"/>
        <v>57.38629803867218</v>
      </c>
      <c r="BG237" s="215">
        <f t="shared" si="928"/>
        <v>77.224427211827816</v>
      </c>
      <c r="BH237" s="215">
        <f t="shared" si="929"/>
        <v>93.734995036602911</v>
      </c>
      <c r="BI237" s="215">
        <f t="shared" si="930"/>
        <v>113.44189507755438</v>
      </c>
      <c r="BJ237" s="215">
        <f t="shared" si="936"/>
        <v>126.98188088521403</v>
      </c>
      <c r="BK237" s="215">
        <f t="shared" si="937"/>
        <v>140.85873856395816</v>
      </c>
    </row>
    <row r="238" spans="1:63" outlineLevel="1">
      <c r="A238" s="336" t="s">
        <v>706</v>
      </c>
      <c r="B238" s="508">
        <f t="shared" ref="B238:R238" si="970">B27</f>
        <v>180.035</v>
      </c>
      <c r="C238" s="508">
        <f t="shared" si="970"/>
        <v>171.81399999999999</v>
      </c>
      <c r="D238" s="508">
        <f t="shared" si="970"/>
        <v>178.30199999999999</v>
      </c>
      <c r="E238" s="509">
        <f t="shared" si="970"/>
        <v>210.38499999999999</v>
      </c>
      <c r="F238" s="508">
        <f t="shared" si="970"/>
        <v>195.17099999999999</v>
      </c>
      <c r="G238" s="508">
        <f t="shared" si="970"/>
        <v>211.28399999999999</v>
      </c>
      <c r="H238" s="508">
        <f t="shared" si="970"/>
        <v>208.33500000000001</v>
      </c>
      <c r="I238" s="509">
        <f t="shared" si="970"/>
        <v>216.58799999999999</v>
      </c>
      <c r="J238" s="508">
        <f t="shared" si="970"/>
        <v>161.75</v>
      </c>
      <c r="K238" s="508">
        <f t="shared" si="970"/>
        <v>185.39699999999999</v>
      </c>
      <c r="L238" s="508">
        <f t="shared" si="970"/>
        <v>201.476</v>
      </c>
      <c r="M238" s="509">
        <f t="shared" si="970"/>
        <v>198.536</v>
      </c>
      <c r="N238" s="508">
        <f t="shared" si="970"/>
        <v>213.83199999999999</v>
      </c>
      <c r="O238" s="508">
        <f t="shared" si="970"/>
        <v>210.976</v>
      </c>
      <c r="P238" s="508">
        <f t="shared" si="970"/>
        <v>249.41499999999999</v>
      </c>
      <c r="Q238" s="509">
        <f t="shared" si="970"/>
        <v>242.768</v>
      </c>
      <c r="R238" s="508">
        <f t="shared" si="970"/>
        <v>279.88299999999998</v>
      </c>
      <c r="S238" s="508">
        <f t="shared" ref="S238:AK238" si="971">S27</f>
        <v>346.05</v>
      </c>
      <c r="T238" s="508">
        <f t="shared" si="971"/>
        <v>364.22800000000001</v>
      </c>
      <c r="U238" s="509">
        <f t="shared" si="971"/>
        <v>392.221</v>
      </c>
      <c r="V238" s="508">
        <f t="shared" si="971"/>
        <v>393.26299999999998</v>
      </c>
      <c r="W238" s="508">
        <f t="shared" si="971"/>
        <v>415.142</v>
      </c>
      <c r="X238" s="508">
        <f t="shared" si="971"/>
        <v>413.44799999999998</v>
      </c>
      <c r="Y238" s="509">
        <f t="shared" si="971"/>
        <v>411.36700000000002</v>
      </c>
      <c r="Z238" s="508">
        <f t="shared" si="971"/>
        <v>476.45400000000001</v>
      </c>
      <c r="AA238" s="508">
        <f t="shared" si="971"/>
        <v>526.81700000000001</v>
      </c>
      <c r="AB238" s="508">
        <f t="shared" si="971"/>
        <v>518.09199999999998</v>
      </c>
      <c r="AC238" s="509">
        <f t="shared" si="971"/>
        <v>602.245</v>
      </c>
      <c r="AD238" s="508">
        <f t="shared" si="971"/>
        <v>630.82399999999996</v>
      </c>
      <c r="AE238" s="508">
        <f t="shared" si="971"/>
        <v>701.54700000000003</v>
      </c>
      <c r="AF238" s="508">
        <f t="shared" si="971"/>
        <v>686.71900000000005</v>
      </c>
      <c r="AG238" s="509">
        <f t="shared" si="971"/>
        <v>788.05499999999995</v>
      </c>
      <c r="AH238" s="508">
        <f t="shared" si="971"/>
        <v>799.49099999999999</v>
      </c>
      <c r="AI238" s="508">
        <f t="shared" si="971"/>
        <v>751.49199999999996</v>
      </c>
      <c r="AJ238" s="508">
        <f t="shared" si="971"/>
        <v>804.40599999999995</v>
      </c>
      <c r="AK238" s="509">
        <f t="shared" si="971"/>
        <v>926.55899999999997</v>
      </c>
      <c r="AL238" s="508">
        <f t="shared" ref="AL238" si="972">AL27</f>
        <v>879.15300000000002</v>
      </c>
      <c r="AM238" s="508">
        <f t="shared" ref="AM238:AW238" si="973">AM27</f>
        <v>992.4647218721517</v>
      </c>
      <c r="AN238" s="508">
        <f t="shared" si="973"/>
        <v>1046.8083415746596</v>
      </c>
      <c r="AO238" s="509">
        <f t="shared" si="973"/>
        <v>1095.6351720440398</v>
      </c>
      <c r="AP238" s="508">
        <f t="shared" si="973"/>
        <v>1115.8001145963076</v>
      </c>
      <c r="AQ238" s="508">
        <f t="shared" si="973"/>
        <v>1137.046956872231</v>
      </c>
      <c r="AR238" s="508">
        <f t="shared" si="973"/>
        <v>1152.1212127846675</v>
      </c>
      <c r="AS238" s="509">
        <f t="shared" si="973"/>
        <v>1187.6613188251781</v>
      </c>
      <c r="AT238" s="508">
        <f t="shared" si="973"/>
        <v>1213.2687294279394</v>
      </c>
      <c r="AU238" s="508">
        <f t="shared" si="973"/>
        <v>1246.541461769599</v>
      </c>
      <c r="AV238" s="508">
        <f t="shared" si="973"/>
        <v>1286.8663731270658</v>
      </c>
      <c r="AW238" s="509">
        <f t="shared" si="973"/>
        <v>1305.8337374817363</v>
      </c>
      <c r="AY238" s="204"/>
      <c r="AZ238" s="324">
        <f t="shared" si="931"/>
        <v>740.53599999999994</v>
      </c>
      <c r="BA238" s="212">
        <f t="shared" si="932"/>
        <v>831.37799999999993</v>
      </c>
      <c r="BB238" s="212">
        <f t="shared" si="933"/>
        <v>747.15900000000011</v>
      </c>
      <c r="BC238" s="212">
        <f t="shared" si="934"/>
        <v>916.99099999999999</v>
      </c>
      <c r="BD238" s="212">
        <f t="shared" si="935"/>
        <v>1382.3820000000001</v>
      </c>
      <c r="BE238" s="212">
        <f t="shared" si="926"/>
        <v>1633.22</v>
      </c>
      <c r="BF238" s="212">
        <f t="shared" si="927"/>
        <v>2123.6079999999997</v>
      </c>
      <c r="BG238" s="212">
        <f t="shared" si="928"/>
        <v>2807.145</v>
      </c>
      <c r="BH238" s="212">
        <f t="shared" si="929"/>
        <v>3281.9480000000003</v>
      </c>
      <c r="BI238" s="212">
        <f t="shared" si="930"/>
        <v>4014.0612354908512</v>
      </c>
      <c r="BJ238" s="212">
        <f t="shared" si="936"/>
        <v>4592.6296030783842</v>
      </c>
      <c r="BK238" s="212">
        <f t="shared" si="937"/>
        <v>5052.5103018063401</v>
      </c>
    </row>
    <row r="239" spans="1:63" outlineLevel="1">
      <c r="A239" s="283" t="s">
        <v>828</v>
      </c>
      <c r="B239" s="286"/>
      <c r="C239" s="286"/>
      <c r="D239" s="286"/>
      <c r="E239" s="287"/>
      <c r="F239" s="286"/>
      <c r="G239" s="286"/>
      <c r="H239" s="286"/>
      <c r="I239" s="287"/>
      <c r="J239" s="286"/>
      <c r="K239" s="286"/>
      <c r="L239" s="352"/>
      <c r="M239" s="353"/>
      <c r="N239" s="352"/>
      <c r="O239" s="352"/>
      <c r="P239" s="352"/>
      <c r="Q239" s="353"/>
      <c r="R239" s="352"/>
      <c r="S239" s="352"/>
      <c r="T239" s="352"/>
      <c r="U239" s="353"/>
      <c r="V239" s="352"/>
      <c r="W239" s="352"/>
      <c r="X239" s="352"/>
      <c r="Y239" s="353"/>
      <c r="Z239" s="352"/>
      <c r="AA239" s="352"/>
      <c r="AB239" s="352"/>
      <c r="AC239" s="353"/>
      <c r="AD239" s="352"/>
      <c r="AE239" s="352"/>
      <c r="AF239" s="352"/>
      <c r="AG239" s="353"/>
      <c r="AH239" s="352"/>
      <c r="AI239" s="352"/>
      <c r="AJ239" s="352"/>
      <c r="AK239" s="353"/>
      <c r="AL239" s="352"/>
      <c r="AM239" s="352"/>
      <c r="AN239" s="352"/>
      <c r="AO239" s="353"/>
      <c r="AP239" s="352"/>
      <c r="AQ239" s="352"/>
      <c r="AR239" s="352"/>
      <c r="AS239" s="353"/>
      <c r="AT239" s="352"/>
      <c r="AU239" s="352"/>
      <c r="AV239" s="352"/>
      <c r="AW239" s="353"/>
      <c r="AX239" s="221"/>
      <c r="AY239" s="288"/>
      <c r="AZ239" s="288"/>
      <c r="BA239" s="289"/>
      <c r="BB239" s="289"/>
      <c r="BC239" s="289"/>
      <c r="BD239" s="289"/>
      <c r="BE239" s="289"/>
      <c r="BF239" s="289"/>
      <c r="BG239" s="289"/>
      <c r="BH239" s="289"/>
      <c r="BI239" s="289"/>
      <c r="BJ239" s="289"/>
      <c r="BK239" s="289"/>
    </row>
    <row r="240" spans="1:63" outlineLevel="1">
      <c r="A240" s="290" t="s">
        <v>1204</v>
      </c>
      <c r="B240" s="465"/>
      <c r="C240" s="465"/>
      <c r="D240" s="465"/>
      <c r="E240" s="466"/>
      <c r="F240" s="465"/>
      <c r="G240" s="465"/>
      <c r="H240" s="465"/>
      <c r="I240" s="466"/>
      <c r="J240" s="465"/>
      <c r="K240" s="465"/>
      <c r="L240" s="643"/>
      <c r="M240" s="644"/>
      <c r="N240" s="465"/>
      <c r="O240" s="465"/>
      <c r="P240" s="643"/>
      <c r="Q240" s="644"/>
      <c r="R240" s="215">
        <f t="shared" ref="M240:AF241" si="974">R48-R207-R229</f>
        <v>1.5428094685714271</v>
      </c>
      <c r="S240" s="215">
        <f t="shared" si="974"/>
        <v>1.7520350421428645</v>
      </c>
      <c r="T240" s="215">
        <f t="shared" si="974"/>
        <v>6.9791788178571323</v>
      </c>
      <c r="U240" s="216">
        <f t="shared" si="974"/>
        <v>2.9946836285714227</v>
      </c>
      <c r="V240" s="215">
        <f t="shared" si="974"/>
        <v>21.393657228571435</v>
      </c>
      <c r="W240" s="215">
        <f t="shared" si="974"/>
        <v>25.227173684571419</v>
      </c>
      <c r="X240" s="215">
        <f t="shared" si="974"/>
        <v>24.04168062857142</v>
      </c>
      <c r="Y240" s="216">
        <f t="shared" si="974"/>
        <v>11.415558108571425</v>
      </c>
      <c r="Z240" s="215">
        <f t="shared" si="974"/>
        <v>7.1677743133714316</v>
      </c>
      <c r="AA240" s="215">
        <f t="shared" si="974"/>
        <v>9.4667879890476172</v>
      </c>
      <c r="AB240" s="215">
        <f t="shared" si="974"/>
        <v>18.393521216523794</v>
      </c>
      <c r="AC240" s="216">
        <f t="shared" si="974"/>
        <v>3.924730178666664</v>
      </c>
      <c r="AD240" s="215">
        <f t="shared" si="974"/>
        <v>8.8584516266666782</v>
      </c>
      <c r="AE240" s="215">
        <f t="shared" si="974"/>
        <v>18.839215754666682</v>
      </c>
      <c r="AF240" s="215">
        <f t="shared" si="974"/>
        <v>38.213171914666674</v>
      </c>
      <c r="AG240" s="216">
        <f t="shared" ref="AG240:AI248" si="975">AG48-AG207-AG229</f>
        <v>21.929354881666654</v>
      </c>
      <c r="AH240" s="215">
        <f t="shared" si="975"/>
        <v>11.405266318106669</v>
      </c>
      <c r="AI240" s="215">
        <f t="shared" si="975"/>
        <v>8.6314537895866437</v>
      </c>
      <c r="AJ240" s="215">
        <f t="shared" ref="AJ240:AL241" si="976">AJ48-AJ207-AJ229</f>
        <v>22.954600764266672</v>
      </c>
      <c r="AK240" s="216">
        <f t="shared" si="976"/>
        <v>35.907071975666668</v>
      </c>
      <c r="AL240" s="215">
        <f t="shared" si="976"/>
        <v>41.112993542195312</v>
      </c>
      <c r="AM240" s="215">
        <f t="shared" ref="AM240:AN248" si="977">AM154*AM251/1000</f>
        <v>41.072785235552587</v>
      </c>
      <c r="AN240" s="215">
        <f t="shared" si="977"/>
        <v>48.277556273351763</v>
      </c>
      <c r="AO240" s="216">
        <f t="shared" ref="AO240:AR248" si="978">AO154*AO251/1000</f>
        <v>47.368119341549153</v>
      </c>
      <c r="AP240" s="215">
        <f t="shared" si="978"/>
        <v>61.032912721648714</v>
      </c>
      <c r="AQ240" s="215">
        <f t="shared" si="978"/>
        <v>68.980662137184282</v>
      </c>
      <c r="AR240" s="215">
        <f t="shared" si="978"/>
        <v>80.164150249968287</v>
      </c>
      <c r="AS240" s="216">
        <f t="shared" ref="AS240:AV248" si="979">AS154*AS251/1000</f>
        <v>85.476943712779146</v>
      </c>
      <c r="AT240" s="215">
        <f t="shared" si="979"/>
        <v>96.240904311841064</v>
      </c>
      <c r="AU240" s="215">
        <f t="shared" si="979"/>
        <v>102.89141361630303</v>
      </c>
      <c r="AV240" s="215">
        <f t="shared" si="979"/>
        <v>114.29422513436477</v>
      </c>
      <c r="AW240" s="216">
        <f t="shared" ref="AW240:AW248" si="980">AW154*AW251/1000</f>
        <v>120.28169909367375</v>
      </c>
      <c r="AX240" s="221"/>
      <c r="AY240" s="642"/>
      <c r="AZ240" s="642"/>
      <c r="BA240" s="471"/>
      <c r="BB240" s="471"/>
      <c r="BC240" s="471"/>
      <c r="BD240" s="471"/>
      <c r="BE240" s="471">
        <f t="shared" ref="BE240:BE249" si="981">SUM(V240:Y240)</f>
        <v>82.078069650285698</v>
      </c>
      <c r="BF240" s="215">
        <f t="shared" ref="BF240:BF249" si="982">SUM(Z240:AC240)</f>
        <v>38.952813697609507</v>
      </c>
      <c r="BG240" s="215">
        <f t="shared" ref="BG240:BG249" si="983">SUM(AD240:AG240)</f>
        <v>87.840194177666689</v>
      </c>
      <c r="BH240" s="215">
        <f t="shared" ref="BH240:BH249" si="984">SUM(AH240:AK240)</f>
        <v>78.898392847626653</v>
      </c>
      <c r="BI240" s="215">
        <f t="shared" si="930"/>
        <v>177.83145439264879</v>
      </c>
      <c r="BJ240" s="215">
        <f>SUM(AP240:AS240)</f>
        <v>295.65466882158046</v>
      </c>
      <c r="BK240" s="215">
        <f>SUM(AT240:AW240)</f>
        <v>433.70824215618262</v>
      </c>
    </row>
    <row r="241" spans="1:63" outlineLevel="1">
      <c r="A241" s="290" t="s">
        <v>935</v>
      </c>
      <c r="M241" s="216">
        <f t="shared" si="974"/>
        <v>8.0737243019999987</v>
      </c>
      <c r="N241" s="215">
        <f t="shared" si="974"/>
        <v>11.038379000480001</v>
      </c>
      <c r="O241" s="215">
        <f t="shared" si="974"/>
        <v>19.075997180412145</v>
      </c>
      <c r="P241" s="215">
        <f t="shared" si="974"/>
        <v>63.770469285200925</v>
      </c>
      <c r="Q241" s="216">
        <f t="shared" si="974"/>
        <v>13.995959980846724</v>
      </c>
      <c r="R241" s="215">
        <f t="shared" si="974"/>
        <v>37.759386966612354</v>
      </c>
      <c r="S241" s="215">
        <f t="shared" si="974"/>
        <v>109.62326034030454</v>
      </c>
      <c r="T241" s="215">
        <f t="shared" si="974"/>
        <v>131.10475952134482</v>
      </c>
      <c r="U241" s="216">
        <f t="shared" si="974"/>
        <v>123.39115499058603</v>
      </c>
      <c r="V241" s="215">
        <f t="shared" si="974"/>
        <v>144.31488361968607</v>
      </c>
      <c r="W241" s="215">
        <f t="shared" si="974"/>
        <v>161.02984177366875</v>
      </c>
      <c r="X241" s="215">
        <f t="shared" si="974"/>
        <v>158.25607139370652</v>
      </c>
      <c r="Y241" s="216">
        <f t="shared" si="974"/>
        <v>142.57192011310724</v>
      </c>
      <c r="Z241" s="215">
        <f t="shared" si="974"/>
        <v>165.77806603613791</v>
      </c>
      <c r="AA241" s="215">
        <f t="shared" si="974"/>
        <v>144.76455334837146</v>
      </c>
      <c r="AB241" s="215">
        <f t="shared" si="974"/>
        <v>144.88546412655162</v>
      </c>
      <c r="AC241" s="216">
        <f t="shared" si="974"/>
        <v>148.50262556354198</v>
      </c>
      <c r="AD241" s="215">
        <f t="shared" si="974"/>
        <v>164.68930591750285</v>
      </c>
      <c r="AE241" s="215">
        <f t="shared" si="974"/>
        <v>141.29577096613463</v>
      </c>
      <c r="AF241" s="215">
        <f t="shared" si="974"/>
        <v>160.75497978189759</v>
      </c>
      <c r="AG241" s="216">
        <f t="shared" si="975"/>
        <v>144.9998845170004</v>
      </c>
      <c r="AH241" s="215">
        <f t="shared" si="975"/>
        <v>130.82422490901718</v>
      </c>
      <c r="AI241" s="215">
        <f t="shared" si="975"/>
        <v>125.70904235406869</v>
      </c>
      <c r="AJ241" s="215">
        <f t="shared" si="976"/>
        <v>136.61079948275918</v>
      </c>
      <c r="AK241" s="216">
        <f t="shared" si="976"/>
        <v>110.20370810186651</v>
      </c>
      <c r="AL241" s="215">
        <f t="shared" si="976"/>
        <v>111.34141660953196</v>
      </c>
      <c r="AM241" s="215">
        <f t="shared" si="977"/>
        <v>129.452871700868</v>
      </c>
      <c r="AN241" s="215">
        <f t="shared" si="977"/>
        <v>124.27475683283329</v>
      </c>
      <c r="AO241" s="216">
        <f t="shared" si="978"/>
        <v>114.33277628620662</v>
      </c>
      <c r="AP241" s="215">
        <f t="shared" si="978"/>
        <v>107.9241232996377</v>
      </c>
      <c r="AQ241" s="215">
        <f t="shared" si="978"/>
        <v>113.32032946461959</v>
      </c>
      <c r="AR241" s="215">
        <f t="shared" si="978"/>
        <v>127.82533163609088</v>
      </c>
      <c r="AS241" s="216">
        <f t="shared" si="979"/>
        <v>127.82533163609088</v>
      </c>
      <c r="AT241" s="215">
        <f t="shared" si="979"/>
        <v>126.05753449644284</v>
      </c>
      <c r="AU241" s="215">
        <f t="shared" si="979"/>
        <v>120.24488151688463</v>
      </c>
      <c r="AV241" s="215">
        <f t="shared" si="979"/>
        <v>141.46456649045251</v>
      </c>
      <c r="AW241" s="216">
        <f t="shared" si="980"/>
        <v>141.46456649045251</v>
      </c>
      <c r="AY241" s="204"/>
      <c r="AZ241" s="335">
        <f t="shared" ref="AZ241:AZ249" si="985">SUM(B241:E241)</f>
        <v>0</v>
      </c>
      <c r="BA241" s="215">
        <f t="shared" ref="BA241:BA249" si="986">SUM(F241:I241)</f>
        <v>0</v>
      </c>
      <c r="BB241" s="215">
        <f t="shared" ref="BB241:BB249" si="987">SUM(J241:M241)</f>
        <v>8.0737243019999987</v>
      </c>
      <c r="BC241" s="215">
        <f t="shared" ref="BC241:BC249" si="988">SUM(N241:Q241)</f>
        <v>107.88080544693979</v>
      </c>
      <c r="BD241" s="215">
        <f t="shared" ref="BD241:BD249" si="989">SUM(R241:U241)</f>
        <v>401.87856181884774</v>
      </c>
      <c r="BE241" s="215">
        <f t="shared" si="981"/>
        <v>606.17271690016855</v>
      </c>
      <c r="BF241" s="215">
        <f t="shared" si="982"/>
        <v>603.93070907460299</v>
      </c>
      <c r="BG241" s="215">
        <f t="shared" si="983"/>
        <v>611.7399411825354</v>
      </c>
      <c r="BH241" s="215">
        <f t="shared" si="984"/>
        <v>503.34777484771155</v>
      </c>
      <c r="BI241" s="215">
        <f t="shared" si="930"/>
        <v>479.40182142943991</v>
      </c>
      <c r="BJ241" s="215">
        <f t="shared" ref="BJ241:BJ249" si="990">SUM(AP241:AS241)</f>
        <v>476.89511603643905</v>
      </c>
      <c r="BK241" s="215">
        <f t="shared" ref="BK241:BK249" si="991">SUM(AT241:AW241)</f>
        <v>529.23154899423253</v>
      </c>
    </row>
    <row r="242" spans="1:63" outlineLevel="1">
      <c r="A242" s="290" t="s">
        <v>712</v>
      </c>
      <c r="B242" s="215">
        <f t="shared" ref="B242:L242" si="992">B50-B209-B231</f>
        <v>23.832911096264375</v>
      </c>
      <c r="C242" s="215">
        <f t="shared" si="992"/>
        <v>28.413297620868811</v>
      </c>
      <c r="D242" s="215">
        <f t="shared" si="992"/>
        <v>38.751990377986445</v>
      </c>
      <c r="E242" s="216">
        <f t="shared" si="992"/>
        <v>54.029900534517424</v>
      </c>
      <c r="F242" s="215">
        <f t="shared" si="992"/>
        <v>13.936354700912286</v>
      </c>
      <c r="G242" s="215">
        <f t="shared" si="992"/>
        <v>42.277804422105255</v>
      </c>
      <c r="H242" s="215">
        <f t="shared" si="992"/>
        <v>36.242741071019353</v>
      </c>
      <c r="I242" s="216">
        <f t="shared" si="992"/>
        <v>24.924563012654556</v>
      </c>
      <c r="J242" s="215">
        <f t="shared" si="992"/>
        <v>12.084501223117559</v>
      </c>
      <c r="K242" s="215">
        <f t="shared" si="992"/>
        <v>18.314531044019926</v>
      </c>
      <c r="L242" s="215">
        <f t="shared" si="992"/>
        <v>20.223865984983632</v>
      </c>
      <c r="M242" s="216">
        <f t="shared" ref="M242:AF242" si="993">M50-M209-M231</f>
        <v>23.387378235388439</v>
      </c>
      <c r="N242" s="215">
        <f t="shared" si="993"/>
        <v>31.419306166118524</v>
      </c>
      <c r="O242" s="215">
        <f t="shared" si="993"/>
        <v>33.153587375017494</v>
      </c>
      <c r="P242" s="215">
        <f t="shared" si="993"/>
        <v>35.417502414795344</v>
      </c>
      <c r="Q242" s="216">
        <f t="shared" si="993"/>
        <v>22.451558405014907</v>
      </c>
      <c r="R242" s="215">
        <f t="shared" si="993"/>
        <v>15.99067617773858</v>
      </c>
      <c r="S242" s="215">
        <f t="shared" si="993"/>
        <v>13.81991401250254</v>
      </c>
      <c r="T242" s="215">
        <f t="shared" si="993"/>
        <v>13.928935517494939</v>
      </c>
      <c r="U242" s="216">
        <f t="shared" si="993"/>
        <v>13.930359403502834</v>
      </c>
      <c r="V242" s="215">
        <f t="shared" si="993"/>
        <v>52.281273319865562</v>
      </c>
      <c r="W242" s="215">
        <f t="shared" si="993"/>
        <v>56.893766528940553</v>
      </c>
      <c r="X242" s="215">
        <f t="shared" si="993"/>
        <v>59.974841875879363</v>
      </c>
      <c r="Y242" s="216">
        <f t="shared" si="993"/>
        <v>26.225753359871518</v>
      </c>
      <c r="Z242" s="215">
        <f t="shared" si="993"/>
        <v>43.619841866439558</v>
      </c>
      <c r="AA242" s="215">
        <f t="shared" si="993"/>
        <v>55.269342604576792</v>
      </c>
      <c r="AB242" s="215">
        <f t="shared" si="993"/>
        <v>53.591409951501504</v>
      </c>
      <c r="AC242" s="216">
        <f t="shared" si="993"/>
        <v>63.97155140927574</v>
      </c>
      <c r="AD242" s="215">
        <f t="shared" si="993"/>
        <v>67.511453430870461</v>
      </c>
      <c r="AE242" s="215">
        <f t="shared" si="993"/>
        <v>86.296393538629189</v>
      </c>
      <c r="AF242" s="215">
        <f t="shared" si="993"/>
        <v>89.747523029010836</v>
      </c>
      <c r="AG242" s="216">
        <f t="shared" si="975"/>
        <v>69.655522790040578</v>
      </c>
      <c r="AH242" s="215">
        <f t="shared" si="975"/>
        <v>69.659472729287245</v>
      </c>
      <c r="AI242" s="215">
        <f t="shared" si="975"/>
        <v>91.043086576419142</v>
      </c>
      <c r="AJ242" s="215">
        <f t="shared" ref="AJ242:AL242" si="994">AJ50-AJ209-AJ231</f>
        <v>125.60154691467864</v>
      </c>
      <c r="AK242" s="216">
        <f t="shared" si="994"/>
        <v>109.20251754351285</v>
      </c>
      <c r="AL242" s="215">
        <f t="shared" si="994"/>
        <v>119.04288869113628</v>
      </c>
      <c r="AM242" s="215">
        <f t="shared" si="977"/>
        <v>158.8742769190427</v>
      </c>
      <c r="AN242" s="215">
        <f t="shared" si="977"/>
        <v>152.51930584228097</v>
      </c>
      <c r="AO242" s="216">
        <f t="shared" si="978"/>
        <v>138.8407323077943</v>
      </c>
      <c r="AP242" s="215">
        <f t="shared" si="978"/>
        <v>124.66125326359405</v>
      </c>
      <c r="AQ242" s="215">
        <f t="shared" si="978"/>
        <v>146.4153810564307</v>
      </c>
      <c r="AR242" s="215">
        <f t="shared" si="978"/>
        <v>177.34563030460168</v>
      </c>
      <c r="AS242" s="216">
        <f t="shared" si="979"/>
        <v>175.4788341961322</v>
      </c>
      <c r="AT242" s="215">
        <f t="shared" si="979"/>
        <v>163.43799929650399</v>
      </c>
      <c r="AU242" s="215">
        <f t="shared" si="979"/>
        <v>182.57121808340568</v>
      </c>
      <c r="AV242" s="215">
        <f t="shared" si="979"/>
        <v>193.31070150007659</v>
      </c>
      <c r="AW242" s="216">
        <f t="shared" si="980"/>
        <v>191.16280481674244</v>
      </c>
      <c r="AY242" s="204"/>
      <c r="AZ242" s="335">
        <f t="shared" si="985"/>
        <v>145.02809962963704</v>
      </c>
      <c r="BA242" s="215">
        <f t="shared" si="986"/>
        <v>117.38146320669145</v>
      </c>
      <c r="BB242" s="215">
        <f t="shared" si="987"/>
        <v>74.010276487509557</v>
      </c>
      <c r="BC242" s="215">
        <f t="shared" si="988"/>
        <v>122.44195436094626</v>
      </c>
      <c r="BD242" s="215">
        <f t="shared" si="989"/>
        <v>57.669885111238898</v>
      </c>
      <c r="BE242" s="215">
        <f t="shared" si="981"/>
        <v>195.37563508455702</v>
      </c>
      <c r="BF242" s="215">
        <f t="shared" si="982"/>
        <v>216.45214583179362</v>
      </c>
      <c r="BG242" s="215">
        <f t="shared" si="983"/>
        <v>313.21089278855106</v>
      </c>
      <c r="BH242" s="215">
        <f t="shared" si="984"/>
        <v>395.50662376389789</v>
      </c>
      <c r="BI242" s="215">
        <f t="shared" si="930"/>
        <v>569.27720376025422</v>
      </c>
      <c r="BJ242" s="215">
        <f t="shared" si="990"/>
        <v>623.90109882075865</v>
      </c>
      <c r="BK242" s="215">
        <f t="shared" si="991"/>
        <v>730.48272369672873</v>
      </c>
    </row>
    <row r="243" spans="1:63" outlineLevel="1">
      <c r="A243" s="290" t="s">
        <v>711</v>
      </c>
      <c r="B243" s="215">
        <f t="shared" ref="B243:L243" si="995">B51-B210-B232</f>
        <v>80.967549403065163</v>
      </c>
      <c r="C243" s="215">
        <f t="shared" si="995"/>
        <v>69.602935960246612</v>
      </c>
      <c r="D243" s="215">
        <f t="shared" si="995"/>
        <v>77.152238793012486</v>
      </c>
      <c r="E243" s="216">
        <f t="shared" si="995"/>
        <v>97.845765883700125</v>
      </c>
      <c r="F243" s="215">
        <f t="shared" si="995"/>
        <v>81.887154414877202</v>
      </c>
      <c r="G243" s="215">
        <f t="shared" si="995"/>
        <v>72.02978607763157</v>
      </c>
      <c r="H243" s="215">
        <f t="shared" si="995"/>
        <v>75.777335680412904</v>
      </c>
      <c r="I243" s="216">
        <f t="shared" si="995"/>
        <v>74.271510237709123</v>
      </c>
      <c r="J243" s="215">
        <f t="shared" si="995"/>
        <v>48.435378475014687</v>
      </c>
      <c r="K243" s="215">
        <f t="shared" si="995"/>
        <v>72.660640151059766</v>
      </c>
      <c r="L243" s="215">
        <f t="shared" si="995"/>
        <v>66.967958113385635</v>
      </c>
      <c r="M243" s="216">
        <f t="shared" ref="M243:AF243" si="996">M51-M210-M232</f>
        <v>55.082268744006079</v>
      </c>
      <c r="N243" s="215">
        <f t="shared" si="996"/>
        <v>51.135598681303691</v>
      </c>
      <c r="O243" s="215">
        <f t="shared" si="996"/>
        <v>54.716035896238402</v>
      </c>
      <c r="P243" s="215">
        <f t="shared" si="996"/>
        <v>61.486271902277473</v>
      </c>
      <c r="Q243" s="216">
        <f t="shared" si="996"/>
        <v>64.600844273782769</v>
      </c>
      <c r="R243" s="215">
        <f t="shared" si="996"/>
        <v>79.351790883492626</v>
      </c>
      <c r="S243" s="215">
        <f t="shared" si="996"/>
        <v>75.208952407664015</v>
      </c>
      <c r="T243" s="215">
        <f t="shared" si="996"/>
        <v>73.685758800226637</v>
      </c>
      <c r="U243" s="216">
        <f t="shared" si="996"/>
        <v>82.711999874043428</v>
      </c>
      <c r="V243" s="215">
        <f t="shared" si="996"/>
        <v>84.540173538027531</v>
      </c>
      <c r="W243" s="215">
        <f t="shared" si="996"/>
        <v>94.261134469523242</v>
      </c>
      <c r="X243" s="215">
        <f t="shared" si="996"/>
        <v>91.977563356343836</v>
      </c>
      <c r="Y243" s="216">
        <f t="shared" si="996"/>
        <v>111.28058547812786</v>
      </c>
      <c r="Z243" s="215">
        <f t="shared" si="996"/>
        <v>124.1536285303447</v>
      </c>
      <c r="AA243" s="215">
        <f t="shared" si="996"/>
        <v>136.8184164240534</v>
      </c>
      <c r="AB243" s="215">
        <f t="shared" si="996"/>
        <v>148.19635606475146</v>
      </c>
      <c r="AC243" s="216">
        <f t="shared" si="996"/>
        <v>172.39723112572506</v>
      </c>
      <c r="AD243" s="215">
        <f t="shared" si="996"/>
        <v>165.35258080111953</v>
      </c>
      <c r="AE243" s="215">
        <f t="shared" si="996"/>
        <v>127.98430655449349</v>
      </c>
      <c r="AF243" s="215">
        <f t="shared" si="996"/>
        <v>230.44869826771568</v>
      </c>
      <c r="AG243" s="216">
        <f t="shared" si="975"/>
        <v>250.751170463172</v>
      </c>
      <c r="AH243" s="215">
        <f t="shared" si="975"/>
        <v>269.68390298464237</v>
      </c>
      <c r="AI243" s="215">
        <f t="shared" si="975"/>
        <v>298.84834473684884</v>
      </c>
      <c r="AJ243" s="215">
        <f t="shared" ref="AJ243:AL243" si="997">AJ51-AJ210-AJ232</f>
        <v>293.60199366294387</v>
      </c>
      <c r="AK243" s="216">
        <f t="shared" si="997"/>
        <v>299.28191465604152</v>
      </c>
      <c r="AL243" s="215">
        <f t="shared" si="997"/>
        <v>335.51081769784946</v>
      </c>
      <c r="AM243" s="215">
        <f t="shared" si="977"/>
        <v>355.31560160053192</v>
      </c>
      <c r="AN243" s="215">
        <f t="shared" si="977"/>
        <v>404.506551228587</v>
      </c>
      <c r="AO243" s="216">
        <f t="shared" si="978"/>
        <v>368.4637904166571</v>
      </c>
      <c r="AP243" s="215">
        <f t="shared" si="978"/>
        <v>393.58423477400396</v>
      </c>
      <c r="AQ243" s="215">
        <f t="shared" si="978"/>
        <v>435.18254016546263</v>
      </c>
      <c r="AR243" s="215">
        <f t="shared" si="978"/>
        <v>531.32627083055218</v>
      </c>
      <c r="AS243" s="216">
        <f t="shared" si="979"/>
        <v>526.87270146249818</v>
      </c>
      <c r="AT243" s="215">
        <f t="shared" si="979"/>
        <v>562.63729322551592</v>
      </c>
      <c r="AU243" s="215">
        <f t="shared" si="979"/>
        <v>588.46276857230134</v>
      </c>
      <c r="AV243" s="215">
        <f t="shared" si="979"/>
        <v>656.684625101503</v>
      </c>
      <c r="AW243" s="216">
        <f t="shared" si="980"/>
        <v>670.23435437004264</v>
      </c>
      <c r="AY243" s="204"/>
      <c r="AZ243" s="335">
        <f t="shared" si="985"/>
        <v>325.56849004002436</v>
      </c>
      <c r="BA243" s="215">
        <f t="shared" si="986"/>
        <v>303.96578641063081</v>
      </c>
      <c r="BB243" s="215">
        <f t="shared" si="987"/>
        <v>243.14624548346617</v>
      </c>
      <c r="BC243" s="215">
        <f t="shared" si="988"/>
        <v>231.93875075360233</v>
      </c>
      <c r="BD243" s="215">
        <f t="shared" si="989"/>
        <v>310.95850196542671</v>
      </c>
      <c r="BE243" s="215">
        <f t="shared" si="981"/>
        <v>382.05945684202248</v>
      </c>
      <c r="BF243" s="215">
        <f t="shared" si="982"/>
        <v>581.5656321448746</v>
      </c>
      <c r="BG243" s="215">
        <f t="shared" si="983"/>
        <v>774.53675608650076</v>
      </c>
      <c r="BH243" s="215">
        <f t="shared" si="984"/>
        <v>1161.4161560404766</v>
      </c>
      <c r="BI243" s="215">
        <f t="shared" si="930"/>
        <v>1463.7967609436255</v>
      </c>
      <c r="BJ243" s="215">
        <f t="shared" si="990"/>
        <v>1886.9657472325171</v>
      </c>
      <c r="BK243" s="215">
        <f t="shared" si="991"/>
        <v>2478.0190412693628</v>
      </c>
    </row>
    <row r="244" spans="1:63" outlineLevel="1">
      <c r="A244" s="290" t="s">
        <v>710</v>
      </c>
      <c r="B244" s="215">
        <f t="shared" ref="B244:L244" si="998">B52-B211-B233</f>
        <v>70.645647772541508</v>
      </c>
      <c r="C244" s="215">
        <f t="shared" si="998"/>
        <v>75.712983535381028</v>
      </c>
      <c r="D244" s="215">
        <f t="shared" si="998"/>
        <v>71.98680985946919</v>
      </c>
      <c r="E244" s="216">
        <f t="shared" si="998"/>
        <v>56.435860891490059</v>
      </c>
      <c r="F244" s="215">
        <f t="shared" si="998"/>
        <v>73.592974249354398</v>
      </c>
      <c r="G244" s="215">
        <f t="shared" si="998"/>
        <v>95.816136842736853</v>
      </c>
      <c r="H244" s="215">
        <f t="shared" si="998"/>
        <v>80.53451267328461</v>
      </c>
      <c r="I244" s="216">
        <f t="shared" si="998"/>
        <v>78.365874359030315</v>
      </c>
      <c r="J244" s="215">
        <f t="shared" si="998"/>
        <v>67.749935334114454</v>
      </c>
      <c r="K244" s="215">
        <f t="shared" si="998"/>
        <v>96.194010974339506</v>
      </c>
      <c r="L244" s="215">
        <f t="shared" si="998"/>
        <v>102.89912947172013</v>
      </c>
      <c r="M244" s="216">
        <f t="shared" ref="M244:AF244" si="999">M52-M211-M233</f>
        <v>101.87798938477353</v>
      </c>
      <c r="N244" s="215">
        <f t="shared" si="999"/>
        <v>108.36044575222522</v>
      </c>
      <c r="O244" s="215">
        <f t="shared" si="999"/>
        <v>101.47381576606604</v>
      </c>
      <c r="P244" s="215">
        <f t="shared" si="999"/>
        <v>91.121143266604648</v>
      </c>
      <c r="Q244" s="216">
        <f t="shared" si="999"/>
        <v>131.39393093570206</v>
      </c>
      <c r="R244" s="215">
        <f t="shared" si="999"/>
        <v>133.03981200273461</v>
      </c>
      <c r="S244" s="215">
        <f t="shared" si="999"/>
        <v>114.69877501570984</v>
      </c>
      <c r="T244" s="215">
        <f t="shared" si="999"/>
        <v>108.98767238622192</v>
      </c>
      <c r="U244" s="216">
        <f t="shared" si="999"/>
        <v>102.54814783697583</v>
      </c>
      <c r="V244" s="215">
        <f t="shared" si="999"/>
        <v>154.00722446082739</v>
      </c>
      <c r="W244" s="215">
        <f t="shared" si="999"/>
        <v>170.94306535632023</v>
      </c>
      <c r="X244" s="215">
        <f t="shared" si="999"/>
        <v>168.21990414815383</v>
      </c>
      <c r="Y244" s="216">
        <f t="shared" si="999"/>
        <v>153.49171365871834</v>
      </c>
      <c r="Z244" s="215">
        <f t="shared" si="999"/>
        <v>131.19660595501841</v>
      </c>
      <c r="AA244" s="215">
        <f t="shared" si="999"/>
        <v>145.57675608549266</v>
      </c>
      <c r="AB244" s="215">
        <f t="shared" si="999"/>
        <v>187.92742303442679</v>
      </c>
      <c r="AC244" s="216">
        <f t="shared" si="999"/>
        <v>183.03031593858009</v>
      </c>
      <c r="AD244" s="215">
        <f t="shared" si="999"/>
        <v>198.44901127583057</v>
      </c>
      <c r="AE244" s="215">
        <f t="shared" si="999"/>
        <v>135.23216743526174</v>
      </c>
      <c r="AF244" s="215">
        <f t="shared" si="999"/>
        <v>242.0002779275699</v>
      </c>
      <c r="AG244" s="216">
        <f t="shared" si="975"/>
        <v>223.53392895689487</v>
      </c>
      <c r="AH244" s="215">
        <f t="shared" si="975"/>
        <v>232.34040352784345</v>
      </c>
      <c r="AI244" s="215">
        <f t="shared" si="975"/>
        <v>233.7485209623421</v>
      </c>
      <c r="AJ244" s="215">
        <f t="shared" ref="AJ244:AL244" si="1000">AJ52-AJ211-AJ233</f>
        <v>273.12498653083821</v>
      </c>
      <c r="AK244" s="216">
        <f t="shared" si="1000"/>
        <v>291.89347806235327</v>
      </c>
      <c r="AL244" s="215">
        <f t="shared" si="1000"/>
        <v>303.84498384547226</v>
      </c>
      <c r="AM244" s="215">
        <f t="shared" si="977"/>
        <v>369.37436423771726</v>
      </c>
      <c r="AN244" s="215">
        <f t="shared" si="977"/>
        <v>360.82942170554531</v>
      </c>
      <c r="AO244" s="216">
        <f t="shared" si="978"/>
        <v>352.2199541583401</v>
      </c>
      <c r="AP244" s="215">
        <f t="shared" si="978"/>
        <v>337.92560517190407</v>
      </c>
      <c r="AQ244" s="215">
        <f t="shared" si="978"/>
        <v>394.35960070154294</v>
      </c>
      <c r="AR244" s="215">
        <f t="shared" si="978"/>
        <v>422.16476419839518</v>
      </c>
      <c r="AS244" s="216">
        <f t="shared" si="979"/>
        <v>444.26565304763938</v>
      </c>
      <c r="AT244" s="215">
        <f t="shared" si="979"/>
        <v>460.24999408703644</v>
      </c>
      <c r="AU244" s="215">
        <f t="shared" si="979"/>
        <v>485.42571542568669</v>
      </c>
      <c r="AV244" s="215">
        <f t="shared" si="979"/>
        <v>502.89156654550578</v>
      </c>
      <c r="AW244" s="216">
        <f t="shared" si="980"/>
        <v>525.96820517046274</v>
      </c>
      <c r="AY244" s="204"/>
      <c r="AZ244" s="335">
        <f t="shared" si="985"/>
        <v>274.78130205888181</v>
      </c>
      <c r="BA244" s="215">
        <f t="shared" si="986"/>
        <v>328.30949812440616</v>
      </c>
      <c r="BB244" s="215">
        <f t="shared" si="987"/>
        <v>368.72106516494762</v>
      </c>
      <c r="BC244" s="215">
        <f t="shared" si="988"/>
        <v>432.34933572059799</v>
      </c>
      <c r="BD244" s="215">
        <f t="shared" si="989"/>
        <v>459.27440724164217</v>
      </c>
      <c r="BE244" s="215">
        <f t="shared" si="981"/>
        <v>646.66190762401982</v>
      </c>
      <c r="BF244" s="215">
        <f t="shared" si="982"/>
        <v>647.7311010135179</v>
      </c>
      <c r="BG244" s="215">
        <f t="shared" si="983"/>
        <v>799.21538559555711</v>
      </c>
      <c r="BH244" s="215">
        <f t="shared" si="984"/>
        <v>1031.107389083377</v>
      </c>
      <c r="BI244" s="215">
        <f t="shared" si="930"/>
        <v>1386.2687239470747</v>
      </c>
      <c r="BJ244" s="215">
        <f t="shared" si="990"/>
        <v>1598.7156231194817</v>
      </c>
      <c r="BK244" s="215">
        <f t="shared" si="991"/>
        <v>1974.5354812286919</v>
      </c>
    </row>
    <row r="245" spans="1:63" outlineLevel="1">
      <c r="A245" s="290" t="s">
        <v>709</v>
      </c>
      <c r="B245" s="215">
        <f t="shared" ref="B245:L245" si="1001">B53-B212-B234</f>
        <v>3.6020623701289907</v>
      </c>
      <c r="C245" s="215">
        <f t="shared" si="1001"/>
        <v>3.8350587545435593</v>
      </c>
      <c r="D245" s="215">
        <f t="shared" si="1001"/>
        <v>4.2279558663318673</v>
      </c>
      <c r="E245" s="216">
        <f t="shared" si="1001"/>
        <v>5.9562143953723963</v>
      </c>
      <c r="F245" s="215">
        <f t="shared" si="1001"/>
        <v>10.909652833656141</v>
      </c>
      <c r="G245" s="215">
        <f t="shared" si="1001"/>
        <v>3.7154145705263169</v>
      </c>
      <c r="H245" s="215">
        <f t="shared" si="1001"/>
        <v>4.5778604424831544</v>
      </c>
      <c r="I245" s="216">
        <f t="shared" si="1001"/>
        <v>5.1370589416060639</v>
      </c>
      <c r="J245" s="215">
        <f t="shared" si="1001"/>
        <v>5.9720410538132862</v>
      </c>
      <c r="K245" s="215">
        <f t="shared" si="1001"/>
        <v>5.4207573963407558</v>
      </c>
      <c r="L245" s="215">
        <f t="shared" si="1001"/>
        <v>3.9650780434016664</v>
      </c>
      <c r="M245" s="216">
        <f t="shared" ref="M245:AF245" si="1002">M53-M212-M234</f>
        <v>4.2335299121095566</v>
      </c>
      <c r="N245" s="215">
        <f t="shared" si="1002"/>
        <v>4.6787405900325929</v>
      </c>
      <c r="O245" s="215">
        <f t="shared" si="1002"/>
        <v>8.5326153811601717</v>
      </c>
      <c r="P245" s="215">
        <f t="shared" si="1002"/>
        <v>10.212571063281835</v>
      </c>
      <c r="Q245" s="216">
        <f t="shared" si="1002"/>
        <v>11.844199587907532</v>
      </c>
      <c r="R245" s="215">
        <f t="shared" si="1002"/>
        <v>14.861695538425536</v>
      </c>
      <c r="S245" s="215">
        <f t="shared" si="1002"/>
        <v>10.86826069134041</v>
      </c>
      <c r="T245" s="215">
        <f t="shared" si="1002"/>
        <v>10.677011936514878</v>
      </c>
      <c r="U245" s="216">
        <f t="shared" si="1002"/>
        <v>8.8337500391176285</v>
      </c>
      <c r="V245" s="215">
        <f t="shared" si="1002"/>
        <v>13.124270804499279</v>
      </c>
      <c r="W245" s="215">
        <f t="shared" si="1002"/>
        <v>13.837023813047583</v>
      </c>
      <c r="X245" s="215">
        <f t="shared" si="1002"/>
        <v>14.479684866774189</v>
      </c>
      <c r="Y245" s="216">
        <f t="shared" si="1002"/>
        <v>13.318741873557016</v>
      </c>
      <c r="Z245" s="215">
        <f t="shared" si="1002"/>
        <v>15.050103837140675</v>
      </c>
      <c r="AA245" s="215">
        <f t="shared" si="1002"/>
        <v>16.473271990283724</v>
      </c>
      <c r="AB245" s="215">
        <f t="shared" si="1002"/>
        <v>17.117402314585419</v>
      </c>
      <c r="AC245" s="216">
        <f t="shared" si="1002"/>
        <v>18.894191879432825</v>
      </c>
      <c r="AD245" s="215">
        <f t="shared" si="1002"/>
        <v>19.012337756979754</v>
      </c>
      <c r="AE245" s="215">
        <f t="shared" si="1002"/>
        <v>5.9495680642432696</v>
      </c>
      <c r="AF245" s="215">
        <f t="shared" si="1002"/>
        <v>18.103900229410897</v>
      </c>
      <c r="AG245" s="216">
        <f t="shared" si="975"/>
        <v>18.268717244129075</v>
      </c>
      <c r="AH245" s="215">
        <f t="shared" si="975"/>
        <v>15.769970101078329</v>
      </c>
      <c r="AI245" s="215">
        <f t="shared" si="975"/>
        <v>14.893512594669279</v>
      </c>
      <c r="AJ245" s="215">
        <f t="shared" ref="AJ245:AL245" si="1003">AJ53-AJ212-AJ234</f>
        <v>16.24887796684413</v>
      </c>
      <c r="AK245" s="216">
        <f t="shared" si="1003"/>
        <v>16.813432166314932</v>
      </c>
      <c r="AL245" s="215">
        <f t="shared" si="1003"/>
        <v>16.562205056907114</v>
      </c>
      <c r="AM245" s="215">
        <f t="shared" si="977"/>
        <v>19.053613530696197</v>
      </c>
      <c r="AN245" s="215">
        <f t="shared" si="977"/>
        <v>18.291468989468346</v>
      </c>
      <c r="AO245" s="216">
        <f t="shared" si="978"/>
        <v>16.649128582328849</v>
      </c>
      <c r="AP245" s="215">
        <f t="shared" si="978"/>
        <v>16.053877479788596</v>
      </c>
      <c r="AQ245" s="215">
        <f t="shared" si="978"/>
        <v>16.85657135377803</v>
      </c>
      <c r="AR245" s="215">
        <f t="shared" si="978"/>
        <v>18.407375918325609</v>
      </c>
      <c r="AS245" s="216">
        <f t="shared" si="979"/>
        <v>18.205097062080274</v>
      </c>
      <c r="AT245" s="215">
        <f t="shared" si="979"/>
        <v>18.751249973942677</v>
      </c>
      <c r="AU245" s="215">
        <f t="shared" si="979"/>
        <v>19.359623861986151</v>
      </c>
      <c r="AV245" s="215">
        <f t="shared" si="979"/>
        <v>19.780485250290191</v>
      </c>
      <c r="AW245" s="216">
        <f t="shared" si="980"/>
        <v>19.570054556138171</v>
      </c>
      <c r="AY245" s="204"/>
      <c r="AZ245" s="335">
        <f t="shared" si="985"/>
        <v>17.621291386376814</v>
      </c>
      <c r="BA245" s="215">
        <f t="shared" si="986"/>
        <v>24.339986788271677</v>
      </c>
      <c r="BB245" s="215">
        <f t="shared" si="987"/>
        <v>19.591406405665268</v>
      </c>
      <c r="BC245" s="215">
        <f t="shared" si="988"/>
        <v>35.268126622382134</v>
      </c>
      <c r="BD245" s="215">
        <f t="shared" si="989"/>
        <v>45.240718205398451</v>
      </c>
      <c r="BE245" s="215">
        <f t="shared" si="981"/>
        <v>54.759721357878064</v>
      </c>
      <c r="BF245" s="215">
        <f t="shared" si="982"/>
        <v>67.534970021442646</v>
      </c>
      <c r="BG245" s="215">
        <f t="shared" si="983"/>
        <v>61.334523294763002</v>
      </c>
      <c r="BH245" s="215">
        <f t="shared" si="984"/>
        <v>63.72579282890667</v>
      </c>
      <c r="BI245" s="215">
        <f t="shared" si="930"/>
        <v>70.556416159400499</v>
      </c>
      <c r="BJ245" s="215">
        <f t="shared" si="990"/>
        <v>69.522921813972502</v>
      </c>
      <c r="BK245" s="215">
        <f t="shared" si="991"/>
        <v>77.461413642357186</v>
      </c>
    </row>
    <row r="246" spans="1:63" outlineLevel="1">
      <c r="A246" s="290" t="s">
        <v>708</v>
      </c>
      <c r="B246" s="215">
        <f t="shared" ref="B246:L246" si="1004">B54-B213-B235</f>
        <v>64.995675421053107</v>
      </c>
      <c r="C246" s="215">
        <f t="shared" si="1004"/>
        <v>70.277159758259216</v>
      </c>
      <c r="D246" s="215">
        <f t="shared" si="1004"/>
        <v>36.426022966242215</v>
      </c>
      <c r="E246" s="216">
        <f t="shared" si="1004"/>
        <v>29.777217658326496</v>
      </c>
      <c r="F246" s="215">
        <f t="shared" si="1004"/>
        <v>33.1791091807453</v>
      </c>
      <c r="G246" s="215">
        <f t="shared" si="1004"/>
        <v>35.550131194527566</v>
      </c>
      <c r="H246" s="215">
        <f t="shared" si="1004"/>
        <v>42.068386434738628</v>
      </c>
      <c r="I246" s="216">
        <f t="shared" si="1004"/>
        <v>32.036461630018366</v>
      </c>
      <c r="J246" s="215">
        <f t="shared" si="1004"/>
        <v>29.340043790575287</v>
      </c>
      <c r="K246" s="215">
        <f t="shared" si="1004"/>
        <v>30.369411906451681</v>
      </c>
      <c r="L246" s="215">
        <f t="shared" si="1004"/>
        <v>29.45844519490489</v>
      </c>
      <c r="M246" s="216">
        <f t="shared" ref="M246:AF246" si="1005">M54-M213-M235</f>
        <v>27.327739680107626</v>
      </c>
      <c r="N246" s="215">
        <f t="shared" si="1005"/>
        <v>24.260989585656539</v>
      </c>
      <c r="O246" s="215">
        <f t="shared" si="1005"/>
        <v>25.077980797129026</v>
      </c>
      <c r="P246" s="215">
        <f t="shared" si="1005"/>
        <v>21.892132553935134</v>
      </c>
      <c r="Q246" s="216">
        <f t="shared" si="1005"/>
        <v>34.754646554190153</v>
      </c>
      <c r="R246" s="215">
        <f t="shared" si="1005"/>
        <v>35.585601960291157</v>
      </c>
      <c r="S246" s="215">
        <f t="shared" si="1005"/>
        <v>33.767119659612426</v>
      </c>
      <c r="T246" s="215">
        <f t="shared" si="1005"/>
        <v>32.016256418099402</v>
      </c>
      <c r="U246" s="216">
        <f t="shared" si="1005"/>
        <v>31.234462391225122</v>
      </c>
      <c r="V246" s="215">
        <f t="shared" si="1005"/>
        <v>21.736529518878633</v>
      </c>
      <c r="W246" s="215">
        <f t="shared" si="1005"/>
        <v>22.760807883655175</v>
      </c>
      <c r="X246" s="215">
        <f t="shared" si="1005"/>
        <v>22.244466786325404</v>
      </c>
      <c r="Y246" s="216">
        <f t="shared" si="1005"/>
        <v>19.985730355508693</v>
      </c>
      <c r="Z246" s="215">
        <f t="shared" si="1005"/>
        <v>19.902845984040887</v>
      </c>
      <c r="AA246" s="215">
        <f t="shared" si="1005"/>
        <v>20.712108592959925</v>
      </c>
      <c r="AB246" s="215">
        <f t="shared" si="1005"/>
        <v>26.015026830515485</v>
      </c>
      <c r="AC246" s="216">
        <f t="shared" si="1005"/>
        <v>29.928132550155322</v>
      </c>
      <c r="AD246" s="215">
        <f t="shared" si="1005"/>
        <v>36.49329581106926</v>
      </c>
      <c r="AE246" s="215">
        <f t="shared" si="1005"/>
        <v>77.082076556788266</v>
      </c>
      <c r="AF246" s="215">
        <f t="shared" si="1005"/>
        <v>46.153861319399311</v>
      </c>
      <c r="AG246" s="216">
        <f t="shared" si="975"/>
        <v>23.912045494164911</v>
      </c>
      <c r="AH246" s="215">
        <f t="shared" si="975"/>
        <v>30.723236734138521</v>
      </c>
      <c r="AI246" s="215">
        <f t="shared" si="975"/>
        <v>31.677744145462231</v>
      </c>
      <c r="AJ246" s="215">
        <f t="shared" ref="AJ246:AL246" si="1006">AJ54-AJ213-AJ235</f>
        <v>34.66875503407919</v>
      </c>
      <c r="AK246" s="216">
        <f t="shared" si="1006"/>
        <v>35.873293051094976</v>
      </c>
      <c r="AL246" s="215">
        <f t="shared" si="1006"/>
        <v>33.307367008155339</v>
      </c>
      <c r="AM246" s="215">
        <f t="shared" si="977"/>
        <v>51.489417000691105</v>
      </c>
      <c r="AN246" s="215">
        <f t="shared" si="977"/>
        <v>47.32644286020971</v>
      </c>
      <c r="AO246" s="216">
        <f t="shared" si="978"/>
        <v>43.540327431392939</v>
      </c>
      <c r="AP246" s="215">
        <f t="shared" si="978"/>
        <v>43.383098471224002</v>
      </c>
      <c r="AQ246" s="215">
        <f t="shared" si="978"/>
        <v>45.552253394785204</v>
      </c>
      <c r="AR246" s="215">
        <f t="shared" si="978"/>
        <v>51.382941829317708</v>
      </c>
      <c r="AS246" s="216">
        <f t="shared" si="979"/>
        <v>51.382941829317708</v>
      </c>
      <c r="AT246" s="215">
        <f t="shared" si="979"/>
        <v>50.109300824399519</v>
      </c>
      <c r="AU246" s="215">
        <f t="shared" si="979"/>
        <v>50.610393832643517</v>
      </c>
      <c r="AV246" s="215">
        <f t="shared" si="979"/>
        <v>53.453674385039207</v>
      </c>
      <c r="AW246" s="216">
        <f t="shared" si="980"/>
        <v>53.453674385039207</v>
      </c>
      <c r="AY246" s="204"/>
      <c r="AZ246" s="335">
        <f t="shared" si="985"/>
        <v>201.47607580388103</v>
      </c>
      <c r="BA246" s="215">
        <f t="shared" si="986"/>
        <v>142.83408844002986</v>
      </c>
      <c r="BB246" s="215">
        <f t="shared" si="987"/>
        <v>116.49564057203948</v>
      </c>
      <c r="BC246" s="215">
        <f t="shared" si="988"/>
        <v>105.98574949091085</v>
      </c>
      <c r="BD246" s="215">
        <f t="shared" si="989"/>
        <v>132.6034404292281</v>
      </c>
      <c r="BE246" s="215">
        <f t="shared" si="981"/>
        <v>86.727534544367913</v>
      </c>
      <c r="BF246" s="215">
        <f t="shared" si="982"/>
        <v>96.558113957671623</v>
      </c>
      <c r="BG246" s="215">
        <f t="shared" si="983"/>
        <v>183.64127918142177</v>
      </c>
      <c r="BH246" s="215">
        <f t="shared" si="984"/>
        <v>132.94302896477492</v>
      </c>
      <c r="BI246" s="215">
        <f t="shared" si="930"/>
        <v>175.66355430044911</v>
      </c>
      <c r="BJ246" s="215">
        <f t="shared" si="990"/>
        <v>191.7012355246446</v>
      </c>
      <c r="BK246" s="215">
        <f t="shared" si="991"/>
        <v>207.62704342712146</v>
      </c>
    </row>
    <row r="247" spans="1:63" outlineLevel="1">
      <c r="A247" s="290" t="s">
        <v>707</v>
      </c>
      <c r="B247" s="215">
        <f t="shared" ref="B247:L247" si="1007">B55-B214-B236</f>
        <v>122.44198123459876</v>
      </c>
      <c r="C247" s="215">
        <f t="shared" si="1007"/>
        <v>110.64410292279771</v>
      </c>
      <c r="D247" s="215">
        <f t="shared" si="1007"/>
        <v>164.61777416764454</v>
      </c>
      <c r="E247" s="216">
        <f t="shared" si="1007"/>
        <v>169.89207313589759</v>
      </c>
      <c r="F247" s="215">
        <f t="shared" si="1007"/>
        <v>164.5075207872531</v>
      </c>
      <c r="G247" s="215">
        <f t="shared" si="1007"/>
        <v>168.38408386894736</v>
      </c>
      <c r="H247" s="215">
        <f t="shared" si="1007"/>
        <v>177.74599695545513</v>
      </c>
      <c r="I247" s="216">
        <f t="shared" si="1007"/>
        <v>165.35502304804086</v>
      </c>
      <c r="J247" s="215">
        <f t="shared" si="1007"/>
        <v>176.61915032793334</v>
      </c>
      <c r="K247" s="215">
        <f t="shared" si="1007"/>
        <v>177.64333437448408</v>
      </c>
      <c r="L247" s="215">
        <f t="shared" si="1007"/>
        <v>157.61207057626103</v>
      </c>
      <c r="M247" s="216">
        <f t="shared" ref="M247:AF247" si="1008">M55-M214-M236</f>
        <v>151.25164650579472</v>
      </c>
      <c r="N247" s="215">
        <f t="shared" si="1008"/>
        <v>147.72249281678182</v>
      </c>
      <c r="O247" s="215">
        <f t="shared" si="1008"/>
        <v>153.58076172989809</v>
      </c>
      <c r="P247" s="215">
        <f t="shared" si="1008"/>
        <v>149.61787405329312</v>
      </c>
      <c r="Q247" s="216">
        <f t="shared" si="1008"/>
        <v>179.67981086427903</v>
      </c>
      <c r="R247" s="215">
        <f t="shared" si="1008"/>
        <v>159.84640031810514</v>
      </c>
      <c r="S247" s="215">
        <f t="shared" si="1008"/>
        <v>128.90911062803133</v>
      </c>
      <c r="T247" s="215">
        <f t="shared" si="1008"/>
        <v>122.22601696417627</v>
      </c>
      <c r="U247" s="216">
        <f t="shared" si="1008"/>
        <v>125.98545482349459</v>
      </c>
      <c r="V247" s="215">
        <f t="shared" si="1008"/>
        <v>87.600193662299873</v>
      </c>
      <c r="W247" s="215">
        <f t="shared" si="1008"/>
        <v>93.106310321954425</v>
      </c>
      <c r="X247" s="215">
        <f t="shared" si="1008"/>
        <v>88.528235634525444</v>
      </c>
      <c r="Y247" s="216">
        <f t="shared" si="1008"/>
        <v>89.267510108919907</v>
      </c>
      <c r="Z247" s="215">
        <f t="shared" si="1008"/>
        <v>76.92576758178248</v>
      </c>
      <c r="AA247" s="215">
        <f t="shared" si="1008"/>
        <v>64.259490904099522</v>
      </c>
      <c r="AB247" s="215">
        <f t="shared" si="1008"/>
        <v>62.124928680109463</v>
      </c>
      <c r="AC247" s="216">
        <f t="shared" si="1008"/>
        <v>77.530916218776639</v>
      </c>
      <c r="AD247" s="215">
        <f t="shared" si="1008"/>
        <v>111.57801494142329</v>
      </c>
      <c r="AE247" s="215">
        <f t="shared" si="1008"/>
        <v>205.35454671590315</v>
      </c>
      <c r="AF247" s="215">
        <f t="shared" si="1008"/>
        <v>104.78957537017243</v>
      </c>
      <c r="AG247" s="216">
        <f t="shared" si="975"/>
        <v>20.226128999237773</v>
      </c>
      <c r="AH247" s="215">
        <f t="shared" si="975"/>
        <v>90.999691301095339</v>
      </c>
      <c r="AI247" s="215">
        <f t="shared" si="975"/>
        <v>103.06992950278945</v>
      </c>
      <c r="AJ247" s="215">
        <f t="shared" ref="AJ247:AL247" si="1009">AJ55-AJ214-AJ236</f>
        <v>55.143286312388312</v>
      </c>
      <c r="AK247" s="216">
        <f t="shared" si="1009"/>
        <v>29.589414242584297</v>
      </c>
      <c r="AL247" s="215">
        <f t="shared" si="1009"/>
        <v>35.989605779680943</v>
      </c>
      <c r="AM247" s="215">
        <f t="shared" si="977"/>
        <v>50.001573228881142</v>
      </c>
      <c r="AN247" s="215">
        <f t="shared" si="977"/>
        <v>43.405621015709578</v>
      </c>
      <c r="AO247" s="216">
        <f t="shared" si="978"/>
        <v>39.933171334452808</v>
      </c>
      <c r="AP247" s="215">
        <f t="shared" si="978"/>
        <v>42.129495757847714</v>
      </c>
      <c r="AQ247" s="215">
        <f t="shared" si="978"/>
        <v>44.235970545740102</v>
      </c>
      <c r="AR247" s="215">
        <f t="shared" si="978"/>
        <v>49.898174775594839</v>
      </c>
      <c r="AS247" s="216">
        <f t="shared" si="979"/>
        <v>49.898174775594839</v>
      </c>
      <c r="AT247" s="215">
        <f t="shared" si="979"/>
        <v>48.661337039135944</v>
      </c>
      <c r="AU247" s="215">
        <f t="shared" si="979"/>
        <v>49.147950409527297</v>
      </c>
      <c r="AV247" s="215">
        <f t="shared" si="979"/>
        <v>51.909071219051313</v>
      </c>
      <c r="AW247" s="216">
        <f t="shared" si="980"/>
        <v>51.909071219051313</v>
      </c>
      <c r="AY247" s="204"/>
      <c r="AZ247" s="335">
        <f t="shared" si="985"/>
        <v>567.59593146093857</v>
      </c>
      <c r="BA247" s="215">
        <f t="shared" si="986"/>
        <v>675.99262465969639</v>
      </c>
      <c r="BB247" s="215">
        <f t="shared" si="987"/>
        <v>663.1262017844731</v>
      </c>
      <c r="BC247" s="215">
        <f t="shared" si="988"/>
        <v>630.60093946425206</v>
      </c>
      <c r="BD247" s="215">
        <f t="shared" si="989"/>
        <v>536.9669827338073</v>
      </c>
      <c r="BE247" s="215">
        <f t="shared" si="981"/>
        <v>358.50224972769968</v>
      </c>
      <c r="BF247" s="215">
        <f t="shared" si="982"/>
        <v>280.84110338476808</v>
      </c>
      <c r="BG247" s="215">
        <f t="shared" si="983"/>
        <v>441.94826602673663</v>
      </c>
      <c r="BH247" s="215">
        <f t="shared" si="984"/>
        <v>278.8023213588574</v>
      </c>
      <c r="BI247" s="215">
        <f t="shared" si="930"/>
        <v>169.32997135872449</v>
      </c>
      <c r="BJ247" s="215">
        <f t="shared" si="990"/>
        <v>186.1618158547775</v>
      </c>
      <c r="BK247" s="215">
        <f t="shared" si="991"/>
        <v>201.62742988676587</v>
      </c>
    </row>
    <row r="248" spans="1:63" outlineLevel="1">
      <c r="A248" s="290" t="s">
        <v>827</v>
      </c>
      <c r="B248" s="215">
        <f t="shared" ref="B248:L248" si="1010">B56-B215-B237</f>
        <v>9.0903877023480817</v>
      </c>
      <c r="C248" s="215">
        <f t="shared" si="1010"/>
        <v>9.4539747279031126</v>
      </c>
      <c r="D248" s="215">
        <f t="shared" si="1010"/>
        <v>11.724531969313327</v>
      </c>
      <c r="E248" s="216">
        <f t="shared" si="1010"/>
        <v>12.490365120695893</v>
      </c>
      <c r="F248" s="215">
        <f t="shared" si="1010"/>
        <v>14.677648433201711</v>
      </c>
      <c r="G248" s="215">
        <f t="shared" si="1010"/>
        <v>15.326316023525123</v>
      </c>
      <c r="H248" s="215">
        <f t="shared" si="1010"/>
        <v>14.15662130260627</v>
      </c>
      <c r="I248" s="216">
        <f t="shared" si="1010"/>
        <v>13.382428570940808</v>
      </c>
      <c r="J248" s="215">
        <f t="shared" si="1010"/>
        <v>14.228997615431309</v>
      </c>
      <c r="K248" s="215">
        <f t="shared" si="1010"/>
        <v>15.6117105733043</v>
      </c>
      <c r="L248" s="215">
        <f t="shared" si="1010"/>
        <v>15.659671615342965</v>
      </c>
      <c r="M248" s="216">
        <f t="shared" ref="M248:AF248" si="1011">M56-M215-M237</f>
        <v>14.547551195820017</v>
      </c>
      <c r="N248" s="215">
        <f t="shared" si="1011"/>
        <v>16.060056367401664</v>
      </c>
      <c r="O248" s="215">
        <f t="shared" si="1011"/>
        <v>16.675102134078706</v>
      </c>
      <c r="P248" s="215">
        <f t="shared" si="1011"/>
        <v>14.319366060611397</v>
      </c>
      <c r="Q248" s="216">
        <f t="shared" si="1011"/>
        <v>18.666098398276795</v>
      </c>
      <c r="R248" s="215">
        <f t="shared" si="1011"/>
        <v>17.976937084028631</v>
      </c>
      <c r="S248" s="215">
        <f t="shared" si="1011"/>
        <v>15.144199402691973</v>
      </c>
      <c r="T248" s="215">
        <f t="shared" si="1011"/>
        <v>14.540672038063795</v>
      </c>
      <c r="U248" s="216">
        <f t="shared" si="1011"/>
        <v>14.018154912483155</v>
      </c>
      <c r="V248" s="215">
        <f t="shared" si="1011"/>
        <v>10.245574347344224</v>
      </c>
      <c r="W248" s="215">
        <f t="shared" si="1011"/>
        <v>10.768402128318291</v>
      </c>
      <c r="X248" s="215">
        <f t="shared" si="1011"/>
        <v>10.582408309719806</v>
      </c>
      <c r="Y248" s="216">
        <f t="shared" si="1011"/>
        <v>9.664993243617662</v>
      </c>
      <c r="Z248" s="215">
        <f t="shared" si="1011"/>
        <v>6.108971815723681</v>
      </c>
      <c r="AA248" s="215">
        <f t="shared" si="1011"/>
        <v>6.6305522611147865</v>
      </c>
      <c r="AB248" s="215">
        <f t="shared" si="1011"/>
        <v>8.6706989110346271</v>
      </c>
      <c r="AC248" s="216">
        <f t="shared" si="1011"/>
        <v>8.783514225845753</v>
      </c>
      <c r="AD248" s="215">
        <f t="shared" si="1011"/>
        <v>11.531377238537733</v>
      </c>
      <c r="AE248" s="215">
        <f t="shared" si="1011"/>
        <v>30.634336553879805</v>
      </c>
      <c r="AF248" s="215">
        <f t="shared" si="1011"/>
        <v>14.651587680156528</v>
      </c>
      <c r="AG248" s="216">
        <f t="shared" si="975"/>
        <v>16.984577778693751</v>
      </c>
      <c r="AH248" s="215">
        <f t="shared" si="975"/>
        <v>6.300625954790803</v>
      </c>
      <c r="AI248" s="215">
        <f t="shared" si="975"/>
        <v>7.1075054178138579</v>
      </c>
      <c r="AJ248" s="215">
        <f t="shared" ref="AJ248:AL248" si="1012">AJ56-AJ215-AJ237</f>
        <v>7.4747376512021901</v>
      </c>
      <c r="AK248" s="216">
        <f t="shared" si="1012"/>
        <v>7.7344414005650357</v>
      </c>
      <c r="AL248" s="215">
        <f t="shared" si="1012"/>
        <v>7.57182384407146</v>
      </c>
      <c r="AM248" s="215">
        <f t="shared" si="977"/>
        <v>11.525102353544025</v>
      </c>
      <c r="AN248" s="215">
        <f t="shared" si="977"/>
        <v>8.8277379729273395</v>
      </c>
      <c r="AO248" s="216">
        <f t="shared" si="978"/>
        <v>8.1215189350931531</v>
      </c>
      <c r="AP248" s="215">
        <f t="shared" si="978"/>
        <v>9.7106294733930447</v>
      </c>
      <c r="AQ248" s="215">
        <f t="shared" si="978"/>
        <v>10.196160947062699</v>
      </c>
      <c r="AR248" s="215">
        <f t="shared" si="978"/>
        <v>11.501269548286723</v>
      </c>
      <c r="AS248" s="216">
        <f t="shared" si="979"/>
        <v>11.501269548286723</v>
      </c>
      <c r="AT248" s="215">
        <f t="shared" si="979"/>
        <v>11.216184888206854</v>
      </c>
      <c r="AU248" s="215">
        <f t="shared" si="979"/>
        <v>11.328346737088921</v>
      </c>
      <c r="AV248" s="215">
        <f t="shared" si="979"/>
        <v>11.96477071108268</v>
      </c>
      <c r="AW248" s="216">
        <f t="shared" si="980"/>
        <v>11.96477071108268</v>
      </c>
      <c r="AY248" s="204"/>
      <c r="AZ248" s="335">
        <f t="shared" si="985"/>
        <v>42.759259520260414</v>
      </c>
      <c r="BA248" s="215">
        <f t="shared" si="986"/>
        <v>57.543014330273913</v>
      </c>
      <c r="BB248" s="215">
        <f t="shared" si="987"/>
        <v>60.047930999898597</v>
      </c>
      <c r="BC248" s="215">
        <f t="shared" si="988"/>
        <v>65.720622960368559</v>
      </c>
      <c r="BD248" s="215">
        <f t="shared" si="989"/>
        <v>61.679963437267553</v>
      </c>
      <c r="BE248" s="215">
        <f t="shared" si="981"/>
        <v>41.261378028999985</v>
      </c>
      <c r="BF248" s="215">
        <f t="shared" si="982"/>
        <v>30.193737213718848</v>
      </c>
      <c r="BG248" s="215">
        <f t="shared" si="983"/>
        <v>73.801879251267806</v>
      </c>
      <c r="BH248" s="215">
        <f t="shared" si="984"/>
        <v>28.617310424371887</v>
      </c>
      <c r="BI248" s="215">
        <f t="shared" si="930"/>
        <v>36.046183105635976</v>
      </c>
      <c r="BJ248" s="215">
        <f t="shared" si="990"/>
        <v>42.909329517029185</v>
      </c>
      <c r="BK248" s="215">
        <f t="shared" si="991"/>
        <v>46.474073047461133</v>
      </c>
    </row>
    <row r="249" spans="1:63" outlineLevel="1">
      <c r="A249" s="336" t="s">
        <v>706</v>
      </c>
      <c r="B249" s="343">
        <f>SUM(B241:B248)</f>
        <v>375.57621499999999</v>
      </c>
      <c r="C249" s="343">
        <f>SUM(C241:C248)</f>
        <v>367.93951328000009</v>
      </c>
      <c r="D249" s="343">
        <f t="shared" ref="D249:I249" si="1013">SUM(D241:D248)</f>
        <v>404.88732400000004</v>
      </c>
      <c r="E249" s="344">
        <f t="shared" si="1013"/>
        <v>426.42739762000002</v>
      </c>
      <c r="F249" s="343">
        <f t="shared" si="1013"/>
        <v>392.69041460000017</v>
      </c>
      <c r="G249" s="343">
        <f t="shared" si="1013"/>
        <v>433.09967300000005</v>
      </c>
      <c r="H249" s="343">
        <f t="shared" si="1013"/>
        <v>431.10345456000005</v>
      </c>
      <c r="I249" s="344">
        <f t="shared" si="1013"/>
        <v>393.47291980000006</v>
      </c>
      <c r="J249" s="343">
        <f t="shared" ref="J249:V249" si="1014">SUM(J241:J248)</f>
        <v>354.43004781999991</v>
      </c>
      <c r="K249" s="343">
        <f t="shared" si="1014"/>
        <v>416.21439642000007</v>
      </c>
      <c r="L249" s="343">
        <f t="shared" si="1014"/>
        <v>396.78621899999996</v>
      </c>
      <c r="M249" s="344">
        <f t="shared" si="1014"/>
        <v>385.78182795999993</v>
      </c>
      <c r="N249" s="343">
        <f t="shared" si="1014"/>
        <v>394.67600896000005</v>
      </c>
      <c r="O249" s="343">
        <f t="shared" si="1014"/>
        <v>412.28589626000007</v>
      </c>
      <c r="P249" s="343">
        <f t="shared" si="1014"/>
        <v>447.83733059999986</v>
      </c>
      <c r="Q249" s="344">
        <f t="shared" si="1014"/>
        <v>477.38704899999999</v>
      </c>
      <c r="R249" s="343">
        <f t="shared" si="1014"/>
        <v>494.41230093142866</v>
      </c>
      <c r="S249" s="343">
        <f t="shared" si="1014"/>
        <v>502.0395921578571</v>
      </c>
      <c r="T249" s="343">
        <f t="shared" si="1014"/>
        <v>507.16708358214265</v>
      </c>
      <c r="U249" s="344">
        <f t="shared" si="1014"/>
        <v>502.65348427142862</v>
      </c>
      <c r="V249" s="343">
        <f t="shared" si="1014"/>
        <v>567.85012327142863</v>
      </c>
      <c r="W249" s="343">
        <f t="shared" ref="W249:AO249" si="1015">SUM(W240:W248)</f>
        <v>648.82752595999966</v>
      </c>
      <c r="X249" s="343">
        <f t="shared" si="1015"/>
        <v>638.30485699999974</v>
      </c>
      <c r="Y249" s="344">
        <f t="shared" si="1015"/>
        <v>577.22250629999974</v>
      </c>
      <c r="Z249" s="343">
        <f t="shared" si="1015"/>
        <v>589.90360591999968</v>
      </c>
      <c r="AA249" s="343">
        <f t="shared" si="1015"/>
        <v>599.9712801999998</v>
      </c>
      <c r="AB249" s="343">
        <f t="shared" si="1015"/>
        <v>666.92223113000023</v>
      </c>
      <c r="AC249" s="344">
        <f t="shared" si="1015"/>
        <v>706.96320909000008</v>
      </c>
      <c r="AD249" s="343">
        <f t="shared" si="1015"/>
        <v>783.47582880000016</v>
      </c>
      <c r="AE249" s="343">
        <f t="shared" si="1015"/>
        <v>828.66838214000018</v>
      </c>
      <c r="AF249" s="343">
        <f t="shared" si="1015"/>
        <v>944.86357551999993</v>
      </c>
      <c r="AG249" s="344">
        <f t="shared" si="1015"/>
        <v>790.26133112499997</v>
      </c>
      <c r="AH249" s="343">
        <f t="shared" si="1015"/>
        <v>857.70679455999993</v>
      </c>
      <c r="AI249" s="343">
        <f t="shared" si="1015"/>
        <v>914.72914008000032</v>
      </c>
      <c r="AJ249" s="343">
        <f t="shared" ref="AJ249:AL249" si="1016">SUM(AJ240:AJ248)</f>
        <v>965.42958432000034</v>
      </c>
      <c r="AK249" s="344">
        <f t="shared" si="1016"/>
        <v>936.49927120000007</v>
      </c>
      <c r="AL249" s="343">
        <f t="shared" si="1016"/>
        <v>1004.2841020750001</v>
      </c>
      <c r="AM249" s="343">
        <f t="shared" si="1015"/>
        <v>1186.1596058075249</v>
      </c>
      <c r="AN249" s="343">
        <f t="shared" si="1015"/>
        <v>1208.2588627209132</v>
      </c>
      <c r="AO249" s="344">
        <f t="shared" si="1015"/>
        <v>1129.469518793815</v>
      </c>
      <c r="AP249" s="343">
        <f t="shared" ref="AP249:AS249" si="1017">SUM(AP240:AP248)</f>
        <v>1136.4052304130419</v>
      </c>
      <c r="AQ249" s="343">
        <f t="shared" si="1017"/>
        <v>1275.0994697666063</v>
      </c>
      <c r="AR249" s="343">
        <f t="shared" si="1017"/>
        <v>1470.0159092911333</v>
      </c>
      <c r="AS249" s="344">
        <f t="shared" si="1017"/>
        <v>1490.9069472704193</v>
      </c>
      <c r="AT249" s="343">
        <f t="shared" ref="AT249:AW249" si="1018">SUM(AT240:AT248)</f>
        <v>1537.3617981430255</v>
      </c>
      <c r="AU249" s="343">
        <f t="shared" si="1018"/>
        <v>1610.0423120558273</v>
      </c>
      <c r="AV249" s="343">
        <f t="shared" si="1018"/>
        <v>1745.7536863373662</v>
      </c>
      <c r="AW249" s="344">
        <f t="shared" si="1018"/>
        <v>1786.0092008126853</v>
      </c>
      <c r="AY249" s="217"/>
      <c r="AZ249" s="341">
        <f t="shared" si="985"/>
        <v>1574.8304499000001</v>
      </c>
      <c r="BA249" s="343">
        <f t="shared" si="986"/>
        <v>1650.3664619600004</v>
      </c>
      <c r="BB249" s="343">
        <f t="shared" si="987"/>
        <v>1553.2124911999997</v>
      </c>
      <c r="BC249" s="343">
        <f t="shared" si="988"/>
        <v>1732.1862848199999</v>
      </c>
      <c r="BD249" s="343">
        <f t="shared" si="989"/>
        <v>2006.2724609428569</v>
      </c>
      <c r="BE249" s="343">
        <f t="shared" si="981"/>
        <v>2432.2050125314277</v>
      </c>
      <c r="BF249" s="343">
        <f t="shared" si="982"/>
        <v>2563.7603263399997</v>
      </c>
      <c r="BG249" s="343">
        <f t="shared" si="983"/>
        <v>3347.2691175850005</v>
      </c>
      <c r="BH249" s="343">
        <f t="shared" si="984"/>
        <v>3674.3647901600007</v>
      </c>
      <c r="BI249" s="343">
        <f t="shared" si="930"/>
        <v>4528.1720893972533</v>
      </c>
      <c r="BJ249" s="343">
        <f t="shared" si="990"/>
        <v>5372.4275567412014</v>
      </c>
      <c r="BK249" s="344">
        <f t="shared" si="991"/>
        <v>6679.1669973489043</v>
      </c>
    </row>
    <row r="250" spans="1:63" outlineLevel="1">
      <c r="A250" s="207" t="s">
        <v>829</v>
      </c>
      <c r="W250" s="554"/>
      <c r="AY250" s="410"/>
      <c r="AZ250" s="410"/>
      <c r="BA250" s="554"/>
      <c r="BB250" s="554"/>
      <c r="BC250" s="554"/>
      <c r="BD250" s="554"/>
      <c r="BE250" s="554"/>
      <c r="BF250" s="554"/>
      <c r="BG250" s="554"/>
      <c r="BH250" s="554"/>
      <c r="BI250" s="554"/>
    </row>
    <row r="251" spans="1:63" outlineLevel="1">
      <c r="A251" s="290" t="s">
        <v>1204</v>
      </c>
      <c r="R251" s="215">
        <f t="shared" ref="M251:V252" si="1019">R240*1000/R154</f>
        <v>1219.1919031077191</v>
      </c>
      <c r="S251" s="215">
        <f t="shared" si="1019"/>
        <v>1130.646419677111</v>
      </c>
      <c r="T251" s="215">
        <f t="shared" si="1019"/>
        <v>1392.3677162424638</v>
      </c>
      <c r="U251" s="216">
        <f t="shared" si="1019"/>
        <v>421.09511605531725</v>
      </c>
      <c r="V251" s="215">
        <f t="shared" si="1019"/>
        <v>1223.4897706510037</v>
      </c>
      <c r="W251" s="215">
        <f t="shared" ref="W251:AI252" si="1020">W240*1000/W154</f>
        <v>1345.0874195905606</v>
      </c>
      <c r="X251" s="215">
        <f t="shared" si="1020"/>
        <v>1275.4288755930384</v>
      </c>
      <c r="Y251" s="216">
        <f t="shared" si="1020"/>
        <v>708.7993782895777</v>
      </c>
      <c r="Z251" s="215">
        <f t="shared" si="1020"/>
        <v>466.65281398100331</v>
      </c>
      <c r="AA251" s="215">
        <f t="shared" si="1020"/>
        <v>576.03308992947927</v>
      </c>
      <c r="AB251" s="215">
        <f t="shared" si="1020"/>
        <v>955.87793522518996</v>
      </c>
      <c r="AC251" s="216">
        <f t="shared" si="1020"/>
        <v>212.92612973760677</v>
      </c>
      <c r="AD251" s="215">
        <f t="shared" si="1020"/>
        <v>446.5489625948166</v>
      </c>
      <c r="AE251" s="215">
        <f t="shared" si="1020"/>
        <v>848.88647370866079</v>
      </c>
      <c r="AF251" s="215">
        <f t="shared" si="1020"/>
        <v>885.74703355818667</v>
      </c>
      <c r="AG251" s="216">
        <f t="shared" si="1020"/>
        <v>554.68910807356701</v>
      </c>
      <c r="AH251" s="215">
        <f t="shared" si="1020"/>
        <v>267.06774359334037</v>
      </c>
      <c r="AI251" s="215">
        <f t="shared" si="1020"/>
        <v>200.7015518469297</v>
      </c>
      <c r="AJ251" s="215">
        <f t="shared" ref="AJ251:AL252" si="1021">AJ240*1000/AJ154</f>
        <v>461.25233638210528</v>
      </c>
      <c r="AK251" s="216">
        <f t="shared" si="1021"/>
        <v>637.02788323447544</v>
      </c>
      <c r="AL251" s="215">
        <f t="shared" si="1021"/>
        <v>637.02788323447567</v>
      </c>
      <c r="AM251" s="215">
        <f t="shared" ref="AM251" si="1022">AL251*(1+AM262)</f>
        <v>573.32509491102815</v>
      </c>
      <c r="AN251" s="215">
        <f t="shared" ref="AN251" si="1023">AM251*(1+AN262)</f>
        <v>515.99258541992538</v>
      </c>
      <c r="AO251" s="216">
        <f t="shared" ref="AO251" si="1024">AN251*(1+AO262)</f>
        <v>464.39332687793285</v>
      </c>
      <c r="AP251" s="215">
        <f t="shared" ref="AP251" si="1025">AO251*(1+AP262)</f>
        <v>489.93495985621911</v>
      </c>
      <c r="AQ251" s="215">
        <f t="shared" ref="AQ251" si="1026">AP251*(1+AQ262)</f>
        <v>514.43170784903009</v>
      </c>
      <c r="AR251" s="215">
        <f t="shared" ref="AR251" si="1027">AQ251*(1+AR262)</f>
        <v>524.7203420060107</v>
      </c>
      <c r="AS251" s="216">
        <f t="shared" ref="AS251" si="1028">AR251*(1+AS262)</f>
        <v>524.7203420060107</v>
      </c>
      <c r="AT251" s="215">
        <f t="shared" ref="AT251" si="1029">AS251*(1+AT262)</f>
        <v>540.46195226619102</v>
      </c>
      <c r="AU251" s="215">
        <f t="shared" ref="AU251" si="1030">AT251*(1+AU262)</f>
        <v>545.86657178885298</v>
      </c>
      <c r="AV251" s="215">
        <f t="shared" ref="AV251" si="1031">AU251*(1+AV262)</f>
        <v>545.86657178885298</v>
      </c>
      <c r="AW251" s="216">
        <f t="shared" ref="AW251" si="1032">AV251*(1+AW262)</f>
        <v>545.86657178885298</v>
      </c>
      <c r="AY251" s="204"/>
      <c r="AZ251" s="204"/>
      <c r="BE251" s="208">
        <f t="shared" ref="BE251:BG260" si="1033">BE240/BE154*1000</f>
        <v>1152.8437921160446</v>
      </c>
      <c r="BF251" s="215">
        <f t="shared" si="1033"/>
        <v>560.71964920388109</v>
      </c>
      <c r="BG251" s="215">
        <f t="shared" si="1033"/>
        <v>704.3712237819044</v>
      </c>
      <c r="BH251" s="215">
        <f t="shared" ref="BH251:BI260" si="1034">BH240/BH154*1000</f>
        <v>411.26260927365837</v>
      </c>
      <c r="BI251" s="215">
        <f t="shared" si="1034"/>
        <v>536.0553013498602</v>
      </c>
      <c r="BJ251" s="215">
        <f t="shared" ref="BJ251:BK251" si="1035">BJ240/BJ154*1000</f>
        <v>514.77335064292197</v>
      </c>
      <c r="BK251" s="215">
        <f t="shared" si="1035"/>
        <v>544.65796264172934</v>
      </c>
    </row>
    <row r="252" spans="1:63" outlineLevel="1">
      <c r="A252" s="290" t="s">
        <v>935</v>
      </c>
      <c r="M252" s="216">
        <f t="shared" si="1019"/>
        <v>1784.9999999999998</v>
      </c>
      <c r="N252" s="215">
        <f t="shared" si="1019"/>
        <v>1751</v>
      </c>
      <c r="O252" s="215">
        <f t="shared" si="1019"/>
        <v>1454.80527055418</v>
      </c>
      <c r="P252" s="215">
        <f t="shared" si="1019"/>
        <v>1458.5248952600878</v>
      </c>
      <c r="Q252" s="216">
        <f t="shared" si="1019"/>
        <v>1780.4041443174756</v>
      </c>
      <c r="R252" s="215">
        <f t="shared" si="1019"/>
        <v>1620.1677713289032</v>
      </c>
      <c r="S252" s="215">
        <f t="shared" si="1019"/>
        <v>1269.2517597350975</v>
      </c>
      <c r="T252" s="215">
        <f t="shared" si="1019"/>
        <v>1259.2261654141562</v>
      </c>
      <c r="U252" s="216">
        <f t="shared" si="1019"/>
        <v>1225.9816369748835</v>
      </c>
      <c r="V252" s="215">
        <f t="shared" si="1019"/>
        <v>1368.6703940838627</v>
      </c>
      <c r="W252" s="215">
        <f t="shared" si="1020"/>
        <v>1489.2187981792918</v>
      </c>
      <c r="X252" s="215">
        <f t="shared" si="1020"/>
        <v>1545.3586783956778</v>
      </c>
      <c r="Y252" s="216">
        <f t="shared" si="1020"/>
        <v>1596.1835409034425</v>
      </c>
      <c r="Z252" s="215">
        <f t="shared" si="1020"/>
        <v>1922.8068783346005</v>
      </c>
      <c r="AA252" s="215">
        <f t="shared" si="1020"/>
        <v>1718.346833311881</v>
      </c>
      <c r="AB252" s="215">
        <f t="shared" si="1020"/>
        <v>1776.0540930312952</v>
      </c>
      <c r="AC252" s="216">
        <f t="shared" si="1020"/>
        <v>1718.3775753174764</v>
      </c>
      <c r="AD252" s="215">
        <f t="shared" si="1020"/>
        <v>1813.7048741320987</v>
      </c>
      <c r="AE252" s="215">
        <f t="shared" si="1020"/>
        <v>1735.8348845047049</v>
      </c>
      <c r="AF252" s="215">
        <f t="shared" si="1020"/>
        <v>1732.2954637742091</v>
      </c>
      <c r="AG252" s="216">
        <f t="shared" si="1020"/>
        <v>1595.6040292847254</v>
      </c>
      <c r="AH252" s="215">
        <f t="shared" si="1020"/>
        <v>1436.9186121774424</v>
      </c>
      <c r="AI252" s="215">
        <f t="shared" si="1020"/>
        <v>1311.9694893987903</v>
      </c>
      <c r="AJ252" s="215">
        <f t="shared" si="1021"/>
        <v>1378.5381858265673</v>
      </c>
      <c r="AK252" s="216">
        <f t="shared" si="1021"/>
        <v>1299.2021423197259</v>
      </c>
      <c r="AL252" s="215">
        <f t="shared" si="1021"/>
        <v>1312.1941637429231</v>
      </c>
      <c r="AM252" s="215">
        <f t="shared" ref="AM252:AM259" si="1036">AL252*(1+AM263)</f>
        <v>1359.4331536376685</v>
      </c>
      <c r="AN252" s="215">
        <f t="shared" ref="AN252:AN259" si="1037">AM252*(1+AN263)</f>
        <v>1305.0558274921618</v>
      </c>
      <c r="AO252" s="216">
        <f t="shared" ref="AO252:AO259" si="1038">AN252*(1+AO263)</f>
        <v>1200.651361292789</v>
      </c>
      <c r="AP252" s="215">
        <f t="shared" ref="AP252:AP259" si="1039">AO252*(1+AP263)</f>
        <v>1266.6871861638924</v>
      </c>
      <c r="AQ252" s="215">
        <f t="shared" ref="AQ252:AQ259" si="1040">AP252*(1+AQ263)</f>
        <v>1330.0215454720872</v>
      </c>
      <c r="AR252" s="215">
        <f t="shared" ref="AR252:AR259" si="1041">AQ252*(1+AR263)</f>
        <v>1356.6219763815288</v>
      </c>
      <c r="AS252" s="216">
        <f t="shared" ref="AS252:AS259" si="1042">AR252*(1+AS263)</f>
        <v>1356.6219763815288</v>
      </c>
      <c r="AT252" s="215">
        <f t="shared" ref="AT252:AT259" si="1043">AS252*(1+AT263)</f>
        <v>1397.3206356729747</v>
      </c>
      <c r="AU252" s="215">
        <f t="shared" ref="AU252:AU259" si="1044">AT252*(1+AU263)</f>
        <v>1411.2938420297046</v>
      </c>
      <c r="AV252" s="215">
        <f t="shared" ref="AV252:AV259" si="1045">AU252*(1+AV263)</f>
        <v>1411.2938420297046</v>
      </c>
      <c r="AW252" s="216">
        <f t="shared" ref="AW252:AW259" si="1046">AV252*(1+AW263)</f>
        <v>1411.2938420297046</v>
      </c>
      <c r="AX252" s="264"/>
      <c r="AY252" s="204"/>
      <c r="AZ252" s="333"/>
      <c r="BA252" s="215"/>
      <c r="BB252" s="215">
        <f t="shared" ref="BB252:BD260" si="1047">BB241/BB155*1000</f>
        <v>1784.9999999999998</v>
      </c>
      <c r="BC252" s="215">
        <f t="shared" si="1047"/>
        <v>1519.4449407588388</v>
      </c>
      <c r="BD252" s="215">
        <f t="shared" si="1047"/>
        <v>1278.0916307601003</v>
      </c>
      <c r="BE252" s="215">
        <f t="shared" si="1033"/>
        <v>1495.6151881309702</v>
      </c>
      <c r="BF252" s="215">
        <f t="shared" si="1033"/>
        <v>1784.3460265441099</v>
      </c>
      <c r="BG252" s="215">
        <f t="shared" si="1033"/>
        <v>1718.9720409837955</v>
      </c>
      <c r="BH252" s="215">
        <f t="shared" si="1034"/>
        <v>1357.5211701924077</v>
      </c>
      <c r="BI252" s="215">
        <f t="shared" si="1034"/>
        <v>1293.8335552191686</v>
      </c>
      <c r="BJ252" s="215">
        <f t="shared" ref="BJ252:BK252" si="1048">BJ241/BJ155*1000</f>
        <v>1328.9529992982841</v>
      </c>
      <c r="BK252" s="215">
        <f t="shared" si="1048"/>
        <v>1407.9402725040895</v>
      </c>
    </row>
    <row r="253" spans="1:63" outlineLevel="1">
      <c r="A253" s="290" t="s">
        <v>712</v>
      </c>
      <c r="B253" s="215">
        <f t="shared" ref="B253:J253" si="1049">B242*1000/B156</f>
        <v>697.88170533584184</v>
      </c>
      <c r="C253" s="215">
        <f t="shared" si="1049"/>
        <v>666.83288734927805</v>
      </c>
      <c r="D253" s="215">
        <f t="shared" si="1049"/>
        <v>641.7620768780954</v>
      </c>
      <c r="E253" s="216">
        <f t="shared" si="1049"/>
        <v>659.0345326721407</v>
      </c>
      <c r="F253" s="215">
        <f t="shared" si="1049"/>
        <v>624.58980786984807</v>
      </c>
      <c r="G253" s="215">
        <f t="shared" si="1049"/>
        <v>585.88324833255251</v>
      </c>
      <c r="H253" s="215">
        <f t="shared" si="1049"/>
        <v>576.94534380953337</v>
      </c>
      <c r="I253" s="216">
        <f t="shared" si="1049"/>
        <v>565.02502088727806</v>
      </c>
      <c r="J253" s="215">
        <f t="shared" si="1049"/>
        <v>557.19083842202281</v>
      </c>
      <c r="K253" s="215">
        <f t="shared" ref="K253:L260" si="1050">K242*1000/K156</f>
        <v>554.33071011172933</v>
      </c>
      <c r="L253" s="215">
        <f t="shared" si="1050"/>
        <v>526.6141746061428</v>
      </c>
      <c r="M253" s="216">
        <f t="shared" ref="M253:V253" si="1051">M242*1000/M156</f>
        <v>519.53822242935223</v>
      </c>
      <c r="N253" s="215">
        <f t="shared" si="1051"/>
        <v>510.79809183313409</v>
      </c>
      <c r="O253" s="215">
        <f t="shared" si="1051"/>
        <v>526.07572718091865</v>
      </c>
      <c r="P253" s="215">
        <f t="shared" si="1051"/>
        <v>531.16773308488769</v>
      </c>
      <c r="Q253" s="216">
        <f t="shared" si="1051"/>
        <v>692.40480486799493</v>
      </c>
      <c r="R253" s="215">
        <f t="shared" si="1051"/>
        <v>575.90435535516247</v>
      </c>
      <c r="S253" s="215">
        <f t="shared" si="1051"/>
        <v>443.84952868257477</v>
      </c>
      <c r="T253" s="215">
        <f t="shared" si="1051"/>
        <v>356.54792710802849</v>
      </c>
      <c r="U253" s="216">
        <f t="shared" si="1051"/>
        <v>315.74321412133446</v>
      </c>
      <c r="V253" s="215">
        <f t="shared" si="1051"/>
        <v>575.98198738121437</v>
      </c>
      <c r="W253" s="215">
        <f t="shared" ref="W253:AI253" si="1052">W242*1000/W156</f>
        <v>617.88112767863799</v>
      </c>
      <c r="X253" s="215">
        <f t="shared" si="1052"/>
        <v>651.29226907639838</v>
      </c>
      <c r="Y253" s="216">
        <f t="shared" si="1052"/>
        <v>524.09315916235596</v>
      </c>
      <c r="Z253" s="215">
        <f t="shared" si="1052"/>
        <v>704.06144902246899</v>
      </c>
      <c r="AA253" s="215">
        <f t="shared" si="1052"/>
        <v>697.03614343286063</v>
      </c>
      <c r="AB253" s="215">
        <f t="shared" si="1052"/>
        <v>702.61203709875656</v>
      </c>
      <c r="AC253" s="216">
        <f t="shared" si="1052"/>
        <v>658.79786972872159</v>
      </c>
      <c r="AD253" s="215">
        <f t="shared" si="1052"/>
        <v>671.02743555872655</v>
      </c>
      <c r="AE253" s="215">
        <f t="shared" si="1052"/>
        <v>659.69640534925486</v>
      </c>
      <c r="AF253" s="215">
        <f t="shared" si="1052"/>
        <v>654.66056237082989</v>
      </c>
      <c r="AG253" s="216">
        <f t="shared" si="1052"/>
        <v>556.47952214500049</v>
      </c>
      <c r="AH253" s="215">
        <f t="shared" si="1052"/>
        <v>517.87614669120649</v>
      </c>
      <c r="AI253" s="215">
        <f t="shared" si="1052"/>
        <v>543.81758205494236</v>
      </c>
      <c r="AJ253" s="215">
        <f t="shared" ref="AJ253:AL253" si="1053">AJ242*1000/AJ156</f>
        <v>595.34944282057825</v>
      </c>
      <c r="AK253" s="216">
        <f t="shared" si="1053"/>
        <v>610.37056722405134</v>
      </c>
      <c r="AL253" s="215">
        <f t="shared" si="1053"/>
        <v>644.48751778090923</v>
      </c>
      <c r="AM253" s="215">
        <f t="shared" si="1036"/>
        <v>667.68906842102194</v>
      </c>
      <c r="AN253" s="215">
        <f t="shared" si="1037"/>
        <v>640.981505684181</v>
      </c>
      <c r="AO253" s="216">
        <f t="shared" si="1038"/>
        <v>589.70298522944654</v>
      </c>
      <c r="AP253" s="215">
        <f t="shared" si="1039"/>
        <v>622.13664941706611</v>
      </c>
      <c r="AQ253" s="215">
        <f t="shared" si="1040"/>
        <v>653.24348188791942</v>
      </c>
      <c r="AR253" s="215">
        <f t="shared" si="1041"/>
        <v>666.30835152567784</v>
      </c>
      <c r="AS253" s="216">
        <f t="shared" si="1042"/>
        <v>666.30835152567784</v>
      </c>
      <c r="AT253" s="215">
        <f t="shared" si="1043"/>
        <v>686.29760207144818</v>
      </c>
      <c r="AU253" s="215">
        <f t="shared" si="1044"/>
        <v>693.16057809216272</v>
      </c>
      <c r="AV253" s="215">
        <f t="shared" si="1045"/>
        <v>693.16057809216272</v>
      </c>
      <c r="AW253" s="216">
        <f t="shared" si="1046"/>
        <v>693.16057809216272</v>
      </c>
      <c r="AX253" s="264"/>
      <c r="AY253" s="204"/>
      <c r="AZ253" s="333">
        <f t="shared" ref="AZ253:BB260" si="1054">AZ242/AZ156*1000</f>
        <v>661.84547166603863</v>
      </c>
      <c r="BA253" s="215">
        <f t="shared" si="1054"/>
        <v>582.81520600546241</v>
      </c>
      <c r="BB253" s="215">
        <f t="shared" si="1054"/>
        <v>535.73747468951831</v>
      </c>
      <c r="BC253" s="215">
        <f t="shared" si="1047"/>
        <v>547.50842183705049</v>
      </c>
      <c r="BD253" s="215">
        <f t="shared" si="1047"/>
        <v>405.87428253088535</v>
      </c>
      <c r="BE253" s="215">
        <f t="shared" si="1033"/>
        <v>601.2040400344099</v>
      </c>
      <c r="BF253" s="215">
        <f t="shared" si="1033"/>
        <v>687.96971759389669</v>
      </c>
      <c r="BG253" s="215">
        <f t="shared" si="1033"/>
        <v>634.4368928775491</v>
      </c>
      <c r="BH253" s="215">
        <f t="shared" si="1034"/>
        <v>571.70029225706003</v>
      </c>
      <c r="BI253" s="215">
        <f t="shared" si="1034"/>
        <v>635.32269678936552</v>
      </c>
      <c r="BJ253" s="215">
        <f t="shared" ref="BJ253:BK253" si="1055">BJ242/BJ156*1000</f>
        <v>653.96155335537935</v>
      </c>
      <c r="BK253" s="215">
        <f t="shared" si="1055"/>
        <v>691.61316474116131</v>
      </c>
    </row>
    <row r="254" spans="1:63" outlineLevel="1">
      <c r="A254" s="290" t="s">
        <v>711</v>
      </c>
      <c r="B254" s="215">
        <f t="shared" ref="B254:J254" si="1056">B243*1000/B157</f>
        <v>484.05608589572449</v>
      </c>
      <c r="C254" s="215">
        <f t="shared" si="1056"/>
        <v>465.58055299680939</v>
      </c>
      <c r="D254" s="215">
        <f t="shared" si="1056"/>
        <v>450.19985975507996</v>
      </c>
      <c r="E254" s="216">
        <f t="shared" si="1056"/>
        <v>471.35032998870037</v>
      </c>
      <c r="F254" s="215">
        <f t="shared" si="1056"/>
        <v>456.0926634735327</v>
      </c>
      <c r="G254" s="215">
        <f t="shared" si="1056"/>
        <v>417.70824201110491</v>
      </c>
      <c r="H254" s="215">
        <f t="shared" si="1056"/>
        <v>390.00625448496169</v>
      </c>
      <c r="I254" s="216">
        <f t="shared" si="1056"/>
        <v>381.38355775766246</v>
      </c>
      <c r="J254" s="215">
        <f t="shared" si="1056"/>
        <v>376.72458372542945</v>
      </c>
      <c r="K254" s="215">
        <f t="shared" si="1050"/>
        <v>378.28580620838659</v>
      </c>
      <c r="L254" s="215">
        <f t="shared" si="1050"/>
        <v>359.37151589796719</v>
      </c>
      <c r="M254" s="216">
        <f t="shared" ref="M254:V254" si="1057">M243*1000/M157</f>
        <v>334.85306271772441</v>
      </c>
      <c r="N254" s="215">
        <f t="shared" si="1057"/>
        <v>321.5545137895827</v>
      </c>
      <c r="O254" s="215">
        <f t="shared" si="1057"/>
        <v>324.9200407315011</v>
      </c>
      <c r="P254" s="215">
        <f t="shared" si="1057"/>
        <v>313.73206204166456</v>
      </c>
      <c r="Q254" s="216">
        <f t="shared" si="1057"/>
        <v>417.74340797559398</v>
      </c>
      <c r="R254" s="215">
        <f t="shared" si="1057"/>
        <v>428.43345600230276</v>
      </c>
      <c r="S254" s="215">
        <f t="shared" si="1057"/>
        <v>391.78294344488785</v>
      </c>
      <c r="T254" s="215">
        <f t="shared" si="1057"/>
        <v>427.40134711167224</v>
      </c>
      <c r="U254" s="216">
        <f t="shared" si="1057"/>
        <v>434.17864228574518</v>
      </c>
      <c r="V254" s="215">
        <f t="shared" si="1057"/>
        <v>375.71039810999753</v>
      </c>
      <c r="W254" s="215">
        <f t="shared" ref="W254:AI254" si="1058">W243*1000/W157</f>
        <v>398.53206592608797</v>
      </c>
      <c r="X254" s="215">
        <f t="shared" si="1058"/>
        <v>410.60977109886164</v>
      </c>
      <c r="Y254" s="216">
        <f t="shared" si="1058"/>
        <v>474.64121854738192</v>
      </c>
      <c r="Z254" s="215">
        <f t="shared" si="1058"/>
        <v>569.71237079637604</v>
      </c>
      <c r="AA254" s="215">
        <f t="shared" si="1058"/>
        <v>562.83070842972916</v>
      </c>
      <c r="AB254" s="215">
        <f t="shared" si="1058"/>
        <v>571.46835425070879</v>
      </c>
      <c r="AC254" s="216">
        <f t="shared" si="1058"/>
        <v>616.89893547583233</v>
      </c>
      <c r="AD254" s="215">
        <f t="shared" si="1058"/>
        <v>587.66214305026926</v>
      </c>
      <c r="AE254" s="215">
        <f t="shared" si="1058"/>
        <v>513.80597683836834</v>
      </c>
      <c r="AF254" s="215">
        <f t="shared" si="1058"/>
        <v>569.10748489838249</v>
      </c>
      <c r="AG254" s="216">
        <f t="shared" si="1058"/>
        <v>507.70427748047587</v>
      </c>
      <c r="AH254" s="215">
        <f t="shared" si="1058"/>
        <v>462.90431488545823</v>
      </c>
      <c r="AI254" s="215">
        <f t="shared" si="1058"/>
        <v>483.11878701430362</v>
      </c>
      <c r="AJ254" s="215">
        <f t="shared" ref="AJ254:AL254" si="1059">AJ243*1000/AJ157</f>
        <v>504.98752378424626</v>
      </c>
      <c r="AK254" s="216">
        <f t="shared" si="1059"/>
        <v>517.72874746126422</v>
      </c>
      <c r="AL254" s="215">
        <f t="shared" si="1059"/>
        <v>540.85375859612611</v>
      </c>
      <c r="AM254" s="215">
        <f t="shared" si="1036"/>
        <v>560.32449390558668</v>
      </c>
      <c r="AN254" s="215">
        <f t="shared" si="1037"/>
        <v>537.91151414936314</v>
      </c>
      <c r="AO254" s="216">
        <f t="shared" si="1038"/>
        <v>494.87859301741412</v>
      </c>
      <c r="AP254" s="215">
        <f t="shared" si="1039"/>
        <v>522.09691563337185</v>
      </c>
      <c r="AQ254" s="215">
        <f t="shared" si="1040"/>
        <v>548.20176141504044</v>
      </c>
      <c r="AR254" s="215">
        <f t="shared" si="1041"/>
        <v>559.16579664334131</v>
      </c>
      <c r="AS254" s="216">
        <f t="shared" si="1042"/>
        <v>559.16579664334131</v>
      </c>
      <c r="AT254" s="215">
        <f t="shared" si="1043"/>
        <v>575.94077054264153</v>
      </c>
      <c r="AU254" s="215">
        <f t="shared" si="1044"/>
        <v>581.70017824806791</v>
      </c>
      <c r="AV254" s="215">
        <f t="shared" si="1045"/>
        <v>581.70017824806791</v>
      </c>
      <c r="AW254" s="216">
        <f t="shared" si="1046"/>
        <v>581.70017824806791</v>
      </c>
      <c r="AX254" s="264"/>
      <c r="AY254" s="204"/>
      <c r="AZ254" s="333">
        <f t="shared" si="1054"/>
        <v>467.95543814461854</v>
      </c>
      <c r="BA254" s="215">
        <f t="shared" si="1054"/>
        <v>410.19857195363113</v>
      </c>
      <c r="BB254" s="215">
        <f t="shared" si="1054"/>
        <v>362.09813288430712</v>
      </c>
      <c r="BC254" s="215">
        <f t="shared" si="1047"/>
        <v>342.06708806770291</v>
      </c>
      <c r="BD254" s="215">
        <f t="shared" si="1047"/>
        <v>420.16534101101769</v>
      </c>
      <c r="BE254" s="215">
        <f t="shared" si="1033"/>
        <v>415.28680108379217</v>
      </c>
      <c r="BF254" s="215">
        <f t="shared" si="1033"/>
        <v>581.68397009110925</v>
      </c>
      <c r="BG254" s="215">
        <f t="shared" si="1033"/>
        <v>541.90449379945369</v>
      </c>
      <c r="BH254" s="215">
        <f t="shared" si="1034"/>
        <v>491.99123341348889</v>
      </c>
      <c r="BI254" s="215">
        <f t="shared" si="1034"/>
        <v>532.09454732587812</v>
      </c>
      <c r="BJ254" s="215">
        <f t="shared" ref="BJ254:BK254" si="1060">BJ243/BJ157*1000</f>
        <v>548.51273271141747</v>
      </c>
      <c r="BK254" s="215">
        <f t="shared" si="1060"/>
        <v>580.38241278973453</v>
      </c>
    </row>
    <row r="255" spans="1:63" outlineLevel="1">
      <c r="A255" s="290" t="s">
        <v>710</v>
      </c>
      <c r="B255" s="215">
        <f t="shared" ref="B255:J255" si="1061">B244*1000/B158</f>
        <v>314.29970272781179</v>
      </c>
      <c r="C255" s="215">
        <f t="shared" si="1061"/>
        <v>335.5255145712037</v>
      </c>
      <c r="D255" s="215">
        <f t="shared" si="1061"/>
        <v>350.66478550594132</v>
      </c>
      <c r="E255" s="216">
        <f t="shared" si="1061"/>
        <v>328.25814201245157</v>
      </c>
      <c r="F255" s="215">
        <f t="shared" si="1061"/>
        <v>348.38036007560271</v>
      </c>
      <c r="G255" s="215">
        <f t="shared" si="1061"/>
        <v>332.30980419391886</v>
      </c>
      <c r="H255" s="215">
        <f t="shared" si="1061"/>
        <v>308.46444341613227</v>
      </c>
      <c r="I255" s="216">
        <f t="shared" si="1061"/>
        <v>296.82701137325233</v>
      </c>
      <c r="J255" s="215">
        <f t="shared" si="1061"/>
        <v>309.08192565016054</v>
      </c>
      <c r="K255" s="215">
        <f t="shared" si="1050"/>
        <v>308.26570174688732</v>
      </c>
      <c r="L255" s="215">
        <f t="shared" si="1050"/>
        <v>292.85241665954288</v>
      </c>
      <c r="M255" s="216">
        <f t="shared" ref="M255:V255" si="1062">M244*1000/M158</f>
        <v>271.852011662042</v>
      </c>
      <c r="N255" s="215">
        <f t="shared" si="1062"/>
        <v>261.59360681587543</v>
      </c>
      <c r="O255" s="215">
        <f t="shared" si="1062"/>
        <v>259.81949854121694</v>
      </c>
      <c r="P255" s="215">
        <f t="shared" si="1062"/>
        <v>260.35447870237374</v>
      </c>
      <c r="Q255" s="216">
        <f t="shared" si="1062"/>
        <v>310.660419857546</v>
      </c>
      <c r="R255" s="215">
        <f t="shared" si="1062"/>
        <v>299.83231425823578</v>
      </c>
      <c r="S255" s="215">
        <f t="shared" si="1062"/>
        <v>254.72711919185173</v>
      </c>
      <c r="T255" s="215">
        <f t="shared" si="1062"/>
        <v>270.83500839829094</v>
      </c>
      <c r="U255" s="216">
        <f t="shared" si="1062"/>
        <v>269.95386439346714</v>
      </c>
      <c r="V255" s="215">
        <f t="shared" si="1062"/>
        <v>281.82376406660239</v>
      </c>
      <c r="W255" s="215">
        <f t="shared" ref="W255:AI255" si="1063">W244*1000/W158</f>
        <v>297.59698909864522</v>
      </c>
      <c r="X255" s="215">
        <f t="shared" si="1063"/>
        <v>302.04891737813671</v>
      </c>
      <c r="Y255" s="216">
        <f t="shared" si="1063"/>
        <v>315.98375212861248</v>
      </c>
      <c r="Z255" s="215">
        <f t="shared" si="1063"/>
        <v>350.68940737718162</v>
      </c>
      <c r="AA255" s="215">
        <f t="shared" si="1063"/>
        <v>333.62678948593276</v>
      </c>
      <c r="AB255" s="215">
        <f t="shared" si="1063"/>
        <v>390.55261430301061</v>
      </c>
      <c r="AC255" s="216">
        <f t="shared" si="1063"/>
        <v>377.45542692687371</v>
      </c>
      <c r="AD255" s="215">
        <f t="shared" si="1063"/>
        <v>389.22582450233858</v>
      </c>
      <c r="AE255" s="215">
        <f t="shared" si="1063"/>
        <v>293.36439258545312</v>
      </c>
      <c r="AF255" s="215">
        <f t="shared" si="1063"/>
        <v>421.47754776948352</v>
      </c>
      <c r="AG255" s="216">
        <f t="shared" si="1063"/>
        <v>378.2145370397962</v>
      </c>
      <c r="AH255" s="215">
        <f t="shared" si="1063"/>
        <v>359.5911262339186</v>
      </c>
      <c r="AI255" s="215">
        <f t="shared" si="1063"/>
        <v>346.47398408821823</v>
      </c>
      <c r="AJ255" s="215">
        <f t="shared" ref="AJ255:AL255" si="1064">AJ244*1000/AJ158</f>
        <v>369.0003930266725</v>
      </c>
      <c r="AK255" s="216">
        <f t="shared" si="1064"/>
        <v>378.31055678919171</v>
      </c>
      <c r="AL255" s="215">
        <f t="shared" si="1064"/>
        <v>394.6198567165352</v>
      </c>
      <c r="AM255" s="215">
        <f t="shared" si="1036"/>
        <v>408.82617155833049</v>
      </c>
      <c r="AN255" s="215">
        <f t="shared" si="1037"/>
        <v>392.47312469599723</v>
      </c>
      <c r="AO255" s="216">
        <f t="shared" si="1038"/>
        <v>361.07527472031745</v>
      </c>
      <c r="AP255" s="215">
        <f t="shared" si="1039"/>
        <v>380.93441482993489</v>
      </c>
      <c r="AQ255" s="215">
        <f t="shared" si="1040"/>
        <v>399.98113557143165</v>
      </c>
      <c r="AR255" s="215">
        <f t="shared" si="1041"/>
        <v>407.98075828286028</v>
      </c>
      <c r="AS255" s="216">
        <f t="shared" si="1042"/>
        <v>407.98075828286028</v>
      </c>
      <c r="AT255" s="215">
        <f t="shared" si="1043"/>
        <v>420.2201810313461</v>
      </c>
      <c r="AU255" s="215">
        <f t="shared" si="1044"/>
        <v>424.42238284165956</v>
      </c>
      <c r="AV255" s="215">
        <f t="shared" si="1045"/>
        <v>424.42238284165956</v>
      </c>
      <c r="AW255" s="216">
        <f t="shared" si="1046"/>
        <v>424.42238284165956</v>
      </c>
      <c r="AX255" s="264"/>
      <c r="AY255" s="204"/>
      <c r="AZ255" s="333">
        <f t="shared" si="1054"/>
        <v>332.00644913549547</v>
      </c>
      <c r="BA255" s="215">
        <f t="shared" si="1054"/>
        <v>320.40483034169756</v>
      </c>
      <c r="BB255" s="215">
        <f t="shared" si="1054"/>
        <v>293.24780703104642</v>
      </c>
      <c r="BC255" s="215">
        <f t="shared" si="1047"/>
        <v>274.03319103880381</v>
      </c>
      <c r="BD255" s="215">
        <f t="shared" si="1047"/>
        <v>273.9840699894732</v>
      </c>
      <c r="BE255" s="215">
        <f t="shared" si="1033"/>
        <v>298.88717128577787</v>
      </c>
      <c r="BF255" s="215">
        <f t="shared" si="1033"/>
        <v>364.60140577030097</v>
      </c>
      <c r="BG255" s="215">
        <f t="shared" si="1033"/>
        <v>374.1608209888995</v>
      </c>
      <c r="BH255" s="215">
        <f t="shared" si="1034"/>
        <v>364.02477709679806</v>
      </c>
      <c r="BI255" s="215">
        <f t="shared" si="1034"/>
        <v>388.49367738736134</v>
      </c>
      <c r="BJ255" s="215">
        <f t="shared" ref="BJ255:BK255" si="1065">BJ244/BJ158*1000</f>
        <v>400.00429227145077</v>
      </c>
      <c r="BK255" s="215">
        <f t="shared" si="1065"/>
        <v>423.43538546678303</v>
      </c>
    </row>
    <row r="256" spans="1:63" outlineLevel="1">
      <c r="A256" s="290" t="s">
        <v>709</v>
      </c>
      <c r="B256" s="215">
        <f t="shared" ref="B256:J256" si="1066">B245*1000/B159</f>
        <v>233.79279676918873</v>
      </c>
      <c r="C256" s="215">
        <f t="shared" si="1066"/>
        <v>246.97511183858785</v>
      </c>
      <c r="D256" s="215">
        <f t="shared" si="1066"/>
        <v>256.17398087633876</v>
      </c>
      <c r="E256" s="216">
        <f t="shared" si="1066"/>
        <v>265.47288097639995</v>
      </c>
      <c r="F256" s="215">
        <f t="shared" si="1066"/>
        <v>244.8685104760126</v>
      </c>
      <c r="G256" s="215">
        <f t="shared" si="1066"/>
        <v>224.02057538148102</v>
      </c>
      <c r="H256" s="215">
        <f t="shared" si="1066"/>
        <v>226.73517162780922</v>
      </c>
      <c r="I256" s="216">
        <f t="shared" si="1066"/>
        <v>226.94044911453474</v>
      </c>
      <c r="J256" s="215">
        <f t="shared" si="1066"/>
        <v>232.73587488244391</v>
      </c>
      <c r="K256" s="215">
        <f t="shared" si="1050"/>
        <v>227.31836301177947</v>
      </c>
      <c r="L256" s="215">
        <f t="shared" si="1050"/>
        <v>215.95244486119049</v>
      </c>
      <c r="M256" s="216">
        <f t="shared" ref="M256:V256" si="1067">M245*1000/M159</f>
        <v>198.23040070040688</v>
      </c>
      <c r="N256" s="215">
        <f t="shared" si="1067"/>
        <v>193.48581664044974</v>
      </c>
      <c r="O256" s="215">
        <f t="shared" si="1067"/>
        <v>196.80192828616293</v>
      </c>
      <c r="P256" s="215">
        <f t="shared" si="1067"/>
        <v>186.16069048299079</v>
      </c>
      <c r="Q256" s="216">
        <f t="shared" si="1067"/>
        <v>228.71435144586468</v>
      </c>
      <c r="R256" s="215">
        <f t="shared" si="1067"/>
        <v>225.27934204543891</v>
      </c>
      <c r="S256" s="215">
        <f t="shared" si="1067"/>
        <v>186.16367323012867</v>
      </c>
      <c r="T256" s="215">
        <f t="shared" si="1067"/>
        <v>201.35276411879309</v>
      </c>
      <c r="U256" s="216">
        <f t="shared" si="1067"/>
        <v>205.77797902838185</v>
      </c>
      <c r="V256" s="215">
        <f t="shared" si="1067"/>
        <v>211.46461291192179</v>
      </c>
      <c r="W256" s="215">
        <f t="shared" ref="W256:AI256" si="1068">W245*1000/W159</f>
        <v>219.41635306177335</v>
      </c>
      <c r="X256" s="215">
        <f t="shared" si="1068"/>
        <v>227.26390817761512</v>
      </c>
      <c r="Y256" s="216">
        <f t="shared" si="1068"/>
        <v>237.64550065167796</v>
      </c>
      <c r="Z256" s="215">
        <f t="shared" si="1068"/>
        <v>275.14826338042633</v>
      </c>
      <c r="AA256" s="215">
        <f t="shared" si="1068"/>
        <v>267.11559005640413</v>
      </c>
      <c r="AB256" s="215">
        <f t="shared" si="1068"/>
        <v>284.57498820230597</v>
      </c>
      <c r="AC256" s="216">
        <f t="shared" si="1068"/>
        <v>306.74952729575017</v>
      </c>
      <c r="AD256" s="215">
        <f t="shared" si="1068"/>
        <v>304.53448562373865</v>
      </c>
      <c r="AE256" s="215">
        <f t="shared" si="1068"/>
        <v>133.84638823303834</v>
      </c>
      <c r="AF256" s="215">
        <f t="shared" si="1068"/>
        <v>306.4392680394817</v>
      </c>
      <c r="AG256" s="216">
        <f t="shared" si="1068"/>
        <v>297.67810167549572</v>
      </c>
      <c r="AH256" s="215">
        <f t="shared" si="1068"/>
        <v>257.07152373789717</v>
      </c>
      <c r="AI256" s="215">
        <f t="shared" si="1068"/>
        <v>248.70807061103096</v>
      </c>
      <c r="AJ256" s="215">
        <f t="shared" ref="AJ256:AL256" si="1069">AJ245*1000/AJ159</f>
        <v>263.48223922515467</v>
      </c>
      <c r="AK256" s="216">
        <f t="shared" si="1069"/>
        <v>273.30809996179732</v>
      </c>
      <c r="AL256" s="215">
        <f t="shared" si="1069"/>
        <v>280.0664985293285</v>
      </c>
      <c r="AM256" s="215">
        <f t="shared" si="1036"/>
        <v>290.14889247638433</v>
      </c>
      <c r="AN256" s="215">
        <f t="shared" si="1037"/>
        <v>278.54293677732898</v>
      </c>
      <c r="AO256" s="216">
        <f t="shared" si="1038"/>
        <v>256.25950183514266</v>
      </c>
      <c r="AP256" s="215">
        <f t="shared" si="1039"/>
        <v>270.35377443607547</v>
      </c>
      <c r="AQ256" s="215">
        <f t="shared" si="1040"/>
        <v>283.87146315787925</v>
      </c>
      <c r="AR256" s="215">
        <f t="shared" si="1041"/>
        <v>289.54889242103684</v>
      </c>
      <c r="AS256" s="216">
        <f t="shared" si="1042"/>
        <v>289.54889242103684</v>
      </c>
      <c r="AT256" s="215">
        <f t="shared" si="1043"/>
        <v>298.23535919366793</v>
      </c>
      <c r="AU256" s="215">
        <f t="shared" si="1044"/>
        <v>301.21771278560459</v>
      </c>
      <c r="AV256" s="215">
        <f t="shared" si="1045"/>
        <v>301.21771278560459</v>
      </c>
      <c r="AW256" s="216">
        <f t="shared" si="1046"/>
        <v>301.21771278560459</v>
      </c>
      <c r="AX256" s="264"/>
      <c r="AY256" s="204"/>
      <c r="AZ256" s="333">
        <f t="shared" si="1054"/>
        <v>252.18064186742828</v>
      </c>
      <c r="BA256" s="215">
        <f t="shared" si="1054"/>
        <v>234.11768623521209</v>
      </c>
      <c r="BB256" s="215">
        <f t="shared" si="1054"/>
        <v>219.57501136326485</v>
      </c>
      <c r="BC256" s="215">
        <f t="shared" si="1047"/>
        <v>202.47793808613778</v>
      </c>
      <c r="BD256" s="215">
        <f t="shared" si="1047"/>
        <v>205.35478129911624</v>
      </c>
      <c r="BE256" s="215">
        <f t="shared" si="1033"/>
        <v>223.614756310682</v>
      </c>
      <c r="BF256" s="215">
        <f t="shared" si="1033"/>
        <v>283.62366232511664</v>
      </c>
      <c r="BG256" s="215">
        <f t="shared" si="1033"/>
        <v>269.8032996696312</v>
      </c>
      <c r="BH256" s="215">
        <f t="shared" si="1034"/>
        <v>260.7265999230126</v>
      </c>
      <c r="BI256" s="215">
        <f t="shared" si="1034"/>
        <v>276.21166638010379</v>
      </c>
      <c r="BJ256" s="215">
        <f t="shared" ref="BJ256:BK256" si="1070">BJ245/BJ159*1000</f>
        <v>283.52562599342968</v>
      </c>
      <c r="BK256" s="215">
        <f t="shared" si="1070"/>
        <v>300.49030947049806</v>
      </c>
    </row>
    <row r="257" spans="1:63" outlineLevel="1">
      <c r="A257" s="290" t="s">
        <v>708</v>
      </c>
      <c r="B257" s="215">
        <f t="shared" ref="B257:J257" si="1071">B246*1000/B160</f>
        <v>374.75198449171427</v>
      </c>
      <c r="C257" s="215">
        <f t="shared" si="1071"/>
        <v>393.78851366440216</v>
      </c>
      <c r="D257" s="215">
        <f t="shared" si="1071"/>
        <v>409.54743795788829</v>
      </c>
      <c r="E257" s="216">
        <f t="shared" si="1071"/>
        <v>411.26324571599844</v>
      </c>
      <c r="F257" s="215">
        <f t="shared" si="1071"/>
        <v>412.43365852409084</v>
      </c>
      <c r="G257" s="215">
        <f t="shared" si="1071"/>
        <v>376.78795483548396</v>
      </c>
      <c r="H257" s="215">
        <f t="shared" si="1071"/>
        <v>373.2746557219491</v>
      </c>
      <c r="I257" s="216">
        <f t="shared" si="1071"/>
        <v>366.92346520609811</v>
      </c>
      <c r="J257" s="215">
        <f t="shared" si="1071"/>
        <v>378.44239951724904</v>
      </c>
      <c r="K257" s="215">
        <f t="shared" si="1050"/>
        <v>370.81220179107004</v>
      </c>
      <c r="L257" s="215">
        <f t="shared" si="1050"/>
        <v>341.37196031553657</v>
      </c>
      <c r="M257" s="216">
        <f t="shared" ref="M257:V257" si="1072">M246*1000/M160</f>
        <v>324.47992460133423</v>
      </c>
      <c r="N257" s="215">
        <f t="shared" si="1072"/>
        <v>311.5816171510935</v>
      </c>
      <c r="O257" s="215">
        <f t="shared" si="1072"/>
        <v>312.79919687050761</v>
      </c>
      <c r="P257" s="215">
        <f t="shared" si="1072"/>
        <v>318.51705910617954</v>
      </c>
      <c r="Q257" s="216">
        <f t="shared" si="1072"/>
        <v>383.73072813724144</v>
      </c>
      <c r="R257" s="215">
        <f t="shared" si="1072"/>
        <v>352.21164759446788</v>
      </c>
      <c r="S257" s="215">
        <f t="shared" si="1072"/>
        <v>280.3291602547381</v>
      </c>
      <c r="T257" s="215">
        <f t="shared" si="1072"/>
        <v>277.41320871358823</v>
      </c>
      <c r="U257" s="216">
        <f t="shared" si="1072"/>
        <v>274.68361238064699</v>
      </c>
      <c r="V257" s="215">
        <f t="shared" si="1072"/>
        <v>264.28919250473848</v>
      </c>
      <c r="W257" s="215">
        <f t="shared" ref="W257:AI257" si="1073">W246*1000/W160</f>
        <v>279.07649858529311</v>
      </c>
      <c r="X257" s="215">
        <f t="shared" si="1073"/>
        <v>287.98798148962294</v>
      </c>
      <c r="Y257" s="216">
        <f t="shared" si="1073"/>
        <v>299.74559091125445</v>
      </c>
      <c r="Z257" s="215">
        <f t="shared" si="1073"/>
        <v>378.4510738807889</v>
      </c>
      <c r="AA257" s="215">
        <f t="shared" si="1073"/>
        <v>353.06597481714397</v>
      </c>
      <c r="AB257" s="215">
        <f t="shared" si="1073"/>
        <v>398.19165974286693</v>
      </c>
      <c r="AC257" s="216">
        <f t="shared" si="1073"/>
        <v>396.24823404030991</v>
      </c>
      <c r="AD257" s="215">
        <f t="shared" si="1073"/>
        <v>420.60813811040953</v>
      </c>
      <c r="AE257" s="215">
        <f t="shared" si="1073"/>
        <v>504.54098457492557</v>
      </c>
      <c r="AF257" s="215">
        <f t="shared" si="1073"/>
        <v>447.15282021232201</v>
      </c>
      <c r="AG257" s="216">
        <f t="shared" si="1073"/>
        <v>308.96097661589363</v>
      </c>
      <c r="AH257" s="215">
        <f t="shared" si="1073"/>
        <v>319.43380616569624</v>
      </c>
      <c r="AI257" s="215">
        <f t="shared" si="1073"/>
        <v>315.26459395590757</v>
      </c>
      <c r="AJ257" s="215">
        <f t="shared" ref="AJ257:AL257" si="1074">AJ246*1000/AJ160</f>
        <v>335.03827690762051</v>
      </c>
      <c r="AK257" s="216">
        <f t="shared" si="1074"/>
        <v>348.54289668451224</v>
      </c>
      <c r="AL257" s="215">
        <f t="shared" si="1074"/>
        <v>348.54289668451236</v>
      </c>
      <c r="AM257" s="215">
        <f t="shared" si="1036"/>
        <v>361.09044096515481</v>
      </c>
      <c r="AN257" s="215">
        <f t="shared" si="1037"/>
        <v>346.6468233265486</v>
      </c>
      <c r="AO257" s="216">
        <f t="shared" si="1038"/>
        <v>318.9150774604247</v>
      </c>
      <c r="AP257" s="215">
        <f t="shared" si="1039"/>
        <v>336.45540672074804</v>
      </c>
      <c r="AQ257" s="215">
        <f t="shared" si="1040"/>
        <v>353.27817705678547</v>
      </c>
      <c r="AR257" s="215">
        <f t="shared" si="1041"/>
        <v>360.34374059792117</v>
      </c>
      <c r="AS257" s="216">
        <f t="shared" si="1042"/>
        <v>360.34374059792117</v>
      </c>
      <c r="AT257" s="215">
        <f t="shared" si="1043"/>
        <v>371.15405281585879</v>
      </c>
      <c r="AU257" s="215">
        <f t="shared" si="1044"/>
        <v>374.86559334401738</v>
      </c>
      <c r="AV257" s="215">
        <f t="shared" si="1045"/>
        <v>374.86559334401738</v>
      </c>
      <c r="AW257" s="216">
        <f t="shared" si="1046"/>
        <v>374.86559334401738</v>
      </c>
      <c r="AX257" s="264"/>
      <c r="AY257" s="204"/>
      <c r="AZ257" s="333">
        <f t="shared" si="1054"/>
        <v>392.55177718106086</v>
      </c>
      <c r="BA257" s="215">
        <f t="shared" si="1054"/>
        <v>381.08444196693353</v>
      </c>
      <c r="BB257" s="215">
        <f t="shared" si="1054"/>
        <v>353.0785768146954</v>
      </c>
      <c r="BC257" s="215">
        <f t="shared" si="1047"/>
        <v>333.98315763202095</v>
      </c>
      <c r="BD257" s="215">
        <f t="shared" si="1047"/>
        <v>294.27498541681047</v>
      </c>
      <c r="BE257" s="215">
        <f t="shared" si="1033"/>
        <v>281.8396352922021</v>
      </c>
      <c r="BF257" s="215">
        <f t="shared" si="1033"/>
        <v>382.99156032381336</v>
      </c>
      <c r="BG257" s="215">
        <f t="shared" si="1033"/>
        <v>437.0829123647747</v>
      </c>
      <c r="BH257" s="215">
        <f t="shared" si="1034"/>
        <v>329.83371340263932</v>
      </c>
      <c r="BI257" s="215">
        <f t="shared" si="1034"/>
        <v>343.62389664544855</v>
      </c>
      <c r="BJ257" s="215">
        <f t="shared" ref="BJ257:BK257" si="1075">BJ246/BJ160*1000</f>
        <v>352.99435154608801</v>
      </c>
      <c r="BK257" s="215">
        <f t="shared" si="1075"/>
        <v>373.96306026476572</v>
      </c>
    </row>
    <row r="258" spans="1:63" outlineLevel="1">
      <c r="A258" s="290" t="s">
        <v>707</v>
      </c>
      <c r="B258" s="215">
        <f t="shared" ref="B258:J258" si="1076">B247*1000/B161</f>
        <v>283.95675661816614</v>
      </c>
      <c r="C258" s="215">
        <f t="shared" si="1076"/>
        <v>313.45939066025727</v>
      </c>
      <c r="D258" s="215">
        <f t="shared" si="1076"/>
        <v>345.85463962968339</v>
      </c>
      <c r="E258" s="216">
        <f t="shared" si="1076"/>
        <v>335.77815968571332</v>
      </c>
      <c r="F258" s="215">
        <f t="shared" si="1076"/>
        <v>346.0739928191054</v>
      </c>
      <c r="G258" s="215">
        <f t="shared" si="1076"/>
        <v>315.16815534304061</v>
      </c>
      <c r="H258" s="215">
        <f t="shared" si="1076"/>
        <v>304.02720913856069</v>
      </c>
      <c r="I258" s="216">
        <f t="shared" si="1076"/>
        <v>311.00563476556067</v>
      </c>
      <c r="J258" s="215">
        <f t="shared" si="1076"/>
        <v>326.90749537002085</v>
      </c>
      <c r="K258" s="215">
        <f t="shared" si="1050"/>
        <v>319.58382297729156</v>
      </c>
      <c r="L258" s="215">
        <f t="shared" si="1050"/>
        <v>291.16593069991114</v>
      </c>
      <c r="M258" s="216">
        <f t="shared" ref="M258:V258" si="1077">M247*1000/M161</f>
        <v>274.82681291937865</v>
      </c>
      <c r="N258" s="215">
        <f t="shared" si="1077"/>
        <v>264.64486652099464</v>
      </c>
      <c r="O258" s="215">
        <f t="shared" si="1077"/>
        <v>270.17690068486667</v>
      </c>
      <c r="P258" s="215">
        <f t="shared" si="1077"/>
        <v>262.76681973767091</v>
      </c>
      <c r="Q258" s="216">
        <f t="shared" si="1077"/>
        <v>323.60565581919747</v>
      </c>
      <c r="R258" s="215">
        <f t="shared" si="1077"/>
        <v>263.53066701345165</v>
      </c>
      <c r="S258" s="215">
        <f t="shared" si="1077"/>
        <v>186.04164355974612</v>
      </c>
      <c r="T258" s="215">
        <f t="shared" si="1077"/>
        <v>170.1771542517499</v>
      </c>
      <c r="U258" s="216">
        <f t="shared" si="1077"/>
        <v>170.79101947453213</v>
      </c>
      <c r="V258" s="215">
        <f t="shared" si="1077"/>
        <v>139.04253659374052</v>
      </c>
      <c r="W258" s="215">
        <f t="shared" ref="W258:AI258" si="1078">W247*1000/W161</f>
        <v>147.49582248657472</v>
      </c>
      <c r="X258" s="215">
        <f t="shared" si="1078"/>
        <v>151.1800993744682</v>
      </c>
      <c r="Y258" s="216">
        <f t="shared" si="1078"/>
        <v>175.26672973384836</v>
      </c>
      <c r="Z258" s="215">
        <f t="shared" si="1078"/>
        <v>225.13730642167485</v>
      </c>
      <c r="AA258" s="215">
        <f t="shared" si="1078"/>
        <v>173.32207320182422</v>
      </c>
      <c r="AB258" s="215">
        <f t="shared" si="1078"/>
        <v>142.84099099109227</v>
      </c>
      <c r="AC258" s="216">
        <f t="shared" si="1078"/>
        <v>152.74956958504748</v>
      </c>
      <c r="AD258" s="215">
        <f t="shared" si="1078"/>
        <v>195.74177973396814</v>
      </c>
      <c r="AE258" s="215">
        <f t="shared" si="1078"/>
        <v>243.991436242937</v>
      </c>
      <c r="AF258" s="215">
        <f t="shared" si="1078"/>
        <v>169.09996463267677</v>
      </c>
      <c r="AG258" s="216">
        <f t="shared" si="1078"/>
        <v>48.369850387006608</v>
      </c>
      <c r="AH258" s="215">
        <f t="shared" si="1078"/>
        <v>161.93580166902217</v>
      </c>
      <c r="AI258" s="215">
        <f t="shared" si="1078"/>
        <v>186.82778318065641</v>
      </c>
      <c r="AJ258" s="215">
        <f t="shared" ref="AJ258:AL258" si="1079">AJ247*1000/AJ161</f>
        <v>96.431994277997489</v>
      </c>
      <c r="AK258" s="216">
        <f t="shared" si="1079"/>
        <v>49.303048947864461</v>
      </c>
      <c r="AL258" s="215">
        <f t="shared" si="1079"/>
        <v>65.305467420779138</v>
      </c>
      <c r="AM258" s="215">
        <f t="shared" si="1036"/>
        <v>67.65646424792719</v>
      </c>
      <c r="AN258" s="215">
        <f t="shared" si="1037"/>
        <v>64.950205678010093</v>
      </c>
      <c r="AO258" s="216">
        <f t="shared" si="1038"/>
        <v>59.754189223769288</v>
      </c>
      <c r="AP258" s="215">
        <f t="shared" si="1039"/>
        <v>63.040669631076597</v>
      </c>
      <c r="AQ258" s="215">
        <f t="shared" si="1040"/>
        <v>66.192703112630426</v>
      </c>
      <c r="AR258" s="215">
        <f t="shared" si="1041"/>
        <v>67.516557174883033</v>
      </c>
      <c r="AS258" s="216">
        <f t="shared" si="1042"/>
        <v>67.516557174883033</v>
      </c>
      <c r="AT258" s="215">
        <f t="shared" si="1043"/>
        <v>69.542053890129523</v>
      </c>
      <c r="AU258" s="215">
        <f t="shared" si="1044"/>
        <v>70.237474429030826</v>
      </c>
      <c r="AV258" s="215">
        <f t="shared" si="1045"/>
        <v>70.237474429030826</v>
      </c>
      <c r="AW258" s="216">
        <f t="shared" si="1046"/>
        <v>70.237474429030826</v>
      </c>
      <c r="AX258" s="264"/>
      <c r="AY258" s="204"/>
      <c r="AZ258" s="333">
        <f t="shared" si="1054"/>
        <v>321.38089506751203</v>
      </c>
      <c r="BA258" s="215">
        <f t="shared" si="1054"/>
        <v>317.97381231643868</v>
      </c>
      <c r="BB258" s="215">
        <f t="shared" si="1054"/>
        <v>303.10224509385085</v>
      </c>
      <c r="BC258" s="215">
        <f t="shared" si="1047"/>
        <v>280.108503748945</v>
      </c>
      <c r="BD258" s="215">
        <f t="shared" si="1047"/>
        <v>194.88170279920072</v>
      </c>
      <c r="BE258" s="215">
        <f t="shared" si="1033"/>
        <v>152.15423821896351</v>
      </c>
      <c r="BF258" s="215">
        <f t="shared" si="1033"/>
        <v>169.6998736150247</v>
      </c>
      <c r="BG258" s="215">
        <f t="shared" si="1033"/>
        <v>180.42247512550989</v>
      </c>
      <c r="BH258" s="215">
        <f t="shared" si="1034"/>
        <v>121.98087689808328</v>
      </c>
      <c r="BI258" s="215">
        <f t="shared" si="1034"/>
        <v>64.464200687553088</v>
      </c>
      <c r="BJ258" s="215">
        <f t="shared" ref="BJ258:BK258" si="1080">BJ247/BJ161*1000</f>
        <v>66.139523553332722</v>
      </c>
      <c r="BK258" s="215">
        <f t="shared" si="1080"/>
        <v>70.068369434598537</v>
      </c>
    </row>
    <row r="259" spans="1:63" outlineLevel="1">
      <c r="A259" s="304" t="s">
        <v>827</v>
      </c>
      <c r="B259" s="360">
        <f t="shared" ref="B259:J259" si="1081">B248*1000/B162</f>
        <v>183.54362375361032</v>
      </c>
      <c r="C259" s="360">
        <f t="shared" si="1081"/>
        <v>191.27200118943892</v>
      </c>
      <c r="D259" s="360">
        <f t="shared" si="1081"/>
        <v>203.63917985785503</v>
      </c>
      <c r="E259" s="361">
        <f t="shared" si="1081"/>
        <v>199.7802567475625</v>
      </c>
      <c r="F259" s="360">
        <f t="shared" si="1081"/>
        <v>209.14424757237904</v>
      </c>
      <c r="G259" s="360">
        <f t="shared" si="1081"/>
        <v>191.10614572343545</v>
      </c>
      <c r="H259" s="360">
        <f t="shared" si="1081"/>
        <v>178.56654428839178</v>
      </c>
      <c r="I259" s="361">
        <f t="shared" si="1081"/>
        <v>182.82572961874564</v>
      </c>
      <c r="J259" s="360">
        <f t="shared" si="1081"/>
        <v>185.79228633439701</v>
      </c>
      <c r="K259" s="360">
        <f t="shared" si="1050"/>
        <v>182.2101516548683</v>
      </c>
      <c r="L259" s="360">
        <f t="shared" si="1050"/>
        <v>167.74376991742113</v>
      </c>
      <c r="M259" s="361">
        <f t="shared" ref="M259:V259" si="1082">M248*1000/M162</f>
        <v>153.65012787584988</v>
      </c>
      <c r="N259" s="360">
        <f t="shared" si="1082"/>
        <v>152.36554299215817</v>
      </c>
      <c r="O259" s="360">
        <f t="shared" si="1082"/>
        <v>153.64482931481163</v>
      </c>
      <c r="P259" s="360">
        <f t="shared" si="1082"/>
        <v>157.05660480386143</v>
      </c>
      <c r="Q259" s="361">
        <f t="shared" si="1082"/>
        <v>186.08568962225141</v>
      </c>
      <c r="R259" s="360">
        <f t="shared" si="1082"/>
        <v>172.74594873426739</v>
      </c>
      <c r="S259" s="360">
        <f t="shared" si="1082"/>
        <v>135.03198053100033</v>
      </c>
      <c r="T259" s="360">
        <f t="shared" si="1082"/>
        <v>132.1075370955069</v>
      </c>
      <c r="U259" s="361">
        <f t="shared" si="1082"/>
        <v>131.24460716856245</v>
      </c>
      <c r="V259" s="360">
        <f t="shared" si="1082"/>
        <v>126.99235652907623</v>
      </c>
      <c r="W259" s="360">
        <f t="shared" ref="W259:AI259" si="1083">W248*1000/W162</f>
        <v>133.32830740332068</v>
      </c>
      <c r="X259" s="360">
        <f t="shared" si="1083"/>
        <v>137.68270723953697</v>
      </c>
      <c r="Y259" s="361">
        <f t="shared" si="1083"/>
        <v>145.67225842391514</v>
      </c>
      <c r="Z259" s="360">
        <f t="shared" si="1083"/>
        <v>129.48878908918132</v>
      </c>
      <c r="AA259" s="360">
        <f t="shared" si="1083"/>
        <v>125.99425498813318</v>
      </c>
      <c r="AB259" s="360">
        <f t="shared" si="1083"/>
        <v>147.37452884961291</v>
      </c>
      <c r="AC259" s="361">
        <f t="shared" si="1083"/>
        <v>137.26399239835658</v>
      </c>
      <c r="AD259" s="360">
        <f t="shared" si="1083"/>
        <v>157.55009653855743</v>
      </c>
      <c r="AE259" s="360">
        <f t="shared" si="1083"/>
        <v>238.32350848989083</v>
      </c>
      <c r="AF259" s="360">
        <f t="shared" si="1083"/>
        <v>166.21594615590746</v>
      </c>
      <c r="AG259" s="361">
        <f t="shared" si="1083"/>
        <v>180.03132841042475</v>
      </c>
      <c r="AH259" s="360">
        <f t="shared" si="1083"/>
        <v>83.22760730160276</v>
      </c>
      <c r="AI259" s="360">
        <f t="shared" si="1083"/>
        <v>90.289370290320051</v>
      </c>
      <c r="AJ259" s="360">
        <f t="shared" ref="AJ259:AL259" si="1084">AJ248*1000/AJ162</f>
        <v>92.204179242245388</v>
      </c>
      <c r="AK259" s="361">
        <f t="shared" si="1084"/>
        <v>95.92071692862514</v>
      </c>
      <c r="AL259" s="360">
        <f t="shared" si="1084"/>
        <v>95.92071692862514</v>
      </c>
      <c r="AM259" s="360">
        <f t="shared" si="1036"/>
        <v>99.373862738055649</v>
      </c>
      <c r="AN259" s="360">
        <f t="shared" si="1037"/>
        <v>95.398908228533415</v>
      </c>
      <c r="AO259" s="361">
        <f t="shared" si="1038"/>
        <v>87.766995570250742</v>
      </c>
      <c r="AP259" s="360">
        <f t="shared" si="1039"/>
        <v>92.594180326614534</v>
      </c>
      <c r="AQ259" s="360">
        <f t="shared" si="1040"/>
        <v>97.22388934294527</v>
      </c>
      <c r="AR259" s="360">
        <f t="shared" si="1041"/>
        <v>99.168367129804182</v>
      </c>
      <c r="AS259" s="361">
        <f t="shared" si="1042"/>
        <v>99.168367129804182</v>
      </c>
      <c r="AT259" s="360">
        <f t="shared" si="1043"/>
        <v>102.14341814369831</v>
      </c>
      <c r="AU259" s="360">
        <f t="shared" si="1044"/>
        <v>103.1648523251353</v>
      </c>
      <c r="AV259" s="360">
        <f t="shared" si="1045"/>
        <v>103.1648523251353</v>
      </c>
      <c r="AW259" s="361">
        <f t="shared" si="1046"/>
        <v>103.1648523251353</v>
      </c>
      <c r="AX259" s="264"/>
      <c r="AY259" s="217"/>
      <c r="AZ259" s="362">
        <f t="shared" si="1054"/>
        <v>195.20360933250831</v>
      </c>
      <c r="BA259" s="360">
        <f t="shared" si="1054"/>
        <v>190.00220937868269</v>
      </c>
      <c r="BB259" s="360">
        <f t="shared" si="1054"/>
        <v>171.41876081264212</v>
      </c>
      <c r="BC259" s="360">
        <f t="shared" si="1047"/>
        <v>162.10607234445072</v>
      </c>
      <c r="BD259" s="360">
        <f t="shared" si="1047"/>
        <v>142.4167869828926</v>
      </c>
      <c r="BE259" s="360">
        <f t="shared" si="1033"/>
        <v>135.43725462868986</v>
      </c>
      <c r="BF259" s="360">
        <f t="shared" si="1033"/>
        <v>135.62427379283707</v>
      </c>
      <c r="BG259" s="360">
        <f t="shared" si="1033"/>
        <v>192.08082599350942</v>
      </c>
      <c r="BH259" s="360">
        <f t="shared" si="1034"/>
        <v>90.525682698877858</v>
      </c>
      <c r="BI259" s="360">
        <f t="shared" si="1034"/>
        <v>94.861981974478482</v>
      </c>
      <c r="BJ259" s="360">
        <f t="shared" ref="BJ259:BK259" si="1085">BJ248/BJ162*1000</f>
        <v>97.145779168479791</v>
      </c>
      <c r="BK259" s="360">
        <f t="shared" si="1085"/>
        <v>102.9164707892121</v>
      </c>
    </row>
    <row r="260" spans="1:63">
      <c r="A260" s="641" t="s">
        <v>830</v>
      </c>
      <c r="B260" s="343">
        <f t="shared" ref="B260:J260" si="1086">B249*1000/B163</f>
        <v>342.75377112344751</v>
      </c>
      <c r="C260" s="343">
        <f t="shared" si="1086"/>
        <v>362.80294912627033</v>
      </c>
      <c r="D260" s="343">
        <f t="shared" si="1086"/>
        <v>376.27569632699186</v>
      </c>
      <c r="E260" s="344">
        <f t="shared" si="1086"/>
        <v>379.10689578163993</v>
      </c>
      <c r="F260" s="343">
        <f t="shared" si="1086"/>
        <v>362.38422210533128</v>
      </c>
      <c r="G260" s="343">
        <f t="shared" si="1086"/>
        <v>344.18444119853524</v>
      </c>
      <c r="H260" s="343">
        <f t="shared" si="1086"/>
        <v>327.83358153987012</v>
      </c>
      <c r="I260" s="344">
        <f t="shared" si="1086"/>
        <v>323.13061600243083</v>
      </c>
      <c r="J260" s="343">
        <f t="shared" si="1086"/>
        <v>325.31381109901582</v>
      </c>
      <c r="K260" s="343">
        <f t="shared" si="1050"/>
        <v>324.04069631305521</v>
      </c>
      <c r="L260" s="343">
        <f t="shared" si="1050"/>
        <v>301.63695348259103</v>
      </c>
      <c r="M260" s="344">
        <f t="shared" ref="M260:V260" si="1087">M249*1000/M163</f>
        <v>288.02585333731514</v>
      </c>
      <c r="N260" s="343">
        <f t="shared" si="1087"/>
        <v>280.56592097611889</v>
      </c>
      <c r="O260" s="343">
        <f t="shared" si="1087"/>
        <v>287.18896695507294</v>
      </c>
      <c r="P260" s="343">
        <f t="shared" si="1087"/>
        <v>310.88350795644101</v>
      </c>
      <c r="Q260" s="344">
        <f t="shared" si="1087"/>
        <v>337.18822945243215</v>
      </c>
      <c r="R260" s="343">
        <f t="shared" si="1087"/>
        <v>317.15602092730461</v>
      </c>
      <c r="S260" s="343">
        <f t="shared" si="1087"/>
        <v>287.66979038310762</v>
      </c>
      <c r="T260" s="343">
        <f t="shared" si="1087"/>
        <v>294.90864831672098</v>
      </c>
      <c r="U260" s="344">
        <f t="shared" si="1087"/>
        <v>291.67062266237389</v>
      </c>
      <c r="V260" s="343">
        <f t="shared" si="1087"/>
        <v>308.58250064065624</v>
      </c>
      <c r="W260" s="343">
        <f t="shared" ref="W260:AI260" si="1088">W249*1000/W163</f>
        <v>343.92642892506331</v>
      </c>
      <c r="X260" s="343">
        <f t="shared" si="1088"/>
        <v>355.07323475763906</v>
      </c>
      <c r="Y260" s="344">
        <f t="shared" si="1088"/>
        <v>366.70747788532628</v>
      </c>
      <c r="Z260" s="343">
        <f t="shared" si="1088"/>
        <v>471.2762936610967</v>
      </c>
      <c r="AA260" s="343">
        <f t="shared" si="1088"/>
        <v>427.59767703569383</v>
      </c>
      <c r="AB260" s="343">
        <f t="shared" si="1088"/>
        <v>433.95542890141832</v>
      </c>
      <c r="AC260" s="344">
        <f t="shared" si="1088"/>
        <v>422.06708355572124</v>
      </c>
      <c r="AD260" s="343">
        <f t="shared" si="1088"/>
        <v>436.50329117478447</v>
      </c>
      <c r="AE260" s="343">
        <f t="shared" si="1088"/>
        <v>392.38421791957882</v>
      </c>
      <c r="AF260" s="343">
        <f t="shared" si="1088"/>
        <v>445.21449032307919</v>
      </c>
      <c r="AG260" s="344">
        <f t="shared" si="1088"/>
        <v>396.76513955489639</v>
      </c>
      <c r="AH260" s="343">
        <f t="shared" si="1088"/>
        <v>374.19264532515939</v>
      </c>
      <c r="AI260" s="343">
        <f t="shared" si="1088"/>
        <v>382.69406873630902</v>
      </c>
      <c r="AJ260" s="343">
        <f t="shared" ref="AJ260:AL260" si="1089">AJ249*1000/AJ163</f>
        <v>386.25449218932863</v>
      </c>
      <c r="AK260" s="344">
        <f t="shared" si="1089"/>
        <v>372.36995717642759</v>
      </c>
      <c r="AL260" s="343">
        <f t="shared" si="1089"/>
        <v>400.25080419084333</v>
      </c>
      <c r="AM260" s="343">
        <f t="shared" ref="AM260:AO260" si="1090">AM249*1000/AM163</f>
        <v>394.63317930478337</v>
      </c>
      <c r="AN260" s="343">
        <f t="shared" si="1090"/>
        <v>394.71093729954481</v>
      </c>
      <c r="AO260" s="344">
        <f t="shared" si="1090"/>
        <v>362.58839244100966</v>
      </c>
      <c r="AP260" s="343">
        <f t="shared" ref="AP260:AS260" si="1091">AP249*1000/AP163</f>
        <v>377.21904677386169</v>
      </c>
      <c r="AQ260" s="343">
        <f t="shared" si="1091"/>
        <v>400.38327153363929</v>
      </c>
      <c r="AR260" s="343">
        <f t="shared" si="1091"/>
        <v>413.00314149775318</v>
      </c>
      <c r="AS260" s="344">
        <f t="shared" si="1091"/>
        <v>412.74609071473293</v>
      </c>
      <c r="AT260" s="343">
        <f t="shared" ref="AT260:AW260" si="1092">AT249*1000/AT163</f>
        <v>428.70957336450471</v>
      </c>
      <c r="AU260" s="343">
        <f t="shared" si="1092"/>
        <v>434.99726495114771</v>
      </c>
      <c r="AV260" s="343">
        <f t="shared" si="1092"/>
        <v>440.2262561227206</v>
      </c>
      <c r="AW260" s="344">
        <f t="shared" si="1092"/>
        <v>440.94425518926391</v>
      </c>
      <c r="AX260" s="264"/>
      <c r="AY260" s="452"/>
      <c r="AZ260" s="555">
        <f t="shared" si="1054"/>
        <v>365.32386603442211</v>
      </c>
      <c r="BA260" s="453">
        <f t="shared" si="1054"/>
        <v>338.5601141986636</v>
      </c>
      <c r="BB260" s="453">
        <f t="shared" si="1054"/>
        <v>308.86369047382306</v>
      </c>
      <c r="BC260" s="453">
        <f t="shared" si="1047"/>
        <v>303.96570905888859</v>
      </c>
      <c r="BD260" s="453">
        <f t="shared" si="1047"/>
        <v>297.34933519626048</v>
      </c>
      <c r="BE260" s="453">
        <f t="shared" si="1033"/>
        <v>342.63850156349832</v>
      </c>
      <c r="BF260" s="453">
        <f t="shared" si="1033"/>
        <v>437.00338442353188</v>
      </c>
      <c r="BG260" s="453">
        <f t="shared" si="1033"/>
        <v>417.32370240280329</v>
      </c>
      <c r="BH260" s="453">
        <f t="shared" si="1034"/>
        <v>378.92456232679905</v>
      </c>
      <c r="BI260" s="453">
        <f t="shared" si="1034"/>
        <v>387.32100398018315</v>
      </c>
      <c r="BJ260" s="453">
        <f t="shared" ref="BJ260:BK260" si="1093">BJ249/BJ163*1000</f>
        <v>401.86363241840883</v>
      </c>
      <c r="BK260" s="453">
        <f t="shared" si="1093"/>
        <v>436.45289959696504</v>
      </c>
    </row>
    <row r="261" spans="1:63">
      <c r="A261" s="207" t="s">
        <v>831</v>
      </c>
      <c r="L261" s="209"/>
      <c r="P261" s="209"/>
      <c r="Q261" s="210"/>
      <c r="R261" s="209"/>
      <c r="S261" s="209"/>
      <c r="T261" s="209"/>
      <c r="U261" s="210"/>
      <c r="V261" s="209"/>
      <c r="AK261" s="299"/>
      <c r="AO261" s="299"/>
      <c r="AS261" s="299"/>
      <c r="AW261" s="299"/>
      <c r="AX261" s="264"/>
      <c r="AY261" s="410"/>
      <c r="AZ261" s="410"/>
      <c r="BA261" s="554"/>
      <c r="BB261" s="554"/>
      <c r="BC261" s="554"/>
      <c r="BD261" s="554"/>
      <c r="BE261" s="554"/>
      <c r="BF261" s="554"/>
      <c r="BG261" s="554"/>
      <c r="BH261" s="554"/>
      <c r="BI261" s="554"/>
    </row>
    <row r="262" spans="1:63">
      <c r="A262" s="290" t="s">
        <v>1204</v>
      </c>
      <c r="L262" s="209"/>
      <c r="P262" s="209"/>
      <c r="Q262" s="210"/>
      <c r="R262" s="209"/>
      <c r="S262" s="209"/>
      <c r="T262" s="209"/>
      <c r="U262" s="210"/>
      <c r="V262" s="209"/>
      <c r="AL262" s="231">
        <f t="shared" ref="S262:AL263" si="1094">AL251/AK251-1</f>
        <v>0</v>
      </c>
      <c r="AM262" s="389">
        <v>-0.1</v>
      </c>
      <c r="AN262" s="389">
        <f>AM262</f>
        <v>-0.1</v>
      </c>
      <c r="AO262" s="430">
        <v>-0.1</v>
      </c>
      <c r="AP262" s="389">
        <v>5.5E-2</v>
      </c>
      <c r="AQ262" s="389">
        <v>0.05</v>
      </c>
      <c r="AR262" s="389">
        <v>0.02</v>
      </c>
      <c r="AS262" s="430">
        <v>0</v>
      </c>
      <c r="AT262" s="389">
        <v>0.03</v>
      </c>
      <c r="AU262" s="389">
        <v>0.01</v>
      </c>
      <c r="AV262" s="389">
        <v>0</v>
      </c>
      <c r="AW262" s="430">
        <v>0</v>
      </c>
      <c r="AX262" s="264"/>
      <c r="AY262" s="204"/>
      <c r="AZ262" s="204"/>
    </row>
    <row r="263" spans="1:63">
      <c r="A263" s="290" t="s">
        <v>935</v>
      </c>
      <c r="C263" s="231"/>
      <c r="D263" s="231"/>
      <c r="E263" s="454"/>
      <c r="F263" s="231"/>
      <c r="G263" s="231"/>
      <c r="H263" s="231"/>
      <c r="I263" s="454"/>
      <c r="J263" s="231"/>
      <c r="K263" s="231"/>
      <c r="L263" s="455"/>
      <c r="M263" s="673"/>
      <c r="N263" s="231">
        <f t="shared" ref="D263:AL264" si="1095">N252/M252-1</f>
        <v>-1.9047619047618869E-2</v>
      </c>
      <c r="O263" s="231">
        <f t="shared" si="1095"/>
        <v>-0.16915746970063961</v>
      </c>
      <c r="P263" s="231">
        <f t="shared" si="1095"/>
        <v>2.556785283360119E-3</v>
      </c>
      <c r="Q263" s="454">
        <f t="shared" si="1095"/>
        <v>0.2206882104675969</v>
      </c>
      <c r="R263" s="231">
        <f t="shared" si="1095"/>
        <v>-8.9999999999999747E-2</v>
      </c>
      <c r="S263" s="231">
        <f t="shared" si="1094"/>
        <v>-0.21659239111143125</v>
      </c>
      <c r="T263" s="231">
        <f t="shared" si="1094"/>
        <v>-7.898822470834066E-3</v>
      </c>
      <c r="U263" s="454">
        <f t="shared" si="1094"/>
        <v>-2.6400760524491362E-2</v>
      </c>
      <c r="V263" s="231">
        <f t="shared" si="1094"/>
        <v>0.11638735263691591</v>
      </c>
      <c r="W263" s="231">
        <f>W252/V252-1</f>
        <v>8.8077015924728608E-2</v>
      </c>
      <c r="X263" s="231">
        <f t="shared" si="1094"/>
        <v>3.7697536644730967E-2</v>
      </c>
      <c r="Y263" s="454">
        <f t="shared" si="1094"/>
        <v>3.2888715880852182E-2</v>
      </c>
      <c r="Z263" s="231">
        <f t="shared" si="1094"/>
        <v>0.20462768163007672</v>
      </c>
      <c r="AA263" s="231">
        <f t="shared" si="1094"/>
        <v>-0.10633415520117562</v>
      </c>
      <c r="AB263" s="231">
        <f t="shared" si="1094"/>
        <v>3.358301048467105E-2</v>
      </c>
      <c r="AC263" s="454">
        <f t="shared" si="1094"/>
        <v>-3.2474527628479466E-2</v>
      </c>
      <c r="AD263" s="231">
        <f t="shared" si="1094"/>
        <v>5.5475176226627676E-2</v>
      </c>
      <c r="AE263" s="231">
        <f t="shared" si="1094"/>
        <v>-4.2934212030861119E-2</v>
      </c>
      <c r="AF263" s="231">
        <f t="shared" si="1094"/>
        <v>-2.0390307638653571E-3</v>
      </c>
      <c r="AG263" s="454">
        <f t="shared" si="1094"/>
        <v>-7.8907690603581937E-2</v>
      </c>
      <c r="AH263" s="231">
        <f t="shared" si="1094"/>
        <v>-9.9451627217573613E-2</v>
      </c>
      <c r="AI263" s="231">
        <f t="shared" si="1094"/>
        <v>-8.6956297816554673E-2</v>
      </c>
      <c r="AJ263" s="231">
        <f t="shared" si="1094"/>
        <v>5.0739515640933153E-2</v>
      </c>
      <c r="AK263" s="454">
        <f t="shared" si="1094"/>
        <v>-5.7550849387078662E-2</v>
      </c>
      <c r="AL263" s="231">
        <f t="shared" si="1094"/>
        <v>1.0000000000000009E-2</v>
      </c>
      <c r="AM263" s="389">
        <v>3.5999999999999997E-2</v>
      </c>
      <c r="AN263" s="389">
        <v>-0.04</v>
      </c>
      <c r="AO263" s="430">
        <v>-0.08</v>
      </c>
      <c r="AP263" s="389">
        <f>AP262</f>
        <v>5.5E-2</v>
      </c>
      <c r="AQ263" s="389">
        <v>0.05</v>
      </c>
      <c r="AR263" s="389">
        <v>0.02</v>
      </c>
      <c r="AS263" s="430">
        <v>0</v>
      </c>
      <c r="AT263" s="389">
        <v>0.03</v>
      </c>
      <c r="AU263" s="389">
        <f>AU262</f>
        <v>0.01</v>
      </c>
      <c r="AV263" s="389">
        <v>0</v>
      </c>
      <c r="AW263" s="430">
        <v>0</v>
      </c>
      <c r="AX263" s="264"/>
      <c r="AY263" s="204"/>
      <c r="AZ263" s="204"/>
      <c r="BC263" s="264">
        <f t="shared" ref="BC263:BK263" si="1096">BC252/BB252-1</f>
        <v>-0.14877034131157474</v>
      </c>
      <c r="BD263" s="264">
        <f t="shared" si="1096"/>
        <v>-0.15884307718198876</v>
      </c>
      <c r="BE263" s="264">
        <f t="shared" si="1096"/>
        <v>0.17019402375830084</v>
      </c>
      <c r="BF263" s="264">
        <f t="shared" si="1096"/>
        <v>0.19305155544318775</v>
      </c>
      <c r="BG263" s="264">
        <f t="shared" si="1096"/>
        <v>-3.6637504490611428E-2</v>
      </c>
      <c r="BH263" s="264">
        <f t="shared" si="1096"/>
        <v>-0.21027152401182958</v>
      </c>
      <c r="BI263" s="264">
        <f t="shared" si="1096"/>
        <v>-4.69146385129392E-2</v>
      </c>
      <c r="BJ263" s="264">
        <f t="shared" si="1096"/>
        <v>2.7143710980015889E-2</v>
      </c>
      <c r="BK263" s="264">
        <f t="shared" si="1096"/>
        <v>5.9435716122024251E-2</v>
      </c>
    </row>
    <row r="264" spans="1:63">
      <c r="A264" s="290" t="s">
        <v>712</v>
      </c>
      <c r="C264" s="231">
        <f t="shared" ref="C264:C271" si="1097">C253/B253-1</f>
        <v>-4.4490087287246127E-2</v>
      </c>
      <c r="D264" s="231">
        <f t="shared" si="1095"/>
        <v>-3.7596841647749901E-2</v>
      </c>
      <c r="E264" s="454">
        <f t="shared" si="1095"/>
        <v>2.6914111033279786E-2</v>
      </c>
      <c r="F264" s="231">
        <f t="shared" si="1095"/>
        <v>-5.2265432378227672E-2</v>
      </c>
      <c r="G264" s="231">
        <f t="shared" si="1095"/>
        <v>-6.1971167395932336E-2</v>
      </c>
      <c r="H264" s="231">
        <f t="shared" si="1095"/>
        <v>-1.5255436212687101E-2</v>
      </c>
      <c r="I264" s="454">
        <f t="shared" si="1095"/>
        <v>-2.0661095630907012E-2</v>
      </c>
      <c r="J264" s="231">
        <f t="shared" si="1095"/>
        <v>-1.3865195656208251E-2</v>
      </c>
      <c r="K264" s="231">
        <f t="shared" si="1095"/>
        <v>-5.1331215681748033E-3</v>
      </c>
      <c r="L264" s="231">
        <f t="shared" si="1095"/>
        <v>-5.0000000000000155E-2</v>
      </c>
      <c r="M264" s="454">
        <f t="shared" si="1095"/>
        <v>-1.3436691448882265E-2</v>
      </c>
      <c r="N264" s="231">
        <f t="shared" si="1095"/>
        <v>-1.6822882742581369E-2</v>
      </c>
      <c r="O264" s="231">
        <f t="shared" si="1095"/>
        <v>2.9909343030152469E-2</v>
      </c>
      <c r="P264" s="231">
        <f t="shared" si="1095"/>
        <v>9.6792260902351934E-3</v>
      </c>
      <c r="Q264" s="454">
        <f t="shared" si="1095"/>
        <v>0.30355208296762148</v>
      </c>
      <c r="R264" s="231">
        <f t="shared" si="1095"/>
        <v>-0.16825482534749736</v>
      </c>
      <c r="S264" s="231">
        <f t="shared" si="1095"/>
        <v>-0.22929992705324997</v>
      </c>
      <c r="T264" s="231">
        <f t="shared" si="1095"/>
        <v>-0.19669188752700295</v>
      </c>
      <c r="U264" s="454">
        <f t="shared" si="1095"/>
        <v>-0.11444383737598007</v>
      </c>
      <c r="V264" s="231">
        <f t="shared" si="1095"/>
        <v>0.82421018606555019</v>
      </c>
      <c r="W264" s="231">
        <f t="shared" si="1095"/>
        <v>7.2743837854937432E-2</v>
      </c>
      <c r="X264" s="231">
        <f t="shared" si="1095"/>
        <v>5.4073736680201101E-2</v>
      </c>
      <c r="Y264" s="454">
        <f t="shared" si="1095"/>
        <v>-0.19530265589429496</v>
      </c>
      <c r="Z264" s="231">
        <f t="shared" si="1095"/>
        <v>0.34338988539318382</v>
      </c>
      <c r="AA264" s="231">
        <f t="shared" si="1095"/>
        <v>-9.9782563004442437E-3</v>
      </c>
      <c r="AB264" s="231">
        <f t="shared" si="1095"/>
        <v>7.9994326240171443E-3</v>
      </c>
      <c r="AC264" s="454">
        <f t="shared" si="1095"/>
        <v>-6.2358976300710078E-2</v>
      </c>
      <c r="AD264" s="231">
        <f t="shared" si="1095"/>
        <v>1.8563456853679217E-2</v>
      </c>
      <c r="AE264" s="231">
        <f t="shared" si="1095"/>
        <v>-1.6886090804971277E-2</v>
      </c>
      <c r="AF264" s="231">
        <f t="shared" si="1095"/>
        <v>-7.6335765021471325E-3</v>
      </c>
      <c r="AG264" s="454">
        <f t="shared" si="1095"/>
        <v>-0.14997243742661126</v>
      </c>
      <c r="AH264" s="231">
        <f t="shared" si="1095"/>
        <v>-6.9370702636089465E-2</v>
      </c>
      <c r="AI264" s="231">
        <f t="shared" si="1095"/>
        <v>5.0091967991729103E-2</v>
      </c>
      <c r="AJ264" s="231">
        <f t="shared" si="1095"/>
        <v>9.4759460646547389E-2</v>
      </c>
      <c r="AK264" s="454">
        <f t="shared" si="1095"/>
        <v>2.523076923076939E-2</v>
      </c>
      <c r="AL264" s="231">
        <f t="shared" si="1095"/>
        <v>5.5895471356066206E-2</v>
      </c>
      <c r="AM264" s="389">
        <f>AM263</f>
        <v>3.5999999999999997E-2</v>
      </c>
      <c r="AN264" s="389">
        <f>AN263</f>
        <v>-0.04</v>
      </c>
      <c r="AO264" s="430">
        <f>AO263</f>
        <v>-0.08</v>
      </c>
      <c r="AP264" s="389">
        <f t="shared" ref="AP264:AP270" si="1098">AP263</f>
        <v>5.5E-2</v>
      </c>
      <c r="AQ264" s="389">
        <v>0.05</v>
      </c>
      <c r="AR264" s="389">
        <v>0.02</v>
      </c>
      <c r="AS264" s="430">
        <v>0</v>
      </c>
      <c r="AT264" s="389">
        <v>0.03</v>
      </c>
      <c r="AU264" s="389">
        <f t="shared" ref="AU264:AU270" si="1099">AU263</f>
        <v>0.01</v>
      </c>
      <c r="AV264" s="389">
        <v>0</v>
      </c>
      <c r="AW264" s="430">
        <v>0</v>
      </c>
      <c r="AX264" s="264"/>
      <c r="AY264" s="204"/>
      <c r="AZ264" s="204"/>
      <c r="BA264" s="264">
        <f t="shared" ref="BA264:BA271" si="1100">BA253/AZ253-1</f>
        <v>-0.11940893916163886</v>
      </c>
      <c r="BB264" s="264">
        <f t="shared" ref="BB264:BK264" si="1101">BB253/BA253-1</f>
        <v>-8.0776429356757107E-2</v>
      </c>
      <c r="BC264" s="264">
        <f t="shared" si="1101"/>
        <v>2.1971483615839782E-2</v>
      </c>
      <c r="BD264" s="264">
        <f t="shared" si="1101"/>
        <v>-0.25868851264596315</v>
      </c>
      <c r="BE264" s="264">
        <f t="shared" si="1101"/>
        <v>0.48125679775894836</v>
      </c>
      <c r="BF264" s="264">
        <f t="shared" si="1101"/>
        <v>0.14431985113493373</v>
      </c>
      <c r="BG264" s="264">
        <f t="shared" si="1101"/>
        <v>-7.781276318901531E-2</v>
      </c>
      <c r="BH264" s="264">
        <f t="shared" si="1101"/>
        <v>-9.8885486207999751E-2</v>
      </c>
      <c r="BI264" s="264">
        <f t="shared" si="1101"/>
        <v>0.1112862900264151</v>
      </c>
      <c r="BJ264" s="264">
        <f t="shared" si="1101"/>
        <v>2.933762111790772E-2</v>
      </c>
      <c r="BK264" s="264">
        <f t="shared" si="1101"/>
        <v>5.7574655868677826E-2</v>
      </c>
    </row>
    <row r="265" spans="1:63">
      <c r="A265" s="290" t="s">
        <v>711</v>
      </c>
      <c r="C265" s="231">
        <f t="shared" si="1097"/>
        <v>-3.8168165708994173E-2</v>
      </c>
      <c r="D265" s="231">
        <f t="shared" ref="D265:AL265" si="1102">D254/C254-1</f>
        <v>-3.3035514784129805E-2</v>
      </c>
      <c r="E265" s="454">
        <f t="shared" si="1102"/>
        <v>4.6980179525437427E-2</v>
      </c>
      <c r="F265" s="231">
        <f t="shared" si="1102"/>
        <v>-3.2370119514997353E-2</v>
      </c>
      <c r="G265" s="231">
        <f t="shared" si="1102"/>
        <v>-8.4159260905662947E-2</v>
      </c>
      <c r="H265" s="231">
        <f t="shared" si="1102"/>
        <v>-6.6318987130272511E-2</v>
      </c>
      <c r="I265" s="454">
        <f t="shared" si="1102"/>
        <v>-2.2109124220805798E-2</v>
      </c>
      <c r="J265" s="231">
        <f t="shared" si="1102"/>
        <v>-1.221598031028226E-2</v>
      </c>
      <c r="K265" s="231">
        <f t="shared" si="1102"/>
        <v>4.1442012292327579E-3</v>
      </c>
      <c r="L265" s="231">
        <f t="shared" si="1102"/>
        <v>-5.0000000000000155E-2</v>
      </c>
      <c r="M265" s="454">
        <f t="shared" si="1102"/>
        <v>-6.8225922466276012E-2</v>
      </c>
      <c r="N265" s="231">
        <f t="shared" si="1102"/>
        <v>-3.9714580539321975E-2</v>
      </c>
      <c r="O265" s="231">
        <f t="shared" si="1102"/>
        <v>1.0466427301097481E-2</v>
      </c>
      <c r="P265" s="231">
        <f t="shared" si="1102"/>
        <v>-3.4433021320103063E-2</v>
      </c>
      <c r="Q265" s="454">
        <f t="shared" si="1102"/>
        <v>0.33152922037058619</v>
      </c>
      <c r="R265" s="231">
        <f t="shared" si="1102"/>
        <v>2.5589986155648337E-2</v>
      </c>
      <c r="S265" s="231">
        <f t="shared" si="1102"/>
        <v>-8.5545402778297364E-2</v>
      </c>
      <c r="T265" s="231">
        <f t="shared" si="1102"/>
        <v>9.0913614956274369E-2</v>
      </c>
      <c r="U265" s="454">
        <f t="shared" si="1102"/>
        <v>1.5856981312466933E-2</v>
      </c>
      <c r="V265" s="231">
        <f t="shared" si="1102"/>
        <v>-0.13466402646601872</v>
      </c>
      <c r="W265" s="231">
        <f t="shared" si="1102"/>
        <v>6.0742710158926405E-2</v>
      </c>
      <c r="X265" s="231">
        <f t="shared" si="1102"/>
        <v>3.0305479045225958E-2</v>
      </c>
      <c r="Y265" s="454">
        <f t="shared" si="1102"/>
        <v>0.15594233736124008</v>
      </c>
      <c r="Z265" s="231">
        <f t="shared" si="1102"/>
        <v>0.20030108750343079</v>
      </c>
      <c r="AA265" s="231">
        <f t="shared" si="1102"/>
        <v>-1.2079187181818218E-2</v>
      </c>
      <c r="AB265" s="231">
        <f t="shared" si="1102"/>
        <v>1.5346792013318344E-2</v>
      </c>
      <c r="AC265" s="454">
        <f t="shared" si="1102"/>
        <v>7.9497982499294517E-2</v>
      </c>
      <c r="AD265" s="231">
        <f t="shared" si="1102"/>
        <v>-4.7393164008318278E-2</v>
      </c>
      <c r="AE265" s="231">
        <f t="shared" si="1102"/>
        <v>-0.12567793771528213</v>
      </c>
      <c r="AF265" s="231">
        <f t="shared" si="1102"/>
        <v>0.10763111087244281</v>
      </c>
      <c r="AG265" s="454">
        <f t="shared" si="1102"/>
        <v>-0.10789386723471139</v>
      </c>
      <c r="AH265" s="231">
        <f t="shared" si="1102"/>
        <v>-8.8240270137846966E-2</v>
      </c>
      <c r="AI265" s="231">
        <f t="shared" si="1102"/>
        <v>4.3668791754182035E-2</v>
      </c>
      <c r="AJ265" s="231">
        <f t="shared" si="1102"/>
        <v>4.5265755250571971E-2</v>
      </c>
      <c r="AK265" s="454">
        <f t="shared" si="1102"/>
        <v>2.523076923076939E-2</v>
      </c>
      <c r="AL265" s="231">
        <f t="shared" si="1102"/>
        <v>4.4666268288670041E-2</v>
      </c>
      <c r="AM265" s="389">
        <f t="shared" ref="AM265:AM270" si="1103">AM264</f>
        <v>3.5999999999999997E-2</v>
      </c>
      <c r="AN265" s="389">
        <f t="shared" ref="AN265:AN270" si="1104">AN264</f>
        <v>-0.04</v>
      </c>
      <c r="AO265" s="430">
        <f t="shared" ref="AO265:AO270" si="1105">AO264</f>
        <v>-0.08</v>
      </c>
      <c r="AP265" s="389">
        <f t="shared" si="1098"/>
        <v>5.5E-2</v>
      </c>
      <c r="AQ265" s="389">
        <v>0.05</v>
      </c>
      <c r="AR265" s="389">
        <v>0.02</v>
      </c>
      <c r="AS265" s="430">
        <v>0</v>
      </c>
      <c r="AT265" s="389">
        <v>0.03</v>
      </c>
      <c r="AU265" s="389">
        <f t="shared" si="1099"/>
        <v>0.01</v>
      </c>
      <c r="AV265" s="389">
        <v>0</v>
      </c>
      <c r="AW265" s="430">
        <v>0</v>
      </c>
      <c r="AX265" s="264"/>
      <c r="AY265" s="204"/>
      <c r="AZ265" s="204"/>
      <c r="BA265" s="264">
        <f t="shared" si="1100"/>
        <v>-0.12342385937427236</v>
      </c>
      <c r="BB265" s="264">
        <f t="shared" ref="BB265:BK271" si="1106">BB254/BA254-1</f>
        <v>-0.11726135183805875</v>
      </c>
      <c r="BC265" s="264">
        <f t="shared" si="1106"/>
        <v>-5.5319381674371337E-2</v>
      </c>
      <c r="BD265" s="264">
        <f t="shared" si="1106"/>
        <v>0.22831267803191091</v>
      </c>
      <c r="BE265" s="264">
        <f t="shared" si="1106"/>
        <v>-1.1611000363539237E-2</v>
      </c>
      <c r="BF265" s="264">
        <f t="shared" si="1106"/>
        <v>0.40068012894477523</v>
      </c>
      <c r="BG265" s="264">
        <f t="shared" si="1106"/>
        <v>-6.8386750086004366E-2</v>
      </c>
      <c r="BH265" s="264">
        <f t="shared" si="1106"/>
        <v>-9.2107116580650739E-2</v>
      </c>
      <c r="BI265" s="264">
        <f t="shared" si="1106"/>
        <v>8.1512253041884586E-2</v>
      </c>
      <c r="BJ265" s="264">
        <f t="shared" si="1106"/>
        <v>3.0855767021202185E-2</v>
      </c>
      <c r="BK265" s="264">
        <f t="shared" si="1106"/>
        <v>5.810198775291564E-2</v>
      </c>
    </row>
    <row r="266" spans="1:63">
      <c r="A266" s="290" t="s">
        <v>710</v>
      </c>
      <c r="C266" s="231">
        <f t="shared" si="1097"/>
        <v>6.7533668212768738E-2</v>
      </c>
      <c r="D266" s="231">
        <f t="shared" ref="D266:AL266" si="1107">D255/C255-1</f>
        <v>4.5121072101134807E-2</v>
      </c>
      <c r="E266" s="454">
        <f t="shared" si="1107"/>
        <v>-6.3897615100305338E-2</v>
      </c>
      <c r="F266" s="231">
        <f t="shared" si="1107"/>
        <v>6.1299981593108122E-2</v>
      </c>
      <c r="G266" s="231">
        <f t="shared" si="1107"/>
        <v>-4.6129339432901317E-2</v>
      </c>
      <c r="H266" s="231">
        <f t="shared" si="1107"/>
        <v>-7.1756416683606661E-2</v>
      </c>
      <c r="I266" s="454">
        <f t="shared" si="1107"/>
        <v>-3.7726980503812957E-2</v>
      </c>
      <c r="J266" s="231">
        <f t="shared" si="1107"/>
        <v>4.1286385023423522E-2</v>
      </c>
      <c r="K266" s="231">
        <f t="shared" si="1107"/>
        <v>-2.6408011453801228E-3</v>
      </c>
      <c r="L266" s="231">
        <f t="shared" si="1107"/>
        <v>-5.0000000000000266E-2</v>
      </c>
      <c r="M266" s="454">
        <f t="shared" si="1107"/>
        <v>-7.1709857262045484E-2</v>
      </c>
      <c r="N266" s="231">
        <f t="shared" si="1107"/>
        <v>-3.7735254499126181E-2</v>
      </c>
      <c r="O266" s="231">
        <f t="shared" si="1107"/>
        <v>-6.781925201662875E-3</v>
      </c>
      <c r="P266" s="231">
        <f t="shared" si="1107"/>
        <v>2.0590454687214876E-3</v>
      </c>
      <c r="Q266" s="454">
        <f t="shared" si="1107"/>
        <v>0.19322095554453633</v>
      </c>
      <c r="R266" s="231">
        <f t="shared" si="1107"/>
        <v>-3.4855118023324194E-2</v>
      </c>
      <c r="S266" s="231">
        <f t="shared" si="1107"/>
        <v>-0.15043473608897417</v>
      </c>
      <c r="T266" s="231">
        <f t="shared" si="1107"/>
        <v>6.32358629797376E-2</v>
      </c>
      <c r="U266" s="454">
        <f t="shared" si="1107"/>
        <v>-3.2534346650192614E-3</v>
      </c>
      <c r="V266" s="231">
        <f t="shared" si="1107"/>
        <v>4.397010466882767E-2</v>
      </c>
      <c r="W266" s="231">
        <f t="shared" si="1107"/>
        <v>5.5968399557374537E-2</v>
      </c>
      <c r="X266" s="231">
        <f t="shared" si="1107"/>
        <v>1.4959587773301752E-2</v>
      </c>
      <c r="Y266" s="454">
        <f t="shared" si="1107"/>
        <v>4.6134364166684483E-2</v>
      </c>
      <c r="Z266" s="231">
        <f t="shared" si="1107"/>
        <v>0.10983367029087998</v>
      </c>
      <c r="AA266" s="231">
        <f t="shared" si="1107"/>
        <v>-4.865450034222818E-2</v>
      </c>
      <c r="AB266" s="231">
        <f t="shared" si="1107"/>
        <v>0.1706272595938465</v>
      </c>
      <c r="AC266" s="454">
        <f t="shared" si="1107"/>
        <v>-3.3535013968631233E-2</v>
      </c>
      <c r="AD266" s="231">
        <f t="shared" si="1107"/>
        <v>3.1183543104137623E-2</v>
      </c>
      <c r="AE266" s="231">
        <f t="shared" si="1107"/>
        <v>-0.24628744004705549</v>
      </c>
      <c r="AF266" s="231">
        <f t="shared" si="1107"/>
        <v>0.4367031528773988</v>
      </c>
      <c r="AG266" s="454">
        <f t="shared" si="1107"/>
        <v>-0.1026460625450657</v>
      </c>
      <c r="AH266" s="231">
        <f t="shared" si="1107"/>
        <v>-4.9240335793645174E-2</v>
      </c>
      <c r="AI266" s="231">
        <f t="shared" si="1107"/>
        <v>-3.6477936157878088E-2</v>
      </c>
      <c r="AJ266" s="231">
        <f t="shared" si="1107"/>
        <v>6.5016162750963336E-2</v>
      </c>
      <c r="AK266" s="454">
        <f t="shared" si="1107"/>
        <v>2.523076923076939E-2</v>
      </c>
      <c r="AL266" s="231">
        <f t="shared" si="1107"/>
        <v>4.3110877121072866E-2</v>
      </c>
      <c r="AM266" s="389">
        <f t="shared" si="1103"/>
        <v>3.5999999999999997E-2</v>
      </c>
      <c r="AN266" s="389">
        <f t="shared" si="1104"/>
        <v>-0.04</v>
      </c>
      <c r="AO266" s="430">
        <f t="shared" si="1105"/>
        <v>-0.08</v>
      </c>
      <c r="AP266" s="389">
        <f t="shared" si="1098"/>
        <v>5.5E-2</v>
      </c>
      <c r="AQ266" s="389">
        <v>0.05</v>
      </c>
      <c r="AR266" s="389">
        <v>0.02</v>
      </c>
      <c r="AS266" s="430">
        <v>0</v>
      </c>
      <c r="AT266" s="389">
        <v>0.03</v>
      </c>
      <c r="AU266" s="389">
        <f t="shared" si="1099"/>
        <v>0.01</v>
      </c>
      <c r="AV266" s="389">
        <v>0</v>
      </c>
      <c r="AW266" s="430">
        <v>0</v>
      </c>
      <c r="AX266" s="264"/>
      <c r="AY266" s="204"/>
      <c r="AZ266" s="204"/>
      <c r="BA266" s="264">
        <f t="shared" si="1100"/>
        <v>-3.4943956130994214E-2</v>
      </c>
      <c r="BB266" s="264">
        <f t="shared" si="1106"/>
        <v>-8.4758470344187264E-2</v>
      </c>
      <c r="BC266" s="264">
        <f t="shared" si="1106"/>
        <v>-6.5523477180541523E-2</v>
      </c>
      <c r="BD266" s="264">
        <f t="shared" si="1106"/>
        <v>-1.7925218892067551E-4</v>
      </c>
      <c r="BE266" s="264">
        <f t="shared" si="1106"/>
        <v>9.0892515383326655E-2</v>
      </c>
      <c r="BF266" s="264">
        <f t="shared" si="1106"/>
        <v>0.21986301453430768</v>
      </c>
      <c r="BG266" s="264">
        <f t="shared" si="1106"/>
        <v>2.6218810644468515E-2</v>
      </c>
      <c r="BH266" s="264">
        <f t="shared" si="1106"/>
        <v>-2.7090072833687029E-2</v>
      </c>
      <c r="BI266" s="264">
        <f t="shared" si="1106"/>
        <v>6.7217678108918211E-2</v>
      </c>
      <c r="BJ266" s="264">
        <f t="shared" si="1106"/>
        <v>2.9628834532131609E-2</v>
      </c>
      <c r="BK266" s="264">
        <f t="shared" si="1106"/>
        <v>5.8577104416248194E-2</v>
      </c>
    </row>
    <row r="267" spans="1:63">
      <c r="A267" s="290" t="s">
        <v>709</v>
      </c>
      <c r="C267" s="231">
        <f t="shared" si="1097"/>
        <v>5.6384607445426616E-2</v>
      </c>
      <c r="D267" s="231">
        <f t="shared" ref="D267:AL267" si="1108">D256/C256-1</f>
        <v>3.7246137755624797E-2</v>
      </c>
      <c r="E267" s="454">
        <f t="shared" si="1108"/>
        <v>3.629915914274684E-2</v>
      </c>
      <c r="F267" s="231">
        <f t="shared" si="1108"/>
        <v>-7.7613842983152104E-2</v>
      </c>
      <c r="G267" s="231">
        <f t="shared" si="1108"/>
        <v>-8.513930620970489E-2</v>
      </c>
      <c r="H267" s="231">
        <f t="shared" si="1108"/>
        <v>1.21176201860278E-2</v>
      </c>
      <c r="I267" s="454">
        <f t="shared" si="1108"/>
        <v>9.0536234520555148E-4</v>
      </c>
      <c r="J267" s="231">
        <f t="shared" si="1108"/>
        <v>2.5537209389165705E-2</v>
      </c>
      <c r="K267" s="231">
        <f t="shared" si="1108"/>
        <v>-2.3277510926928868E-2</v>
      </c>
      <c r="L267" s="231">
        <f t="shared" si="1108"/>
        <v>-5.0000000000000044E-2</v>
      </c>
      <c r="M267" s="454">
        <f t="shared" si="1108"/>
        <v>-8.2064568299631713E-2</v>
      </c>
      <c r="N267" s="231">
        <f t="shared" si="1108"/>
        <v>-2.393469439194551E-2</v>
      </c>
      <c r="O267" s="231">
        <f t="shared" si="1108"/>
        <v>1.7138784140831698E-2</v>
      </c>
      <c r="P267" s="231">
        <f t="shared" si="1108"/>
        <v>-5.4070800504043226E-2</v>
      </c>
      <c r="Q267" s="454">
        <f t="shared" si="1108"/>
        <v>0.22858564207335674</v>
      </c>
      <c r="R267" s="231">
        <f t="shared" si="1108"/>
        <v>-1.5018775073407764E-2</v>
      </c>
      <c r="S267" s="231">
        <f t="shared" si="1108"/>
        <v>-0.17363184950806809</v>
      </c>
      <c r="T267" s="231">
        <f t="shared" si="1108"/>
        <v>8.1589982756132162E-2</v>
      </c>
      <c r="U267" s="454">
        <f t="shared" si="1108"/>
        <v>2.1977423200299384E-2</v>
      </c>
      <c r="V267" s="231">
        <f t="shared" si="1108"/>
        <v>2.7634802860784236E-2</v>
      </c>
      <c r="W267" s="231">
        <f t="shared" si="1108"/>
        <v>3.7603171709696737E-2</v>
      </c>
      <c r="X267" s="231">
        <f t="shared" si="1108"/>
        <v>3.5765589056310665E-2</v>
      </c>
      <c r="Y267" s="454">
        <f t="shared" si="1108"/>
        <v>4.5680779483688427E-2</v>
      </c>
      <c r="Z267" s="231">
        <f t="shared" si="1108"/>
        <v>0.15780968975178267</v>
      </c>
      <c r="AA267" s="231">
        <f t="shared" si="1108"/>
        <v>-2.9193981547744774E-2</v>
      </c>
      <c r="AB267" s="231">
        <f t="shared" si="1108"/>
        <v>6.5362707366556583E-2</v>
      </c>
      <c r="AC267" s="454">
        <f t="shared" si="1108"/>
        <v>7.7921602434294801E-2</v>
      </c>
      <c r="AD267" s="231">
        <f t="shared" si="1108"/>
        <v>-7.2210108733954392E-3</v>
      </c>
      <c r="AE267" s="231">
        <f t="shared" si="1108"/>
        <v>-0.56048856680747317</v>
      </c>
      <c r="AF267" s="231">
        <f t="shared" si="1108"/>
        <v>1.2894847749342624</v>
      </c>
      <c r="AG267" s="454">
        <f t="shared" si="1108"/>
        <v>-2.8590220894461837E-2</v>
      </c>
      <c r="AH267" s="231">
        <f t="shared" si="1108"/>
        <v>-0.13641103497046791</v>
      </c>
      <c r="AI267" s="231">
        <f t="shared" si="1108"/>
        <v>-3.2533564998795228E-2</v>
      </c>
      <c r="AJ267" s="231">
        <f t="shared" si="1108"/>
        <v>5.9403655771307351E-2</v>
      </c>
      <c r="AK267" s="454">
        <f t="shared" si="1108"/>
        <v>3.7292307692307514E-2</v>
      </c>
      <c r="AL267" s="231">
        <f t="shared" si="1108"/>
        <v>2.472813124995521E-2</v>
      </c>
      <c r="AM267" s="389">
        <f t="shared" si="1103"/>
        <v>3.5999999999999997E-2</v>
      </c>
      <c r="AN267" s="389">
        <f t="shared" si="1104"/>
        <v>-0.04</v>
      </c>
      <c r="AO267" s="430">
        <f t="shared" si="1105"/>
        <v>-0.08</v>
      </c>
      <c r="AP267" s="389">
        <f t="shared" si="1098"/>
        <v>5.5E-2</v>
      </c>
      <c r="AQ267" s="389">
        <v>0.05</v>
      </c>
      <c r="AR267" s="389">
        <v>0.02</v>
      </c>
      <c r="AS267" s="430">
        <v>0</v>
      </c>
      <c r="AT267" s="389">
        <v>0.03</v>
      </c>
      <c r="AU267" s="389">
        <f t="shared" si="1099"/>
        <v>0.01</v>
      </c>
      <c r="AV267" s="389">
        <v>0</v>
      </c>
      <c r="AW267" s="430">
        <v>0</v>
      </c>
      <c r="AX267" s="264"/>
      <c r="AY267" s="204"/>
      <c r="AZ267" s="204"/>
      <c r="BA267" s="264">
        <f t="shared" si="1100"/>
        <v>-7.162705074607556E-2</v>
      </c>
      <c r="BB267" s="264">
        <f t="shared" si="1106"/>
        <v>-6.2116942576207479E-2</v>
      </c>
      <c r="BC267" s="264">
        <f t="shared" si="1106"/>
        <v>-7.7864385254848845E-2</v>
      </c>
      <c r="BD267" s="264">
        <f t="shared" si="1106"/>
        <v>1.4208181099486517E-2</v>
      </c>
      <c r="BE267" s="264">
        <f t="shared" si="1106"/>
        <v>8.8919161735847796E-2</v>
      </c>
      <c r="BF267" s="264">
        <f t="shared" si="1106"/>
        <v>0.26835843485686839</v>
      </c>
      <c r="BG267" s="264">
        <f t="shared" si="1106"/>
        <v>-4.8727819612043533E-2</v>
      </c>
      <c r="BH267" s="264">
        <f t="shared" si="1106"/>
        <v>-3.3641915268393108E-2</v>
      </c>
      <c r="BI267" s="264">
        <f t="shared" si="1106"/>
        <v>5.9391970215787904E-2</v>
      </c>
      <c r="BJ267" s="264">
        <f t="shared" si="1106"/>
        <v>2.6479546317427882E-2</v>
      </c>
      <c r="BK267" s="264">
        <f t="shared" si="1106"/>
        <v>5.9834744805259632E-2</v>
      </c>
    </row>
    <row r="268" spans="1:63">
      <c r="A268" s="290" t="s">
        <v>708</v>
      </c>
      <c r="C268" s="231">
        <f t="shared" si="1097"/>
        <v>5.0797674089725353E-2</v>
      </c>
      <c r="D268" s="231">
        <f t="shared" ref="D268:AL268" si="1109">D257/C257-1</f>
        <v>4.0018750539068115E-2</v>
      </c>
      <c r="E268" s="454">
        <f t="shared" si="1109"/>
        <v>4.1895214060321262E-3</v>
      </c>
      <c r="F268" s="231">
        <f t="shared" si="1109"/>
        <v>2.8458969292399772E-3</v>
      </c>
      <c r="G268" s="231">
        <f t="shared" si="1109"/>
        <v>-8.6427727106866969E-2</v>
      </c>
      <c r="H268" s="231">
        <f t="shared" si="1109"/>
        <v>-9.3243403045324413E-3</v>
      </c>
      <c r="I268" s="454">
        <f t="shared" si="1109"/>
        <v>-1.7014791704963672E-2</v>
      </c>
      <c r="J268" s="231">
        <f t="shared" si="1109"/>
        <v>3.1393288801196739E-2</v>
      </c>
      <c r="K268" s="231">
        <f t="shared" si="1109"/>
        <v>-2.0162111158560148E-2</v>
      </c>
      <c r="L268" s="231">
        <f t="shared" si="1109"/>
        <v>-7.9393939393939461E-2</v>
      </c>
      <c r="M268" s="454">
        <f t="shared" si="1109"/>
        <v>-4.9482786162603154E-2</v>
      </c>
      <c r="N268" s="231">
        <f t="shared" si="1109"/>
        <v>-3.9750710205224471E-2</v>
      </c>
      <c r="O268" s="231">
        <f t="shared" si="1109"/>
        <v>3.9077392644242259E-3</v>
      </c>
      <c r="P268" s="231">
        <f t="shared" si="1109"/>
        <v>1.8279657661777859E-2</v>
      </c>
      <c r="Q268" s="454">
        <f t="shared" si="1109"/>
        <v>0.20474152691872782</v>
      </c>
      <c r="R268" s="231">
        <f t="shared" si="1109"/>
        <v>-8.2138536821843355E-2</v>
      </c>
      <c r="S268" s="231">
        <f t="shared" si="1109"/>
        <v>-0.20408889890687087</v>
      </c>
      <c r="T268" s="231">
        <f t="shared" si="1109"/>
        <v>-1.0401884479303236E-2</v>
      </c>
      <c r="U268" s="454">
        <f t="shared" si="1109"/>
        <v>-9.8394605851640504E-3</v>
      </c>
      <c r="V268" s="231">
        <f t="shared" si="1109"/>
        <v>-3.7841427036077735E-2</v>
      </c>
      <c r="W268" s="231">
        <f t="shared" si="1109"/>
        <v>5.5951232588860034E-2</v>
      </c>
      <c r="X268" s="231">
        <f t="shared" si="1109"/>
        <v>3.1932043541839983E-2</v>
      </c>
      <c r="Y268" s="454">
        <f t="shared" si="1109"/>
        <v>4.0826736452038936E-2</v>
      </c>
      <c r="Z268" s="231">
        <f t="shared" si="1109"/>
        <v>0.26257428084350609</v>
      </c>
      <c r="AA268" s="231">
        <f t="shared" si="1109"/>
        <v>-6.7076303426321315E-2</v>
      </c>
      <c r="AB268" s="231">
        <f t="shared" si="1109"/>
        <v>0.12781091394913924</v>
      </c>
      <c r="AC268" s="454">
        <f t="shared" si="1109"/>
        <v>-4.8806288504685824E-3</v>
      </c>
      <c r="AD268" s="231">
        <f t="shared" si="1109"/>
        <v>6.1476372580177907E-2</v>
      </c>
      <c r="AE268" s="231">
        <f t="shared" si="1109"/>
        <v>0.19955117093450925</v>
      </c>
      <c r="AF268" s="231">
        <f t="shared" si="1109"/>
        <v>-0.11374331544334881</v>
      </c>
      <c r="AG268" s="454">
        <f t="shared" si="1109"/>
        <v>-0.3090483551704104</v>
      </c>
      <c r="AH268" s="231">
        <f t="shared" si="1109"/>
        <v>3.3896933083632286E-2</v>
      </c>
      <c r="AI268" s="231">
        <f t="shared" si="1109"/>
        <v>-1.3051881577073932E-2</v>
      </c>
      <c r="AJ268" s="231">
        <f t="shared" si="1109"/>
        <v>6.2720912309228272E-2</v>
      </c>
      <c r="AK268" s="454">
        <f t="shared" si="1109"/>
        <v>4.0307692307692156E-2</v>
      </c>
      <c r="AL268" s="231">
        <f t="shared" si="1109"/>
        <v>0</v>
      </c>
      <c r="AM268" s="389">
        <f t="shared" si="1103"/>
        <v>3.5999999999999997E-2</v>
      </c>
      <c r="AN268" s="389">
        <f t="shared" si="1104"/>
        <v>-0.04</v>
      </c>
      <c r="AO268" s="430">
        <f t="shared" si="1105"/>
        <v>-0.08</v>
      </c>
      <c r="AP268" s="389">
        <f t="shared" si="1098"/>
        <v>5.5E-2</v>
      </c>
      <c r="AQ268" s="389">
        <v>0.05</v>
      </c>
      <c r="AR268" s="389">
        <v>0.02</v>
      </c>
      <c r="AS268" s="430">
        <v>0</v>
      </c>
      <c r="AT268" s="389">
        <v>0.03</v>
      </c>
      <c r="AU268" s="389">
        <f t="shared" si="1099"/>
        <v>0.01</v>
      </c>
      <c r="AV268" s="389">
        <v>0</v>
      </c>
      <c r="AW268" s="430">
        <v>0</v>
      </c>
      <c r="AX268" s="264"/>
      <c r="AY268" s="204"/>
      <c r="AZ268" s="204"/>
      <c r="BA268" s="264">
        <f t="shared" si="1100"/>
        <v>-2.9212287093628775E-2</v>
      </c>
      <c r="BB268" s="264">
        <f t="shared" si="1106"/>
        <v>-7.3489919996965303E-2</v>
      </c>
      <c r="BC268" s="264">
        <f t="shared" si="1106"/>
        <v>-5.408263326238627E-2</v>
      </c>
      <c r="BD268" s="264">
        <f t="shared" si="1106"/>
        <v>-0.11889273847443682</v>
      </c>
      <c r="BE268" s="264">
        <f t="shared" si="1106"/>
        <v>-4.2257584711099194E-2</v>
      </c>
      <c r="BF268" s="264">
        <f t="shared" si="1106"/>
        <v>0.35889886433730389</v>
      </c>
      <c r="BG268" s="264">
        <f t="shared" si="1106"/>
        <v>0.14123379636676048</v>
      </c>
      <c r="BH268" s="264">
        <f t="shared" si="1106"/>
        <v>-0.24537495273351895</v>
      </c>
      <c r="BI268" s="264">
        <f t="shared" si="1106"/>
        <v>4.1809501826076456E-2</v>
      </c>
      <c r="BJ268" s="264">
        <f t="shared" si="1106"/>
        <v>2.7269508879086857E-2</v>
      </c>
      <c r="BK268" s="264">
        <f t="shared" si="1106"/>
        <v>5.9402391644048702E-2</v>
      </c>
    </row>
    <row r="269" spans="1:63">
      <c r="A269" s="290" t="s">
        <v>707</v>
      </c>
      <c r="C269" s="231">
        <f t="shared" si="1097"/>
        <v>0.10389833435716778</v>
      </c>
      <c r="D269" s="231">
        <f t="shared" ref="D269:AL269" si="1110">D258/C258-1</f>
        <v>0.10334751465314262</v>
      </c>
      <c r="E269" s="454">
        <f t="shared" si="1110"/>
        <v>-2.9135014510024315E-2</v>
      </c>
      <c r="F269" s="231">
        <f t="shared" si="1110"/>
        <v>3.066260516475805E-2</v>
      </c>
      <c r="G269" s="231">
        <f t="shared" si="1110"/>
        <v>-8.9304131825414079E-2</v>
      </c>
      <c r="H269" s="231">
        <f t="shared" si="1110"/>
        <v>-3.5349212842755939E-2</v>
      </c>
      <c r="I269" s="454">
        <f t="shared" si="1110"/>
        <v>2.2953293051542589E-2</v>
      </c>
      <c r="J269" s="231">
        <f t="shared" si="1110"/>
        <v>5.1130458187508943E-2</v>
      </c>
      <c r="K269" s="231">
        <f t="shared" si="1110"/>
        <v>-2.2402889185638708E-2</v>
      </c>
      <c r="L269" s="231">
        <f t="shared" si="1110"/>
        <v>-8.8921560586624815E-2</v>
      </c>
      <c r="M269" s="454">
        <f t="shared" si="1110"/>
        <v>-5.6116173143115233E-2</v>
      </c>
      <c r="N269" s="231">
        <f t="shared" si="1110"/>
        <v>-3.7048591766666195E-2</v>
      </c>
      <c r="O269" s="231">
        <f t="shared" si="1110"/>
        <v>2.090361410215813E-2</v>
      </c>
      <c r="P269" s="231">
        <f t="shared" si="1110"/>
        <v>-2.7426774562932854E-2</v>
      </c>
      <c r="Q269" s="454">
        <f t="shared" si="1110"/>
        <v>0.23153165282536059</v>
      </c>
      <c r="R269" s="231">
        <f t="shared" si="1110"/>
        <v>-0.18564257986674515</v>
      </c>
      <c r="S269" s="231">
        <f t="shared" si="1110"/>
        <v>-0.29404176876974319</v>
      </c>
      <c r="T269" s="231">
        <f t="shared" si="1110"/>
        <v>-8.5273861294938746E-2</v>
      </c>
      <c r="U269" s="454">
        <f t="shared" si="1110"/>
        <v>3.6072128804911507E-3</v>
      </c>
      <c r="V269" s="231">
        <f t="shared" si="1110"/>
        <v>-0.18589082130003831</v>
      </c>
      <c r="W269" s="231">
        <f t="shared" si="1110"/>
        <v>6.0796401589920057E-2</v>
      </c>
      <c r="X269" s="231">
        <f t="shared" si="1110"/>
        <v>2.4978855846773618E-2</v>
      </c>
      <c r="Y269" s="454">
        <f t="shared" si="1110"/>
        <v>0.15932408074238902</v>
      </c>
      <c r="Z269" s="231">
        <f t="shared" si="1110"/>
        <v>0.28454103504731076</v>
      </c>
      <c r="AA269" s="231">
        <f t="shared" si="1110"/>
        <v>-0.2301494765279033</v>
      </c>
      <c r="AB269" s="231">
        <f t="shared" si="1110"/>
        <v>-0.17586382188746597</v>
      </c>
      <c r="AC269" s="454">
        <f t="shared" si="1110"/>
        <v>6.9367893104109957E-2</v>
      </c>
      <c r="AD269" s="231">
        <f t="shared" si="1110"/>
        <v>0.28145552400384077</v>
      </c>
      <c r="AE269" s="231">
        <f t="shared" si="1110"/>
        <v>0.24649646373168133</v>
      </c>
      <c r="AF269" s="231">
        <f t="shared" si="1110"/>
        <v>-0.30694303358947572</v>
      </c>
      <c r="AG269" s="454">
        <f t="shared" si="1110"/>
        <v>-0.71395706384636548</v>
      </c>
      <c r="AH269" s="231">
        <f t="shared" si="1110"/>
        <v>2.3478664989322007</v>
      </c>
      <c r="AI269" s="231">
        <f t="shared" si="1110"/>
        <v>0.15371512201181137</v>
      </c>
      <c r="AJ269" s="231">
        <f t="shared" si="1110"/>
        <v>-0.48384553605311009</v>
      </c>
      <c r="AK269" s="454">
        <f t="shared" si="1110"/>
        <v>-0.48872727026953389</v>
      </c>
      <c r="AL269" s="231">
        <f t="shared" si="1110"/>
        <v>0.32457259367136593</v>
      </c>
      <c r="AM269" s="389">
        <f t="shared" si="1103"/>
        <v>3.5999999999999997E-2</v>
      </c>
      <c r="AN269" s="389">
        <f t="shared" si="1104"/>
        <v>-0.04</v>
      </c>
      <c r="AO269" s="430">
        <f t="shared" si="1105"/>
        <v>-0.08</v>
      </c>
      <c r="AP269" s="389">
        <f t="shared" si="1098"/>
        <v>5.5E-2</v>
      </c>
      <c r="AQ269" s="389">
        <v>0.05</v>
      </c>
      <c r="AR269" s="389">
        <v>0.02</v>
      </c>
      <c r="AS269" s="430">
        <v>0</v>
      </c>
      <c r="AT269" s="389">
        <v>0.03</v>
      </c>
      <c r="AU269" s="389">
        <f t="shared" si="1099"/>
        <v>0.01</v>
      </c>
      <c r="AV269" s="389">
        <v>0</v>
      </c>
      <c r="AW269" s="430">
        <v>0</v>
      </c>
      <c r="AX269" s="264"/>
      <c r="AY269" s="204"/>
      <c r="AZ269" s="204"/>
      <c r="BA269" s="264">
        <f t="shared" si="1100"/>
        <v>-1.0601385469281355E-2</v>
      </c>
      <c r="BB269" s="264">
        <f t="shared" si="1106"/>
        <v>-4.6769786210532516E-2</v>
      </c>
      <c r="BC269" s="264">
        <f t="shared" si="1106"/>
        <v>-7.5861336288638226E-2</v>
      </c>
      <c r="BD269" s="264">
        <f t="shared" si="1106"/>
        <v>-0.30426352577332372</v>
      </c>
      <c r="BE269" s="264">
        <f t="shared" si="1106"/>
        <v>-0.21924821040927633</v>
      </c>
      <c r="BF269" s="264">
        <f t="shared" si="1106"/>
        <v>0.11531479899239772</v>
      </c>
      <c r="BG269" s="264">
        <f t="shared" si="1106"/>
        <v>6.3185677644110205E-2</v>
      </c>
      <c r="BH269" s="264">
        <f t="shared" si="1106"/>
        <v>-0.32391528930512692</v>
      </c>
      <c r="BI269" s="264">
        <f t="shared" si="1106"/>
        <v>-0.47152207520680622</v>
      </c>
      <c r="BJ269" s="264">
        <f t="shared" si="1106"/>
        <v>2.5988422223671703E-2</v>
      </c>
      <c r="BK269" s="264">
        <f t="shared" si="1106"/>
        <v>5.9402391644048036E-2</v>
      </c>
    </row>
    <row r="270" spans="1:63">
      <c r="A270" s="290" t="s">
        <v>827</v>
      </c>
      <c r="C270" s="231">
        <f t="shared" si="1097"/>
        <v>4.2106488243923934E-2</v>
      </c>
      <c r="D270" s="231">
        <f t="shared" ref="D270:AL270" si="1111">D259/C259-1</f>
        <v>6.4657548368344031E-2</v>
      </c>
      <c r="E270" s="454">
        <f t="shared" si="1111"/>
        <v>-1.894980677581859E-2</v>
      </c>
      <c r="F270" s="231">
        <f t="shared" si="1111"/>
        <v>4.6871452551233039E-2</v>
      </c>
      <c r="G270" s="231">
        <f t="shared" si="1111"/>
        <v>-8.6247181351239988E-2</v>
      </c>
      <c r="H270" s="231">
        <f t="shared" si="1111"/>
        <v>-6.5615898366715553E-2</v>
      </c>
      <c r="I270" s="454">
        <f t="shared" si="1111"/>
        <v>2.3852090251996527E-2</v>
      </c>
      <c r="J270" s="231">
        <f t="shared" si="1111"/>
        <v>1.6226144546709342E-2</v>
      </c>
      <c r="K270" s="231">
        <f t="shared" si="1111"/>
        <v>-1.9280319706499682E-2</v>
      </c>
      <c r="L270" s="231">
        <f t="shared" si="1111"/>
        <v>-7.9393939393939683E-2</v>
      </c>
      <c r="M270" s="454">
        <f t="shared" si="1111"/>
        <v>-8.4018870259738643E-2</v>
      </c>
      <c r="N270" s="231">
        <f t="shared" si="1111"/>
        <v>-8.3604543741717663E-3</v>
      </c>
      <c r="O270" s="231">
        <f t="shared" si="1111"/>
        <v>8.3961655472148955E-3</v>
      </c>
      <c r="P270" s="231">
        <f t="shared" si="1111"/>
        <v>2.2205599135778353E-2</v>
      </c>
      <c r="Q270" s="454">
        <f t="shared" si="1111"/>
        <v>0.18483199006270801</v>
      </c>
      <c r="R270" s="231">
        <f t="shared" si="1111"/>
        <v>-7.1686011509339065E-2</v>
      </c>
      <c r="S270" s="231">
        <f t="shared" si="1111"/>
        <v>-0.2183204207079954</v>
      </c>
      <c r="T270" s="231">
        <f t="shared" si="1111"/>
        <v>-2.1657413480816401E-2</v>
      </c>
      <c r="U270" s="454">
        <f t="shared" si="1111"/>
        <v>-6.5320264529691308E-3</v>
      </c>
      <c r="V270" s="231">
        <f t="shared" si="1111"/>
        <v>-3.2399431345966789E-2</v>
      </c>
      <c r="W270" s="231">
        <f t="shared" si="1111"/>
        <v>4.9892379725970049E-2</v>
      </c>
      <c r="X270" s="231">
        <f t="shared" si="1111"/>
        <v>3.2659229844148152E-2</v>
      </c>
      <c r="Y270" s="454">
        <f t="shared" si="1111"/>
        <v>5.8028719398131479E-2</v>
      </c>
      <c r="Z270" s="231">
        <f t="shared" si="1111"/>
        <v>-0.11109506717221984</v>
      </c>
      <c r="AA270" s="231">
        <f t="shared" si="1111"/>
        <v>-2.698715561114251E-2</v>
      </c>
      <c r="AB270" s="231">
        <f t="shared" si="1111"/>
        <v>0.16969245037000658</v>
      </c>
      <c r="AC270" s="454">
        <f t="shared" si="1111"/>
        <v>-6.8604368272983884E-2</v>
      </c>
      <c r="AD270" s="231">
        <f t="shared" si="1111"/>
        <v>0.14778897062332375</v>
      </c>
      <c r="AE270" s="231">
        <f t="shared" si="1111"/>
        <v>0.51268398894040423</v>
      </c>
      <c r="AF270" s="231">
        <f t="shared" si="1111"/>
        <v>-0.30256168512659343</v>
      </c>
      <c r="AG270" s="454">
        <f t="shared" si="1111"/>
        <v>8.3117068933679317E-2</v>
      </c>
      <c r="AH270" s="231">
        <f t="shared" si="1111"/>
        <v>-0.53770486483405044</v>
      </c>
      <c r="AI270" s="231">
        <f t="shared" si="1111"/>
        <v>8.4848804593488536E-2</v>
      </c>
      <c r="AJ270" s="231">
        <f t="shared" si="1111"/>
        <v>2.1207468229852422E-2</v>
      </c>
      <c r="AK270" s="454">
        <f t="shared" si="1111"/>
        <v>4.0307692307692378E-2</v>
      </c>
      <c r="AL270" s="231">
        <f t="shared" si="1111"/>
        <v>0</v>
      </c>
      <c r="AM270" s="389">
        <f t="shared" si="1103"/>
        <v>3.5999999999999997E-2</v>
      </c>
      <c r="AN270" s="389">
        <f t="shared" si="1104"/>
        <v>-0.04</v>
      </c>
      <c r="AO270" s="430">
        <f t="shared" si="1105"/>
        <v>-0.08</v>
      </c>
      <c r="AP270" s="389">
        <f t="shared" si="1098"/>
        <v>5.5E-2</v>
      </c>
      <c r="AQ270" s="389">
        <v>0.05</v>
      </c>
      <c r="AR270" s="389">
        <v>0.02</v>
      </c>
      <c r="AS270" s="430">
        <v>0</v>
      </c>
      <c r="AT270" s="389">
        <v>0.03</v>
      </c>
      <c r="AU270" s="389">
        <f t="shared" si="1099"/>
        <v>0.01</v>
      </c>
      <c r="AV270" s="389">
        <v>0</v>
      </c>
      <c r="AW270" s="430">
        <v>0</v>
      </c>
      <c r="AX270" s="264"/>
      <c r="AY270" s="204"/>
      <c r="AZ270" s="204"/>
      <c r="BA270" s="264">
        <f t="shared" si="1100"/>
        <v>-2.6646023460383805E-2</v>
      </c>
      <c r="BB270" s="264">
        <f t="shared" si="1106"/>
        <v>-9.7806486707756934E-2</v>
      </c>
      <c r="BC270" s="264">
        <f t="shared" si="1106"/>
        <v>-5.4327125129378429E-2</v>
      </c>
      <c r="BD270" s="264">
        <f t="shared" si="1106"/>
        <v>-0.12145927093786701</v>
      </c>
      <c r="BE270" s="264">
        <f t="shared" si="1106"/>
        <v>-4.9007792564798813E-2</v>
      </c>
      <c r="BF270" s="264">
        <f t="shared" si="1106"/>
        <v>1.3808546596720817E-3</v>
      </c>
      <c r="BG270" s="264">
        <f t="shared" si="1106"/>
        <v>0.41627173825025165</v>
      </c>
      <c r="BH270" s="264">
        <f t="shared" si="1106"/>
        <v>-0.52871046742616157</v>
      </c>
      <c r="BI270" s="264">
        <f t="shared" si="1106"/>
        <v>4.7901315365107777E-2</v>
      </c>
      <c r="BJ270" s="264">
        <f t="shared" si="1106"/>
        <v>2.4074947059568474E-2</v>
      </c>
      <c r="BK270" s="264">
        <f t="shared" si="1106"/>
        <v>5.9402391644048702E-2</v>
      </c>
    </row>
    <row r="271" spans="1:63">
      <c r="A271" s="220" t="s">
        <v>706</v>
      </c>
      <c r="B271" s="296"/>
      <c r="C271" s="456">
        <f t="shared" si="1097"/>
        <v>5.8494405290151708E-2</v>
      </c>
      <c r="D271" s="456">
        <f t="shared" ref="D271:L271" si="1112">D260/C260-1</f>
        <v>3.713516451056309E-2</v>
      </c>
      <c r="E271" s="457">
        <f t="shared" si="1112"/>
        <v>7.5242687271188657E-3</v>
      </c>
      <c r="F271" s="456">
        <f t="shared" si="1112"/>
        <v>-4.4110708252430908E-2</v>
      </c>
      <c r="G271" s="456">
        <f t="shared" si="1112"/>
        <v>-5.0222332531646652E-2</v>
      </c>
      <c r="H271" s="456">
        <f t="shared" si="1112"/>
        <v>-4.750609760780411E-2</v>
      </c>
      <c r="I271" s="457">
        <f t="shared" si="1112"/>
        <v>-1.4345588134531462E-2</v>
      </c>
      <c r="J271" s="456">
        <f t="shared" si="1112"/>
        <v>6.7563857723980103E-3</v>
      </c>
      <c r="K271" s="456">
        <f t="shared" si="1112"/>
        <v>-3.9134974984911253E-3</v>
      </c>
      <c r="L271" s="456">
        <f t="shared" si="1112"/>
        <v>-6.9138670189808349E-2</v>
      </c>
      <c r="M271" s="457">
        <f t="shared" ref="M271:S271" si="1113">M260/L260-1</f>
        <v>-4.5124113568072666E-2</v>
      </c>
      <c r="N271" s="456">
        <f t="shared" si="1113"/>
        <v>-2.5900217896272393E-2</v>
      </c>
      <c r="O271" s="456">
        <f t="shared" si="1113"/>
        <v>2.360602440920756E-2</v>
      </c>
      <c r="P271" s="456">
        <f t="shared" si="1113"/>
        <v>8.2505053214926516E-2</v>
      </c>
      <c r="Q271" s="457">
        <f t="shared" si="1113"/>
        <v>8.4612791681689226E-2</v>
      </c>
      <c r="R271" s="457">
        <f t="shared" si="1113"/>
        <v>-5.9409572385306308E-2</v>
      </c>
      <c r="S271" s="457">
        <f t="shared" si="1113"/>
        <v>-9.2970741838621862E-2</v>
      </c>
      <c r="T271" s="456">
        <f t="shared" ref="T271:AL271" si="1114">T260/S260-1</f>
        <v>2.5163775188117299E-2</v>
      </c>
      <c r="U271" s="457">
        <f t="shared" si="1114"/>
        <v>-1.0979758216074997E-2</v>
      </c>
      <c r="V271" s="456">
        <f t="shared" si="1114"/>
        <v>5.7982795195177683E-2</v>
      </c>
      <c r="W271" s="456">
        <f t="shared" si="1114"/>
        <v>0.11453639856773679</v>
      </c>
      <c r="X271" s="456">
        <f t="shared" si="1114"/>
        <v>3.2410436928080655E-2</v>
      </c>
      <c r="Y271" s="457">
        <f t="shared" si="1114"/>
        <v>3.2765756437903137E-2</v>
      </c>
      <c r="Z271" s="456">
        <f t="shared" si="1114"/>
        <v>0.28515594058452853</v>
      </c>
      <c r="AA271" s="456">
        <f t="shared" si="1114"/>
        <v>-9.2681548409929038E-2</v>
      </c>
      <c r="AB271" s="456">
        <f t="shared" si="1114"/>
        <v>1.4868536961658352E-2</v>
      </c>
      <c r="AC271" s="457">
        <f t="shared" si="1114"/>
        <v>-2.7395314251035141E-2</v>
      </c>
      <c r="AD271" s="456">
        <f t="shared" si="1114"/>
        <v>3.4203585594604569E-2</v>
      </c>
      <c r="AE271" s="456">
        <f t="shared" si="1114"/>
        <v>-0.10107386163450371</v>
      </c>
      <c r="AF271" s="456">
        <f t="shared" si="1114"/>
        <v>0.13463913682259321</v>
      </c>
      <c r="AG271" s="457">
        <f t="shared" si="1114"/>
        <v>-0.10882249302583236</v>
      </c>
      <c r="AH271" s="456">
        <f t="shared" si="1114"/>
        <v>-5.6891324311050928E-2</v>
      </c>
      <c r="AI271" s="456">
        <f t="shared" si="1114"/>
        <v>2.2719376014892489E-2</v>
      </c>
      <c r="AJ271" s="456">
        <f t="shared" si="1114"/>
        <v>9.3035762607360795E-3</v>
      </c>
      <c r="AK271" s="457">
        <f t="shared" ref="AK271:AO271" si="1115">AK260/AJ260-1</f>
        <v>-3.5946598146217368E-2</v>
      </c>
      <c r="AL271" s="456">
        <f t="shared" si="1114"/>
        <v>7.4874050596960284E-2</v>
      </c>
      <c r="AM271" s="456">
        <f t="shared" si="1115"/>
        <v>-1.4035261958852741E-2</v>
      </c>
      <c r="AN271" s="456">
        <f t="shared" si="1115"/>
        <v>1.9703866486442401E-4</v>
      </c>
      <c r="AO271" s="457">
        <f t="shared" si="1115"/>
        <v>-8.1382454406520477E-2</v>
      </c>
      <c r="AP271" s="456">
        <f t="shared" ref="AP271" si="1116">AP260/AO260-1</f>
        <v>4.0350586609670058E-2</v>
      </c>
      <c r="AQ271" s="456">
        <f t="shared" ref="AQ271" si="1117">AQ260/AP260-1</f>
        <v>6.1407887427445518E-2</v>
      </c>
      <c r="AR271" s="456">
        <f t="shared" ref="AR271" si="1118">AR260/AQ260-1</f>
        <v>3.1519473617802163E-2</v>
      </c>
      <c r="AS271" s="457">
        <f t="shared" ref="AS271" si="1119">AS260/AR260-1</f>
        <v>-6.2239425610188803E-4</v>
      </c>
      <c r="AT271" s="456">
        <f t="shared" ref="AT271" si="1120">AT260/AS260-1</f>
        <v>3.8676278246823736E-2</v>
      </c>
      <c r="AU271" s="456">
        <f t="shared" ref="AU271" si="1121">AU260/AT260-1</f>
        <v>1.4666552783735076E-2</v>
      </c>
      <c r="AV271" s="456">
        <f t="shared" ref="AV271" si="1122">AV260/AU260-1</f>
        <v>1.2020744939994277E-2</v>
      </c>
      <c r="AW271" s="457">
        <f t="shared" ref="AW271" si="1123">AW260/AV260-1</f>
        <v>1.6309773816469697E-3</v>
      </c>
      <c r="AX271" s="264"/>
      <c r="AY271" s="217"/>
      <c r="AZ271" s="217"/>
      <c r="BA271" s="458">
        <f t="shared" si="1100"/>
        <v>-7.3260343284653473E-2</v>
      </c>
      <c r="BB271" s="458">
        <f t="shared" si="1106"/>
        <v>-8.771388737013186E-2</v>
      </c>
      <c r="BC271" s="458">
        <f t="shared" si="1106"/>
        <v>-1.5858068028069439E-2</v>
      </c>
      <c r="BD271" s="458">
        <f t="shared" si="1106"/>
        <v>-2.1766842987365642E-2</v>
      </c>
      <c r="BE271" s="458">
        <f t="shared" si="1106"/>
        <v>0.15230962711702545</v>
      </c>
      <c r="BF271" s="458">
        <f t="shared" si="1106"/>
        <v>0.27540653612899857</v>
      </c>
      <c r="BG271" s="458">
        <f t="shared" si="1106"/>
        <v>-4.5033248533506987E-2</v>
      </c>
      <c r="BH271" s="458">
        <f t="shared" si="1106"/>
        <v>-9.2012842440809095E-2</v>
      </c>
      <c r="BI271" s="458">
        <f t="shared" si="1106"/>
        <v>2.2158610151385982E-2</v>
      </c>
      <c r="BJ271" s="458">
        <f t="shared" si="1106"/>
        <v>3.7546707482380093E-2</v>
      </c>
      <c r="BK271" s="458">
        <f t="shared" si="1106"/>
        <v>8.607215081991515E-2</v>
      </c>
    </row>
    <row r="272" spans="1:63">
      <c r="A272" s="675"/>
      <c r="B272" s="676"/>
      <c r="C272" s="677"/>
      <c r="D272" s="677"/>
      <c r="E272" s="678"/>
      <c r="F272" s="677"/>
      <c r="G272" s="677"/>
      <c r="H272" s="677"/>
      <c r="I272" s="678"/>
      <c r="J272" s="677"/>
      <c r="K272" s="677"/>
      <c r="L272" s="676"/>
      <c r="M272" s="299"/>
      <c r="AI272" s="554"/>
      <c r="AJ272" s="554"/>
      <c r="AK272" s="1134"/>
      <c r="AY272" s="204"/>
      <c r="AZ272" s="452"/>
      <c r="BA272" s="676"/>
      <c r="BB272" s="676"/>
    </row>
    <row r="273" spans="1:63">
      <c r="A273" s="679" t="s">
        <v>884</v>
      </c>
      <c r="B273" s="680"/>
      <c r="C273" s="680"/>
      <c r="D273" s="680"/>
      <c r="E273" s="681"/>
      <c r="F273" s="680"/>
      <c r="G273" s="680"/>
      <c r="H273" s="680"/>
      <c r="I273" s="681"/>
      <c r="J273" s="680"/>
      <c r="K273" s="680"/>
      <c r="L273" s="682"/>
      <c r="M273" s="683"/>
      <c r="N273" s="631"/>
      <c r="O273" s="631"/>
      <c r="P273" s="631"/>
      <c r="Q273" s="460"/>
      <c r="R273" s="631"/>
      <c r="S273" s="631"/>
      <c r="T273" s="631"/>
      <c r="U273" s="460"/>
      <c r="V273" s="867" t="str">
        <f>V$3</f>
        <v>1Q22</v>
      </c>
      <c r="W273" s="867" t="str">
        <f t="shared" ref="W273:AK273" si="1124">W$3</f>
        <v>2Q22</v>
      </c>
      <c r="X273" s="867" t="str">
        <f t="shared" si="1124"/>
        <v>3Q22</v>
      </c>
      <c r="Y273" s="867" t="str">
        <f t="shared" si="1124"/>
        <v>4Q22</v>
      </c>
      <c r="Z273" s="867" t="str">
        <f t="shared" si="1124"/>
        <v>1Q23</v>
      </c>
      <c r="AA273" s="867" t="str">
        <f t="shared" si="1124"/>
        <v>2Q23</v>
      </c>
      <c r="AB273" s="867" t="str">
        <f t="shared" si="1124"/>
        <v>3Q23</v>
      </c>
      <c r="AC273" s="869" t="str">
        <f t="shared" si="1124"/>
        <v>4Q23</v>
      </c>
      <c r="AD273" s="867" t="str">
        <f t="shared" si="1124"/>
        <v>1Q24</v>
      </c>
      <c r="AE273" s="867" t="str">
        <f t="shared" si="1124"/>
        <v>2Q24</v>
      </c>
      <c r="AF273" s="867" t="str">
        <f t="shared" si="1124"/>
        <v>3Q24</v>
      </c>
      <c r="AG273" s="869" t="str">
        <f t="shared" si="1124"/>
        <v>4Q24</v>
      </c>
      <c r="AH273" s="867" t="str">
        <f t="shared" si="1124"/>
        <v>1Q25</v>
      </c>
      <c r="AI273" s="867" t="str">
        <f t="shared" si="1124"/>
        <v>2Q25</v>
      </c>
      <c r="AJ273" s="867" t="str">
        <f t="shared" si="1124"/>
        <v>3Q25</v>
      </c>
      <c r="AK273" s="869" t="str">
        <f t="shared" si="1124"/>
        <v>4Q25</v>
      </c>
      <c r="AL273" s="867" t="s">
        <v>1077</v>
      </c>
      <c r="AM273" s="1077" t="s">
        <v>1078</v>
      </c>
      <c r="AN273" s="1077" t="s">
        <v>1079</v>
      </c>
      <c r="AO273" s="1076" t="s">
        <v>1080</v>
      </c>
      <c r="AP273" s="1077" t="s">
        <v>1081</v>
      </c>
      <c r="AQ273" s="1077" t="s">
        <v>1082</v>
      </c>
      <c r="AR273" s="1077" t="s">
        <v>1083</v>
      </c>
      <c r="AS273" s="1076" t="s">
        <v>1084</v>
      </c>
      <c r="AT273" s="1077" t="s">
        <v>1085</v>
      </c>
      <c r="AU273" s="1077" t="s">
        <v>1086</v>
      </c>
      <c r="AV273" s="1077" t="s">
        <v>1087</v>
      </c>
      <c r="AW273" s="1076" t="s">
        <v>1088</v>
      </c>
      <c r="AX273" s="865"/>
      <c r="AY273" s="866"/>
      <c r="AZ273" s="866"/>
      <c r="BA273" s="862"/>
      <c r="BB273" s="862">
        <f t="shared" ref="BB273:BK273" si="1125">BB$3</f>
        <v>2019</v>
      </c>
      <c r="BC273" s="867">
        <f t="shared" si="1125"/>
        <v>2020</v>
      </c>
      <c r="BD273" s="867">
        <f t="shared" si="1125"/>
        <v>2021</v>
      </c>
      <c r="BE273" s="867">
        <f t="shared" si="1125"/>
        <v>2022</v>
      </c>
      <c r="BF273" s="867">
        <f t="shared" si="1125"/>
        <v>2023</v>
      </c>
      <c r="BG273" s="867">
        <f t="shared" si="1125"/>
        <v>2024</v>
      </c>
      <c r="BH273" s="867">
        <f t="shared" si="1125"/>
        <v>2025</v>
      </c>
      <c r="BI273" s="871">
        <f t="shared" si="1125"/>
        <v>2026</v>
      </c>
      <c r="BJ273" s="871">
        <f t="shared" si="1125"/>
        <v>2027</v>
      </c>
      <c r="BK273" s="871">
        <f t="shared" si="1125"/>
        <v>2028</v>
      </c>
    </row>
    <row r="274" spans="1:63">
      <c r="A274" s="207" t="s">
        <v>705</v>
      </c>
      <c r="B274" s="461">
        <f>Model!AL33</f>
        <v>77.385999999999981</v>
      </c>
      <c r="C274" s="461">
        <f>Model!AM33</f>
        <v>21.632000000000023</v>
      </c>
      <c r="D274" s="461">
        <f>Model!AN33</f>
        <v>22.704999999999945</v>
      </c>
      <c r="E274" s="462">
        <f>Model!AO33</f>
        <v>3.1720000000000148</v>
      </c>
      <c r="F274" s="461">
        <f>Model!AP33</f>
        <v>42.262000000000008</v>
      </c>
      <c r="G274" s="461">
        <f>Model!AQ33</f>
        <v>19.135999999999974</v>
      </c>
      <c r="H274" s="461">
        <f>Model!AR33</f>
        <v>-5.8279999999999959</v>
      </c>
      <c r="I274" s="462">
        <f>Model!AS33</f>
        <v>-40.93</v>
      </c>
      <c r="J274" s="461">
        <f>Model!AT33</f>
        <v>24.445000000000078</v>
      </c>
      <c r="K274" s="461">
        <f>Model!AU33</f>
        <v>-42.830000000000069</v>
      </c>
      <c r="L274" s="461">
        <f>Model!AV33</f>
        <v>47.150000000000063</v>
      </c>
      <c r="M274" s="461">
        <f>Model!AW33</f>
        <v>20.144999999999953</v>
      </c>
      <c r="N274" s="813">
        <f>Model!AX33</f>
        <v>47.341000000000058</v>
      </c>
      <c r="O274" s="814">
        <f>Model!AY33</f>
        <v>64.66599999999994</v>
      </c>
      <c r="P274" s="814">
        <f>Model!AZ33</f>
        <v>182.69000000000005</v>
      </c>
      <c r="Q274" s="859">
        <f>Model!BA33</f>
        <v>17.249000000000073</v>
      </c>
      <c r="R274" s="814">
        <f>Model!BB33</f>
        <v>124.64100000000001</v>
      </c>
      <c r="S274" s="814">
        <f>Model!BC33</f>
        <v>537.76300000000015</v>
      </c>
      <c r="T274" s="814">
        <f>Model!BD33</f>
        <v>310.04399999999987</v>
      </c>
      <c r="U274" s="859">
        <f>Model!BE33</f>
        <v>420.11399999999986</v>
      </c>
      <c r="V274" s="814">
        <f>Model!BF33</f>
        <v>535.971</v>
      </c>
      <c r="W274" s="814">
        <f>Model!BG33</f>
        <v>539.4430000000001</v>
      </c>
      <c r="X274" s="814">
        <f>Model!BH33</f>
        <v>477.91899999999976</v>
      </c>
      <c r="Y274" s="859">
        <f>Model!BI33</f>
        <v>282.34600000000012</v>
      </c>
      <c r="Z274" s="814">
        <f>Model!BJ33</f>
        <v>83.283000000000129</v>
      </c>
      <c r="AA274" s="814">
        <f>Model!BK33</f>
        <v>79.798000000000002</v>
      </c>
      <c r="AB274" s="814">
        <f>Model!BL33</f>
        <v>87.38799999999992</v>
      </c>
      <c r="AC274" s="859">
        <f>Model!BM33</f>
        <v>107.27799999999991</v>
      </c>
      <c r="AD274" s="814">
        <f>Model!BN33</f>
        <v>2.405999999999942</v>
      </c>
      <c r="AE274" s="814">
        <f>Model!BO33</f>
        <v>87.1400000000001</v>
      </c>
      <c r="AF274" s="814">
        <f>Model!BP33</f>
        <v>169.88700000000017</v>
      </c>
      <c r="AG274" s="859">
        <f>Model!BQ33</f>
        <v>213.96500000000003</v>
      </c>
      <c r="AH274" s="814">
        <f>Model!BR33</f>
        <v>309.5709999999998</v>
      </c>
      <c r="AI274" s="814">
        <f>Model!BS33</f>
        <v>150.67699999999968</v>
      </c>
      <c r="AJ274" s="814">
        <f>Model!BT33</f>
        <v>351.06900000000019</v>
      </c>
      <c r="AK274" s="859">
        <f>Model!BU33</f>
        <v>298.62000000000012</v>
      </c>
      <c r="AL274" s="814">
        <f>Model!BV33</f>
        <v>247.79200000000014</v>
      </c>
      <c r="AM274" s="633">
        <f t="shared" ref="AM274:AO274" si="1126">AM25-AM276</f>
        <v>352.72543697149592</v>
      </c>
      <c r="AN274" s="633">
        <f t="shared" si="1126"/>
        <v>406.57092141618034</v>
      </c>
      <c r="AO274" s="463">
        <f t="shared" si="1126"/>
        <v>443.31770966619854</v>
      </c>
      <c r="AP274" s="633">
        <f t="shared" ref="AP274:AS274" si="1127">AP25-AP276</f>
        <v>417.5608157355266</v>
      </c>
      <c r="AQ274" s="633">
        <f t="shared" si="1127"/>
        <v>419.80066389840852</v>
      </c>
      <c r="AR274" s="633">
        <f t="shared" si="1127"/>
        <v>599.01849631173991</v>
      </c>
      <c r="AS274" s="463">
        <f t="shared" si="1127"/>
        <v>552.35930106971182</v>
      </c>
      <c r="AT274" s="633">
        <f t="shared" ref="AT274:AW274" si="1128">AT25-AT276</f>
        <v>602.05893564446001</v>
      </c>
      <c r="AU274" s="633">
        <f t="shared" si="1128"/>
        <v>627.24112793582344</v>
      </c>
      <c r="AV274" s="633">
        <f t="shared" si="1128"/>
        <v>777.14727733805034</v>
      </c>
      <c r="AW274" s="463">
        <f t="shared" si="1128"/>
        <v>784.60928967089956</v>
      </c>
      <c r="AX274" s="221"/>
      <c r="AY274" s="464">
        <f ca="1">Model!G33</f>
        <v>339.20599999999996</v>
      </c>
      <c r="AZ274" s="464">
        <f>SUM(B274:E274)</f>
        <v>124.89499999999995</v>
      </c>
      <c r="BA274" s="465">
        <f>SUM(F274:I274)</f>
        <v>14.639999999999986</v>
      </c>
      <c r="BB274" s="465">
        <f>SUM(J274:M274)</f>
        <v>48.910000000000025</v>
      </c>
      <c r="BC274" s="465">
        <f>SUM(N274:Q274)</f>
        <v>311.94600000000014</v>
      </c>
      <c r="BD274" s="465">
        <f>SUM(R274:U274)</f>
        <v>1392.5619999999999</v>
      </c>
      <c r="BE274" s="465">
        <f>SUM(V274:Y274)</f>
        <v>1835.6790000000001</v>
      </c>
      <c r="BF274" s="465">
        <f>SUM(Z274:AC274)</f>
        <v>357.74699999999996</v>
      </c>
      <c r="BG274" s="465">
        <f>SUM(AD274:AG274)</f>
        <v>473.39800000000025</v>
      </c>
      <c r="BH274" s="465">
        <f>SUM(AH274:AK274)</f>
        <v>1109.9369999999999</v>
      </c>
      <c r="BI274" s="465">
        <f t="shared" ref="BI274:BI280" si="1129">SUM(AL274:AO274)</f>
        <v>1450.4060680538751</v>
      </c>
      <c r="BJ274" s="465">
        <f>SUM(AP274:AS274)</f>
        <v>1988.739277015387</v>
      </c>
      <c r="BK274" s="465">
        <f>SUM(AT274:AW274)</f>
        <v>2791.0566305892335</v>
      </c>
    </row>
    <row r="275" spans="1:63">
      <c r="A275" s="207" t="s">
        <v>704</v>
      </c>
      <c r="B275" s="205">
        <f t="shared" ref="B275:AO275" si="1130">B274/B11</f>
        <v>9.7575921874704444E-2</v>
      </c>
      <c r="C275" s="205">
        <f t="shared" si="1130"/>
        <v>2.8796860460627325E-2</v>
      </c>
      <c r="D275" s="205">
        <f t="shared" si="1130"/>
        <v>2.9497624470101513E-2</v>
      </c>
      <c r="E275" s="206">
        <f t="shared" si="1130"/>
        <v>4.0296046363320114E-3</v>
      </c>
      <c r="F275" s="205">
        <f t="shared" si="1130"/>
        <v>5.0854106401105124E-2</v>
      </c>
      <c r="G275" s="205">
        <f t="shared" si="1130"/>
        <v>2.1483912326417123E-2</v>
      </c>
      <c r="H275" s="205">
        <f t="shared" si="1130"/>
        <v>-6.8511347632784769E-3</v>
      </c>
      <c r="I275" s="206">
        <f t="shared" si="1130"/>
        <v>-5.1970313561420324E-2</v>
      </c>
      <c r="J275" s="205">
        <f t="shared" si="1130"/>
        <v>3.6545128636759926E-2</v>
      </c>
      <c r="K275" s="205">
        <f t="shared" si="1130"/>
        <v>-5.4154728518287266E-2</v>
      </c>
      <c r="L275" s="205">
        <f t="shared" si="1130"/>
        <v>5.7749873844390197E-2</v>
      </c>
      <c r="M275" s="205">
        <f t="shared" si="1130"/>
        <v>2.3998170206530736E-2</v>
      </c>
      <c r="N275" s="467">
        <f t="shared" si="1130"/>
        <v>5.2315584277808289E-2</v>
      </c>
      <c r="O275" s="205">
        <f t="shared" si="1130"/>
        <v>6.8906286129554323E-2</v>
      </c>
      <c r="P275" s="205">
        <f t="shared" si="1130"/>
        <v>0.16876596412949596</v>
      </c>
      <c r="Q275" s="206">
        <f t="shared" si="1130"/>
        <v>1.7581375911609042E-2</v>
      </c>
      <c r="R275" s="205">
        <f t="shared" si="1130"/>
        <v>0.11293536260169675</v>
      </c>
      <c r="S275" s="205">
        <f t="shared" si="1130"/>
        <v>0.40009091571919403</v>
      </c>
      <c r="T275" s="205">
        <f t="shared" si="1130"/>
        <v>0.21906561285153267</v>
      </c>
      <c r="U275" s="206">
        <f t="shared" si="1130"/>
        <v>0.26588500809146992</v>
      </c>
      <c r="V275" s="205">
        <f t="shared" si="1130"/>
        <v>0.29098905800225205</v>
      </c>
      <c r="W275" s="205">
        <f t="shared" si="1130"/>
        <v>0.28344535731024761</v>
      </c>
      <c r="X275" s="205">
        <f t="shared" si="1130"/>
        <v>0.25061878721900233</v>
      </c>
      <c r="Y275" s="206">
        <f t="shared" si="1130"/>
        <v>0.17415112843634936</v>
      </c>
      <c r="Z275" s="205">
        <f t="shared" si="1130"/>
        <v>5.6953896906765375E-2</v>
      </c>
      <c r="AA275" s="205">
        <f t="shared" si="1130"/>
        <v>5.1139582516233059E-2</v>
      </c>
      <c r="AB275" s="205">
        <f t="shared" si="1130"/>
        <v>5.3924003611059465E-2</v>
      </c>
      <c r="AC275" s="206">
        <f t="shared" si="1130"/>
        <v>6.392067206141451E-2</v>
      </c>
      <c r="AD275" s="205">
        <f t="shared" si="1130"/>
        <v>1.3747188854149194E-3</v>
      </c>
      <c r="AE275" s="205">
        <f t="shared" si="1130"/>
        <v>4.5832377834675288E-2</v>
      </c>
      <c r="AF275" s="205">
        <f t="shared" si="1130"/>
        <v>7.8246103055101712E-2</v>
      </c>
      <c r="AG275" s="206">
        <f t="shared" si="1130"/>
        <v>9.6936004070165976E-2</v>
      </c>
      <c r="AH275" s="205">
        <f t="shared" si="1130"/>
        <v>0.13775848266354446</v>
      </c>
      <c r="AI275" s="205">
        <f t="shared" si="1130"/>
        <v>6.8208464572810268E-2</v>
      </c>
      <c r="AJ275" s="205">
        <f t="shared" ref="AJ275:AK275" si="1131">AJ274/AJ11</f>
        <v>0.14739514539709522</v>
      </c>
      <c r="AK275" s="206">
        <f t="shared" si="1131"/>
        <v>0.11998987427221336</v>
      </c>
      <c r="AL275" s="205">
        <f t="shared" si="1130"/>
        <v>9.8899734861925104E-2</v>
      </c>
      <c r="AM275" s="205">
        <f t="shared" si="1130"/>
        <v>0.12216847304760615</v>
      </c>
      <c r="AN275" s="205">
        <f t="shared" si="1130"/>
        <v>0.13453761198400771</v>
      </c>
      <c r="AO275" s="206">
        <f t="shared" si="1130"/>
        <v>0.14012138055795326</v>
      </c>
      <c r="AP275" s="205">
        <f t="shared" ref="AP275:AS275" si="1132">AP274/AP11</f>
        <v>0.13461779228758522</v>
      </c>
      <c r="AQ275" s="205">
        <f t="shared" si="1132"/>
        <v>0.12841896104577261</v>
      </c>
      <c r="AR275" s="205">
        <f t="shared" si="1132"/>
        <v>0.16336030907274868</v>
      </c>
      <c r="AS275" s="206">
        <f t="shared" si="1132"/>
        <v>0.14416210779952088</v>
      </c>
      <c r="AT275" s="205">
        <f t="shared" ref="AT275:AW275" si="1133">AT274/AT11</f>
        <v>0.15616410718887688</v>
      </c>
      <c r="AU275" s="205">
        <f t="shared" si="1133"/>
        <v>0.1570398515653052</v>
      </c>
      <c r="AV275" s="205">
        <f t="shared" si="1133"/>
        <v>0.17941230266101157</v>
      </c>
      <c r="AW275" s="206">
        <f t="shared" si="1133"/>
        <v>0.17161396435503656</v>
      </c>
      <c r="AY275" s="204"/>
      <c r="AZ275" s="467">
        <f t="shared" ref="AZ275:BJ275" ca="1" si="1134">AZ274/AZ11</f>
        <v>4.0273444742718469E-2</v>
      </c>
      <c r="BA275" s="205">
        <f t="shared" ca="1" si="1134"/>
        <v>4.3571636055409748E-3</v>
      </c>
      <c r="BB275" s="205">
        <f t="shared" si="1134"/>
        <v>1.5698058075432852E-2</v>
      </c>
      <c r="BC275" s="205">
        <f t="shared" si="1134"/>
        <v>7.9843357072927293E-2</v>
      </c>
      <c r="BD275" s="205">
        <f t="shared" si="1134"/>
        <v>0.25583930663194143</v>
      </c>
      <c r="BE275" s="205">
        <f t="shared" si="1134"/>
        <v>0.2523865423101862</v>
      </c>
      <c r="BF275" s="205">
        <f t="shared" si="1134"/>
        <v>5.6591569169635335E-2</v>
      </c>
      <c r="BG275" s="205">
        <f t="shared" si="1134"/>
        <v>5.8954253721798786E-2</v>
      </c>
      <c r="BH275" s="205">
        <f t="shared" si="1134"/>
        <v>0.1190051377755648</v>
      </c>
      <c r="BI275" s="205">
        <f t="shared" si="1134"/>
        <v>0.12526727762654591</v>
      </c>
      <c r="BJ275" s="205">
        <f t="shared" si="1134"/>
        <v>0.14339263106510663</v>
      </c>
      <c r="BK275" s="205">
        <f t="shared" ref="BK275" si="1135">BK274/BK11</f>
        <v>0.16660021076675677</v>
      </c>
    </row>
    <row r="276" spans="1:63">
      <c r="A276" s="207" t="s">
        <v>404</v>
      </c>
      <c r="B276" s="212">
        <f>SUM(B277:B280)</f>
        <v>143.43300000000008</v>
      </c>
      <c r="C276" s="212">
        <f t="shared" ref="C276:J276" si="1136">SUM(C277:C280)</f>
        <v>172.49999999999994</v>
      </c>
      <c r="D276" s="212">
        <f t="shared" si="1136"/>
        <v>154.59199999999993</v>
      </c>
      <c r="E276" s="213">
        <f t="shared" si="1136"/>
        <v>145.32399999999998</v>
      </c>
      <c r="F276" s="212">
        <f t="shared" si="1136"/>
        <v>177.91399999999993</v>
      </c>
      <c r="G276" s="212">
        <f t="shared" si="1136"/>
        <v>198.697</v>
      </c>
      <c r="H276" s="212">
        <f t="shared" si="1136"/>
        <v>180.37100000000001</v>
      </c>
      <c r="I276" s="213">
        <f t="shared" si="1136"/>
        <v>175.05500000000001</v>
      </c>
      <c r="J276" s="212">
        <f t="shared" si="1136"/>
        <v>97.624999999999986</v>
      </c>
      <c r="K276" s="212">
        <f>SUM(K277:K280)</f>
        <v>193.988</v>
      </c>
      <c r="L276" s="212">
        <f t="shared" ref="L276:U276" si="1137">SUM(L277:L280)</f>
        <v>122.66500000000005</v>
      </c>
      <c r="M276" s="212">
        <f t="shared" si="1137"/>
        <v>179.27099999999999</v>
      </c>
      <c r="N276" s="815">
        <f t="shared" si="1137"/>
        <v>186.244</v>
      </c>
      <c r="O276" s="212">
        <f t="shared" si="1137"/>
        <v>183.923</v>
      </c>
      <c r="P276" s="212">
        <f t="shared" si="1137"/>
        <v>79.287000000000006</v>
      </c>
      <c r="Q276" s="213">
        <f>SUM(Q277:Q280)</f>
        <v>159.51299999999998</v>
      </c>
      <c r="R276" s="212">
        <f>SUM(R277:R280)</f>
        <v>125.473</v>
      </c>
      <c r="S276" s="212">
        <f>SUM(S277:S280)</f>
        <v>-132.75100000000003</v>
      </c>
      <c r="T276" s="212">
        <f t="shared" si="1137"/>
        <v>157.81700000000001</v>
      </c>
      <c r="U276" s="213">
        <f t="shared" si="1137"/>
        <v>132.66899999999998</v>
      </c>
      <c r="V276" s="212">
        <f t="shared" ref="V276:AI276" si="1138">SUM(V277:V280)</f>
        <v>214.28400000000002</v>
      </c>
      <c r="W276" s="212">
        <f t="shared" si="1138"/>
        <v>211.04499999999999</v>
      </c>
      <c r="X276" s="212">
        <f t="shared" si="1138"/>
        <v>264.29700000000003</v>
      </c>
      <c r="Y276" s="213">
        <f t="shared" si="1138"/>
        <v>236.34300000000002</v>
      </c>
      <c r="Z276" s="212">
        <f>SUM(Z277:Z280)</f>
        <v>221.38600000000002</v>
      </c>
      <c r="AA276" s="212">
        <f>SUM(AA277:AA280)</f>
        <v>236.70199999999997</v>
      </c>
      <c r="AB276" s="212">
        <f>SUM(AB277:AB280)</f>
        <v>234.232</v>
      </c>
      <c r="AC276" s="213">
        <f t="shared" si="1138"/>
        <v>167.67700000000002</v>
      </c>
      <c r="AD276" s="212">
        <f t="shared" si="1138"/>
        <v>237.298</v>
      </c>
      <c r="AE276" s="212">
        <f t="shared" si="1138"/>
        <v>177.953</v>
      </c>
      <c r="AF276" s="212">
        <f t="shared" si="1138"/>
        <v>274.27299999999997</v>
      </c>
      <c r="AG276" s="213">
        <f t="shared" si="1138"/>
        <v>285.04599999999999</v>
      </c>
      <c r="AH276" s="212">
        <f t="shared" si="1138"/>
        <v>196.29700000000003</v>
      </c>
      <c r="AI276" s="212">
        <f t="shared" si="1138"/>
        <v>299.12199999999996</v>
      </c>
      <c r="AJ276" s="212">
        <f t="shared" ref="AJ276:AL276" si="1139">SUM(AJ277:AJ280)</f>
        <v>171.74200000000002</v>
      </c>
      <c r="AK276" s="213">
        <f t="shared" si="1139"/>
        <v>179.50100000000003</v>
      </c>
      <c r="AL276" s="212">
        <f t="shared" si="1139"/>
        <v>255.81100000000004</v>
      </c>
      <c r="AM276" s="212">
        <f t="shared" ref="AM276:AO276" si="1140">SUM(AM277:AM280)</f>
        <v>254.16097000000002</v>
      </c>
      <c r="AN276" s="212">
        <f t="shared" si="1140"/>
        <v>262.88477</v>
      </c>
      <c r="AO276" s="213">
        <f t="shared" si="1140"/>
        <v>334.14611000000002</v>
      </c>
      <c r="AP276" s="212">
        <f t="shared" ref="AP276:AS276" si="1141">SUM(AP277:AP280)</f>
        <v>302.60771</v>
      </c>
      <c r="AQ276" s="212">
        <f t="shared" si="1141"/>
        <v>325.9036605</v>
      </c>
      <c r="AR276" s="212">
        <f t="shared" si="1141"/>
        <v>339.18006350000002</v>
      </c>
      <c r="AS276" s="213">
        <f t="shared" si="1141"/>
        <v>424.36402550000003</v>
      </c>
      <c r="AT276" s="212">
        <f t="shared" ref="AT276:AW276" si="1142">SUM(AT277:AT280)</f>
        <v>361.13558879999999</v>
      </c>
      <c r="AU276" s="212">
        <f t="shared" si="1142"/>
        <v>388.86525256000004</v>
      </c>
      <c r="AV276" s="212">
        <f t="shared" si="1142"/>
        <v>405.45030668000004</v>
      </c>
      <c r="AW276" s="213">
        <f t="shared" si="1142"/>
        <v>502.90374643999996</v>
      </c>
      <c r="AY276" s="204"/>
      <c r="AZ276" s="324">
        <f>SUM(B276:E276)</f>
        <v>615.84899999999993</v>
      </c>
      <c r="BA276" s="212">
        <f>SUM(F276:I276)</f>
        <v>732.03700000000003</v>
      </c>
      <c r="BB276" s="212">
        <f>SUM(J276:M276)</f>
        <v>593.54899999999998</v>
      </c>
      <c r="BC276" s="212">
        <f>SUM(N276:Q276)</f>
        <v>608.9670000000001</v>
      </c>
      <c r="BD276" s="212">
        <f>SUM(R276:U276)</f>
        <v>283.20799999999997</v>
      </c>
      <c r="BE276" s="212">
        <f>SUM(V276:Y276)</f>
        <v>925.96900000000005</v>
      </c>
      <c r="BF276" s="212">
        <f>SUM(Z276:AC276)</f>
        <v>859.99699999999996</v>
      </c>
      <c r="BG276" s="212">
        <f>SUM(AD276:AG276)</f>
        <v>974.56999999999994</v>
      </c>
      <c r="BH276" s="212">
        <f>SUM(AH276:AK276)</f>
        <v>846.66200000000003</v>
      </c>
      <c r="BI276" s="212">
        <f t="shared" si="1129"/>
        <v>1107.0028500000001</v>
      </c>
      <c r="BJ276" s="212">
        <f>SUM(AP276:AS276)</f>
        <v>1392.0554595000001</v>
      </c>
      <c r="BK276" s="212">
        <f>SUM(AT276:AW276)</f>
        <v>1658.35489448</v>
      </c>
    </row>
    <row r="277" spans="1:63">
      <c r="A277" s="211" t="s">
        <v>293</v>
      </c>
      <c r="B277" s="468">
        <f>-Model!AL25</f>
        <v>107.80500000000001</v>
      </c>
      <c r="C277" s="468">
        <f>-Model!AM25</f>
        <v>111.158</v>
      </c>
      <c r="D277" s="468">
        <f>-Model!AN25</f>
        <v>106.848</v>
      </c>
      <c r="E277" s="636">
        <f>-Model!AO25</f>
        <v>101.3</v>
      </c>
      <c r="F277" s="468">
        <f>-Model!AP25</f>
        <v>122.995</v>
      </c>
      <c r="G277" s="468">
        <f>-Model!AQ25</f>
        <v>147.17699999999999</v>
      </c>
      <c r="H277" s="468">
        <f>-Model!AR25</f>
        <v>172.24600000000001</v>
      </c>
      <c r="I277" s="636">
        <f>-Model!AS25</f>
        <v>134.97</v>
      </c>
      <c r="J277" s="468">
        <f>-Model!AT25</f>
        <v>77.174999999999997</v>
      </c>
      <c r="K277" s="468">
        <f>-Model!AU25</f>
        <v>182.20699999999999</v>
      </c>
      <c r="L277" s="468">
        <f>-Model!AV25</f>
        <v>185.01900000000001</v>
      </c>
      <c r="M277" s="468">
        <f>-Model!AW25</f>
        <v>169.87100000000001</v>
      </c>
      <c r="N277" s="816">
        <f>-Model!AX25</f>
        <v>166.48599999999999</v>
      </c>
      <c r="O277" s="468">
        <f>-Model!AY25</f>
        <v>157.999</v>
      </c>
      <c r="P277" s="468">
        <f>-Model!AZ25</f>
        <v>158.52000000000001</v>
      </c>
      <c r="Q277" s="636">
        <f>-Model!BA25</f>
        <v>194.40799999999999</v>
      </c>
      <c r="R277" s="468">
        <f>-Model!BB25</f>
        <v>156.273</v>
      </c>
      <c r="S277" s="468">
        <f>-Model!BC25</f>
        <v>143.05199999999999</v>
      </c>
      <c r="T277" s="468">
        <f>-Model!BD25</f>
        <v>167.41200000000001</v>
      </c>
      <c r="U277" s="636">
        <f>-Model!BE25</f>
        <v>172.10499999999999</v>
      </c>
      <c r="V277" s="468">
        <f>-Model!BF25</f>
        <v>165.26900000000001</v>
      </c>
      <c r="W277" s="468">
        <f>-Model!BG25</f>
        <v>187.48400000000001</v>
      </c>
      <c r="X277" s="468">
        <f>-Model!BH25</f>
        <v>182.88800000000001</v>
      </c>
      <c r="Y277" s="636">
        <f>-Model!BI25</f>
        <v>197.45500000000001</v>
      </c>
      <c r="Z277" s="468">
        <f>-Model!BJ25</f>
        <v>167.66800000000001</v>
      </c>
      <c r="AA277" s="468">
        <f>-Model!BK25</f>
        <v>177.63300000000001</v>
      </c>
      <c r="AB277" s="468">
        <f>-Model!BL25</f>
        <v>172.83600000000001</v>
      </c>
      <c r="AC277" s="636">
        <f>-Model!BM25</f>
        <v>189.13800000000001</v>
      </c>
      <c r="AD277" s="468">
        <f>-Model!BN25</f>
        <v>188.11</v>
      </c>
      <c r="AE277" s="468">
        <f>-Model!BO25</f>
        <v>180.74799999999999</v>
      </c>
      <c r="AF277" s="468">
        <f>-Model!BP25</f>
        <v>179.386</v>
      </c>
      <c r="AG277" s="636">
        <f>-Model!BQ25</f>
        <v>217.035</v>
      </c>
      <c r="AH277" s="468">
        <f>-Model!BR25</f>
        <v>149.14400000000001</v>
      </c>
      <c r="AI277" s="468">
        <f>-Model!BS25</f>
        <v>182.40900000000002</v>
      </c>
      <c r="AJ277" s="468">
        <f>-Model!BT25</f>
        <v>203.14699999999999</v>
      </c>
      <c r="AK277" s="636">
        <f>-Model!BU25</f>
        <v>239.67599999999999</v>
      </c>
      <c r="AL277" s="468">
        <f>-Model!BV25</f>
        <v>187.09700000000001</v>
      </c>
      <c r="AM277" s="215">
        <f t="shared" ref="AM277:AO279" si="1143">AI277*(1+AM282)</f>
        <v>200.64990000000003</v>
      </c>
      <c r="AN277" s="215">
        <f t="shared" si="1143"/>
        <v>223.46170000000001</v>
      </c>
      <c r="AO277" s="216">
        <f t="shared" si="1143"/>
        <v>263.64359999999999</v>
      </c>
      <c r="AP277" s="215">
        <f t="shared" ref="AP277:AP279" si="1144">AL277*(1+AP282)</f>
        <v>239.48416</v>
      </c>
      <c r="AQ277" s="215">
        <f t="shared" ref="AQ277:AQ279" si="1145">AM277*(1+AQ282)</f>
        <v>256.83187200000003</v>
      </c>
      <c r="AR277" s="215">
        <f t="shared" ref="AR277:AR279" si="1146">AN277*(1+AR282)</f>
        <v>286.03097600000001</v>
      </c>
      <c r="AS277" s="216">
        <f t="shared" ref="AS277:AS279" si="1147">AO277*(1+AS282)</f>
        <v>337.46380799999997</v>
      </c>
      <c r="AT277" s="215">
        <f t="shared" ref="AT277:AT279" si="1148">AP277*(1+AT282)</f>
        <v>282.59130879999998</v>
      </c>
      <c r="AU277" s="215">
        <f t="shared" ref="AU277:AU279" si="1149">AQ277*(1+AU282)</f>
        <v>303.06160896</v>
      </c>
      <c r="AV277" s="215">
        <f t="shared" ref="AV277:AV279" si="1150">AR277*(1+AV282)</f>
        <v>337.51655168000002</v>
      </c>
      <c r="AW277" s="216">
        <f t="shared" ref="AW277:AW279" si="1151">AS277*(1+AW282)</f>
        <v>398.20729343999994</v>
      </c>
      <c r="AY277" s="204"/>
      <c r="AZ277" s="335">
        <f>SUM(B277:E277)</f>
        <v>427.11100000000005</v>
      </c>
      <c r="BA277" s="215">
        <f>SUM(F277:I277)</f>
        <v>577.38800000000003</v>
      </c>
      <c r="BB277" s="215">
        <f>SUM(J277:M277)</f>
        <v>614.27200000000005</v>
      </c>
      <c r="BC277" s="215">
        <f>SUM(N277:Q277)</f>
        <v>677.41300000000001</v>
      </c>
      <c r="BD277" s="215">
        <f>SUM(R277:U277)</f>
        <v>638.84199999999998</v>
      </c>
      <c r="BE277" s="215">
        <f>SUM(V277:Y277)</f>
        <v>733.09600000000012</v>
      </c>
      <c r="BF277" s="215">
        <f>SUM(Z277:AC277)</f>
        <v>707.27500000000009</v>
      </c>
      <c r="BG277" s="215">
        <f>SUM(AD277:AG277)</f>
        <v>765.279</v>
      </c>
      <c r="BH277" s="215">
        <f>SUM(AH277:AK277)</f>
        <v>774.37599999999998</v>
      </c>
      <c r="BI277" s="215">
        <f t="shared" si="1129"/>
        <v>874.85220000000004</v>
      </c>
      <c r="BJ277" s="215">
        <f>SUM(AP277:AS277)</f>
        <v>1119.8108160000002</v>
      </c>
      <c r="BK277" s="215">
        <f>SUM(AT277:AW277)</f>
        <v>1321.3767628800001</v>
      </c>
    </row>
    <row r="278" spans="1:63">
      <c r="A278" s="211" t="s">
        <v>882</v>
      </c>
      <c r="B278" s="468">
        <f>-Model!AL22</f>
        <v>10.375</v>
      </c>
      <c r="C278" s="468">
        <f>-Model!AM22</f>
        <v>9.4410000000000007</v>
      </c>
      <c r="D278" s="468">
        <f>-Model!AN22</f>
        <v>9.5869999999999997</v>
      </c>
      <c r="E278" s="636">
        <f>-Model!AO22</f>
        <v>6.3929999999999998</v>
      </c>
      <c r="F278" s="468">
        <f>-Model!AP22</f>
        <v>8.5129999999999999</v>
      </c>
      <c r="G278" s="468">
        <f>-Model!AQ22</f>
        <v>8.1389999999999993</v>
      </c>
      <c r="H278" s="468">
        <f>-Model!AR22</f>
        <v>6.1020000000000003</v>
      </c>
      <c r="I278" s="636">
        <f>-Model!AS22</f>
        <v>7.7009999999999996</v>
      </c>
      <c r="J278" s="468">
        <f>-Model!AT22</f>
        <v>6.8109999999999999</v>
      </c>
      <c r="K278" s="468">
        <f>-Model!AU22</f>
        <v>8.8520000000000003</v>
      </c>
      <c r="L278" s="468">
        <f>-Model!AV22</f>
        <v>5.9</v>
      </c>
      <c r="M278" s="468">
        <f>-Model!AW22</f>
        <v>5.2729999999999997</v>
      </c>
      <c r="N278" s="816">
        <f>-Model!AX22</f>
        <v>5.8410000000000002</v>
      </c>
      <c r="O278" s="468">
        <f>-Model!AY22</f>
        <v>5.0720000000000001</v>
      </c>
      <c r="P278" s="468">
        <f>-Model!AZ22</f>
        <v>6.4720000000000004</v>
      </c>
      <c r="Q278" s="636">
        <f>-Model!BA22</f>
        <v>12.081</v>
      </c>
      <c r="R278" s="468">
        <f>-Model!BB22</f>
        <v>5.4950000000000001</v>
      </c>
      <c r="S278" s="468">
        <f>-Model!BC22</f>
        <v>6.5369999999999999</v>
      </c>
      <c r="T278" s="468">
        <f>-Model!BD22</f>
        <v>7.4459999999999997</v>
      </c>
      <c r="U278" s="636">
        <f>-Model!BE22</f>
        <v>8.1639999999999997</v>
      </c>
      <c r="V278" s="468">
        <f>-Model!BF22</f>
        <v>9.1300000000000008</v>
      </c>
      <c r="W278" s="468">
        <f>-Model!BG22</f>
        <v>9.4969999999999999</v>
      </c>
      <c r="X278" s="468">
        <f>-Model!BH22</f>
        <v>7.3570000000000002</v>
      </c>
      <c r="Y278" s="636">
        <f>-Model!BI22</f>
        <v>7.85</v>
      </c>
      <c r="Z278" s="468">
        <f>-Model!BJ22</f>
        <v>8.0530000000000008</v>
      </c>
      <c r="AA278" s="468">
        <f>-Model!BK22</f>
        <v>9.3070000000000004</v>
      </c>
      <c r="AB278" s="468">
        <f>-Model!BL22</f>
        <v>9.4540000000000006</v>
      </c>
      <c r="AC278" s="636">
        <f>-Model!BM22</f>
        <v>9.3480000000000008</v>
      </c>
      <c r="AD278" s="468">
        <f>-Model!BN22</f>
        <v>9.0429999999999993</v>
      </c>
      <c r="AE278" s="468">
        <f>-Model!BO22</f>
        <v>9.7370000000000001</v>
      </c>
      <c r="AF278" s="468">
        <f>-Model!BP22</f>
        <v>9.6010000000000009</v>
      </c>
      <c r="AG278" s="636">
        <f>-Model!BQ22</f>
        <v>11.465999999999999</v>
      </c>
      <c r="AH278" s="468">
        <f>-Model!BR22</f>
        <v>11.362</v>
      </c>
      <c r="AI278" s="468">
        <f>-Model!BS22</f>
        <v>12.939</v>
      </c>
      <c r="AJ278" s="468">
        <f>-Model!BT22</f>
        <v>10.553000000000001</v>
      </c>
      <c r="AK278" s="636">
        <f>-Model!BU22</f>
        <v>8.109</v>
      </c>
      <c r="AL278" s="468">
        <f>-Model!BV22</f>
        <v>9.6669999999999998</v>
      </c>
      <c r="AM278" s="215">
        <f t="shared" si="1143"/>
        <v>15.397409999999999</v>
      </c>
      <c r="AN278" s="215">
        <f t="shared" si="1143"/>
        <v>12.558070000000001</v>
      </c>
      <c r="AO278" s="216">
        <f t="shared" si="1143"/>
        <v>9.6497099999999989</v>
      </c>
      <c r="AP278" s="215">
        <f t="shared" si="1144"/>
        <v>12.08375</v>
      </c>
      <c r="AQ278" s="215">
        <f t="shared" si="1145"/>
        <v>19.246762499999999</v>
      </c>
      <c r="AR278" s="215">
        <f t="shared" si="1146"/>
        <v>15.697587500000001</v>
      </c>
      <c r="AS278" s="216">
        <f t="shared" si="1147"/>
        <v>12.062137499999999</v>
      </c>
      <c r="AT278" s="215">
        <f t="shared" si="1148"/>
        <v>14.500499999999999</v>
      </c>
      <c r="AU278" s="215">
        <f t="shared" si="1149"/>
        <v>23.096114999999998</v>
      </c>
      <c r="AV278" s="215">
        <f t="shared" si="1150"/>
        <v>18.837105000000001</v>
      </c>
      <c r="AW278" s="216">
        <f t="shared" si="1151"/>
        <v>14.474564999999998</v>
      </c>
      <c r="AY278" s="204"/>
      <c r="AZ278" s="335">
        <f>SUM(B278:E278)</f>
        <v>35.795999999999999</v>
      </c>
      <c r="BA278" s="215">
        <f>SUM(F278:I278)</f>
        <v>30.455000000000002</v>
      </c>
      <c r="BB278" s="215">
        <f>SUM(J278:M278)</f>
        <v>26.836000000000002</v>
      </c>
      <c r="BC278" s="215">
        <f>SUM(N278:Q278)</f>
        <v>29.466000000000001</v>
      </c>
      <c r="BD278" s="215">
        <f>SUM(R278:U278)</f>
        <v>27.642000000000003</v>
      </c>
      <c r="BE278" s="215">
        <f>SUM(V278:Y278)</f>
        <v>33.834000000000003</v>
      </c>
      <c r="BF278" s="215">
        <f>SUM(Z278:AC278)</f>
        <v>36.161999999999999</v>
      </c>
      <c r="BG278" s="215">
        <f>SUM(AD278:AG278)</f>
        <v>39.847000000000001</v>
      </c>
      <c r="BH278" s="215">
        <f>SUM(AH278:AK278)</f>
        <v>42.963000000000001</v>
      </c>
      <c r="BI278" s="215">
        <f t="shared" si="1129"/>
        <v>47.272189999999995</v>
      </c>
      <c r="BJ278" s="215">
        <f>SUM(AP278:AS278)</f>
        <v>59.090237499999994</v>
      </c>
      <c r="BK278" s="215">
        <f>SUM(AT278:AW278)</f>
        <v>70.908285000000006</v>
      </c>
    </row>
    <row r="279" spans="1:63">
      <c r="A279" s="211" t="s">
        <v>883</v>
      </c>
      <c r="B279" s="468">
        <f>-Model!AL23</f>
        <v>39.393999999999998</v>
      </c>
      <c r="C279" s="468">
        <f>-Model!AM23</f>
        <v>54.198999999999998</v>
      </c>
      <c r="D279" s="468">
        <f>-Model!AN23</f>
        <v>46.103999999999999</v>
      </c>
      <c r="E279" s="636">
        <f>-Model!AO23</f>
        <v>58.201000000000001</v>
      </c>
      <c r="F279" s="468">
        <f>-Model!AP23</f>
        <v>51.506</v>
      </c>
      <c r="G279" s="468">
        <f>-Model!AQ23</f>
        <v>48.801000000000002</v>
      </c>
      <c r="H279" s="468">
        <f>-Model!AR23</f>
        <v>50.337000000000003</v>
      </c>
      <c r="I279" s="636">
        <f>-Model!AS23</f>
        <v>49.912999999999997</v>
      </c>
      <c r="J279" s="468">
        <f>-Model!AT23</f>
        <v>43.148000000000003</v>
      </c>
      <c r="K279" s="468">
        <f>-Model!AU23</f>
        <v>64.578000000000003</v>
      </c>
      <c r="L279" s="468">
        <f>-Model!AV23</f>
        <v>70.040999999999997</v>
      </c>
      <c r="M279" s="468">
        <f>-Model!AW23</f>
        <v>77.156999999999996</v>
      </c>
      <c r="N279" s="816">
        <f>-Model!AX23</f>
        <v>74.230999999999995</v>
      </c>
      <c r="O279" s="468">
        <f>-Model!AY23</f>
        <v>59.381</v>
      </c>
      <c r="P279" s="468">
        <f>-Model!AZ23</f>
        <v>56.97</v>
      </c>
      <c r="Q279" s="636">
        <f>-Model!BA23</f>
        <v>75.793999999999997</v>
      </c>
      <c r="R279" s="468">
        <f>-Model!BB23</f>
        <v>48.802999999999997</v>
      </c>
      <c r="S279" s="468">
        <f>-Model!BC23</f>
        <v>51.131999999999998</v>
      </c>
      <c r="T279" s="468">
        <f>-Model!BD23</f>
        <v>71.671000000000006</v>
      </c>
      <c r="U279" s="636">
        <f>-Model!BE23</f>
        <v>104.09699999999999</v>
      </c>
      <c r="V279" s="468">
        <f>-Model!BF23</f>
        <v>94.590999999999994</v>
      </c>
      <c r="W279" s="468">
        <f>-Model!BG23</f>
        <v>119.13</v>
      </c>
      <c r="X279" s="468">
        <f>-Model!BH23</f>
        <v>152.67099999999999</v>
      </c>
      <c r="Y279" s="636">
        <f>-Model!BI23</f>
        <v>127.33799999999999</v>
      </c>
      <c r="Z279" s="468">
        <f>-Model!BJ23</f>
        <v>99.876999999999995</v>
      </c>
      <c r="AA279" s="468">
        <f>-Model!BK23</f>
        <v>106.43600000000001</v>
      </c>
      <c r="AB279" s="468">
        <f>-Model!BL23</f>
        <v>128.12799999999999</v>
      </c>
      <c r="AC279" s="636">
        <f>-Model!BM23</f>
        <v>147.821</v>
      </c>
      <c r="AD279" s="468">
        <f>-Model!BN23</f>
        <v>116.378</v>
      </c>
      <c r="AE279" s="468">
        <f>-Model!BO23</f>
        <v>160.63</v>
      </c>
      <c r="AF279" s="468">
        <f>-Model!BP23</f>
        <v>136.18199999999999</v>
      </c>
      <c r="AG279" s="636">
        <f>-Model!BQ23</f>
        <v>166.851</v>
      </c>
      <c r="AH279" s="468">
        <f>-Model!BR23</f>
        <v>149.31800000000001</v>
      </c>
      <c r="AI279" s="468">
        <f>-Model!BS23</f>
        <v>188.893</v>
      </c>
      <c r="AJ279" s="468">
        <f>-Model!BT23</f>
        <v>42.345999999999997</v>
      </c>
      <c r="AK279" s="636">
        <f>-Model!BU23</f>
        <v>145.68</v>
      </c>
      <c r="AL279" s="468">
        <f>-Model!BV23</f>
        <v>118.218</v>
      </c>
      <c r="AM279" s="215">
        <f t="shared" si="1143"/>
        <v>117.11366</v>
      </c>
      <c r="AN279" s="215">
        <f t="shared" si="1143"/>
        <v>105.86499999999999</v>
      </c>
      <c r="AO279" s="216">
        <f t="shared" si="1143"/>
        <v>139.8528</v>
      </c>
      <c r="AP279" s="215">
        <f t="shared" si="1144"/>
        <v>130.03980000000001</v>
      </c>
      <c r="AQ279" s="215">
        <f t="shared" si="1145"/>
        <v>128.82502600000001</v>
      </c>
      <c r="AR279" s="215">
        <f t="shared" si="1146"/>
        <v>116.45150000000001</v>
      </c>
      <c r="AS279" s="216">
        <f t="shared" si="1147"/>
        <v>153.83808000000002</v>
      </c>
      <c r="AT279" s="215">
        <f t="shared" si="1148"/>
        <v>143.04378000000003</v>
      </c>
      <c r="AU279" s="215">
        <f t="shared" si="1149"/>
        <v>141.70752860000002</v>
      </c>
      <c r="AV279" s="215">
        <f t="shared" si="1150"/>
        <v>128.09665000000001</v>
      </c>
      <c r="AW279" s="216">
        <f t="shared" si="1151"/>
        <v>169.22188800000004</v>
      </c>
      <c r="AY279" s="204"/>
      <c r="AZ279" s="335">
        <f>SUM(B279:E279)</f>
        <v>197.898</v>
      </c>
      <c r="BA279" s="215">
        <f>SUM(F279:I279)</f>
        <v>200.55700000000002</v>
      </c>
      <c r="BB279" s="215">
        <f>SUM(J279:M279)</f>
        <v>254.92399999999998</v>
      </c>
      <c r="BC279" s="215">
        <f>SUM(N279:Q279)</f>
        <v>266.37599999999998</v>
      </c>
      <c r="BD279" s="215">
        <f>SUM(R279:U279)</f>
        <v>275.70299999999997</v>
      </c>
      <c r="BE279" s="215">
        <f>SUM(V279:Y279)</f>
        <v>493.73</v>
      </c>
      <c r="BF279" s="215">
        <f>SUM(Z279:AC279)</f>
        <v>482.26199999999994</v>
      </c>
      <c r="BG279" s="215">
        <f>SUM(AD279:AG279)</f>
        <v>580.04099999999994</v>
      </c>
      <c r="BH279" s="215">
        <f>SUM(AH279:AK279)</f>
        <v>526.23700000000008</v>
      </c>
      <c r="BI279" s="215">
        <f t="shared" si="1129"/>
        <v>481.04946000000001</v>
      </c>
      <c r="BJ279" s="215">
        <f>SUM(AP279:AS279)</f>
        <v>529.15440599999999</v>
      </c>
      <c r="BK279" s="215">
        <f>SUM(AT279:AW279)</f>
        <v>582.06984660000012</v>
      </c>
    </row>
    <row r="280" spans="1:63">
      <c r="A280" s="667" t="s">
        <v>886</v>
      </c>
      <c r="B280" s="668">
        <f>-Model!AL24</f>
        <v>-14.140999999999934</v>
      </c>
      <c r="C280" s="668">
        <f>-Model!AM24</f>
        <v>-2.2980000000000587</v>
      </c>
      <c r="D280" s="668">
        <f>-Model!AN24</f>
        <v>-7.9470000000000596</v>
      </c>
      <c r="E280" s="669">
        <f>-Model!AO24</f>
        <v>-20.570000000000022</v>
      </c>
      <c r="F280" s="668">
        <f>-Model!AP24</f>
        <v>-5.1000000000000796</v>
      </c>
      <c r="G280" s="668">
        <f>-Model!AQ24</f>
        <v>-5.4200000000000159</v>
      </c>
      <c r="H280" s="668">
        <f>-Model!AR24</f>
        <v>-48.314</v>
      </c>
      <c r="I280" s="669">
        <f>-Model!AS24</f>
        <v>-17.528999999999996</v>
      </c>
      <c r="J280" s="668">
        <f>-Model!AT24</f>
        <v>-29.509</v>
      </c>
      <c r="K280" s="668">
        <f>-Model!AU24</f>
        <v>-61.649000000000001</v>
      </c>
      <c r="L280" s="668">
        <f>-Model!AV24</f>
        <v>-138.29499999999999</v>
      </c>
      <c r="M280" s="668">
        <f>-Model!AW24</f>
        <v>-73.03</v>
      </c>
      <c r="N280" s="816">
        <f>-Model!AX24</f>
        <v>-60.314</v>
      </c>
      <c r="O280" s="468">
        <f>-Model!AY24</f>
        <v>-38.529000000000003</v>
      </c>
      <c r="P280" s="468">
        <f>-Model!AZ24</f>
        <v>-142.67500000000001</v>
      </c>
      <c r="Q280" s="636">
        <f>-Model!BA24</f>
        <v>-122.77</v>
      </c>
      <c r="R280" s="468">
        <f>-Model!BB24</f>
        <v>-85.097999999999999</v>
      </c>
      <c r="S280" s="668">
        <f>-Model!BC24</f>
        <v>-333.47200000000004</v>
      </c>
      <c r="T280" s="668">
        <f>-Model!BD24</f>
        <v>-88.711999999999989</v>
      </c>
      <c r="U280" s="669">
        <f>-Model!BE24</f>
        <v>-151.697</v>
      </c>
      <c r="V280" s="668">
        <f>-Model!BF24</f>
        <v>-54.705999999999996</v>
      </c>
      <c r="W280" s="668">
        <f>-Model!BG24</f>
        <v>-105.066</v>
      </c>
      <c r="X280" s="668">
        <f>-Model!BH24</f>
        <v>-78.619</v>
      </c>
      <c r="Y280" s="669">
        <f>-Model!BI24</f>
        <v>-96.3</v>
      </c>
      <c r="Z280" s="668">
        <f>-Model!BJ24</f>
        <v>-54.212000000000003</v>
      </c>
      <c r="AA280" s="668">
        <f>-Model!BK24</f>
        <v>-56.673999999999999</v>
      </c>
      <c r="AB280" s="668">
        <f>-Model!BL24</f>
        <v>-76.186000000000007</v>
      </c>
      <c r="AC280" s="669">
        <f>-Model!BM24</f>
        <v>-178.63</v>
      </c>
      <c r="AD280" s="668">
        <f>-Model!BN24</f>
        <v>-76.233000000000004</v>
      </c>
      <c r="AE280" s="668">
        <f>-Model!BO24</f>
        <v>-173.16200000000001</v>
      </c>
      <c r="AF280" s="668">
        <f>-Model!BP24</f>
        <v>-50.896000000000001</v>
      </c>
      <c r="AG280" s="669">
        <f>-Model!BQ24</f>
        <v>-110.306</v>
      </c>
      <c r="AH280" s="668">
        <f>-Model!BR24</f>
        <v>-113.527</v>
      </c>
      <c r="AI280" s="668">
        <f>-Model!BS24</f>
        <v>-85.119</v>
      </c>
      <c r="AJ280" s="668">
        <f>-Model!BT24</f>
        <v>-84.303999999999988</v>
      </c>
      <c r="AK280" s="669">
        <f>-Model!BU24</f>
        <v>-213.964</v>
      </c>
      <c r="AL280" s="668">
        <f>-Model!BV24</f>
        <v>-59.170999999999999</v>
      </c>
      <c r="AM280" s="360">
        <f t="shared" ref="AM280:AO280" si="1152">-(AM292+AM293)</f>
        <v>-79</v>
      </c>
      <c r="AN280" s="360">
        <f t="shared" si="1152"/>
        <v>-79</v>
      </c>
      <c r="AO280" s="361">
        <f t="shared" si="1152"/>
        <v>-79</v>
      </c>
      <c r="AP280" s="360">
        <f t="shared" ref="AP280:AS280" si="1153">-(AP292+AP293)</f>
        <v>-79</v>
      </c>
      <c r="AQ280" s="360">
        <f t="shared" si="1153"/>
        <v>-79</v>
      </c>
      <c r="AR280" s="360">
        <f t="shared" si="1153"/>
        <v>-79</v>
      </c>
      <c r="AS280" s="361">
        <f t="shared" si="1153"/>
        <v>-79</v>
      </c>
      <c r="AT280" s="360">
        <f t="shared" ref="AT280:AW280" si="1154">-(AT292+AT293)</f>
        <v>-79</v>
      </c>
      <c r="AU280" s="360">
        <f t="shared" si="1154"/>
        <v>-79</v>
      </c>
      <c r="AV280" s="360">
        <f t="shared" si="1154"/>
        <v>-79</v>
      </c>
      <c r="AW280" s="361">
        <f t="shared" si="1154"/>
        <v>-79</v>
      </c>
      <c r="AY280" s="217"/>
      <c r="AZ280" s="548">
        <f>SUM(B280:E280)</f>
        <v>-44.956000000000074</v>
      </c>
      <c r="BA280" s="360">
        <f>SUM(F280:I280)</f>
        <v>-76.363000000000085</v>
      </c>
      <c r="BB280" s="360">
        <f>SUM(J280:M280)</f>
        <v>-302.48299999999995</v>
      </c>
      <c r="BC280" s="360">
        <f>SUM(N280:Q280)</f>
        <v>-364.28800000000001</v>
      </c>
      <c r="BD280" s="360">
        <f>SUM(R280:U280)</f>
        <v>-658.97900000000004</v>
      </c>
      <c r="BE280" s="360">
        <f>SUM(V280:Y280)</f>
        <v>-334.69099999999997</v>
      </c>
      <c r="BF280" s="360">
        <f>SUM(Z280:AC280)</f>
        <v>-365.702</v>
      </c>
      <c r="BG280" s="1040">
        <f>SUM(AD280:AG280)</f>
        <v>-410.59699999999998</v>
      </c>
      <c r="BH280" s="1040">
        <f>SUM(AH280:AK280)</f>
        <v>-496.91399999999999</v>
      </c>
      <c r="BI280" s="1040">
        <f t="shared" si="1129"/>
        <v>-296.17099999999999</v>
      </c>
      <c r="BJ280" s="1082">
        <f>SUM(AP280:AS280)</f>
        <v>-316</v>
      </c>
      <c r="BK280" s="1082">
        <f>SUM(AT280:AW280)</f>
        <v>-316</v>
      </c>
    </row>
    <row r="281" spans="1:63">
      <c r="A281" s="207" t="s">
        <v>1024</v>
      </c>
      <c r="B281" s="468"/>
      <c r="C281" s="468"/>
      <c r="D281" s="468"/>
      <c r="E281" s="636"/>
      <c r="F281" s="468"/>
      <c r="G281" s="468"/>
      <c r="H281" s="468"/>
      <c r="I281" s="636"/>
      <c r="J281" s="222">
        <f t="shared" ref="J281:O281" si="1155">J276/F276-1</f>
        <v>-0.451279831828861</v>
      </c>
      <c r="K281" s="222">
        <f t="shared" si="1155"/>
        <v>-2.3699401601433356E-2</v>
      </c>
      <c r="L281" s="222">
        <f t="shared" si="1155"/>
        <v>-0.31992947868559773</v>
      </c>
      <c r="M281" s="222">
        <f t="shared" si="1155"/>
        <v>2.4083859358487114E-2</v>
      </c>
      <c r="N281" s="820">
        <f t="shared" si="1155"/>
        <v>0.90774903969270193</v>
      </c>
      <c r="O281" s="821">
        <f t="shared" si="1155"/>
        <v>-5.1884652658927388E-2</v>
      </c>
      <c r="P281" s="821">
        <f t="shared" ref="P281:AB281" si="1156">P276/L276-1</f>
        <v>-0.35362980475278216</v>
      </c>
      <c r="Q281" s="860">
        <f t="shared" si="1156"/>
        <v>-0.11021302943588207</v>
      </c>
      <c r="R281" s="821">
        <f t="shared" si="1156"/>
        <v>-0.32629775992783661</v>
      </c>
      <c r="S281" s="222">
        <f t="shared" si="1156"/>
        <v>-1.7217748731806246</v>
      </c>
      <c r="T281" s="222">
        <f t="shared" si="1156"/>
        <v>0.99045240707808335</v>
      </c>
      <c r="U281" s="459">
        <f t="shared" si="1156"/>
        <v>-0.16828722423877673</v>
      </c>
      <c r="V281" s="222">
        <f t="shared" si="1156"/>
        <v>0.70780964829086757</v>
      </c>
      <c r="W281" s="222">
        <f t="shared" si="1156"/>
        <v>-2.5897808679407306</v>
      </c>
      <c r="X281" s="222">
        <f t="shared" si="1156"/>
        <v>0.67470551334773821</v>
      </c>
      <c r="Y281" s="459">
        <f t="shared" si="1156"/>
        <v>0.78144856748750691</v>
      </c>
      <c r="Z281" s="222">
        <f t="shared" si="1156"/>
        <v>3.3142931810121068E-2</v>
      </c>
      <c r="AA281" s="222">
        <f t="shared" si="1156"/>
        <v>0.12157122888483496</v>
      </c>
      <c r="AB281" s="222">
        <f t="shared" si="1156"/>
        <v>-0.11375460183051656</v>
      </c>
      <c r="AC281" s="459">
        <f t="shared" ref="AC281:AO281" si="1157">AC276/Y276-1</f>
        <v>-0.29053536597233676</v>
      </c>
      <c r="AD281" s="222">
        <f t="shared" si="1157"/>
        <v>7.1874463606551364E-2</v>
      </c>
      <c r="AE281" s="222">
        <f t="shared" si="1157"/>
        <v>-0.24819815633158981</v>
      </c>
      <c r="AF281" s="222">
        <f t="shared" si="1157"/>
        <v>0.17094589979165931</v>
      </c>
      <c r="AG281" s="459">
        <f t="shared" si="1157"/>
        <v>0.69997077714892297</v>
      </c>
      <c r="AH281" s="222">
        <f t="shared" si="1157"/>
        <v>-0.17278274574585528</v>
      </c>
      <c r="AI281" s="222">
        <f t="shared" si="1157"/>
        <v>0.68090450849381545</v>
      </c>
      <c r="AJ281" s="222">
        <f t="shared" si="1157"/>
        <v>-0.37382826599774666</v>
      </c>
      <c r="AK281" s="459">
        <f t="shared" si="1157"/>
        <v>-0.37027356987994908</v>
      </c>
      <c r="AL281" s="222">
        <f t="shared" si="1157"/>
        <v>0.30318344141785158</v>
      </c>
      <c r="AM281" s="222">
        <f t="shared" si="1157"/>
        <v>-0.15031000728799604</v>
      </c>
      <c r="AN281" s="222">
        <f t="shared" si="1157"/>
        <v>0.53069586938547331</v>
      </c>
      <c r="AO281" s="459">
        <f t="shared" si="1157"/>
        <v>0.8615278466415226</v>
      </c>
      <c r="AP281" s="222">
        <f t="shared" ref="AP281" si="1158">AP276/AL276-1</f>
        <v>0.18293470570069292</v>
      </c>
      <c r="AQ281" s="222">
        <f t="shared" ref="AQ281" si="1159">AQ276/AM276-1</f>
        <v>0.2822726498879824</v>
      </c>
      <c r="AR281" s="222">
        <f t="shared" ref="AR281" si="1160">AR276/AN276-1</f>
        <v>0.29022333054897032</v>
      </c>
      <c r="AS281" s="459">
        <f t="shared" ref="AS281" si="1161">AS276/AO276-1</f>
        <v>0.26999540859535975</v>
      </c>
      <c r="AT281" s="222">
        <f t="shared" ref="AT281" si="1162">AT276/AP276-1</f>
        <v>0.19341172371318627</v>
      </c>
      <c r="AU281" s="222">
        <f t="shared" ref="AU281" si="1163">AU276/AQ276-1</f>
        <v>0.19319080971169411</v>
      </c>
      <c r="AV281" s="222">
        <f t="shared" ref="AV281" si="1164">AV276/AR276-1</f>
        <v>0.19538366287262643</v>
      </c>
      <c r="AW281" s="459">
        <f t="shared" ref="AW281" si="1165">AW276/AS276-1</f>
        <v>0.18507629351347998</v>
      </c>
      <c r="AY281" s="204"/>
      <c r="AZ281" s="335"/>
      <c r="BA281" s="686">
        <f t="shared" ref="BA281:BD285" si="1166">BA276/AZ276-1</f>
        <v>0.18866313008545954</v>
      </c>
      <c r="BB281" s="686">
        <f t="shared" si="1166"/>
        <v>-0.18918169436790766</v>
      </c>
      <c r="BC281" s="686">
        <f t="shared" si="1166"/>
        <v>2.5975951437876343E-2</v>
      </c>
      <c r="BD281" s="686">
        <f t="shared" si="1166"/>
        <v>-0.53493703271277437</v>
      </c>
      <c r="BE281" s="686">
        <f t="shared" ref="BE281:BK281" si="1167">BE276/BD276-1</f>
        <v>2.2695721872263501</v>
      </c>
      <c r="BF281" s="686">
        <f t="shared" si="1167"/>
        <v>-7.1246445615350096E-2</v>
      </c>
      <c r="BG281" s="686">
        <f t="shared" si="1167"/>
        <v>0.1332248833426164</v>
      </c>
      <c r="BH281" s="686">
        <f t="shared" si="1167"/>
        <v>-0.13124557497152578</v>
      </c>
      <c r="BI281" s="686">
        <f t="shared" si="1167"/>
        <v>0.30749088774505062</v>
      </c>
      <c r="BJ281" s="686">
        <f t="shared" si="1167"/>
        <v>0.25749943597706193</v>
      </c>
      <c r="BK281" s="686">
        <f t="shared" si="1167"/>
        <v>0.19129944368426921</v>
      </c>
    </row>
    <row r="282" spans="1:63">
      <c r="A282" s="211" t="s">
        <v>293</v>
      </c>
      <c r="B282" s="468"/>
      <c r="C282" s="468"/>
      <c r="D282" s="468"/>
      <c r="E282" s="636"/>
      <c r="F282" s="468"/>
      <c r="G282" s="468"/>
      <c r="H282" s="468"/>
      <c r="I282" s="636"/>
      <c r="J282" s="671">
        <f t="shared" ref="J282:L285" si="1168">J277/F277-1</f>
        <v>-0.37253546892150091</v>
      </c>
      <c r="K282" s="231">
        <f t="shared" si="1168"/>
        <v>0.23801273296778702</v>
      </c>
      <c r="L282" s="231">
        <f t="shared" si="1168"/>
        <v>7.4155568198971178E-2</v>
      </c>
      <c r="M282" s="231">
        <f t="shared" ref="M282:S285" si="1169">M277/I277-1</f>
        <v>0.25858338890123744</v>
      </c>
      <c r="N282" s="671">
        <f t="shared" si="1169"/>
        <v>1.1572529964366698</v>
      </c>
      <c r="O282" s="231">
        <f t="shared" si="1169"/>
        <v>-0.13285987914844111</v>
      </c>
      <c r="P282" s="231">
        <f t="shared" si="1169"/>
        <v>-0.14322312843545792</v>
      </c>
      <c r="Q282" s="454">
        <f t="shared" si="1169"/>
        <v>0.14444490230822193</v>
      </c>
      <c r="R282" s="231">
        <f t="shared" si="1169"/>
        <v>-6.1344497435219747E-2</v>
      </c>
      <c r="S282" s="231">
        <f t="shared" ref="S282:AL282" si="1170">S277/O277-1</f>
        <v>-9.4601864568763072E-2</v>
      </c>
      <c r="T282" s="231">
        <f t="shared" si="1170"/>
        <v>5.6093868281604786E-2</v>
      </c>
      <c r="U282" s="454">
        <f t="shared" si="1170"/>
        <v>-0.11472264515863539</v>
      </c>
      <c r="V282" s="231">
        <f t="shared" si="1170"/>
        <v>5.7565926295649383E-2</v>
      </c>
      <c r="W282" s="231">
        <f t="shared" si="1170"/>
        <v>0.31060034113469248</v>
      </c>
      <c r="X282" s="231">
        <f t="shared" si="1170"/>
        <v>9.2442596707523972E-2</v>
      </c>
      <c r="Y282" s="454">
        <f t="shared" si="1170"/>
        <v>0.14729380320153407</v>
      </c>
      <c r="Z282" s="231">
        <f t="shared" si="1170"/>
        <v>1.4515728902577019E-2</v>
      </c>
      <c r="AA282" s="231">
        <f t="shared" si="1170"/>
        <v>-5.2543150348829726E-2</v>
      </c>
      <c r="AB282" s="231">
        <f t="shared" si="1170"/>
        <v>-5.4962600061239653E-2</v>
      </c>
      <c r="AC282" s="454">
        <f t="shared" si="1170"/>
        <v>-4.2120989592565383E-2</v>
      </c>
      <c r="AD282" s="231">
        <f t="shared" si="1170"/>
        <v>0.12191950759834924</v>
      </c>
      <c r="AE282" s="231">
        <f t="shared" si="1170"/>
        <v>1.7536156007048165E-2</v>
      </c>
      <c r="AF282" s="231">
        <f t="shared" si="1170"/>
        <v>3.7897197343145894E-2</v>
      </c>
      <c r="AG282" s="454">
        <f t="shared" si="1170"/>
        <v>0.14749547949116515</v>
      </c>
      <c r="AH282" s="231">
        <f t="shared" si="1170"/>
        <v>-0.20714475572803148</v>
      </c>
      <c r="AI282" s="231">
        <f t="shared" si="1170"/>
        <v>9.189589926306363E-3</v>
      </c>
      <c r="AJ282" s="231">
        <f t="shared" si="1170"/>
        <v>0.13245738240442395</v>
      </c>
      <c r="AK282" s="454">
        <f t="shared" si="1170"/>
        <v>0.10431957979127793</v>
      </c>
      <c r="AL282" s="231">
        <f t="shared" si="1170"/>
        <v>0.25447218795258264</v>
      </c>
      <c r="AM282" s="390">
        <v>0.1</v>
      </c>
      <c r="AN282" s="390">
        <f t="shared" ref="AN282:AN283" si="1171">AM282</f>
        <v>0.1</v>
      </c>
      <c r="AO282" s="391">
        <f>AN282</f>
        <v>0.1</v>
      </c>
      <c r="AP282" s="390">
        <v>0.28000000000000003</v>
      </c>
      <c r="AQ282" s="390">
        <f t="shared" ref="AQ282:AQ284" si="1172">AP282</f>
        <v>0.28000000000000003</v>
      </c>
      <c r="AR282" s="390">
        <f t="shared" ref="AR282:AR284" si="1173">AQ282</f>
        <v>0.28000000000000003</v>
      </c>
      <c r="AS282" s="391">
        <f>AR282</f>
        <v>0.28000000000000003</v>
      </c>
      <c r="AT282" s="390">
        <v>0.18</v>
      </c>
      <c r="AU282" s="390">
        <f t="shared" ref="AU282:AU284" si="1174">AT282</f>
        <v>0.18</v>
      </c>
      <c r="AV282" s="390">
        <f t="shared" ref="AV282:AV284" si="1175">AU282</f>
        <v>0.18</v>
      </c>
      <c r="AW282" s="391">
        <f>AV282</f>
        <v>0.18</v>
      </c>
      <c r="AY282" s="204"/>
      <c r="AZ282" s="335"/>
      <c r="BA282" s="264">
        <f t="shared" si="1166"/>
        <v>0.35184530485049548</v>
      </c>
      <c r="BB282" s="264">
        <f t="shared" si="1166"/>
        <v>6.3880787269565698E-2</v>
      </c>
      <c r="BC282" s="264">
        <f t="shared" si="1166"/>
        <v>0.10278996926443007</v>
      </c>
      <c r="BD282" s="264">
        <f t="shared" si="1166"/>
        <v>-5.6938676996160398E-2</v>
      </c>
      <c r="BE282" s="264">
        <f t="shared" ref="BE282:BK285" si="1176">BE277/BD277-1</f>
        <v>0.147538828067034</v>
      </c>
      <c r="BF282" s="264">
        <f t="shared" si="1176"/>
        <v>-3.5221853618080057E-2</v>
      </c>
      <c r="BG282" s="264">
        <f t="shared" si="1176"/>
        <v>8.2010533385175277E-2</v>
      </c>
      <c r="BH282" s="264">
        <f t="shared" si="1176"/>
        <v>1.188716794789868E-2</v>
      </c>
      <c r="BI282" s="264">
        <f t="shared" si="1176"/>
        <v>0.12975118030517474</v>
      </c>
      <c r="BJ282" s="264">
        <f t="shared" si="1176"/>
        <v>0.28000000000000003</v>
      </c>
      <c r="BK282" s="264">
        <f t="shared" si="1176"/>
        <v>0.17999999999999994</v>
      </c>
    </row>
    <row r="283" spans="1:63">
      <c r="A283" s="211" t="s">
        <v>882</v>
      </c>
      <c r="B283" s="468"/>
      <c r="C283" s="468"/>
      <c r="D283" s="468"/>
      <c r="E283" s="636"/>
      <c r="F283" s="468"/>
      <c r="G283" s="468"/>
      <c r="H283" s="468"/>
      <c r="I283" s="636"/>
      <c r="J283" s="671">
        <f t="shared" si="1168"/>
        <v>-0.19992951955832261</v>
      </c>
      <c r="K283" s="231">
        <f t="shared" si="1168"/>
        <v>8.7602899619118046E-2</v>
      </c>
      <c r="L283" s="231">
        <f t="shared" si="1168"/>
        <v>-3.3103900360537564E-2</v>
      </c>
      <c r="M283" s="231">
        <f t="shared" si="1169"/>
        <v>-0.31528372938579408</v>
      </c>
      <c r="N283" s="671">
        <f t="shared" si="1169"/>
        <v>-0.14241667890177645</v>
      </c>
      <c r="O283" s="231">
        <f t="shared" si="1169"/>
        <v>-0.42702214188883869</v>
      </c>
      <c r="P283" s="231">
        <f t="shared" si="1169"/>
        <v>9.6949152542372907E-2</v>
      </c>
      <c r="Q283" s="454">
        <f t="shared" si="1169"/>
        <v>1.291105632467286</v>
      </c>
      <c r="R283" s="231">
        <f t="shared" si="1169"/>
        <v>-5.9236432117788063E-2</v>
      </c>
      <c r="S283" s="231">
        <f t="shared" si="1169"/>
        <v>0.28884069400630907</v>
      </c>
      <c r="T283" s="231">
        <f t="shared" ref="T283:AL285" si="1177">T278/P278-1</f>
        <v>0.15049443757725567</v>
      </c>
      <c r="U283" s="454">
        <f t="shared" si="1177"/>
        <v>-0.32422812681069446</v>
      </c>
      <c r="V283" s="231">
        <f t="shared" si="1177"/>
        <v>0.66151046405823477</v>
      </c>
      <c r="W283" s="231">
        <f t="shared" si="1177"/>
        <v>0.45280709805721275</v>
      </c>
      <c r="X283" s="231">
        <f t="shared" si="1177"/>
        <v>-1.1952726295997751E-2</v>
      </c>
      <c r="Y283" s="454">
        <f t="shared" si="1177"/>
        <v>-3.8461538461538436E-2</v>
      </c>
      <c r="Z283" s="231">
        <f t="shared" si="1177"/>
        <v>-0.11796276013143481</v>
      </c>
      <c r="AA283" s="231">
        <f t="shared" si="1177"/>
        <v>-2.0006317784563521E-2</v>
      </c>
      <c r="AB283" s="231">
        <f t="shared" si="1177"/>
        <v>0.28503466086720142</v>
      </c>
      <c r="AC283" s="454">
        <f t="shared" si="1177"/>
        <v>0.19082802547770705</v>
      </c>
      <c r="AD283" s="231">
        <f t="shared" si="1177"/>
        <v>0.12293555196821049</v>
      </c>
      <c r="AE283" s="231">
        <f t="shared" si="1177"/>
        <v>4.6201783603739166E-2</v>
      </c>
      <c r="AF283" s="231">
        <f t="shared" si="1177"/>
        <v>1.5548973979268021E-2</v>
      </c>
      <c r="AG283" s="454">
        <f t="shared" si="1177"/>
        <v>0.22657252888318347</v>
      </c>
      <c r="AH283" s="231">
        <f t="shared" si="1177"/>
        <v>0.25644144642264743</v>
      </c>
      <c r="AI283" s="231">
        <f t="shared" si="1177"/>
        <v>0.32884872137208587</v>
      </c>
      <c r="AJ283" s="231">
        <f t="shared" si="1177"/>
        <v>9.9156337881470602E-2</v>
      </c>
      <c r="AK283" s="454">
        <f t="shared" si="1177"/>
        <v>-0.29277864992150704</v>
      </c>
      <c r="AL283" s="231">
        <f t="shared" si="1177"/>
        <v>-0.14918148213342719</v>
      </c>
      <c r="AM283" s="390">
        <v>0.19</v>
      </c>
      <c r="AN283" s="390">
        <f t="shared" si="1171"/>
        <v>0.19</v>
      </c>
      <c r="AO283" s="391">
        <f>AN283</f>
        <v>0.19</v>
      </c>
      <c r="AP283" s="390">
        <v>0.25</v>
      </c>
      <c r="AQ283" s="390">
        <f t="shared" si="1172"/>
        <v>0.25</v>
      </c>
      <c r="AR283" s="390">
        <f t="shared" si="1173"/>
        <v>0.25</v>
      </c>
      <c r="AS283" s="391">
        <f>AR283</f>
        <v>0.25</v>
      </c>
      <c r="AT283" s="390">
        <v>0.2</v>
      </c>
      <c r="AU283" s="390">
        <f>AT283</f>
        <v>0.2</v>
      </c>
      <c r="AV283" s="390">
        <f>AU283</f>
        <v>0.2</v>
      </c>
      <c r="AW283" s="391">
        <f>AV283</f>
        <v>0.2</v>
      </c>
      <c r="AY283" s="204"/>
      <c r="AZ283" s="335"/>
      <c r="BA283" s="264">
        <f t="shared" si="1166"/>
        <v>-0.14920661526427526</v>
      </c>
      <c r="BB283" s="264">
        <f t="shared" si="1166"/>
        <v>-0.11883106222295192</v>
      </c>
      <c r="BC283" s="264">
        <f t="shared" si="1166"/>
        <v>9.8002682963183707E-2</v>
      </c>
      <c r="BD283" s="264">
        <f t="shared" si="1166"/>
        <v>-6.1901852983099137E-2</v>
      </c>
      <c r="BE283" s="264">
        <f t="shared" si="1176"/>
        <v>0.22400694595181236</v>
      </c>
      <c r="BF283" s="264">
        <f t="shared" si="1176"/>
        <v>6.8806525979783428E-2</v>
      </c>
      <c r="BG283" s="264">
        <f t="shared" si="1176"/>
        <v>0.10190254963774126</v>
      </c>
      <c r="BH283" s="264">
        <f t="shared" si="1176"/>
        <v>7.8199111601877203E-2</v>
      </c>
      <c r="BI283" s="264">
        <f t="shared" si="1176"/>
        <v>0.1003000256034261</v>
      </c>
      <c r="BJ283" s="264">
        <f t="shared" si="1176"/>
        <v>0.25</v>
      </c>
      <c r="BK283" s="264">
        <f t="shared" si="1176"/>
        <v>0.20000000000000018</v>
      </c>
    </row>
    <row r="284" spans="1:63">
      <c r="A284" s="211" t="s">
        <v>883</v>
      </c>
      <c r="B284" s="468"/>
      <c r="C284" s="468"/>
      <c r="D284" s="468"/>
      <c r="E284" s="636"/>
      <c r="F284" s="468"/>
      <c r="G284" s="468"/>
      <c r="H284" s="468"/>
      <c r="I284" s="636"/>
      <c r="J284" s="671">
        <f t="shared" si="1168"/>
        <v>-0.16227235661864636</v>
      </c>
      <c r="K284" s="231">
        <f t="shared" si="1168"/>
        <v>0.32329255548042046</v>
      </c>
      <c r="L284" s="231">
        <f t="shared" si="1168"/>
        <v>0.39144168305620108</v>
      </c>
      <c r="M284" s="231">
        <f t="shared" si="1169"/>
        <v>0.54582974375413218</v>
      </c>
      <c r="N284" s="671">
        <f t="shared" si="1169"/>
        <v>0.72038101418373945</v>
      </c>
      <c r="O284" s="231">
        <f t="shared" si="1169"/>
        <v>-8.0476323206045475E-2</v>
      </c>
      <c r="P284" s="231">
        <f t="shared" si="1169"/>
        <v>-0.18661926585856858</v>
      </c>
      <c r="Q284" s="454">
        <f t="shared" si="1169"/>
        <v>-1.766527988387312E-2</v>
      </c>
      <c r="R284" s="231">
        <f t="shared" si="1169"/>
        <v>-0.34255230294620842</v>
      </c>
      <c r="S284" s="231">
        <f t="shared" si="1169"/>
        <v>-0.13891648843906301</v>
      </c>
      <c r="T284" s="231">
        <f t="shared" si="1177"/>
        <v>0.25804809548885399</v>
      </c>
      <c r="U284" s="454">
        <f t="shared" si="1177"/>
        <v>0.37342005963532721</v>
      </c>
      <c r="V284" s="231">
        <f t="shared" si="1177"/>
        <v>0.93822101100342192</v>
      </c>
      <c r="W284" s="231">
        <f t="shared" si="1177"/>
        <v>1.3298521473832432</v>
      </c>
      <c r="X284" s="231">
        <f t="shared" si="1177"/>
        <v>1.130164222628399</v>
      </c>
      <c r="Y284" s="454">
        <f t="shared" si="1177"/>
        <v>0.22326291823971878</v>
      </c>
      <c r="Z284" s="231">
        <f t="shared" si="1177"/>
        <v>5.5882694970980307E-2</v>
      </c>
      <c r="AA284" s="231">
        <f t="shared" si="1177"/>
        <v>-0.10655586334256684</v>
      </c>
      <c r="AB284" s="231">
        <f t="shared" si="1177"/>
        <v>-0.16075744574935646</v>
      </c>
      <c r="AC284" s="454">
        <f t="shared" si="1177"/>
        <v>0.16085536132183642</v>
      </c>
      <c r="AD284" s="231">
        <f t="shared" si="1177"/>
        <v>0.16521321225106878</v>
      </c>
      <c r="AE284" s="231">
        <f t="shared" si="1177"/>
        <v>0.50916982975684899</v>
      </c>
      <c r="AF284" s="231">
        <f t="shared" si="1177"/>
        <v>6.2859015984016109E-2</v>
      </c>
      <c r="AG284" s="454">
        <f t="shared" si="1177"/>
        <v>0.12873678300106217</v>
      </c>
      <c r="AH284" s="231">
        <f t="shared" si="1177"/>
        <v>0.28304318685662255</v>
      </c>
      <c r="AI284" s="231">
        <f t="shared" si="1177"/>
        <v>0.17595094316130244</v>
      </c>
      <c r="AJ284" s="231">
        <f t="shared" si="1177"/>
        <v>-0.68904847924101564</v>
      </c>
      <c r="AK284" s="454">
        <f t="shared" si="1177"/>
        <v>-0.12688566445511262</v>
      </c>
      <c r="AL284" s="231">
        <f t="shared" si="1177"/>
        <v>-0.2082803144965778</v>
      </c>
      <c r="AM284" s="390">
        <v>-0.38</v>
      </c>
      <c r="AN284" s="390">
        <v>1.5</v>
      </c>
      <c r="AO284" s="391">
        <v>-0.04</v>
      </c>
      <c r="AP284" s="390">
        <v>0.1</v>
      </c>
      <c r="AQ284" s="390">
        <f t="shared" si="1172"/>
        <v>0.1</v>
      </c>
      <c r="AR284" s="390">
        <f t="shared" si="1173"/>
        <v>0.1</v>
      </c>
      <c r="AS284" s="391">
        <f>AR284</f>
        <v>0.1</v>
      </c>
      <c r="AT284" s="390">
        <v>0.1</v>
      </c>
      <c r="AU284" s="390">
        <f t="shared" si="1174"/>
        <v>0.1</v>
      </c>
      <c r="AV284" s="390">
        <f t="shared" si="1175"/>
        <v>0.1</v>
      </c>
      <c r="AW284" s="391">
        <f>AV284</f>
        <v>0.1</v>
      </c>
      <c r="AY284" s="204"/>
      <c r="AZ284" s="335"/>
      <c r="BA284" s="264">
        <f t="shared" si="1166"/>
        <v>1.3436214615610176E-2</v>
      </c>
      <c r="BB284" s="264">
        <f t="shared" si="1166"/>
        <v>0.27108004208279923</v>
      </c>
      <c r="BC284" s="264">
        <f t="shared" si="1166"/>
        <v>4.492319279471535E-2</v>
      </c>
      <c r="BD284" s="264">
        <f t="shared" si="1166"/>
        <v>3.5014415713127356E-2</v>
      </c>
      <c r="BE284" s="264">
        <f t="shared" si="1176"/>
        <v>0.79080387228285542</v>
      </c>
      <c r="BF284" s="264">
        <f t="shared" si="1176"/>
        <v>-2.3227269965365838E-2</v>
      </c>
      <c r="BG284" s="264">
        <f t="shared" si="1176"/>
        <v>0.20275078691665538</v>
      </c>
      <c r="BH284" s="264">
        <f t="shared" si="1176"/>
        <v>-9.2758960142472424E-2</v>
      </c>
      <c r="BI284" s="264">
        <f t="shared" si="1176"/>
        <v>-8.5869180616338414E-2</v>
      </c>
      <c r="BJ284" s="264">
        <f t="shared" si="1176"/>
        <v>9.9999999999999867E-2</v>
      </c>
      <c r="BK284" s="264">
        <f t="shared" si="1176"/>
        <v>0.10000000000000031</v>
      </c>
    </row>
    <row r="285" spans="1:63">
      <c r="A285" s="667" t="s">
        <v>886</v>
      </c>
      <c r="B285" s="668"/>
      <c r="C285" s="668"/>
      <c r="D285" s="668"/>
      <c r="E285" s="669"/>
      <c r="F285" s="668"/>
      <c r="G285" s="668"/>
      <c r="H285" s="668"/>
      <c r="I285" s="669"/>
      <c r="J285" s="672">
        <f t="shared" si="1168"/>
        <v>4.7860784313724585</v>
      </c>
      <c r="K285" s="670">
        <f t="shared" si="1168"/>
        <v>10.374354243542403</v>
      </c>
      <c r="L285" s="670">
        <f t="shared" si="1168"/>
        <v>1.8624208304011258</v>
      </c>
      <c r="M285" s="670">
        <f t="shared" si="1169"/>
        <v>3.1662388042672154</v>
      </c>
      <c r="N285" s="672">
        <f t="shared" si="1169"/>
        <v>1.043918804432546</v>
      </c>
      <c r="O285" s="670">
        <f t="shared" si="1169"/>
        <v>-0.37502635890282077</v>
      </c>
      <c r="P285" s="670">
        <f>P280/L280-1</f>
        <v>3.167142702194603E-2</v>
      </c>
      <c r="Q285" s="674">
        <f>Q280/M280-1</f>
        <v>0.68108996302889224</v>
      </c>
      <c r="R285" s="670">
        <f>R280/N280-1</f>
        <v>0.41091620519282412</v>
      </c>
      <c r="S285" s="670">
        <f>S280/O280-1</f>
        <v>7.6550909704378522</v>
      </c>
      <c r="T285" s="670">
        <f t="shared" si="1177"/>
        <v>-0.37822323462414587</v>
      </c>
      <c r="U285" s="674">
        <f t="shared" si="1177"/>
        <v>0.23561945100594617</v>
      </c>
      <c r="V285" s="672">
        <f t="shared" ref="V285:AG285" si="1178">V280/R280-1</f>
        <v>-0.35714117840607307</v>
      </c>
      <c r="W285" s="670">
        <f t="shared" si="1178"/>
        <v>-0.68493306784377705</v>
      </c>
      <c r="X285" s="670">
        <f t="shared" si="1178"/>
        <v>-0.11377265758860122</v>
      </c>
      <c r="Y285" s="674">
        <f t="shared" si="1178"/>
        <v>-0.36518190867321043</v>
      </c>
      <c r="Z285" s="670">
        <f t="shared" si="1178"/>
        <v>-9.0300881073372974E-3</v>
      </c>
      <c r="AA285" s="670">
        <f t="shared" si="1178"/>
        <v>-0.46058667884948512</v>
      </c>
      <c r="AB285" s="670">
        <f t="shared" si="1178"/>
        <v>-3.0946717714547267E-2</v>
      </c>
      <c r="AC285" s="674">
        <f t="shared" si="1178"/>
        <v>0.85493250259605391</v>
      </c>
      <c r="AD285" s="670">
        <f t="shared" si="1178"/>
        <v>0.40620157898620235</v>
      </c>
      <c r="AE285" s="670">
        <f t="shared" si="1178"/>
        <v>2.0554045946995094</v>
      </c>
      <c r="AF285" s="670">
        <f t="shared" si="1178"/>
        <v>-0.33195075210668634</v>
      </c>
      <c r="AG285" s="674">
        <f t="shared" si="1178"/>
        <v>-0.38248894362649055</v>
      </c>
      <c r="AH285" s="670">
        <f t="shared" ref="AH285:AO285" si="1179">AH280/AD280-1</f>
        <v>0.48921070927288701</v>
      </c>
      <c r="AI285" s="670">
        <f t="shared" si="1179"/>
        <v>-0.50844296092676222</v>
      </c>
      <c r="AJ285" s="670">
        <f t="shared" si="1179"/>
        <v>0.65639735932096799</v>
      </c>
      <c r="AK285" s="674">
        <f t="shared" si="1179"/>
        <v>0.93973129294870628</v>
      </c>
      <c r="AL285" s="670">
        <f t="shared" si="1179"/>
        <v>-0.47879359095193219</v>
      </c>
      <c r="AM285" s="670">
        <f t="shared" si="1179"/>
        <v>-7.188759266438749E-2</v>
      </c>
      <c r="AN285" s="670">
        <f t="shared" si="1179"/>
        <v>-6.2915164167773652E-2</v>
      </c>
      <c r="AO285" s="674">
        <f t="shared" si="1179"/>
        <v>-0.63077900955300892</v>
      </c>
      <c r="AP285" s="670">
        <f t="shared" ref="AP285" si="1180">AP280/AL280-1</f>
        <v>0.33511348464619495</v>
      </c>
      <c r="AQ285" s="670">
        <f t="shared" ref="AQ285" si="1181">AQ280/AM280-1</f>
        <v>0</v>
      </c>
      <c r="AR285" s="670">
        <f t="shared" ref="AR285" si="1182">AR280/AN280-1</f>
        <v>0</v>
      </c>
      <c r="AS285" s="674">
        <f t="shared" ref="AS285" si="1183">AS280/AO280-1</f>
        <v>0</v>
      </c>
      <c r="AT285" s="670">
        <f t="shared" ref="AT285" si="1184">AT280/AP280-1</f>
        <v>0</v>
      </c>
      <c r="AU285" s="670">
        <f t="shared" ref="AU285" si="1185">AU280/AQ280-1</f>
        <v>0</v>
      </c>
      <c r="AV285" s="670">
        <f t="shared" ref="AV285" si="1186">AV280/AR280-1</f>
        <v>0</v>
      </c>
      <c r="AW285" s="674">
        <f t="shared" ref="AW285" si="1187">AW280/AS280-1</f>
        <v>0</v>
      </c>
      <c r="AY285" s="217"/>
      <c r="AZ285" s="548"/>
      <c r="BA285" s="293">
        <f t="shared" si="1166"/>
        <v>0.69861642494883802</v>
      </c>
      <c r="BB285" s="293">
        <f t="shared" si="1166"/>
        <v>2.961119914094517</v>
      </c>
      <c r="BC285" s="293">
        <f t="shared" si="1166"/>
        <v>0.20432553234396678</v>
      </c>
      <c r="BD285" s="293">
        <f t="shared" si="1166"/>
        <v>0.80895061050597339</v>
      </c>
      <c r="BE285" s="293">
        <f t="shared" si="1176"/>
        <v>-0.49210672874249417</v>
      </c>
      <c r="BF285" s="293">
        <f t="shared" si="1176"/>
        <v>9.265561368545927E-2</v>
      </c>
      <c r="BG285" s="293">
        <f t="shared" si="1176"/>
        <v>0.12276388972442032</v>
      </c>
      <c r="BH285" s="293">
        <f t="shared" si="1176"/>
        <v>0.21022316285798492</v>
      </c>
      <c r="BI285" s="293">
        <f t="shared" si="1176"/>
        <v>-0.40397936061370776</v>
      </c>
      <c r="BJ285" s="293">
        <f t="shared" si="1176"/>
        <v>6.6951186983195576E-2</v>
      </c>
      <c r="BK285" s="293">
        <f t="shared" si="1176"/>
        <v>0</v>
      </c>
    </row>
    <row r="286" spans="1:63">
      <c r="A286" s="207" t="s">
        <v>833</v>
      </c>
      <c r="B286" s="205">
        <f t="shared" ref="B286:Y286" si="1188">B276/B$11</f>
        <v>0.18085451118102103</v>
      </c>
      <c r="C286" s="205">
        <f t="shared" si="1188"/>
        <v>0.22963472769314935</v>
      </c>
      <c r="D286" s="205">
        <f t="shared" si="1188"/>
        <v>0.20084108179176136</v>
      </c>
      <c r="E286" s="206">
        <f t="shared" si="1188"/>
        <v>0.18461483738029963</v>
      </c>
      <c r="F286" s="205">
        <f t="shared" si="1188"/>
        <v>0.21408493413104474</v>
      </c>
      <c r="G286" s="205">
        <f t="shared" si="1188"/>
        <v>0.22307634445663194</v>
      </c>
      <c r="H286" s="205">
        <f t="shared" si="1188"/>
        <v>0.21203603781525449</v>
      </c>
      <c r="I286" s="206">
        <f t="shared" si="1188"/>
        <v>0.22227371709001795</v>
      </c>
      <c r="J286" s="205">
        <f t="shared" si="1188"/>
        <v>0.14594879047509413</v>
      </c>
      <c r="K286" s="205">
        <f t="shared" si="1188"/>
        <v>0.24528058547292772</v>
      </c>
      <c r="L286" s="205">
        <f t="shared" si="1188"/>
        <v>0.15024153287639697</v>
      </c>
      <c r="M286" s="205">
        <f t="shared" si="1188"/>
        <v>0.21356048503822195</v>
      </c>
      <c r="N286" s="467">
        <f t="shared" si="1188"/>
        <v>0.20581448803861591</v>
      </c>
      <c r="O286" s="205">
        <f t="shared" si="1188"/>
        <v>0.19598321937039606</v>
      </c>
      <c r="P286" s="205">
        <f t="shared" si="1188"/>
        <v>7.324400349190073E-2</v>
      </c>
      <c r="Q286" s="206">
        <f t="shared" ref="Q286:R290" si="1189">Q276/Q$11</f>
        <v>0.16258670159362751</v>
      </c>
      <c r="R286" s="205">
        <f t="shared" si="1189"/>
        <v>0.11368922546932948</v>
      </c>
      <c r="S286" s="205">
        <f t="shared" si="1188"/>
        <v>-9.876556987490534E-2</v>
      </c>
      <c r="T286" s="205">
        <f>T276/T$11</f>
        <v>0.11150764995739426</v>
      </c>
      <c r="U286" s="206">
        <f t="shared" si="1188"/>
        <v>8.3964586132543137E-2</v>
      </c>
      <c r="V286" s="205">
        <f t="shared" si="1188"/>
        <v>0.11633894241471009</v>
      </c>
      <c r="W286" s="205">
        <f t="shared" si="1188"/>
        <v>0.11089165200686855</v>
      </c>
      <c r="X286" s="205">
        <f>X276/X$11</f>
        <v>0.13859627594973353</v>
      </c>
      <c r="Y286" s="206">
        <f t="shared" si="1188"/>
        <v>0.14577645919556892</v>
      </c>
      <c r="Z286" s="205">
        <f t="shared" ref="Z286:AG290" si="1190">Z276/Z$11</f>
        <v>0.15139698882846608</v>
      </c>
      <c r="AA286" s="205">
        <f t="shared" ref="AA286:AB290" si="1191">AA276/AA$11</f>
        <v>0.151693544459227</v>
      </c>
      <c r="AB286" s="205">
        <f t="shared" si="1191"/>
        <v>0.14453617446131842</v>
      </c>
      <c r="AC286" s="206">
        <f t="shared" si="1190"/>
        <v>9.9908895852288557E-2</v>
      </c>
      <c r="AD286" s="205">
        <f>AD276/AD$11</f>
        <v>0.13558522114347357</v>
      </c>
      <c r="AE286" s="205">
        <f t="shared" si="1190"/>
        <v>9.3596616167247682E-2</v>
      </c>
      <c r="AF286" s="205">
        <f>AF276/AF$11</f>
        <v>0.12632392957219732</v>
      </c>
      <c r="AG286" s="206">
        <f t="shared" si="1190"/>
        <v>0.12913897233745952</v>
      </c>
      <c r="AH286" s="205">
        <f t="shared" ref="AH286:AO290" si="1192">AH276/AH$11</f>
        <v>8.7351776721352484E-2</v>
      </c>
      <c r="AI286" s="205">
        <f t="shared" si="1192"/>
        <v>0.13540654738246843</v>
      </c>
      <c r="AJ286" s="205">
        <f t="shared" si="1192"/>
        <v>7.2105304258672565E-2</v>
      </c>
      <c r="AK286" s="206">
        <f t="shared" si="1192"/>
        <v>7.2126121564987503E-2</v>
      </c>
      <c r="AL286" s="205">
        <f t="shared" ref="AL286" si="1193">AL276/AL$11</f>
        <v>0.10210031023908726</v>
      </c>
      <c r="AM286" s="205">
        <f t="shared" si="1192"/>
        <v>8.8030106021833796E-2</v>
      </c>
      <c r="AN286" s="205">
        <f t="shared" si="1192"/>
        <v>8.6990700317599173E-2</v>
      </c>
      <c r="AO286" s="206">
        <f t="shared" si="1192"/>
        <v>0.10561503233544216</v>
      </c>
      <c r="AP286" s="205">
        <f t="shared" ref="AP286:AS286" si="1194">AP276/AP$11</f>
        <v>9.7557961174219263E-2</v>
      </c>
      <c r="AQ286" s="205">
        <f t="shared" si="1194"/>
        <v>9.9695434241982073E-2</v>
      </c>
      <c r="AR286" s="205">
        <f t="shared" si="1194"/>
        <v>9.2498913382198664E-2</v>
      </c>
      <c r="AS286" s="206">
        <f t="shared" si="1194"/>
        <v>0.1107561912543021</v>
      </c>
      <c r="AT286" s="205">
        <f t="shared" ref="AT286:AW286" si="1195">AT276/AT$11</f>
        <v>9.3672584958336566E-2</v>
      </c>
      <c r="AU286" s="205">
        <f t="shared" si="1195"/>
        <v>9.7358637406148321E-2</v>
      </c>
      <c r="AV286" s="205">
        <f t="shared" si="1195"/>
        <v>9.3602300692909507E-2</v>
      </c>
      <c r="AW286" s="206">
        <f t="shared" si="1195"/>
        <v>0.10999781260781251</v>
      </c>
      <c r="AY286" s="204"/>
      <c r="AZ286" s="467">
        <f t="shared" ref="AZ286:BE290" ca="1" si="1196">AZ276/AZ$11</f>
        <v>0.19858569735664705</v>
      </c>
      <c r="BA286" s="205">
        <f t="shared" ca="1" si="1196"/>
        <v>0.21786919223424875</v>
      </c>
      <c r="BB286" s="205">
        <f t="shared" si="1196"/>
        <v>0.19050432779830481</v>
      </c>
      <c r="BC286" s="205">
        <f t="shared" si="1196"/>
        <v>0.15586662315474248</v>
      </c>
      <c r="BD286" s="205">
        <f t="shared" si="1196"/>
        <v>5.2030529594099838E-2</v>
      </c>
      <c r="BE286" s="205">
        <f t="shared" si="1196"/>
        <v>0.12731099184357439</v>
      </c>
      <c r="BF286" s="205">
        <f t="shared" ref="BF286:BG290" si="1197">BF276/BF$11</f>
        <v>0.13604189472218881</v>
      </c>
      <c r="BG286" s="205">
        <f t="shared" si="1197"/>
        <v>0.12136732104836398</v>
      </c>
      <c r="BH286" s="205">
        <f t="shared" ref="BH286:BI290" si="1198">BH276/BH$11</f>
        <v>9.0777339578133942E-2</v>
      </c>
      <c r="BI286" s="205">
        <f t="shared" si="1198"/>
        <v>9.5608558457283471E-2</v>
      </c>
      <c r="BJ286" s="205">
        <f t="shared" ref="BJ286:BK286" si="1199">BJ276/BJ$11</f>
        <v>0.10037036892327975</v>
      </c>
      <c r="BK286" s="205">
        <f t="shared" si="1199"/>
        <v>9.8988416042322794E-2</v>
      </c>
    </row>
    <row r="287" spans="1:63">
      <c r="A287" s="211" t="s">
        <v>293</v>
      </c>
      <c r="B287" s="209">
        <f t="shared" ref="B287:M287" si="1200">B277/B$11</f>
        <v>0.13593120535629852</v>
      </c>
      <c r="C287" s="209">
        <f t="shared" si="1200"/>
        <v>0.14797528730965279</v>
      </c>
      <c r="D287" s="209">
        <f t="shared" si="1200"/>
        <v>0.13881357319451285</v>
      </c>
      <c r="E287" s="210">
        <f t="shared" si="1200"/>
        <v>0.12868819346167429</v>
      </c>
      <c r="F287" s="209">
        <f t="shared" si="1200"/>
        <v>0.14800058721319209</v>
      </c>
      <c r="G287" s="209">
        <f t="shared" si="1200"/>
        <v>0.16523504203935499</v>
      </c>
      <c r="H287" s="209">
        <f t="shared" si="1200"/>
        <v>0.20248465312897485</v>
      </c>
      <c r="I287" s="210">
        <f t="shared" si="1200"/>
        <v>0.17137633084253362</v>
      </c>
      <c r="J287" s="209">
        <f t="shared" si="1200"/>
        <v>0.1153761629184675</v>
      </c>
      <c r="K287" s="209">
        <f t="shared" si="1200"/>
        <v>0.23038455799980276</v>
      </c>
      <c r="L287" s="209">
        <f t="shared" si="1200"/>
        <v>0.22661344451357826</v>
      </c>
      <c r="M287" s="209">
        <f t="shared" si="1200"/>
        <v>0.20236253021363079</v>
      </c>
      <c r="N287" s="556">
        <f t="shared" ref="N287:Y287" si="1201">N277/N$11</f>
        <v>0.18398032073837012</v>
      </c>
      <c r="O287" s="209">
        <f t="shared" si="1201"/>
        <v>0.16835932796498104</v>
      </c>
      <c r="P287" s="209">
        <f t="shared" si="1201"/>
        <v>0.14643812268765502</v>
      </c>
      <c r="Q287" s="210">
        <f t="shared" si="1189"/>
        <v>0.19815410332332747</v>
      </c>
      <c r="R287" s="209">
        <f t="shared" si="1189"/>
        <v>0.14159664893457977</v>
      </c>
      <c r="S287" s="209">
        <f t="shared" si="1201"/>
        <v>0.10642942276702214</v>
      </c>
      <c r="T287" s="209">
        <f>T277/T$11</f>
        <v>0.11828712175917226</v>
      </c>
      <c r="U287" s="210">
        <f t="shared" si="1201"/>
        <v>0.10892314780650596</v>
      </c>
      <c r="V287" s="209">
        <f t="shared" si="1201"/>
        <v>8.9727747633685767E-2</v>
      </c>
      <c r="W287" s="209">
        <f t="shared" si="1201"/>
        <v>9.8511741499944308E-2</v>
      </c>
      <c r="X287" s="209">
        <f>X277/X$11</f>
        <v>9.5905726193997148E-2</v>
      </c>
      <c r="Y287" s="210">
        <f t="shared" si="1201"/>
        <v>0.12179032486877572</v>
      </c>
      <c r="Z287" s="209">
        <f t="shared" si="1190"/>
        <v>0.11466140732878886</v>
      </c>
      <c r="AA287" s="209">
        <f t="shared" si="1191"/>
        <v>0.11383841024970585</v>
      </c>
      <c r="AB287" s="209">
        <f t="shared" si="1191"/>
        <v>0.10665090273402622</v>
      </c>
      <c r="AC287" s="210">
        <f t="shared" si="1190"/>
        <v>0.11269624780804852</v>
      </c>
      <c r="AD287" s="209">
        <f>AD277/AD$11</f>
        <v>0.10748061909202276</v>
      </c>
      <c r="AE287" s="209">
        <f t="shared" si="1190"/>
        <v>9.5066681533875139E-2</v>
      </c>
      <c r="AF287" s="209">
        <f>AF277/AF$11</f>
        <v>8.2621127235412123E-2</v>
      </c>
      <c r="AG287" s="210">
        <f t="shared" si="1190"/>
        <v>9.8326855529495341E-2</v>
      </c>
      <c r="AH287" s="209">
        <f t="shared" si="1192"/>
        <v>6.6368784990750718E-2</v>
      </c>
      <c r="AI287" s="209">
        <f t="shared" si="1192"/>
        <v>8.2572906377627486E-2</v>
      </c>
      <c r="AJ287" s="209">
        <f t="shared" si="1192"/>
        <v>8.5290588465468858E-2</v>
      </c>
      <c r="AK287" s="210">
        <f t="shared" si="1192"/>
        <v>9.6305314801644212E-2</v>
      </c>
      <c r="AL287" s="209">
        <f t="shared" ref="AL287" si="1202">AL277/AL$11</f>
        <v>7.4674903521750463E-2</v>
      </c>
      <c r="AM287" s="209">
        <f t="shared" si="1192"/>
        <v>6.9496240788939193E-2</v>
      </c>
      <c r="AN287" s="209">
        <f t="shared" si="1192"/>
        <v>7.3945287044058325E-2</v>
      </c>
      <c r="AO287" s="210">
        <f t="shared" si="1192"/>
        <v>8.333099355558074E-2</v>
      </c>
      <c r="AP287" s="209">
        <f t="shared" ref="AP287:AS287" si="1203">AP277/AP$11</f>
        <v>7.7207505331310017E-2</v>
      </c>
      <c r="AQ287" s="209">
        <f t="shared" si="1203"/>
        <v>7.8566055278232017E-2</v>
      </c>
      <c r="AR287" s="209">
        <f t="shared" si="1203"/>
        <v>7.8004450499342945E-2</v>
      </c>
      <c r="AS287" s="210">
        <f t="shared" si="1203"/>
        <v>8.8075811836819035E-2</v>
      </c>
      <c r="AT287" s="209">
        <f t="shared" ref="AT287:AW287" si="1204">AT277/AT$11</f>
        <v>7.3299500805265205E-2</v>
      </c>
      <c r="AU287" s="209">
        <f t="shared" si="1204"/>
        <v>7.5876322464445367E-2</v>
      </c>
      <c r="AV287" s="209">
        <f t="shared" si="1204"/>
        <v>7.7919106826867937E-2</v>
      </c>
      <c r="AW287" s="210">
        <f t="shared" si="1204"/>
        <v>8.7098041231441117E-2</v>
      </c>
      <c r="AY287" s="204"/>
      <c r="AZ287" s="556">
        <f t="shared" ca="1" si="1196"/>
        <v>0.13772553951324901</v>
      </c>
      <c r="BA287" s="209">
        <f t="shared" ca="1" si="1196"/>
        <v>0.17184248496421414</v>
      </c>
      <c r="BB287" s="209">
        <f t="shared" si="1196"/>
        <v>0.1971555414048719</v>
      </c>
      <c r="BC287" s="209">
        <f t="shared" si="1196"/>
        <v>0.17338554764235756</v>
      </c>
      <c r="BD287" s="209">
        <f t="shared" si="1196"/>
        <v>0.11736705031974355</v>
      </c>
      <c r="BE287" s="985">
        <f t="shared" si="1196"/>
        <v>0.10079298429705208</v>
      </c>
      <c r="BF287" s="985">
        <f t="shared" si="1197"/>
        <v>0.11188298457975564</v>
      </c>
      <c r="BG287" s="985">
        <f t="shared" si="1197"/>
        <v>9.5303428265359022E-2</v>
      </c>
      <c r="BH287" s="985">
        <f t="shared" si="1198"/>
        <v>8.3026984928055172E-2</v>
      </c>
      <c r="BI287" s="985">
        <f t="shared" si="1198"/>
        <v>7.5558394185871375E-2</v>
      </c>
      <c r="BJ287" s="985">
        <f t="shared" ref="BJ287:BK287" si="1205">BJ277/BJ$11</f>
        <v>8.0740910111849556E-2</v>
      </c>
      <c r="BK287" s="985">
        <f t="shared" si="1205"/>
        <v>7.8873945009000995E-2</v>
      </c>
    </row>
    <row r="288" spans="1:63">
      <c r="A288" s="211" t="s">
        <v>882</v>
      </c>
      <c r="B288" s="209">
        <f t="shared" ref="B288:M288" si="1206">B278/B$11</f>
        <v>1.308182603377948E-2</v>
      </c>
      <c r="C288" s="209">
        <f t="shared" si="1206"/>
        <v>1.2568008487832023E-2</v>
      </c>
      <c r="D288" s="209">
        <f t="shared" si="1206"/>
        <v>1.2455129962337101E-2</v>
      </c>
      <c r="E288" s="210">
        <f t="shared" si="1206"/>
        <v>8.1214572635783192E-3</v>
      </c>
      <c r="F288" s="209">
        <f t="shared" si="1206"/>
        <v>1.0243741606942592E-2</v>
      </c>
      <c r="G288" s="209">
        <f t="shared" si="1206"/>
        <v>9.1376234544684985E-3</v>
      </c>
      <c r="H288" s="209">
        <f t="shared" si="1206"/>
        <v>7.1732368437757892E-3</v>
      </c>
      <c r="I288" s="210">
        <f t="shared" si="1206"/>
        <v>9.7782405261787903E-3</v>
      </c>
      <c r="J288" s="209">
        <f t="shared" si="1206"/>
        <v>1.01824042194711E-2</v>
      </c>
      <c r="K288" s="209">
        <f t="shared" si="1206"/>
        <v>1.1192567285638061E-2</v>
      </c>
      <c r="L288" s="209">
        <f t="shared" si="1206"/>
        <v>7.2263893039639813E-3</v>
      </c>
      <c r="M288" s="209">
        <f t="shared" si="1206"/>
        <v>6.2815761478797151E-3</v>
      </c>
      <c r="N288" s="556">
        <f t="shared" ref="N288:Y288" si="1207">N278/N$11</f>
        <v>6.4547712926781827E-3</v>
      </c>
      <c r="O288" s="209">
        <f t="shared" si="1207"/>
        <v>5.404581746962853E-3</v>
      </c>
      <c r="P288" s="209">
        <f t="shared" si="1207"/>
        <v>5.9787252714768062E-3</v>
      </c>
      <c r="Q288" s="210">
        <f t="shared" si="1189"/>
        <v>1.2313792242341465E-2</v>
      </c>
      <c r="R288" s="209">
        <f t="shared" si="1189"/>
        <v>4.9789380500503333E-3</v>
      </c>
      <c r="S288" s="209">
        <f t="shared" si="1207"/>
        <v>4.863470183066463E-3</v>
      </c>
      <c r="T288" s="209">
        <f>T278/T$11</f>
        <v>5.2610679558143776E-3</v>
      </c>
      <c r="U288" s="210">
        <f t="shared" si="1207"/>
        <v>5.1668956665542236E-3</v>
      </c>
      <c r="V288" s="209">
        <f t="shared" si="1207"/>
        <v>4.9568541946496385E-3</v>
      </c>
      <c r="W288" s="209">
        <f t="shared" si="1207"/>
        <v>4.9901112042892784E-3</v>
      </c>
      <c r="X288" s="209">
        <f>X278/X$11</f>
        <v>3.8579809916956661E-3</v>
      </c>
      <c r="Y288" s="210">
        <f t="shared" si="1207"/>
        <v>4.8418832150104547E-3</v>
      </c>
      <c r="Z288" s="209">
        <f t="shared" si="1190"/>
        <v>5.5071230838248013E-3</v>
      </c>
      <c r="AA288" s="209">
        <f t="shared" si="1191"/>
        <v>5.9645115727033401E-3</v>
      </c>
      <c r="AB288" s="209">
        <f t="shared" si="1191"/>
        <v>5.8337246548605844E-3</v>
      </c>
      <c r="AC288" s="210">
        <f t="shared" si="1190"/>
        <v>5.5699252636151253E-3</v>
      </c>
      <c r="AD288" s="209">
        <f>AD278/AD$11</f>
        <v>5.1669089280163821E-3</v>
      </c>
      <c r="AE288" s="209">
        <f t="shared" si="1190"/>
        <v>5.1212974865300987E-3</v>
      </c>
      <c r="AF288" s="209">
        <f>AF278/AF$11</f>
        <v>4.4220030692874134E-3</v>
      </c>
      <c r="AG288" s="210">
        <f t="shared" si="1190"/>
        <v>5.1946263298601305E-3</v>
      </c>
      <c r="AH288" s="209">
        <f t="shared" si="1192"/>
        <v>5.0560675257798476E-3</v>
      </c>
      <c r="AI288" s="209">
        <f t="shared" si="1192"/>
        <v>5.8572265382745474E-3</v>
      </c>
      <c r="AJ288" s="209">
        <f t="shared" si="1192"/>
        <v>4.4306417524063516E-3</v>
      </c>
      <c r="AK288" s="210">
        <f t="shared" si="1192"/>
        <v>3.2583145485010306E-3</v>
      </c>
      <c r="AL288" s="209">
        <f t="shared" si="1192"/>
        <v>3.858331733511289E-3</v>
      </c>
      <c r="AM288" s="209">
        <f t="shared" si="1192"/>
        <v>5.3329810425323905E-3</v>
      </c>
      <c r="AN288" s="209">
        <f t="shared" si="1192"/>
        <v>4.1555671100209903E-3</v>
      </c>
      <c r="AO288" s="210">
        <f t="shared" si="1192"/>
        <v>3.0500263303308824E-3</v>
      </c>
      <c r="AP288" s="209">
        <f t="shared" ref="AP288:AS288" si="1208">AP278/AP$11</f>
        <v>3.8956906066239094E-3</v>
      </c>
      <c r="AQ288" s="209">
        <f t="shared" si="1208"/>
        <v>5.8876734991130802E-3</v>
      </c>
      <c r="AR288" s="209">
        <f t="shared" si="1208"/>
        <v>4.2809408415361789E-3</v>
      </c>
      <c r="AS288" s="210">
        <f t="shared" si="1208"/>
        <v>3.1481377487444185E-3</v>
      </c>
      <c r="AT288" s="209">
        <f t="shared" ref="AT288:AW288" si="1209">AT278/AT$11</f>
        <v>3.7611893159070434E-3</v>
      </c>
      <c r="AU288" s="209">
        <f t="shared" si="1209"/>
        <v>5.7824819033651101E-3</v>
      </c>
      <c r="AV288" s="209">
        <f t="shared" si="1209"/>
        <v>4.3487360530855505E-3</v>
      </c>
      <c r="AW288" s="210">
        <f t="shared" si="1209"/>
        <v>3.1659547174193877E-3</v>
      </c>
      <c r="AY288" s="204"/>
      <c r="AZ288" s="556">
        <f t="shared" ca="1" si="1196"/>
        <v>1.1542721710319474E-2</v>
      </c>
      <c r="BA288" s="209">
        <f t="shared" ca="1" si="1196"/>
        <v>9.064031257291702E-3</v>
      </c>
      <c r="BB288" s="209">
        <f t="shared" si="1196"/>
        <v>8.6132301474609648E-3</v>
      </c>
      <c r="BC288" s="209">
        <f t="shared" si="1196"/>
        <v>7.5418962240608135E-3</v>
      </c>
      <c r="BD288" s="209">
        <f t="shared" si="1196"/>
        <v>5.078344887997896E-3</v>
      </c>
      <c r="BE288" s="209">
        <f t="shared" si="1196"/>
        <v>4.651818903262956E-3</v>
      </c>
      <c r="BF288" s="209">
        <f t="shared" si="1197"/>
        <v>5.7204234397838505E-3</v>
      </c>
      <c r="BG288" s="209">
        <f t="shared" si="1197"/>
        <v>4.9623153204122429E-3</v>
      </c>
      <c r="BH288" s="209">
        <f t="shared" si="1198"/>
        <v>4.6064035474550277E-3</v>
      </c>
      <c r="BI288" s="209">
        <f t="shared" si="1198"/>
        <v>4.0827590832478982E-3</v>
      </c>
      <c r="BJ288" s="209">
        <f t="shared" ref="BJ288:BK288" si="1210">BJ278/BJ$11</f>
        <v>4.2605406969701397E-3</v>
      </c>
      <c r="BK288" s="209">
        <f t="shared" si="1210"/>
        <v>4.2325673713095842E-3</v>
      </c>
    </row>
    <row r="289" spans="1:63">
      <c r="A289" s="211" t="s">
        <v>883</v>
      </c>
      <c r="B289" s="209">
        <f t="shared" ref="B289:M289" si="1211">B279/B$11</f>
        <v>4.9671851062622542E-2</v>
      </c>
      <c r="C289" s="209">
        <f t="shared" si="1211"/>
        <v>7.2150565833281194E-2</v>
      </c>
      <c r="D289" s="209">
        <f t="shared" si="1211"/>
        <v>5.9896871991612567E-2</v>
      </c>
      <c r="E289" s="210">
        <f t="shared" si="1211"/>
        <v>7.3936639167452176E-2</v>
      </c>
      <c r="F289" s="209">
        <f t="shared" si="1211"/>
        <v>6.1977464490448164E-2</v>
      </c>
      <c r="G289" s="209">
        <f t="shared" si="1211"/>
        <v>5.4788691755930367E-2</v>
      </c>
      <c r="H289" s="209">
        <f t="shared" si="1211"/>
        <v>5.9173913963477855E-2</v>
      </c>
      <c r="I289" s="210">
        <f t="shared" si="1211"/>
        <v>6.3376356237262954E-2</v>
      </c>
      <c r="J289" s="209">
        <f t="shared" si="1211"/>
        <v>6.4506001653463388E-2</v>
      </c>
      <c r="K289" s="209">
        <f t="shared" si="1211"/>
        <v>8.1653141682324307E-2</v>
      </c>
      <c r="L289" s="209">
        <f t="shared" si="1211"/>
        <v>8.578703953202392E-2</v>
      </c>
      <c r="M289" s="209">
        <f t="shared" si="1211"/>
        <v>9.1914957489466181E-2</v>
      </c>
      <c r="N289" s="556">
        <f t="shared" ref="N289:Y289" si="1212">N279/N$11</f>
        <v>8.203118093251055E-2</v>
      </c>
      <c r="O289" s="209">
        <f t="shared" si="1212"/>
        <v>6.3274737522949764E-2</v>
      </c>
      <c r="P289" s="209">
        <f t="shared" si="1212"/>
        <v>5.2627932434492215E-2</v>
      </c>
      <c r="Q289" s="210">
        <f t="shared" si="1189"/>
        <v>7.7254496251637189E-2</v>
      </c>
      <c r="R289" s="209">
        <f t="shared" si="1189"/>
        <v>4.4219674914760039E-2</v>
      </c>
      <c r="S289" s="209">
        <f t="shared" si="1212"/>
        <v>3.8041755759607526E-2</v>
      </c>
      <c r="T289" s="209">
        <f>T279/T$11</f>
        <v>5.0640075404401332E-2</v>
      </c>
      <c r="U289" s="210">
        <f t="shared" si="1212"/>
        <v>6.5881717075121873E-2</v>
      </c>
      <c r="V289" s="209">
        <f t="shared" si="1212"/>
        <v>5.1355289718083667E-2</v>
      </c>
      <c r="W289" s="209">
        <f t="shared" si="1212"/>
        <v>6.2595761584393145E-2</v>
      </c>
      <c r="X289" s="209">
        <f>X279/X$11</f>
        <v>8.0060053824000138E-2</v>
      </c>
      <c r="Y289" s="210">
        <f t="shared" si="1212"/>
        <v>7.854213055197469E-2</v>
      </c>
      <c r="Z289" s="209">
        <f t="shared" si="1190"/>
        <v>6.8301866663748864E-2</v>
      </c>
      <c r="AA289" s="209">
        <f t="shared" si="1191"/>
        <v>6.8210890056113971E-2</v>
      </c>
      <c r="AB289" s="209">
        <f t="shared" si="1191"/>
        <v>7.9063197861008752E-2</v>
      </c>
      <c r="AC289" s="210">
        <f t="shared" si="1190"/>
        <v>8.8077869318875832E-2</v>
      </c>
      <c r="AD289" s="209">
        <f>AD279/AD$11</f>
        <v>6.6495026785877542E-2</v>
      </c>
      <c r="AE289" s="209">
        <f t="shared" si="1190"/>
        <v>8.4485366669541928E-2</v>
      </c>
      <c r="AF289" s="209">
        <f>AF279/AF$11</f>
        <v>6.2722343712290227E-2</v>
      </c>
      <c r="AG289" s="210">
        <f t="shared" si="1190"/>
        <v>7.5591191153278628E-2</v>
      </c>
      <c r="AH289" s="209">
        <f t="shared" si="1192"/>
        <v>6.6446214646575907E-2</v>
      </c>
      <c r="AI289" s="209">
        <f t="shared" si="1192"/>
        <v>8.5508083506785224E-2</v>
      </c>
      <c r="AJ289" s="209">
        <f t="shared" si="1192"/>
        <v>1.7778826461423227E-2</v>
      </c>
      <c r="AK289" s="210">
        <f t="shared" si="1192"/>
        <v>5.8536350157310416E-2</v>
      </c>
      <c r="AL289" s="209">
        <f t="shared" si="1192"/>
        <v>4.7183641343978233E-2</v>
      </c>
      <c r="AM289" s="209">
        <f t="shared" si="1192"/>
        <v>4.0562986151669922E-2</v>
      </c>
      <c r="AN289" s="209">
        <f t="shared" si="1192"/>
        <v>3.503158623119413E-2</v>
      </c>
      <c r="AO289" s="210">
        <f t="shared" si="1192"/>
        <v>4.4203890310744974E-2</v>
      </c>
      <c r="AP289" s="209">
        <f t="shared" ref="AP289:AS289" si="1213">AP279/AP$11</f>
        <v>4.1923643516892678E-2</v>
      </c>
      <c r="AQ289" s="209">
        <f t="shared" si="1213"/>
        <v>3.9408170158630768E-2</v>
      </c>
      <c r="AR289" s="209">
        <f t="shared" si="1213"/>
        <v>3.1757872501628058E-2</v>
      </c>
      <c r="AS289" s="210">
        <f t="shared" si="1213"/>
        <v>4.0150716806400519E-2</v>
      </c>
      <c r="AT289" s="209">
        <f t="shared" ref="AT289:AW289" si="1214">AT279/AT$11</f>
        <v>3.7103185203472826E-2</v>
      </c>
      <c r="AU289" s="209">
        <f t="shared" si="1214"/>
        <v>3.5478746953766641E-2</v>
      </c>
      <c r="AV289" s="209">
        <f t="shared" si="1214"/>
        <v>2.957240617040045E-2</v>
      </c>
      <c r="AW289" s="210">
        <f t="shared" si="1214"/>
        <v>3.7013121610508883E-2</v>
      </c>
      <c r="AY289" s="204"/>
      <c r="AZ289" s="556">
        <f t="shared" ca="1" si="1196"/>
        <v>6.3813876998234528E-2</v>
      </c>
      <c r="BA289" s="209">
        <f t="shared" ca="1" si="1196"/>
        <v>5.9689867570797965E-2</v>
      </c>
      <c r="BB289" s="209">
        <f t="shared" si="1196"/>
        <v>8.181990915603439E-2</v>
      </c>
      <c r="BC289" s="209">
        <f t="shared" si="1196"/>
        <v>6.8179601865893683E-2</v>
      </c>
      <c r="BD289" s="209">
        <f t="shared" si="1196"/>
        <v>5.0651722764477373E-2</v>
      </c>
      <c r="BE289" s="209">
        <f t="shared" si="1196"/>
        <v>6.7882678580954633E-2</v>
      </c>
      <c r="BF289" s="209">
        <f t="shared" si="1197"/>
        <v>7.6288447788204164E-2</v>
      </c>
      <c r="BG289" s="209">
        <f t="shared" si="1197"/>
        <v>7.223495723058794E-2</v>
      </c>
      <c r="BH289" s="209">
        <f t="shared" si="1198"/>
        <v>5.6422037185533874E-2</v>
      </c>
      <c r="BI289" s="209">
        <f t="shared" si="1198"/>
        <v>4.1546817532813619E-2</v>
      </c>
      <c r="BJ289" s="209">
        <f t="shared" ref="BJ289:BK289" si="1215">BJ279/BJ$11</f>
        <v>3.8153237778813472E-2</v>
      </c>
      <c r="BK289" s="209">
        <f t="shared" si="1215"/>
        <v>3.4744174683428539E-2</v>
      </c>
    </row>
    <row r="290" spans="1:63">
      <c r="A290" s="211" t="s">
        <v>832</v>
      </c>
      <c r="B290" s="209">
        <f t="shared" ref="B290:M290" si="1216">B280/B$11</f>
        <v>-1.7830371271679496E-2</v>
      </c>
      <c r="C290" s="209">
        <f t="shared" si="1216"/>
        <v>-3.0591339376166427E-3</v>
      </c>
      <c r="D290" s="209">
        <f t="shared" si="1216"/>
        <v>-1.0324493356701126E-2</v>
      </c>
      <c r="E290" s="210">
        <f t="shared" si="1216"/>
        <v>-2.6131452512405163E-2</v>
      </c>
      <c r="F290" s="209">
        <f t="shared" si="1216"/>
        <v>-6.1368591795381228E-3</v>
      </c>
      <c r="G290" s="209">
        <f t="shared" si="1216"/>
        <v>-6.0850127931219326E-3</v>
      </c>
      <c r="H290" s="209">
        <f t="shared" si="1216"/>
        <v>-5.6795766120974013E-2</v>
      </c>
      <c r="I290" s="210">
        <f t="shared" si="1216"/>
        <v>-2.2257210515957408E-2</v>
      </c>
      <c r="J290" s="209">
        <f t="shared" si="1216"/>
        <v>-4.4115778316307842E-2</v>
      </c>
      <c r="K290" s="209">
        <f t="shared" si="1216"/>
        <v>-7.7949681494837414E-2</v>
      </c>
      <c r="L290" s="209">
        <f t="shared" si="1216"/>
        <v>-0.16938534047316925</v>
      </c>
      <c r="M290" s="209">
        <f t="shared" si="1216"/>
        <v>-8.6998578812754718E-2</v>
      </c>
      <c r="N290" s="556">
        <f t="shared" ref="N290:Y290" si="1217">N280/N$11</f>
        <v>-6.6651784924942975E-2</v>
      </c>
      <c r="O290" s="209">
        <f t="shared" si="1217"/>
        <v>-4.105542786449759E-2</v>
      </c>
      <c r="P290" s="209">
        <f t="shared" si="1217"/>
        <v>-0.13180077690172332</v>
      </c>
      <c r="Q290" s="210">
        <f t="shared" si="1189"/>
        <v>-0.12513569022367863</v>
      </c>
      <c r="R290" s="209">
        <f t="shared" si="1189"/>
        <v>-7.7106036430060657E-2</v>
      </c>
      <c r="S290" s="209">
        <f t="shared" si="1217"/>
        <v>-0.24810021858460149</v>
      </c>
      <c r="T290" s="209">
        <f>T280/T$11</f>
        <v>-6.2680615161993691E-2</v>
      </c>
      <c r="U290" s="210">
        <f t="shared" si="1217"/>
        <v>-9.6007174415638913E-2</v>
      </c>
      <c r="V290" s="209">
        <f t="shared" si="1217"/>
        <v>-2.9700949131708988E-2</v>
      </c>
      <c r="W290" s="209">
        <f t="shared" si="1217"/>
        <v>-5.520596228175817E-2</v>
      </c>
      <c r="X290" s="209">
        <f>X280/X$11</f>
        <v>-4.1227485059959434E-2</v>
      </c>
      <c r="Y290" s="210">
        <f t="shared" si="1217"/>
        <v>-5.9397879440191946E-2</v>
      </c>
      <c r="Z290" s="209">
        <f t="shared" si="1190"/>
        <v>-3.7073408247896449E-2</v>
      </c>
      <c r="AA290" s="209">
        <f t="shared" si="1191"/>
        <v>-3.6320267419296129E-2</v>
      </c>
      <c r="AB290" s="209">
        <f t="shared" si="1191"/>
        <v>-4.7011650788577157E-2</v>
      </c>
      <c r="AC290" s="210">
        <f t="shared" si="1190"/>
        <v>-0.10643514653825092</v>
      </c>
      <c r="AD290" s="209">
        <f>AD280/AD$11</f>
        <v>-4.3557333662443097E-2</v>
      </c>
      <c r="AE290" s="209">
        <f t="shared" si="1190"/>
        <v>-9.107672952269949E-2</v>
      </c>
      <c r="AF290" s="209">
        <f>AF280/AF$11</f>
        <v>-2.3441544444792437E-2</v>
      </c>
      <c r="AG290" s="210">
        <f t="shared" si="1190"/>
        <v>-4.9973700675174572E-2</v>
      </c>
      <c r="AH290" s="209">
        <f t="shared" si="1192"/>
        <v>-5.0519290441753989E-2</v>
      </c>
      <c r="AI290" s="209">
        <f t="shared" si="1192"/>
        <v>-3.8531669040218812E-2</v>
      </c>
      <c r="AJ290" s="209">
        <f t="shared" si="1192"/>
        <v>-3.5394752420625883E-2</v>
      </c>
      <c r="AK290" s="210">
        <f t="shared" si="1192"/>
        <v>-8.5973857942468188E-2</v>
      </c>
      <c r="AL290" s="209">
        <f t="shared" si="1192"/>
        <v>-2.3616566360152736E-2</v>
      </c>
      <c r="AM290" s="209">
        <f t="shared" si="1192"/>
        <v>-2.7362101961307707E-2</v>
      </c>
      <c r="AN290" s="209">
        <f t="shared" si="1192"/>
        <v>-2.6141740067674269E-2</v>
      </c>
      <c r="AO290" s="210">
        <f t="shared" si="1192"/>
        <v>-2.4969877861214452E-2</v>
      </c>
      <c r="AP290" s="209">
        <f t="shared" ref="AP290:AS290" si="1218">AP280/AP$11</f>
        <v>-2.5468878280607329E-2</v>
      </c>
      <c r="AQ290" s="209">
        <f t="shared" si="1218"/>
        <v>-2.4166464693993774E-2</v>
      </c>
      <c r="AR290" s="209">
        <f t="shared" si="1218"/>
        <v>-2.154435046030851E-2</v>
      </c>
      <c r="AS290" s="210">
        <f t="shared" si="1218"/>
        <v>-2.0618475137661886E-2</v>
      </c>
      <c r="AT290" s="209">
        <f t="shared" ref="AT290:AW290" si="1219">AT280/AT$11</f>
        <v>-2.0491290366308503E-2</v>
      </c>
      <c r="AU290" s="209">
        <f t="shared" si="1219"/>
        <v>-1.9778913915428794E-2</v>
      </c>
      <c r="AV290" s="209">
        <f t="shared" si="1219"/>
        <v>-1.8237948357444439E-2</v>
      </c>
      <c r="AW290" s="210">
        <f t="shared" si="1219"/>
        <v>-1.7279304951556863E-2</v>
      </c>
      <c r="AY290" s="204"/>
      <c r="AZ290" s="556">
        <f t="shared" ca="1" si="1196"/>
        <v>-1.4496440865155972E-2</v>
      </c>
      <c r="BA290" s="209">
        <f t="shared" ca="1" si="1196"/>
        <v>-2.2727191558055065E-2</v>
      </c>
      <c r="BB290" s="209">
        <f t="shared" si="1196"/>
        <v>-9.7084352910062399E-2</v>
      </c>
      <c r="BC290" s="209">
        <f t="shared" si="1196"/>
        <v>-9.3240422577569593E-2</v>
      </c>
      <c r="BD290" s="209">
        <f t="shared" si="1196"/>
        <v>-0.121066588378119</v>
      </c>
      <c r="BE290" s="209">
        <f t="shared" si="1196"/>
        <v>-4.6016489937695269E-2</v>
      </c>
      <c r="BF290" s="209">
        <f t="shared" si="1197"/>
        <v>-5.7849961085554825E-2</v>
      </c>
      <c r="BG290" s="209">
        <f t="shared" si="1197"/>
        <v>-5.1133379767995223E-2</v>
      </c>
      <c r="BH290" s="209">
        <f t="shared" si="1198"/>
        <v>-5.3278086082910119E-2</v>
      </c>
      <c r="BI290" s="209">
        <f t="shared" si="1198"/>
        <v>-2.557941234464943E-2</v>
      </c>
      <c r="BJ290" s="209">
        <f t="shared" ref="BJ290:BK290" si="1220">BJ280/BJ$11</f>
        <v>-2.2784319664353427E-2</v>
      </c>
      <c r="BK290" s="209">
        <f t="shared" si="1220"/>
        <v>-1.8862271021416306E-2</v>
      </c>
    </row>
    <row r="291" spans="1:63">
      <c r="A291" s="207" t="s">
        <v>929</v>
      </c>
      <c r="B291" s="469">
        <v>164.50299999999999</v>
      </c>
      <c r="C291" s="469">
        <v>186.785</v>
      </c>
      <c r="D291" s="469">
        <v>184.125</v>
      </c>
      <c r="E291" s="470">
        <v>200.56100000000001</v>
      </c>
      <c r="F291" s="469">
        <v>195.99299999999999</v>
      </c>
      <c r="G291" s="469">
        <v>217.31100000000001</v>
      </c>
      <c r="H291" s="469">
        <v>227.58799999999999</v>
      </c>
      <c r="I291" s="470">
        <v>242.91200000000001</v>
      </c>
      <c r="J291" s="469">
        <v>201.601</v>
      </c>
      <c r="K291" s="469">
        <v>249.14699999999999</v>
      </c>
      <c r="L291" s="469">
        <v>256.58699999999999</v>
      </c>
      <c r="M291" s="469">
        <v>248.12899999999999</v>
      </c>
      <c r="N291" s="817">
        <v>238.50899999999999</v>
      </c>
      <c r="O291" s="469">
        <v>215.011</v>
      </c>
      <c r="P291" s="469">
        <v>215.185</v>
      </c>
      <c r="Q291" s="470">
        <v>243.322</v>
      </c>
      <c r="R291" s="469">
        <v>204.71199999999999</v>
      </c>
      <c r="S291" s="469">
        <v>191.69900000000001</v>
      </c>
      <c r="T291" s="469">
        <v>236.803</v>
      </c>
      <c r="U291" s="470">
        <v>279.44400000000002</v>
      </c>
      <c r="V291" s="469">
        <v>254.93799999999999</v>
      </c>
      <c r="W291" s="469">
        <v>298.7</v>
      </c>
      <c r="X291" s="469">
        <v>329.51</v>
      </c>
      <c r="Y291" s="470">
        <v>324.59100000000001</v>
      </c>
      <c r="Z291" s="469">
        <v>267.08199999999999</v>
      </c>
      <c r="AA291" s="471">
        <f t="shared" ref="AA291:AO291" si="1221">AA276+AA292+AA293</f>
        <v>320.702</v>
      </c>
      <c r="AB291" s="471">
        <f t="shared" si="1221"/>
        <v>318.23199999999997</v>
      </c>
      <c r="AC291" s="558">
        <f t="shared" si="1221"/>
        <v>251.67700000000002</v>
      </c>
      <c r="AD291" s="471">
        <f t="shared" si="1221"/>
        <v>321.298</v>
      </c>
      <c r="AE291" s="471">
        <f t="shared" si="1221"/>
        <v>261.95299999999997</v>
      </c>
      <c r="AF291" s="471">
        <f t="shared" si="1221"/>
        <v>363.27299999999997</v>
      </c>
      <c r="AG291" s="558">
        <f t="shared" si="1221"/>
        <v>364.04599999999999</v>
      </c>
      <c r="AH291" s="471">
        <f t="shared" si="1221"/>
        <v>315.29700000000003</v>
      </c>
      <c r="AI291" s="471">
        <f t="shared" si="1221"/>
        <v>418.12199999999996</v>
      </c>
      <c r="AJ291" s="471">
        <f t="shared" si="1221"/>
        <v>290.74200000000002</v>
      </c>
      <c r="AK291" s="558">
        <f t="shared" si="1221"/>
        <v>298.50100000000003</v>
      </c>
      <c r="AL291" s="471">
        <f t="shared" si="1221"/>
        <v>334.81100000000004</v>
      </c>
      <c r="AM291" s="471">
        <f t="shared" si="1221"/>
        <v>333.16097000000002</v>
      </c>
      <c r="AN291" s="471">
        <f t="shared" si="1221"/>
        <v>341.88477</v>
      </c>
      <c r="AO291" s="558">
        <f t="shared" si="1221"/>
        <v>413.14611000000002</v>
      </c>
      <c r="AP291" s="471">
        <f t="shared" ref="AP291:AS291" si="1222">AP276+AP292+AP293</f>
        <v>381.60771</v>
      </c>
      <c r="AQ291" s="471">
        <f t="shared" si="1222"/>
        <v>404.9036605</v>
      </c>
      <c r="AR291" s="471">
        <f t="shared" si="1222"/>
        <v>418.18006350000002</v>
      </c>
      <c r="AS291" s="558">
        <f t="shared" si="1222"/>
        <v>503.36402550000003</v>
      </c>
      <c r="AT291" s="471">
        <f t="shared" ref="AT291:AW291" si="1223">AT276+AT292+AT293</f>
        <v>440.13558879999999</v>
      </c>
      <c r="AU291" s="471">
        <f t="shared" si="1223"/>
        <v>467.86525256000004</v>
      </c>
      <c r="AV291" s="471">
        <f t="shared" si="1223"/>
        <v>484.45030668000004</v>
      </c>
      <c r="AW291" s="558">
        <f t="shared" si="1223"/>
        <v>581.90374643999996</v>
      </c>
      <c r="AY291" s="204"/>
      <c r="AZ291" s="324">
        <f>SUM(B291:E291)</f>
        <v>735.97400000000005</v>
      </c>
      <c r="BA291" s="212">
        <f>SUM(F291:I291)</f>
        <v>883.80399999999997</v>
      </c>
      <c r="BB291" s="212">
        <f>SUM(J291:M291)</f>
        <v>955.46400000000006</v>
      </c>
      <c r="BC291" s="212">
        <f>SUM(N291:Q291)</f>
        <v>912.02699999999993</v>
      </c>
      <c r="BD291" s="212">
        <f>SUM(R291:U291)</f>
        <v>912.6579999999999</v>
      </c>
      <c r="BE291" s="212">
        <f>SUM(V291:Y291)</f>
        <v>1207.739</v>
      </c>
      <c r="BF291" s="212">
        <f>SUM(Z291:AC291)</f>
        <v>1157.693</v>
      </c>
      <c r="BG291" s="212">
        <f>SUM(AD291:AG291)</f>
        <v>1310.57</v>
      </c>
      <c r="BH291" s="212">
        <f>SUM(AH291:AK291)</f>
        <v>1322.662</v>
      </c>
      <c r="BI291" s="212">
        <f>SUM(AL291:AO291)</f>
        <v>1423.0028500000001</v>
      </c>
      <c r="BJ291" s="212">
        <f>SUM(AP291:AS291)</f>
        <v>1708.0554595000001</v>
      </c>
      <c r="BK291" s="212">
        <f>SUM(AT291:AW291)</f>
        <v>1974.35489448</v>
      </c>
    </row>
    <row r="292" spans="1:63">
      <c r="A292" s="211" t="s">
        <v>834</v>
      </c>
      <c r="B292" s="366">
        <v>26.75</v>
      </c>
      <c r="C292" s="366">
        <v>18.702000000000002</v>
      </c>
      <c r="D292" s="366">
        <v>28.459</v>
      </c>
      <c r="E292" s="367">
        <v>46.832999999999998</v>
      </c>
      <c r="F292" s="366">
        <v>21.561</v>
      </c>
      <c r="G292" s="366">
        <v>21.161999999999999</v>
      </c>
      <c r="H292" s="366">
        <v>39.421999999999997</v>
      </c>
      <c r="I292" s="367">
        <v>57.469000000000001</v>
      </c>
      <c r="J292" s="366">
        <v>101.554</v>
      </c>
      <c r="K292" s="366">
        <v>61.784999999999997</v>
      </c>
      <c r="L292" s="366">
        <v>58.308999999999997</v>
      </c>
      <c r="M292" s="366">
        <v>71.838999999999999</v>
      </c>
      <c r="N292" s="818">
        <v>59.258000000000003</v>
      </c>
      <c r="O292" s="366">
        <v>40.457999999999998</v>
      </c>
      <c r="P292" s="366">
        <v>137.751</v>
      </c>
      <c r="Q292" s="367">
        <v>125.01600000000001</v>
      </c>
      <c r="R292" s="366">
        <v>86.281000000000006</v>
      </c>
      <c r="S292" s="366">
        <v>81.311999999999998</v>
      </c>
      <c r="T292" s="366">
        <v>84.614000000000004</v>
      </c>
      <c r="U292" s="367">
        <v>126.11199999999999</v>
      </c>
      <c r="V292" s="366">
        <v>44.968000000000004</v>
      </c>
      <c r="W292" s="366">
        <v>100.27200000000001</v>
      </c>
      <c r="X292" s="366">
        <v>93.858999999999995</v>
      </c>
      <c r="Y292" s="367">
        <v>49.405000000000001</v>
      </c>
      <c r="Z292" s="366">
        <v>55.667000000000002</v>
      </c>
      <c r="AA292" s="472">
        <v>85</v>
      </c>
      <c r="AB292" s="472">
        <v>85</v>
      </c>
      <c r="AC292" s="473">
        <v>85</v>
      </c>
      <c r="AD292" s="472">
        <v>85</v>
      </c>
      <c r="AE292" s="472">
        <v>85</v>
      </c>
      <c r="AF292" s="472">
        <v>90</v>
      </c>
      <c r="AG292" s="473">
        <v>80</v>
      </c>
      <c r="AH292" s="472">
        <v>120</v>
      </c>
      <c r="AI292" s="472">
        <f>AH292</f>
        <v>120</v>
      </c>
      <c r="AJ292" s="472">
        <f>AI292</f>
        <v>120</v>
      </c>
      <c r="AK292" s="473">
        <v>120</v>
      </c>
      <c r="AL292" s="472">
        <v>80</v>
      </c>
      <c r="AM292" s="472">
        <f>AL292</f>
        <v>80</v>
      </c>
      <c r="AN292" s="472">
        <f>AM292</f>
        <v>80</v>
      </c>
      <c r="AO292" s="473">
        <f>AN292</f>
        <v>80</v>
      </c>
      <c r="AP292" s="472">
        <v>80</v>
      </c>
      <c r="AQ292" s="472">
        <f>AP292</f>
        <v>80</v>
      </c>
      <c r="AR292" s="472">
        <f>AQ292</f>
        <v>80</v>
      </c>
      <c r="AS292" s="473">
        <f>AR292</f>
        <v>80</v>
      </c>
      <c r="AT292" s="472">
        <v>80</v>
      </c>
      <c r="AU292" s="472">
        <f>AT292</f>
        <v>80</v>
      </c>
      <c r="AV292" s="472">
        <f>AU292</f>
        <v>80</v>
      </c>
      <c r="AW292" s="473">
        <f>AV292</f>
        <v>80</v>
      </c>
      <c r="AX292" s="232"/>
      <c r="AY292" s="204"/>
      <c r="AZ292" s="335">
        <f>SUM(B292:E292)</f>
        <v>120.744</v>
      </c>
      <c r="BA292" s="215">
        <f>SUM(F292:I292)</f>
        <v>139.614</v>
      </c>
      <c r="BB292" s="215">
        <f>SUM(J292:M292)</f>
        <v>293.48699999999997</v>
      </c>
      <c r="BC292" s="215">
        <f>SUM(N292:Q292)</f>
        <v>362.483</v>
      </c>
      <c r="BD292" s="215">
        <f>SUM(R292:U292)</f>
        <v>378.31900000000002</v>
      </c>
      <c r="BE292" s="215">
        <f>SUM(V292:Y292)</f>
        <v>288.50400000000002</v>
      </c>
      <c r="BF292" s="215">
        <f>SUM(Z292:AC292)</f>
        <v>310.66700000000003</v>
      </c>
      <c r="BG292" s="215">
        <f>SUM(AD292:AG292)</f>
        <v>340</v>
      </c>
      <c r="BH292" s="215">
        <f>SUM(AH292:AK292)</f>
        <v>480</v>
      </c>
      <c r="BI292" s="215">
        <f>SUM(AL292:AO292)</f>
        <v>320</v>
      </c>
      <c r="BJ292" s="215">
        <f>SUM(AP292:AS292)</f>
        <v>320</v>
      </c>
      <c r="BK292" s="215">
        <f>SUM(AT292:AW292)</f>
        <v>320</v>
      </c>
    </row>
    <row r="293" spans="1:63">
      <c r="A293" s="211" t="s">
        <v>136</v>
      </c>
      <c r="B293" s="331">
        <f t="shared" ref="B293:P293" si="1224">B291-B276-B292</f>
        <v>-5.6800000000000921</v>
      </c>
      <c r="C293" s="331">
        <f t="shared" si="1224"/>
        <v>-4.4169999999999483</v>
      </c>
      <c r="D293" s="331">
        <f t="shared" si="1224"/>
        <v>1.0740000000000727</v>
      </c>
      <c r="E293" s="332">
        <f t="shared" si="1224"/>
        <v>8.4040000000000248</v>
      </c>
      <c r="F293" s="331">
        <f t="shared" si="1224"/>
        <v>-3.4819999999999354</v>
      </c>
      <c r="G293" s="331">
        <f t="shared" si="1224"/>
        <v>-2.5479999999999947</v>
      </c>
      <c r="H293" s="331">
        <f t="shared" si="1224"/>
        <v>7.7949999999999875</v>
      </c>
      <c r="I293" s="332">
        <f t="shared" si="1224"/>
        <v>10.387999999999998</v>
      </c>
      <c r="J293" s="331">
        <f t="shared" si="1224"/>
        <v>2.4220000000000113</v>
      </c>
      <c r="K293" s="331">
        <f t="shared" si="1224"/>
        <v>-6.6260000000000048</v>
      </c>
      <c r="L293" s="331">
        <f t="shared" si="1224"/>
        <v>75.612999999999943</v>
      </c>
      <c r="M293" s="331">
        <f t="shared" si="1224"/>
        <v>-2.9809999999999945</v>
      </c>
      <c r="N293" s="819">
        <f t="shared" si="1224"/>
        <v>-6.9930000000000163</v>
      </c>
      <c r="O293" s="331">
        <f t="shared" si="1224"/>
        <v>-9.3700000000000045</v>
      </c>
      <c r="P293" s="331">
        <f t="shared" si="1224"/>
        <v>-1.8530000000000086</v>
      </c>
      <c r="Q293" s="332">
        <f t="shared" ref="Q293:Z293" si="1225">Q291-Q276-Q292</f>
        <v>-41.206999999999979</v>
      </c>
      <c r="R293" s="331">
        <f t="shared" si="1225"/>
        <v>-7.0420000000000158</v>
      </c>
      <c r="S293" s="331">
        <f t="shared" si="1225"/>
        <v>243.13800000000003</v>
      </c>
      <c r="T293" s="331">
        <f t="shared" si="1225"/>
        <v>-5.6280000000000143</v>
      </c>
      <c r="U293" s="332">
        <f t="shared" si="1225"/>
        <v>20.663000000000039</v>
      </c>
      <c r="V293" s="331">
        <f t="shared" si="1225"/>
        <v>-4.3140000000000356</v>
      </c>
      <c r="W293" s="331">
        <f t="shared" si="1225"/>
        <v>-12.617000000000004</v>
      </c>
      <c r="X293" s="331">
        <f t="shared" si="1225"/>
        <v>-28.646000000000029</v>
      </c>
      <c r="Y293" s="332">
        <f t="shared" si="1225"/>
        <v>38.842999999999989</v>
      </c>
      <c r="Z293" s="331">
        <f t="shared" si="1225"/>
        <v>-9.9710000000000321</v>
      </c>
      <c r="AA293" s="472">
        <v>-1</v>
      </c>
      <c r="AB293" s="472">
        <v>-1</v>
      </c>
      <c r="AC293" s="473">
        <v>-1</v>
      </c>
      <c r="AD293" s="472">
        <v>-1</v>
      </c>
      <c r="AE293" s="472">
        <v>-1</v>
      </c>
      <c r="AF293" s="472">
        <v>-1</v>
      </c>
      <c r="AG293" s="473">
        <v>-1</v>
      </c>
      <c r="AH293" s="472">
        <v>-1</v>
      </c>
      <c r="AI293" s="472">
        <v>-1</v>
      </c>
      <c r="AJ293" s="472">
        <v>-1</v>
      </c>
      <c r="AK293" s="473">
        <v>-1</v>
      </c>
      <c r="AL293" s="472">
        <v>-1</v>
      </c>
      <c r="AM293" s="472">
        <v>-1</v>
      </c>
      <c r="AN293" s="472">
        <v>-1</v>
      </c>
      <c r="AO293" s="473">
        <v>-1</v>
      </c>
      <c r="AP293" s="472">
        <v>-1</v>
      </c>
      <c r="AQ293" s="472">
        <v>-1</v>
      </c>
      <c r="AR293" s="472">
        <v>-1</v>
      </c>
      <c r="AS293" s="473">
        <v>-1</v>
      </c>
      <c r="AT293" s="472">
        <v>-1</v>
      </c>
      <c r="AU293" s="472">
        <v>-1</v>
      </c>
      <c r="AV293" s="472">
        <v>-1</v>
      </c>
      <c r="AW293" s="473">
        <v>-1</v>
      </c>
      <c r="AX293" s="232"/>
      <c r="AY293" s="204"/>
      <c r="AZ293" s="335">
        <f>SUM(B293:E293)</f>
        <v>-0.61899999999994293</v>
      </c>
      <c r="BA293" s="215">
        <f>SUM(F293:I293)</f>
        <v>12.153000000000056</v>
      </c>
      <c r="BB293" s="215">
        <f>SUM(J293:M293)</f>
        <v>68.427999999999955</v>
      </c>
      <c r="BC293" s="215">
        <f>SUM(N293:Q293)</f>
        <v>-59.423000000000009</v>
      </c>
      <c r="BD293" s="215">
        <f>SUM(R293:U293)</f>
        <v>251.13100000000003</v>
      </c>
      <c r="BE293" s="215">
        <f>SUM(V293:Y293)</f>
        <v>-6.7340000000000799</v>
      </c>
      <c r="BF293" s="215">
        <f>SUM(Z293:AC293)</f>
        <v>-12.971000000000032</v>
      </c>
      <c r="BG293" s="215">
        <f>SUM(AD293:AG293)</f>
        <v>-4</v>
      </c>
      <c r="BH293" s="215">
        <f>SUM(AH293:AK293)</f>
        <v>-4</v>
      </c>
      <c r="BI293" s="215">
        <f>SUM(AL293:AO293)</f>
        <v>-4</v>
      </c>
      <c r="BJ293" s="215">
        <f>SUM(AP293:AS293)</f>
        <v>-4</v>
      </c>
      <c r="BK293" s="215">
        <f>SUM(AT293:AW293)</f>
        <v>-4</v>
      </c>
    </row>
    <row r="294" spans="1:63">
      <c r="A294" s="220" t="s">
        <v>1022</v>
      </c>
      <c r="B294" s="218">
        <f>B291/B$11</f>
        <v>0.20742165089492295</v>
      </c>
      <c r="C294" s="218">
        <f t="shared" ref="C294:U294" si="1226">C291/C$11</f>
        <v>0.24865114557776763</v>
      </c>
      <c r="D294" s="218">
        <f t="shared" si="1226"/>
        <v>0.23920942988581609</v>
      </c>
      <c r="E294" s="219">
        <f t="shared" si="1226"/>
        <v>0.25478610828101539</v>
      </c>
      <c r="F294" s="218">
        <f t="shared" si="1226"/>
        <v>0.23583949826964637</v>
      </c>
      <c r="G294" s="218">
        <f t="shared" si="1226"/>
        <v>0.24397420942548276</v>
      </c>
      <c r="H294" s="218">
        <f t="shared" si="1226"/>
        <v>0.26754222005920092</v>
      </c>
      <c r="I294" s="219">
        <f t="shared" si="1226"/>
        <v>0.30843422447670987</v>
      </c>
      <c r="J294" s="218">
        <f t="shared" si="1226"/>
        <v>0.30139228792388684</v>
      </c>
      <c r="K294" s="218">
        <f t="shared" si="1226"/>
        <v>0.31502423876128172</v>
      </c>
      <c r="L294" s="218">
        <f t="shared" si="1226"/>
        <v>0.31427077158240779</v>
      </c>
      <c r="M294" s="218">
        <f t="shared" si="1226"/>
        <v>0.29558907794372191</v>
      </c>
      <c r="N294" s="557">
        <f t="shared" si="1226"/>
        <v>0.26357148540410558</v>
      </c>
      <c r="O294" s="218">
        <f t="shared" si="1226"/>
        <v>0.22910972515698541</v>
      </c>
      <c r="P294" s="218">
        <f t="shared" si="1226"/>
        <v>0.19878430122724605</v>
      </c>
      <c r="Q294" s="219">
        <f>Q291/Q$11</f>
        <v>0.24801064117134425</v>
      </c>
      <c r="R294" s="218">
        <f>R291/R$11</f>
        <v>0.18548650884475046</v>
      </c>
      <c r="S294" s="218">
        <f>S291/S$11</f>
        <v>0.1426223605053783</v>
      </c>
      <c r="T294" s="218">
        <f>T291/T$11</f>
        <v>0.16731623356711148</v>
      </c>
      <c r="U294" s="219">
        <f t="shared" si="1226"/>
        <v>0.17685668699713114</v>
      </c>
      <c r="V294" s="218">
        <f t="shared" ref="V294:AG294" si="1227">V291/V$11</f>
        <v>0.13841078802580387</v>
      </c>
      <c r="W294" s="218">
        <f t="shared" si="1227"/>
        <v>0.15694916465422842</v>
      </c>
      <c r="X294" s="218">
        <f t="shared" si="1227"/>
        <v>0.17279370892668736</v>
      </c>
      <c r="Y294" s="219">
        <f t="shared" si="1227"/>
        <v>0.20020786173802019</v>
      </c>
      <c r="Z294" s="218">
        <f t="shared" si="1227"/>
        <v>0.18264664689855897</v>
      </c>
      <c r="AA294" s="218">
        <f t="shared" si="1227"/>
        <v>0.2055260331351785</v>
      </c>
      <c r="AB294" s="218">
        <f>AB291/AB$11</f>
        <v>0.1963695646673993</v>
      </c>
      <c r="AC294" s="219">
        <f t="shared" si="1227"/>
        <v>0.14995957216205219</v>
      </c>
      <c r="AD294" s="218">
        <f t="shared" si="1227"/>
        <v>0.18358039420035471</v>
      </c>
      <c r="AE294" s="218">
        <f t="shared" si="1227"/>
        <v>0.1377774715506849</v>
      </c>
      <c r="AF294" s="218">
        <f t="shared" si="1227"/>
        <v>0.16731531309126615</v>
      </c>
      <c r="AG294" s="219">
        <f t="shared" si="1227"/>
        <v>0.16492961249609814</v>
      </c>
      <c r="AH294" s="218">
        <f t="shared" ref="AH294:AO294" si="1228">AH291/AH$11</f>
        <v>0.14030654133742376</v>
      </c>
      <c r="AI294" s="218">
        <f t="shared" si="1228"/>
        <v>0.18927546755053945</v>
      </c>
      <c r="AJ294" s="218">
        <f t="shared" si="1228"/>
        <v>0.12206705622838315</v>
      </c>
      <c r="AK294" s="219">
        <f t="shared" si="1228"/>
        <v>0.11994205833544287</v>
      </c>
      <c r="AL294" s="218">
        <f t="shared" si="1228"/>
        <v>0.1336311064475689</v>
      </c>
      <c r="AM294" s="218">
        <f t="shared" si="1228"/>
        <v>0.1153922079831415</v>
      </c>
      <c r="AN294" s="218">
        <f t="shared" si="1228"/>
        <v>0.11313244038527344</v>
      </c>
      <c r="AO294" s="219">
        <f t="shared" si="1228"/>
        <v>0.13058491019665661</v>
      </c>
      <c r="AP294" s="218">
        <f t="shared" ref="AP294:AS294" si="1229">AP291/AP$11</f>
        <v>0.12302683945482659</v>
      </c>
      <c r="AQ294" s="218">
        <f t="shared" si="1229"/>
        <v>0.12386189893597585</v>
      </c>
      <c r="AR294" s="218">
        <f t="shared" si="1229"/>
        <v>0.11404326384250718</v>
      </c>
      <c r="AS294" s="219">
        <f t="shared" si="1229"/>
        <v>0.13137466639196399</v>
      </c>
      <c r="AT294" s="218">
        <f t="shared" ref="AT294:AW294" si="1230">AT291/AT$11</f>
        <v>0.11416387532464507</v>
      </c>
      <c r="AU294" s="218">
        <f t="shared" si="1230"/>
        <v>0.11713755132157712</v>
      </c>
      <c r="AV294" s="218">
        <f t="shared" si="1230"/>
        <v>0.11184024905035395</v>
      </c>
      <c r="AW294" s="219">
        <f t="shared" si="1230"/>
        <v>0.12727711755936938</v>
      </c>
      <c r="AY294" s="217"/>
      <c r="AZ294" s="557">
        <f t="shared" ref="AZ294:BG294" ca="1" si="1231">AZ291/AZ$11</f>
        <v>0.23732101542157408</v>
      </c>
      <c r="BA294" s="218">
        <f t="shared" ca="1" si="1231"/>
        <v>0.26303815732455871</v>
      </c>
      <c r="BB294" s="218">
        <f t="shared" si="1231"/>
        <v>0.30666385935361617</v>
      </c>
      <c r="BC294" s="218">
        <f t="shared" si="1231"/>
        <v>0.23343558635517245</v>
      </c>
      <c r="BD294" s="218">
        <f t="shared" si="1231"/>
        <v>0.16767209640367495</v>
      </c>
      <c r="BE294" s="218">
        <f t="shared" si="1231"/>
        <v>0.16605140126523316</v>
      </c>
      <c r="BF294" s="218">
        <f t="shared" si="1231"/>
        <v>0.18313406817304587</v>
      </c>
      <c r="BG294" s="218">
        <f t="shared" si="1231"/>
        <v>0.16321082112763</v>
      </c>
      <c r="BH294" s="218">
        <f>BH291/BH$11</f>
        <v>0.14181307005758353</v>
      </c>
      <c r="BI294" s="218">
        <f>BI291/BI$11</f>
        <v>0.12290054282073978</v>
      </c>
      <c r="BJ294" s="218">
        <f>BJ291/BJ$11</f>
        <v>0.12315468858763318</v>
      </c>
      <c r="BK294" s="218">
        <f>BK291/BK$11</f>
        <v>0.11785068706373909</v>
      </c>
    </row>
    <row r="295" spans="1:63">
      <c r="A295" s="211" t="s">
        <v>926</v>
      </c>
      <c r="B295" s="474"/>
      <c r="C295" s="474"/>
      <c r="D295" s="474"/>
      <c r="E295" s="637"/>
      <c r="F295" s="474">
        <v>139.9</v>
      </c>
      <c r="G295" s="474">
        <v>164.1</v>
      </c>
      <c r="H295" s="474">
        <v>172.3</v>
      </c>
      <c r="I295" s="637">
        <v>185.1</v>
      </c>
      <c r="J295" s="474">
        <v>150.30000000000001</v>
      </c>
      <c r="K295" s="474">
        <v>182.2</v>
      </c>
      <c r="L295" s="474">
        <v>185</v>
      </c>
      <c r="M295" s="637"/>
      <c r="N295" s="474"/>
      <c r="O295" s="474"/>
      <c r="P295" s="474"/>
      <c r="Q295" s="637"/>
      <c r="R295" s="474"/>
      <c r="S295" s="474"/>
      <c r="T295" s="474"/>
      <c r="U295" s="637"/>
      <c r="V295" s="474"/>
      <c r="W295" s="474"/>
      <c r="X295" s="474"/>
      <c r="Y295" s="637"/>
      <c r="Z295" s="474"/>
      <c r="AA295" s="474"/>
      <c r="AB295" s="474"/>
      <c r="AC295" s="637"/>
      <c r="AD295" s="474"/>
      <c r="AE295" s="474"/>
      <c r="AF295" s="474"/>
      <c r="AG295" s="637"/>
      <c r="AH295" s="474"/>
      <c r="AI295" s="474"/>
      <c r="AJ295" s="474"/>
      <c r="AK295" s="637"/>
      <c r="AL295" s="474"/>
      <c r="AM295" s="474"/>
      <c r="AN295" s="474"/>
      <c r="AO295" s="637"/>
      <c r="AP295" s="474"/>
      <c r="AQ295" s="474"/>
      <c r="AR295" s="474"/>
      <c r="AS295" s="637"/>
      <c r="AT295" s="474"/>
      <c r="AU295" s="474"/>
      <c r="AV295" s="474"/>
      <c r="AW295" s="637"/>
      <c r="AZ295" s="214">
        <f>SUM(B295:E295)</f>
        <v>0</v>
      </c>
      <c r="BA295" s="215">
        <f>SUM(F295:I295)</f>
        <v>661.4</v>
      </c>
      <c r="BB295" s="215">
        <f>SUM(J295:M295)</f>
        <v>517.5</v>
      </c>
      <c r="BC295" s="215">
        <f>SUM(N295:Q295)</f>
        <v>0</v>
      </c>
      <c r="BD295" s="215">
        <f>SUM(R295:U295)</f>
        <v>0</v>
      </c>
      <c r="BE295" s="215">
        <f>SUM(V295:Y295)</f>
        <v>0</v>
      </c>
      <c r="BF295" s="215">
        <f>SUM(Z295:AC295)</f>
        <v>0</v>
      </c>
      <c r="BG295" s="215">
        <f>SUM(AD295:AG295)</f>
        <v>0</v>
      </c>
      <c r="BH295" s="215">
        <f>SUM(AH295:AK295)</f>
        <v>0</v>
      </c>
      <c r="BI295" s="215"/>
      <c r="BJ295" s="215"/>
      <c r="BK295" s="215"/>
    </row>
    <row r="296" spans="1:63">
      <c r="A296" s="290" t="s">
        <v>927</v>
      </c>
      <c r="B296" s="209"/>
      <c r="C296" s="209"/>
      <c r="D296" s="209"/>
      <c r="E296" s="210"/>
      <c r="F296" s="474">
        <f t="shared" ref="F296:L296" si="1232">F295-F277</f>
        <v>16.905000000000001</v>
      </c>
      <c r="G296" s="474">
        <f t="shared" si="1232"/>
        <v>16.923000000000002</v>
      </c>
      <c r="H296" s="474">
        <f t="shared" si="1232"/>
        <v>5.4000000000002046E-2</v>
      </c>
      <c r="I296" s="637">
        <f t="shared" si="1232"/>
        <v>50.129999999999995</v>
      </c>
      <c r="J296" s="474">
        <f t="shared" si="1232"/>
        <v>73.125000000000014</v>
      </c>
      <c r="K296" s="474">
        <f t="shared" si="1232"/>
        <v>-7.0000000000050022E-3</v>
      </c>
      <c r="L296" s="474">
        <f t="shared" si="1232"/>
        <v>-1.9000000000005457E-2</v>
      </c>
      <c r="M296" s="637"/>
      <c r="N296" s="474"/>
      <c r="O296" s="474"/>
      <c r="P296" s="474"/>
      <c r="Q296" s="637"/>
      <c r="R296" s="474"/>
      <c r="S296" s="474"/>
      <c r="T296" s="474"/>
      <c r="U296" s="637"/>
      <c r="V296" s="474"/>
      <c r="W296" s="474"/>
      <c r="X296" s="474"/>
      <c r="Y296" s="637"/>
      <c r="Z296" s="474"/>
      <c r="AA296" s="474"/>
      <c r="AB296" s="474"/>
      <c r="AC296" s="637"/>
      <c r="AD296" s="474"/>
      <c r="AE296" s="474"/>
      <c r="AF296" s="474"/>
      <c r="AG296" s="637"/>
      <c r="AH296" s="474"/>
      <c r="AI296" s="474"/>
      <c r="AJ296" s="474"/>
      <c r="AK296" s="637"/>
      <c r="AL296" s="474"/>
      <c r="AM296" s="474"/>
      <c r="AN296" s="474"/>
      <c r="AO296" s="637"/>
      <c r="AP296" s="474"/>
      <c r="AQ296" s="474"/>
      <c r="AR296" s="474"/>
      <c r="AS296" s="637"/>
      <c r="AT296" s="474"/>
      <c r="AU296" s="474"/>
      <c r="AV296" s="474"/>
      <c r="AW296" s="637"/>
      <c r="AZ296" s="222"/>
      <c r="BA296" s="231">
        <f t="shared" ref="BA296:BI296" si="1233">BA276/AZ276-1</f>
        <v>0.18866313008545954</v>
      </c>
      <c r="BB296" s="231">
        <f t="shared" si="1233"/>
        <v>-0.18918169436790766</v>
      </c>
      <c r="BC296" s="231">
        <f t="shared" si="1233"/>
        <v>2.5975951437876343E-2</v>
      </c>
      <c r="BD296" s="231">
        <f t="shared" si="1233"/>
        <v>-0.53493703271277437</v>
      </c>
      <c r="BE296" s="231">
        <f t="shared" si="1233"/>
        <v>2.2695721872263501</v>
      </c>
      <c r="BF296" s="231">
        <f t="shared" si="1233"/>
        <v>-7.1246445615350096E-2</v>
      </c>
      <c r="BG296" s="231">
        <f t="shared" si="1233"/>
        <v>0.1332248833426164</v>
      </c>
      <c r="BH296" s="231">
        <f t="shared" si="1233"/>
        <v>-0.13124557497152578</v>
      </c>
      <c r="BI296" s="231">
        <f t="shared" si="1233"/>
        <v>0.30749088774505062</v>
      </c>
      <c r="BJ296" s="231"/>
      <c r="BK296" s="231"/>
    </row>
    <row r="297" spans="1:63">
      <c r="A297" s="290" t="s">
        <v>928</v>
      </c>
      <c r="F297" s="265">
        <f t="shared" ref="F297:L297" si="1234">F296/F292</f>
        <v>0.78405454292472521</v>
      </c>
      <c r="G297" s="265">
        <f t="shared" si="1234"/>
        <v>0.79968812021548075</v>
      </c>
      <c r="H297" s="265">
        <f t="shared" si="1234"/>
        <v>1.3697935163107416E-3</v>
      </c>
      <c r="I297" s="291">
        <f t="shared" si="1234"/>
        <v>0.87229636847691794</v>
      </c>
      <c r="J297" s="265">
        <f t="shared" si="1234"/>
        <v>0.72006026350513042</v>
      </c>
      <c r="K297" s="265">
        <f t="shared" si="1234"/>
        <v>-1.1329610746953148E-4</v>
      </c>
      <c r="L297" s="265">
        <f t="shared" si="1234"/>
        <v>-3.2585021180273126E-4</v>
      </c>
      <c r="M297" s="291"/>
      <c r="N297" s="265"/>
      <c r="O297" s="265"/>
      <c r="P297" s="265"/>
      <c r="Q297" s="291"/>
      <c r="R297" s="265"/>
      <c r="S297" s="265"/>
      <c r="T297" s="265"/>
      <c r="U297" s="291"/>
      <c r="V297" s="265"/>
      <c r="W297" s="265"/>
      <c r="X297" s="265"/>
      <c r="Y297" s="291"/>
      <c r="Z297" s="265"/>
      <c r="AA297" s="264"/>
      <c r="AB297" s="264"/>
      <c r="AC297" s="291"/>
      <c r="AD297" s="265"/>
      <c r="AE297" s="264"/>
      <c r="AF297" s="264"/>
      <c r="AG297" s="291"/>
      <c r="AH297" s="265"/>
      <c r="AI297" s="265"/>
      <c r="AJ297" s="265"/>
      <c r="AK297" s="291"/>
      <c r="AL297" s="265"/>
      <c r="AM297" s="265"/>
      <c r="AN297" s="265"/>
      <c r="AO297" s="291"/>
      <c r="AP297" s="265"/>
      <c r="AQ297" s="265"/>
      <c r="AR297" s="265"/>
      <c r="AS297" s="291"/>
      <c r="AT297" s="265"/>
      <c r="AU297" s="265"/>
      <c r="AV297" s="265"/>
      <c r="AW297" s="291"/>
    </row>
    <row r="298" spans="1:63">
      <c r="A298" s="290"/>
      <c r="B298" s="222"/>
      <c r="C298" s="222"/>
      <c r="D298" s="222"/>
      <c r="E298" s="459"/>
      <c r="F298" s="222"/>
      <c r="G298" s="222"/>
      <c r="H298" s="476"/>
      <c r="I298" s="459"/>
      <c r="J298" s="222"/>
      <c r="K298" s="222"/>
      <c r="L298" s="475"/>
      <c r="M298" s="477"/>
      <c r="N298" s="475"/>
      <c r="O298" s="475"/>
      <c r="P298" s="475"/>
      <c r="Q298" s="477"/>
      <c r="R298" s="475"/>
      <c r="S298" s="475"/>
      <c r="T298" s="475"/>
      <c r="U298" s="477"/>
      <c r="V298" s="215"/>
      <c r="W298" s="215"/>
      <c r="X298" s="215"/>
      <c r="Y298" s="216"/>
      <c r="Z298" s="215"/>
      <c r="AA298" s="215"/>
      <c r="AB298" s="215"/>
      <c r="AC298" s="216"/>
      <c r="AD298" s="215"/>
      <c r="AE298" s="215"/>
      <c r="AF298" s="215"/>
      <c r="AG298" s="216"/>
      <c r="AH298" s="215"/>
      <c r="AI298" s="215"/>
      <c r="AJ298" s="215"/>
      <c r="AK298" s="216"/>
      <c r="AL298" s="215"/>
      <c r="AM298" s="215"/>
      <c r="AN298" s="215"/>
      <c r="AO298" s="216"/>
      <c r="AP298" s="215"/>
      <c r="AQ298" s="215"/>
      <c r="AR298" s="215"/>
      <c r="AS298" s="216"/>
      <c r="AT298" s="215"/>
      <c r="AU298" s="215"/>
      <c r="AV298" s="215"/>
      <c r="AW298" s="216"/>
    </row>
    <row r="299" spans="1:63">
      <c r="E299" s="208"/>
      <c r="I299" s="208"/>
      <c r="M299" s="208"/>
      <c r="Q299" s="208"/>
      <c r="U299" s="208"/>
      <c r="Y299" s="208"/>
      <c r="AC299" s="208"/>
      <c r="AG299" s="208"/>
      <c r="AK299" s="208"/>
      <c r="AO299" s="208"/>
      <c r="AS299" s="208"/>
      <c r="AW299" s="208"/>
    </row>
    <row r="300" spans="1:63">
      <c r="E300" s="208"/>
      <c r="I300" s="208"/>
      <c r="M300" s="208"/>
      <c r="Q300" s="208"/>
      <c r="U300" s="208"/>
      <c r="Y300" s="208"/>
      <c r="AC300" s="208"/>
      <c r="AG300" s="208"/>
      <c r="AK300" s="208"/>
      <c r="AO300" s="208"/>
      <c r="AS300" s="208"/>
      <c r="AW300" s="208"/>
    </row>
    <row r="301" spans="1:63">
      <c r="E301" s="208"/>
      <c r="I301" s="208"/>
      <c r="M301" s="208"/>
      <c r="Q301" s="208"/>
      <c r="U301" s="208"/>
      <c r="Y301" s="208"/>
      <c r="AC301" s="208"/>
      <c r="AG301" s="208"/>
      <c r="AK301" s="208"/>
      <c r="AO301" s="208"/>
      <c r="AS301" s="208"/>
      <c r="AW301" s="208"/>
    </row>
    <row r="302" spans="1:63">
      <c r="E302" s="208"/>
      <c r="I302" s="208"/>
      <c r="M302" s="208"/>
      <c r="Q302" s="208"/>
      <c r="U302" s="208"/>
      <c r="Y302" s="208"/>
      <c r="AC302" s="208"/>
      <c r="AG302" s="208"/>
      <c r="AK302" s="208"/>
      <c r="AO302" s="208"/>
      <c r="AS302" s="208"/>
      <c r="AW302" s="208"/>
    </row>
    <row r="303" spans="1:63">
      <c r="E303" s="208"/>
      <c r="I303" s="208"/>
      <c r="M303" s="208"/>
      <c r="Q303" s="208"/>
      <c r="U303" s="208"/>
      <c r="Y303" s="208"/>
      <c r="AC303" s="208"/>
      <c r="AG303" s="208"/>
      <c r="AK303" s="208"/>
      <c r="AO303" s="208"/>
      <c r="AS303" s="208"/>
      <c r="AW303" s="208"/>
    </row>
    <row r="304" spans="1:63">
      <c r="E304" s="208"/>
      <c r="I304" s="208"/>
      <c r="M304" s="208"/>
      <c r="Q304" s="208"/>
      <c r="U304" s="208"/>
      <c r="Y304" s="208"/>
      <c r="AC304" s="208"/>
      <c r="AG304" s="208"/>
      <c r="AK304" s="208"/>
      <c r="AO304" s="208"/>
      <c r="AS304" s="208"/>
      <c r="AW304" s="208"/>
    </row>
    <row r="305" s="208" customFormat="1"/>
    <row r="306" s="208" customFormat="1"/>
    <row r="307" s="208" customFormat="1"/>
    <row r="308" s="208" customFormat="1"/>
    <row r="309" s="208" customFormat="1"/>
    <row r="310" s="208" customFormat="1"/>
    <row r="311" s="208" customFormat="1"/>
    <row r="312" s="208" customFormat="1"/>
    <row r="313" s="208" customFormat="1"/>
    <row r="314" s="208" customFormat="1"/>
    <row r="315" s="208" customFormat="1"/>
    <row r="316" s="208" customFormat="1"/>
    <row r="317" s="208" customFormat="1"/>
    <row r="318" s="208" customFormat="1"/>
    <row r="319" s="208" customFormat="1"/>
    <row r="320" s="208" customFormat="1"/>
    <row r="321" s="208" customFormat="1"/>
    <row r="322" s="208" customFormat="1"/>
    <row r="323" s="208" customFormat="1"/>
    <row r="324" s="208" customFormat="1"/>
    <row r="325" s="208" customFormat="1"/>
    <row r="326" s="208" customFormat="1"/>
    <row r="327" s="208" customFormat="1"/>
    <row r="328" s="208" customFormat="1"/>
    <row r="329" s="208" customFormat="1"/>
    <row r="330" s="208" customFormat="1"/>
    <row r="331" s="208" customFormat="1"/>
    <row r="332" s="208" customFormat="1"/>
    <row r="333" s="208" customFormat="1"/>
    <row r="334" s="208" customFormat="1"/>
    <row r="335" s="208" customFormat="1"/>
    <row r="336" s="208" customFormat="1"/>
    <row r="337" s="208" customFormat="1"/>
    <row r="338" s="208" customFormat="1"/>
    <row r="339" s="208" customFormat="1"/>
    <row r="340" s="208" customFormat="1"/>
    <row r="341" s="208" customFormat="1"/>
    <row r="342" s="208" customFormat="1"/>
    <row r="343" s="208" customFormat="1"/>
    <row r="344" s="208" customFormat="1"/>
    <row r="345" s="208" customFormat="1"/>
    <row r="346" s="208" customFormat="1"/>
    <row r="347" s="208" customFormat="1"/>
    <row r="348" s="208" customFormat="1"/>
    <row r="349" s="208" customFormat="1"/>
    <row r="350" s="208" customFormat="1"/>
    <row r="351" s="208" customFormat="1"/>
    <row r="352" s="208" customFormat="1"/>
    <row r="353" s="208" customFormat="1"/>
    <row r="354" s="208" customFormat="1"/>
    <row r="355" s="208" customFormat="1"/>
    <row r="356" s="208" customFormat="1"/>
    <row r="357" s="208" customFormat="1"/>
    <row r="358" s="208" customFormat="1"/>
    <row r="359" s="208" customFormat="1"/>
    <row r="360" s="208" customFormat="1"/>
    <row r="361" s="208" customFormat="1"/>
    <row r="362" s="208" customFormat="1"/>
    <row r="363" s="208" customFormat="1"/>
    <row r="364" s="208" customFormat="1"/>
    <row r="365" s="208" customFormat="1"/>
    <row r="366" s="208" customFormat="1"/>
    <row r="367" s="208" customFormat="1"/>
    <row r="368" s="208" customFormat="1"/>
    <row r="369" s="208" customFormat="1"/>
    <row r="370" s="208" customFormat="1"/>
    <row r="371" s="208" customFormat="1"/>
    <row r="372" s="208" customFormat="1"/>
    <row r="373" s="208" customFormat="1"/>
    <row r="374" s="208" customFormat="1"/>
    <row r="375" s="208" customFormat="1"/>
    <row r="376" s="208" customFormat="1"/>
    <row r="377" s="208" customFormat="1"/>
    <row r="378" s="208" customFormat="1"/>
    <row r="379" s="208" customFormat="1"/>
    <row r="380" s="208" customFormat="1"/>
    <row r="381" s="208" customFormat="1"/>
    <row r="382" s="208" customFormat="1"/>
    <row r="383" s="208" customFormat="1"/>
    <row r="384" s="208" customFormat="1"/>
    <row r="385" s="208" customFormat="1"/>
    <row r="386" s="208" customFormat="1"/>
    <row r="387" s="208" customFormat="1"/>
    <row r="388" s="208" customFormat="1"/>
    <row r="389" s="208" customFormat="1"/>
    <row r="390" s="208" customFormat="1"/>
    <row r="391" s="208" customFormat="1"/>
    <row r="392" s="208" customFormat="1"/>
    <row r="393" s="208" customFormat="1"/>
    <row r="394" s="208" customFormat="1"/>
    <row r="395" s="208" customFormat="1"/>
    <row r="396" s="208" customFormat="1"/>
    <row r="397" s="208" customFormat="1"/>
    <row r="398" s="208" customFormat="1"/>
    <row r="399" s="208" customFormat="1"/>
    <row r="400" s="208" customFormat="1"/>
    <row r="401" s="208" customFormat="1"/>
    <row r="402" s="208" customFormat="1"/>
    <row r="403" s="208" customFormat="1"/>
    <row r="404" s="208" customFormat="1"/>
    <row r="405" s="208" customFormat="1"/>
    <row r="406" s="208" customFormat="1"/>
    <row r="407" s="208" customFormat="1"/>
    <row r="408" s="208" customFormat="1"/>
    <row r="409" s="208" customFormat="1"/>
    <row r="410" s="208" customFormat="1"/>
    <row r="411" s="208" customFormat="1"/>
    <row r="412" s="208" customFormat="1"/>
    <row r="413" s="208" customFormat="1"/>
    <row r="414" s="208" customFormat="1"/>
    <row r="415" s="208" customFormat="1"/>
    <row r="416" s="208" customFormat="1"/>
    <row r="417" s="208" customFormat="1"/>
    <row r="418" s="208" customFormat="1"/>
    <row r="419" s="208" customFormat="1"/>
    <row r="420" s="208" customFormat="1"/>
    <row r="421" s="208" customFormat="1"/>
  </sheetData>
  <dataConsolidate/>
  <phoneticPr fontId="14" type="noConversion"/>
  <dataValidations disablePrompts="1" count="1">
    <dataValidation allowBlank="1" sqref="A5:A10" xr:uid="{00000000-0002-0000-0100-000000000000}"/>
  </dataValidations>
  <pageMargins left="0.25" right="0.25" top="0.75" bottom="0.75" header="0.3" footer="0.3"/>
  <pageSetup paperSize="9" scale="35" fitToHeight="0" orientation="portrait" r:id="rId1"/>
  <customProperties>
    <customPr name="Qube.Worksheet.Visibility" r:id="rId2"/>
    <customPr name="SHEET_UNIQUE_ID" r:id="rId3"/>
  </customProperties>
  <ignoredErrors>
    <ignoredError sqref="B81:U81 B87:U8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B1:O449"/>
  <sheetViews>
    <sheetView showGridLines="0" showWhiteSpace="0" topLeftCell="B1" workbookViewId="0">
      <selection activeCell="L97" sqref="L97"/>
    </sheetView>
  </sheetViews>
  <sheetFormatPr defaultColWidth="8.85546875" defaultRowHeight="11.25" outlineLevelRow="1" outlineLevelCol="1"/>
  <cols>
    <col min="1" max="1" width="1.140625" style="486" customWidth="1"/>
    <col min="2" max="2" width="15.5703125" style="486" customWidth="1"/>
    <col min="3" max="4" width="8.28515625" style="486" customWidth="1" outlineLevel="1"/>
    <col min="5" max="5" width="8.28515625" style="486" customWidth="1" outlineLevel="1" collapsed="1"/>
    <col min="6" max="6" width="8.28515625" style="486" customWidth="1" outlineLevel="1"/>
    <col min="7" max="8" width="8.28515625" style="486" customWidth="1"/>
    <col min="9" max="9" width="8.85546875" style="486" customWidth="1"/>
    <col min="10" max="14" width="8.28515625" style="486" customWidth="1"/>
    <col min="15" max="15" width="43.42578125" style="486" customWidth="1"/>
    <col min="16" max="16384" width="8.85546875" style="486"/>
  </cols>
  <sheetData>
    <row r="1" spans="2:15">
      <c r="B1" s="831" t="s">
        <v>1063</v>
      </c>
      <c r="M1" s="482"/>
      <c r="N1" s="482"/>
    </row>
    <row r="2" spans="2:15">
      <c r="C2" s="482"/>
      <c r="D2" s="482"/>
      <c r="E2" s="482"/>
      <c r="F2" s="1062">
        <v>0</v>
      </c>
      <c r="G2" s="1062">
        <v>0</v>
      </c>
      <c r="H2" s="1062">
        <v>0</v>
      </c>
      <c r="I2" s="1062">
        <v>0</v>
      </c>
      <c r="J2" s="1062">
        <v>0</v>
      </c>
      <c r="K2" s="1062">
        <v>0</v>
      </c>
      <c r="L2" s="1062">
        <f>K2+1</f>
        <v>1</v>
      </c>
      <c r="M2" s="1062">
        <f>L2+1</f>
        <v>2</v>
      </c>
      <c r="N2" s="495"/>
    </row>
    <row r="3" spans="2:15">
      <c r="B3" s="489" t="s">
        <v>918</v>
      </c>
      <c r="C3" s="530" t="s">
        <v>873</v>
      </c>
      <c r="D3" s="761" t="s">
        <v>1025</v>
      </c>
      <c r="E3" s="761" t="s">
        <v>836</v>
      </c>
      <c r="F3" s="852">
        <v>2021</v>
      </c>
      <c r="G3" s="852">
        <v>2022</v>
      </c>
      <c r="H3" s="852">
        <v>2023</v>
      </c>
      <c r="I3" s="761" t="s">
        <v>1034</v>
      </c>
      <c r="J3" s="530" t="s">
        <v>893</v>
      </c>
      <c r="K3" s="530" t="s">
        <v>894</v>
      </c>
      <c r="L3" s="530" t="s">
        <v>895</v>
      </c>
      <c r="M3" s="530" t="s">
        <v>896</v>
      </c>
      <c r="N3" s="528" t="s">
        <v>945</v>
      </c>
      <c r="O3" s="487"/>
    </row>
    <row r="4" spans="2:15" hidden="1">
      <c r="B4" s="494" t="s">
        <v>917</v>
      </c>
      <c r="C4" s="501" t="s">
        <v>712</v>
      </c>
      <c r="D4" s="801" t="s">
        <v>713</v>
      </c>
      <c r="E4" s="801" t="s">
        <v>963</v>
      </c>
      <c r="F4" s="801"/>
      <c r="G4" s="801"/>
      <c r="H4" s="801"/>
      <c r="I4" s="801"/>
      <c r="J4" s="801"/>
      <c r="K4" s="801"/>
      <c r="L4" s="801"/>
      <c r="M4" s="801"/>
      <c r="N4" s="833"/>
      <c r="O4" s="487"/>
    </row>
    <row r="5" spans="2:15">
      <c r="B5" s="491" t="s">
        <v>195</v>
      </c>
      <c r="C5" s="666">
        <f ca="1">Model!I9</f>
        <v>3359.9839999999999</v>
      </c>
      <c r="D5" s="666">
        <f>Model!J9</f>
        <v>3115.672</v>
      </c>
      <c r="E5" s="666">
        <f>Model!K9</f>
        <v>3906.9750000000004</v>
      </c>
      <c r="F5" s="666">
        <f>Model!L9</f>
        <v>5443.1120000000001</v>
      </c>
      <c r="G5" s="666">
        <f>Model!M9</f>
        <v>7273.2839999999997</v>
      </c>
      <c r="H5" s="666">
        <f>Model!N9</f>
        <v>6321.56</v>
      </c>
      <c r="I5" s="666">
        <f>Model!O9</f>
        <v>8029.9210000000003</v>
      </c>
      <c r="J5" s="666">
        <f>Model!P9</f>
        <v>9326.7989999999991</v>
      </c>
      <c r="K5" s="666">
        <f>Model!Q9</f>
        <v>11578.49117131698</v>
      </c>
      <c r="L5" s="666">
        <f>Model!R9</f>
        <v>13869.187434829972</v>
      </c>
      <c r="M5" s="666">
        <f>Model!S9</f>
        <v>16753.01980557973</v>
      </c>
      <c r="N5" s="760">
        <f>M5*(1+N6)</f>
        <v>19966.587880026273</v>
      </c>
      <c r="O5" s="482"/>
    </row>
    <row r="6" spans="2:15">
      <c r="B6" s="491" t="s">
        <v>875</v>
      </c>
      <c r="C6" s="666"/>
      <c r="D6" s="738">
        <f t="shared" ref="D6:K6" ca="1" si="0">D5/C5-1</f>
        <v>-7.2712251010719098E-2</v>
      </c>
      <c r="E6" s="738">
        <f t="shared" si="0"/>
        <v>0.25397506541125003</v>
      </c>
      <c r="F6" s="738">
        <f t="shared" si="0"/>
        <v>0.39317809814498417</v>
      </c>
      <c r="G6" s="738">
        <f t="shared" si="0"/>
        <v>0.33623632951150006</v>
      </c>
      <c r="H6" s="995">
        <f t="shared" si="0"/>
        <v>-0.13085203327685258</v>
      </c>
      <c r="I6" s="995">
        <f t="shared" si="0"/>
        <v>0.27024357911654717</v>
      </c>
      <c r="J6" s="995">
        <f t="shared" si="0"/>
        <v>0.16150569849939989</v>
      </c>
      <c r="K6" s="995">
        <f t="shared" si="0"/>
        <v>0.24142175373533648</v>
      </c>
      <c r="L6" s="995">
        <f t="shared" ref="L6" si="1">L5/K5-1</f>
        <v>0.19784065381400118</v>
      </c>
      <c r="M6" s="995">
        <f t="shared" ref="M6" si="2">M5/L5-1</f>
        <v>0.2079308816252301</v>
      </c>
      <c r="N6" s="496">
        <f>'10y capex'!N12</f>
        <v>0.19182022774044816</v>
      </c>
      <c r="O6" s="482"/>
    </row>
    <row r="7" spans="2:15">
      <c r="B7" s="491" t="s">
        <v>859</v>
      </c>
      <c r="C7" s="497">
        <f ca="1">Model!I18</f>
        <v>0.22222635583978961</v>
      </c>
      <c r="D7" s="497">
        <f>Model!J18</f>
        <v>0.20620238587373776</v>
      </c>
      <c r="E7" s="497">
        <f>Model!K18</f>
        <v>0.23570998022766973</v>
      </c>
      <c r="F7" s="497">
        <f>Model!L18</f>
        <v>0.30786983622604136</v>
      </c>
      <c r="G7" s="497">
        <f>Model!M18</f>
        <v>0.37969753415376056</v>
      </c>
      <c r="H7" s="497">
        <f>Model!N18</f>
        <v>0.19263346389182426</v>
      </c>
      <c r="I7" s="497">
        <f>Model!O18</f>
        <v>0.18032157477016283</v>
      </c>
      <c r="J7" s="497">
        <f>Model!P18</f>
        <v>0.20978247735369857</v>
      </c>
      <c r="K7" s="497">
        <f>Model!Q18</f>
        <v>0.22087583608382946</v>
      </c>
      <c r="L7" s="497">
        <f>Model!R18</f>
        <v>0.24376299998838638</v>
      </c>
      <c r="M7" s="497">
        <f>Model!S18</f>
        <v>0.26558862680907969</v>
      </c>
      <c r="N7" s="498">
        <f>'10y capex'!N109</f>
        <v>0.28958834950082513</v>
      </c>
      <c r="O7" s="482"/>
    </row>
    <row r="8" spans="2:15">
      <c r="B8" s="493" t="s">
        <v>69</v>
      </c>
      <c r="C8" s="803">
        <f t="shared" ref="C8:G8" ca="1" si="3">C5*C7</f>
        <v>746.67699999999968</v>
      </c>
      <c r="D8" s="803">
        <f t="shared" si="3"/>
        <v>642.45900000000029</v>
      </c>
      <c r="E8" s="803">
        <f t="shared" si="3"/>
        <v>920.91300000000001</v>
      </c>
      <c r="F8" s="803">
        <f t="shared" si="3"/>
        <v>1675.7700000000004</v>
      </c>
      <c r="G8" s="803">
        <f t="shared" si="3"/>
        <v>2761.6480000000001</v>
      </c>
      <c r="H8" s="803">
        <f>H5*H7</f>
        <v>1217.7440000000006</v>
      </c>
      <c r="I8" s="803">
        <f>I5*I7</f>
        <v>1447.9680000000008</v>
      </c>
      <c r="J8" s="803">
        <f>J5*J7</f>
        <v>1956.5989999999983</v>
      </c>
      <c r="K8" s="803">
        <f>K5*K7</f>
        <v>2557.4089180538758</v>
      </c>
      <c r="L8" s="803">
        <f t="shared" ref="L8:M8" si="4">L5*L7</f>
        <v>3380.7947365153868</v>
      </c>
      <c r="M8" s="803">
        <f t="shared" si="4"/>
        <v>4449.4115250692357</v>
      </c>
      <c r="N8" s="804">
        <f>N5*N7</f>
        <v>5782.091229339987</v>
      </c>
      <c r="O8" s="482"/>
    </row>
    <row r="9" spans="2:15" outlineLevel="1">
      <c r="B9" s="491" t="s">
        <v>849</v>
      </c>
      <c r="C9" s="486">
        <f t="shared" ref="C9:H9" ca="1" si="5">C5*C11</f>
        <v>732.03700000000003</v>
      </c>
      <c r="D9" s="486">
        <f t="shared" si="5"/>
        <v>593.54900000000009</v>
      </c>
      <c r="E9" s="486">
        <f t="shared" si="5"/>
        <v>608.96699999999998</v>
      </c>
      <c r="F9" s="486">
        <f t="shared" si="5"/>
        <v>283.20799999999997</v>
      </c>
      <c r="G9" s="486">
        <f t="shared" si="5"/>
        <v>925.96900000000005</v>
      </c>
      <c r="H9" s="486">
        <f t="shared" si="5"/>
        <v>859.99700000000007</v>
      </c>
      <c r="I9" s="486">
        <f>I5*I11</f>
        <v>974.56999999999994</v>
      </c>
      <c r="J9" s="486">
        <f>J5*J11</f>
        <v>846.66200000000003</v>
      </c>
      <c r="K9" s="486">
        <f>K5*K11</f>
        <v>1107.0028500000001</v>
      </c>
      <c r="L9" s="486">
        <f t="shared" ref="L9:M9" si="6">L5*L11</f>
        <v>1392.0554595000003</v>
      </c>
      <c r="M9" s="486">
        <f t="shared" si="6"/>
        <v>1658.3548944800002</v>
      </c>
      <c r="N9" s="492">
        <f>M9*(1+N10)</f>
        <v>2031.4847457380004</v>
      </c>
      <c r="O9" s="482"/>
    </row>
    <row r="10" spans="2:15" outlineLevel="1">
      <c r="B10" s="491" t="s">
        <v>875</v>
      </c>
      <c r="E10" s="738">
        <f t="shared" ref="E10:K10" si="7">E9/D9-1</f>
        <v>2.5975951437876121E-2</v>
      </c>
      <c r="F10" s="738">
        <f t="shared" si="7"/>
        <v>-0.53493703271277426</v>
      </c>
      <c r="G10" s="738">
        <f t="shared" si="7"/>
        <v>2.2695721872263501</v>
      </c>
      <c r="H10" s="738">
        <f t="shared" si="7"/>
        <v>-7.1246445615349985E-2</v>
      </c>
      <c r="I10" s="738">
        <f t="shared" si="7"/>
        <v>0.13322488334261617</v>
      </c>
      <c r="J10" s="738">
        <f t="shared" si="7"/>
        <v>-0.13124557497152578</v>
      </c>
      <c r="K10" s="738">
        <f t="shared" si="7"/>
        <v>0.30749088774505062</v>
      </c>
      <c r="L10" s="738">
        <f t="shared" ref="L10" si="8">L9/K9-1</f>
        <v>0.25749943597706215</v>
      </c>
      <c r="M10" s="738">
        <f t="shared" ref="M10" si="9">M9/L9-1</f>
        <v>0.19129944368426921</v>
      </c>
      <c r="N10" s="496">
        <v>0.22500000000000001</v>
      </c>
      <c r="O10" s="482"/>
    </row>
    <row r="11" spans="2:15">
      <c r="B11" s="491" t="s">
        <v>910</v>
      </c>
      <c r="C11" s="497">
        <f ca="1">Model!I69</f>
        <v>0.21786919223424875</v>
      </c>
      <c r="D11" s="497">
        <f>Model!J69</f>
        <v>0.19050432779830487</v>
      </c>
      <c r="E11" s="497">
        <f>Model!K69</f>
        <v>0.15586662315474245</v>
      </c>
      <c r="F11" s="497">
        <f>Model!L69</f>
        <v>5.2030529594099838E-2</v>
      </c>
      <c r="G11" s="497">
        <f>Model!M69</f>
        <v>0.12731099184357439</v>
      </c>
      <c r="H11" s="497">
        <f>Model!N69</f>
        <v>0.13604189472218883</v>
      </c>
      <c r="I11" s="497">
        <f>Model!O69</f>
        <v>0.12136732104836398</v>
      </c>
      <c r="J11" s="497">
        <f>Model!P69</f>
        <v>9.0777339578133942E-2</v>
      </c>
      <c r="K11" s="497">
        <f>Model!Q69</f>
        <v>9.5608558457283471E-2</v>
      </c>
      <c r="L11" s="497">
        <f>Model!R69</f>
        <v>0.10037036892327976</v>
      </c>
      <c r="M11" s="497">
        <f>Model!S69</f>
        <v>9.8988416042322808E-2</v>
      </c>
      <c r="N11" s="498">
        <f>N9/N5</f>
        <v>0.101744211777427</v>
      </c>
      <c r="O11" s="482"/>
    </row>
    <row r="12" spans="2:15">
      <c r="B12" s="491" t="s">
        <v>705</v>
      </c>
      <c r="C12" s="486">
        <f ca="1">Model!I33</f>
        <v>14.639999999999674</v>
      </c>
      <c r="D12" s="486">
        <f>Model!J33</f>
        <v>48.910000000000423</v>
      </c>
      <c r="E12" s="486">
        <f>Model!K33</f>
        <v>311.94600000000014</v>
      </c>
      <c r="F12" s="486">
        <f>Model!L33</f>
        <v>1392.5620000000004</v>
      </c>
      <c r="G12" s="486">
        <f>Model!M33</f>
        <v>1835.6790000000001</v>
      </c>
      <c r="H12" s="486">
        <f>Model!N33</f>
        <v>357.7470000000003</v>
      </c>
      <c r="I12" s="486">
        <f>Model!O33</f>
        <v>473.39800000000105</v>
      </c>
      <c r="J12" s="486">
        <f>Model!P33</f>
        <v>1109.9369999999981</v>
      </c>
      <c r="K12" s="486">
        <f>Model!Q33</f>
        <v>1450.406068053876</v>
      </c>
      <c r="L12" s="486">
        <f>Model!R33</f>
        <v>1988.7392770153865</v>
      </c>
      <c r="M12" s="486">
        <f>Model!S33</f>
        <v>2791.0566305892353</v>
      </c>
      <c r="N12" s="492">
        <f>N5*N7-N5*N11</f>
        <v>3750.6064836019868</v>
      </c>
      <c r="O12" s="482"/>
    </row>
    <row r="13" spans="2:15" outlineLevel="1">
      <c r="B13" s="491" t="s">
        <v>881</v>
      </c>
      <c r="C13" s="486">
        <f ca="1">Model!I44</f>
        <v>77.046999999999969</v>
      </c>
      <c r="D13" s="486">
        <f>Model!J44</f>
        <v>133.36599999999999</v>
      </c>
      <c r="E13" s="486">
        <f>Model!K44</f>
        <v>425.46199999999999</v>
      </c>
      <c r="F13" s="486">
        <f>Model!L44</f>
        <v>447.76199999999994</v>
      </c>
      <c r="G13" s="486">
        <f>Model!M44</f>
        <v>378.42600000000004</v>
      </c>
      <c r="H13" s="486">
        <f>Model!N44</f>
        <v>829.702</v>
      </c>
      <c r="I13" s="486">
        <f>Model!O44</f>
        <v>385.65800000000007</v>
      </c>
      <c r="J13" s="486">
        <f>Model!P44</f>
        <v>-36.680000000000007</v>
      </c>
      <c r="K13" s="486">
        <f>Model!Q44</f>
        <v>21.942200000000014</v>
      </c>
      <c r="L13" s="486">
        <f>Model!R44</f>
        <v>12.729043284325371</v>
      </c>
      <c r="M13" s="486">
        <f>Model!S44</f>
        <v>21.565030927586349</v>
      </c>
      <c r="N13" s="492">
        <f>M13*1</f>
        <v>21.565030927586349</v>
      </c>
      <c r="O13" s="482"/>
    </row>
    <row r="14" spans="2:15" outlineLevel="1">
      <c r="B14" s="491" t="s">
        <v>186</v>
      </c>
      <c r="C14" s="486">
        <f t="shared" ref="C14:G14" ca="1" si="10">C12+C13</f>
        <v>91.686999999999642</v>
      </c>
      <c r="D14" s="486">
        <f t="shared" si="10"/>
        <v>182.27600000000041</v>
      </c>
      <c r="E14" s="486">
        <f t="shared" si="10"/>
        <v>737.40800000000013</v>
      </c>
      <c r="F14" s="486">
        <f t="shared" si="10"/>
        <v>1840.3240000000003</v>
      </c>
      <c r="G14" s="486">
        <f t="shared" si="10"/>
        <v>2214.105</v>
      </c>
      <c r="H14" s="486">
        <f>H12+H13</f>
        <v>1187.4490000000003</v>
      </c>
      <c r="I14" s="486">
        <f>I12+I13</f>
        <v>859.05600000000118</v>
      </c>
      <c r="J14" s="486">
        <f>J12+J13</f>
        <v>1073.256999999998</v>
      </c>
      <c r="K14" s="486">
        <f>K12+K13</f>
        <v>1472.3482680538759</v>
      </c>
      <c r="L14" s="486">
        <f t="shared" ref="L14:M14" si="11">L12+L13</f>
        <v>2001.4683202997119</v>
      </c>
      <c r="M14" s="486">
        <f t="shared" si="11"/>
        <v>2812.6216615168214</v>
      </c>
      <c r="N14" s="492">
        <f>N12+N13</f>
        <v>3772.171514529573</v>
      </c>
      <c r="O14" s="482"/>
    </row>
    <row r="15" spans="2:15" outlineLevel="1">
      <c r="B15" s="491" t="s">
        <v>913</v>
      </c>
      <c r="C15" s="486">
        <f ca="1">Model!I48</f>
        <v>-14.475999999999999</v>
      </c>
      <c r="D15" s="486">
        <f>Model!J48</f>
        <v>-23.416</v>
      </c>
      <c r="E15" s="486">
        <f>Model!K48</f>
        <v>-68.31</v>
      </c>
      <c r="F15" s="486">
        <f>Model!L48</f>
        <v>-65.165999999999997</v>
      </c>
      <c r="G15" s="486">
        <f>Model!M48</f>
        <v>-16.023000000000003</v>
      </c>
      <c r="H15" s="486">
        <f>Model!N48</f>
        <v>-62.513999999999818</v>
      </c>
      <c r="I15" s="486">
        <f>Model!O48</f>
        <v>-129.06300000000024</v>
      </c>
      <c r="J15" s="486">
        <f>Model!P48</f>
        <v>-84.312999999999775</v>
      </c>
      <c r="K15" s="486">
        <f>Model!Q48</f>
        <v>-154.75347511621138</v>
      </c>
      <c r="L15" s="486">
        <f>Model!R48</f>
        <v>-260.19088163896254</v>
      </c>
      <c r="M15" s="486">
        <f>Model!S48</f>
        <v>-365.64081599718656</v>
      </c>
      <c r="N15" s="492">
        <f>N14*(-16%)</f>
        <v>-603.54744232473172</v>
      </c>
      <c r="O15" s="482"/>
    </row>
    <row r="16" spans="2:15" outlineLevel="1">
      <c r="B16" s="491" t="s">
        <v>912</v>
      </c>
      <c r="C16" s="486">
        <f ca="1">Model!I49</f>
        <v>-56.843999999999994</v>
      </c>
      <c r="D16" s="486">
        <f>Model!J49</f>
        <v>-75.820999999999998</v>
      </c>
      <c r="E16" s="486">
        <f>Model!K49</f>
        <v>-46.451999999999998</v>
      </c>
      <c r="F16" s="486">
        <f>Model!L49</f>
        <v>73.35499999999999</v>
      </c>
      <c r="G16" s="486">
        <f>Model!M49</f>
        <v>380.14000000000004</v>
      </c>
      <c r="H16" s="486">
        <f>Model!N49</f>
        <v>222.40899999999999</v>
      </c>
      <c r="I16" s="486">
        <f>Model!O49</f>
        <v>237.245</v>
      </c>
      <c r="J16" s="486">
        <f>Model!P49</f>
        <v>303.81299999999999</v>
      </c>
      <c r="K16" s="486">
        <f>Model!Q49</f>
        <v>133.85599999999999</v>
      </c>
      <c r="L16" s="486">
        <f>Model!R49</f>
        <v>160.62719999999999</v>
      </c>
      <c r="M16" s="486">
        <f>Model!S49</f>
        <v>168.65855999999999</v>
      </c>
      <c r="N16" s="492">
        <f>M16*1.2</f>
        <v>202.39027199999998</v>
      </c>
      <c r="O16" s="482"/>
    </row>
    <row r="17" spans="2:15">
      <c r="B17" s="805" t="s">
        <v>850</v>
      </c>
      <c r="C17" s="806">
        <f ca="1">Model!I52</f>
        <v>134.05499999999964</v>
      </c>
      <c r="D17" s="806">
        <f>Model!J52</f>
        <v>234.68100000000041</v>
      </c>
      <c r="E17" s="806">
        <f>Model!K52</f>
        <v>715.55000000000018</v>
      </c>
      <c r="F17" s="806">
        <f>Model!L52</f>
        <v>1701.8030000000003</v>
      </c>
      <c r="G17" s="806">
        <f>Model!M52</f>
        <v>1817.9419999999998</v>
      </c>
      <c r="H17" s="806">
        <f>Model!N52</f>
        <v>902.52600000000041</v>
      </c>
      <c r="I17" s="806">
        <f>Model!O52</f>
        <v>492.74800000000096</v>
      </c>
      <c r="J17" s="806">
        <f>Model!P52</f>
        <v>685.13099999999827</v>
      </c>
      <c r="K17" s="806">
        <f>Model!Q52</f>
        <v>1183.7387929376646</v>
      </c>
      <c r="L17" s="806">
        <f>Model!R52</f>
        <v>1580.6502386607494</v>
      </c>
      <c r="M17" s="806">
        <f>Model!S52</f>
        <v>2278.322285519635</v>
      </c>
      <c r="N17" s="807">
        <f>N14+N15-N16</f>
        <v>2966.2338002048414</v>
      </c>
      <c r="O17" s="482"/>
    </row>
    <row r="18" spans="2:15">
      <c r="B18" s="763" t="s">
        <v>887</v>
      </c>
      <c r="C18" s="764">
        <f ca="1">Model!I56</f>
        <v>2.699E-2</v>
      </c>
      <c r="D18" s="764">
        <f>Model!J56</f>
        <v>4.6449868400516896E-2</v>
      </c>
      <c r="E18" s="764">
        <f>Model!K56</f>
        <v>0.10715987542813658</v>
      </c>
      <c r="F18" s="764">
        <f>Model!L56</f>
        <v>0.21541809847172519</v>
      </c>
      <c r="G18" s="764">
        <f>Model!M56</f>
        <v>0.22990191139204391</v>
      </c>
      <c r="H18" s="764">
        <f>Model!N56</f>
        <v>0.11386532562250196</v>
      </c>
      <c r="I18" s="764">
        <f>Model!O56</f>
        <v>6.1907942538284681E-2</v>
      </c>
      <c r="J18" s="764">
        <f>Model!P56</f>
        <v>8.5768277346270641E-2</v>
      </c>
      <c r="K18" s="764">
        <f>Model!Q56</f>
        <v>0.14794885551026929</v>
      </c>
      <c r="L18" s="764">
        <f>Model!R56</f>
        <v>0.19755658525943626</v>
      </c>
      <c r="M18" s="764">
        <f>Model!S56</f>
        <v>0.28475469135353521</v>
      </c>
      <c r="N18" s="765">
        <f>N17/Model!$Q$63</f>
        <v>0.37073288341517829</v>
      </c>
      <c r="O18" s="482"/>
    </row>
    <row r="19" spans="2:15">
      <c r="B19" s="766" t="s">
        <v>897</v>
      </c>
      <c r="C19" s="767"/>
      <c r="D19" s="767">
        <f t="shared" ref="D19:N19" ca="1" si="12">D18/C18-1</f>
        <v>0.72100290479869944</v>
      </c>
      <c r="E19" s="767">
        <f t="shared" si="12"/>
        <v>1.3070006249349051</v>
      </c>
      <c r="F19" s="767">
        <f t="shared" si="12"/>
        <v>1.0102496163891921</v>
      </c>
      <c r="G19" s="767">
        <f t="shared" si="12"/>
        <v>6.7235821980945687E-2</v>
      </c>
      <c r="H19" s="767">
        <f t="shared" si="12"/>
        <v>-0.5047221446178789</v>
      </c>
      <c r="I19" s="767">
        <f t="shared" si="12"/>
        <v>-0.45630557678701711</v>
      </c>
      <c r="J19" s="767">
        <f t="shared" si="12"/>
        <v>0.38541637518046112</v>
      </c>
      <c r="K19" s="1005">
        <f t="shared" si="12"/>
        <v>0.72498340980964526</v>
      </c>
      <c r="L19" s="1005">
        <f t="shared" ref="L19" si="13">L18/K18-1</f>
        <v>0.33530323420260344</v>
      </c>
      <c r="M19" s="1005">
        <f t="shared" ref="M19" si="14">M18/L18-1</f>
        <v>0.44138293835960063</v>
      </c>
      <c r="N19" s="768">
        <f t="shared" si="12"/>
        <v>0.30193775439821446</v>
      </c>
      <c r="O19" s="716"/>
    </row>
    <row r="20" spans="2:15">
      <c r="B20" s="763" t="s">
        <v>1139</v>
      </c>
      <c r="C20" s="775"/>
      <c r="D20" s="775"/>
      <c r="E20" s="775"/>
      <c r="F20" s="775"/>
      <c r="G20" s="775"/>
      <c r="H20" s="775"/>
      <c r="I20" s="775"/>
      <c r="J20" s="797"/>
      <c r="K20" s="797"/>
      <c r="L20" s="1043"/>
      <c r="M20" s="1061">
        <f>C119</f>
        <v>80.7</v>
      </c>
      <c r="N20" s="1041"/>
      <c r="O20" s="1066"/>
    </row>
    <row r="21" spans="2:15">
      <c r="B21" s="483" t="s">
        <v>1053</v>
      </c>
      <c r="C21" s="527"/>
      <c r="D21" s="527"/>
      <c r="E21" s="527"/>
      <c r="F21" s="527"/>
      <c r="G21" s="527"/>
      <c r="H21" s="527"/>
      <c r="I21" s="527"/>
      <c r="J21" s="798"/>
      <c r="K21" s="798"/>
      <c r="L21" s="798"/>
      <c r="M21" s="798">
        <f>M18*M20</f>
        <v>22.97970359223029</v>
      </c>
      <c r="N21" s="1042"/>
      <c r="O21" s="799"/>
    </row>
    <row r="22" spans="2:15">
      <c r="B22" s="771" t="s">
        <v>1140</v>
      </c>
      <c r="C22" s="772"/>
      <c r="D22" s="772"/>
      <c r="E22" s="772"/>
      <c r="F22" s="772"/>
      <c r="G22" s="772"/>
      <c r="H22" s="772"/>
      <c r="I22" s="772"/>
      <c r="J22" s="772"/>
      <c r="K22" s="800">
        <f>ROUND((M21*C115)/(1+$C$30)^M2,0)</f>
        <v>135</v>
      </c>
      <c r="L22" s="772"/>
      <c r="M22" s="772"/>
      <c r="N22" s="773"/>
      <c r="O22" s="488"/>
    </row>
    <row r="23" spans="2:15">
      <c r="B23" s="483" t="s">
        <v>1202</v>
      </c>
      <c r="C23" s="751"/>
      <c r="D23" s="752"/>
      <c r="E23" s="752"/>
      <c r="F23" s="752"/>
      <c r="G23" s="757"/>
      <c r="I23" s="757"/>
      <c r="J23" s="757"/>
      <c r="K23" s="757">
        <f>$K22/(K18*$C115)</f>
        <v>117.08186152658804</v>
      </c>
      <c r="L23" s="757">
        <f>$K22/(L18*$C115)</f>
        <v>87.681852726512162</v>
      </c>
      <c r="M23" s="757">
        <f>$K22/(M18*$C115)</f>
        <v>60.83175427780526</v>
      </c>
      <c r="N23" s="1063">
        <f>$K22/(N18*$C115)</f>
        <v>46.724011245778094</v>
      </c>
      <c r="O23" s="488"/>
    </row>
    <row r="24" spans="2:15">
      <c r="B24" s="753" t="s">
        <v>1203</v>
      </c>
      <c r="C24" s="754"/>
      <c r="D24" s="755"/>
      <c r="E24" s="755"/>
      <c r="F24" s="755"/>
      <c r="G24" s="759"/>
      <c r="H24" s="759"/>
      <c r="I24" s="759"/>
      <c r="J24" s="759"/>
      <c r="K24" s="1064">
        <v>6.1261475981304399</v>
      </c>
      <c r="L24" s="1064">
        <v>5.7260784754095644</v>
      </c>
      <c r="M24" s="1064">
        <v>5.2334546421167802</v>
      </c>
      <c r="N24" s="1065">
        <v>4.7063110060089466</v>
      </c>
      <c r="O24" s="987"/>
    </row>
    <row r="25" spans="2:15" ht="10.5" customHeight="1">
      <c r="D25" s="488"/>
      <c r="E25" s="488"/>
      <c r="F25" s="488"/>
      <c r="G25" s="488"/>
      <c r="H25" s="488"/>
      <c r="I25" s="488"/>
      <c r="J25" s="488"/>
      <c r="K25" s="488"/>
      <c r="L25" s="488"/>
      <c r="M25" s="488"/>
      <c r="N25" s="488"/>
      <c r="O25" s="488"/>
    </row>
    <row r="26" spans="2:15">
      <c r="B26" s="489" t="s">
        <v>899</v>
      </c>
      <c r="C26" s="490"/>
      <c r="O26" s="799"/>
    </row>
    <row r="27" spans="2:15">
      <c r="B27" s="491" t="s">
        <v>30</v>
      </c>
      <c r="C27" s="717">
        <v>1.766</v>
      </c>
    </row>
    <row r="28" spans="2:15">
      <c r="B28" s="491" t="s">
        <v>900</v>
      </c>
      <c r="C28" s="498">
        <v>3.5000000000000003E-2</v>
      </c>
      <c r="K28" s="1044"/>
    </row>
    <row r="29" spans="2:15">
      <c r="B29" s="493" t="s">
        <v>901</v>
      </c>
      <c r="C29" s="499">
        <v>6.5000000000000002E-2</v>
      </c>
    </row>
    <row r="30" spans="2:15">
      <c r="B30" s="494" t="s">
        <v>902</v>
      </c>
      <c r="C30" s="718">
        <f>C27*C29+C28</f>
        <v>0.14979000000000001</v>
      </c>
      <c r="G30" s="495"/>
      <c r="J30" s="482"/>
    </row>
    <row r="31" spans="2:15" ht="21" hidden="1" customHeight="1"/>
    <row r="32" spans="2:15" ht="21" customHeight="1"/>
    <row r="33" spans="2:15" ht="19.5" hidden="1" customHeight="1">
      <c r="B33" s="831" t="s">
        <v>1062</v>
      </c>
    </row>
    <row r="34" spans="2:15" ht="21" hidden="1" customHeight="1">
      <c r="F34" s="495">
        <v>0</v>
      </c>
      <c r="G34" s="495">
        <v>0</v>
      </c>
      <c r="H34" s="495">
        <f t="shared" ref="H34:M34" si="15">G34+1</f>
        <v>1</v>
      </c>
      <c r="I34" s="495">
        <f t="shared" si="15"/>
        <v>2</v>
      </c>
      <c r="J34" s="495">
        <f t="shared" si="15"/>
        <v>3</v>
      </c>
      <c r="K34" s="495">
        <f t="shared" si="15"/>
        <v>4</v>
      </c>
      <c r="L34" s="495">
        <f t="shared" si="15"/>
        <v>5</v>
      </c>
      <c r="M34" s="495">
        <f t="shared" si="15"/>
        <v>6</v>
      </c>
      <c r="N34" s="495"/>
    </row>
    <row r="35" spans="2:15" hidden="1">
      <c r="B35" s="489" t="s">
        <v>918</v>
      </c>
      <c r="C35" s="530" t="s">
        <v>873</v>
      </c>
      <c r="D35" s="761" t="s">
        <v>1025</v>
      </c>
      <c r="E35" s="530" t="s">
        <v>430</v>
      </c>
      <c r="F35" s="530" t="s">
        <v>431</v>
      </c>
      <c r="G35" s="530" t="s">
        <v>890</v>
      </c>
      <c r="H35" s="530" t="s">
        <v>891</v>
      </c>
      <c r="I35" s="530" t="s">
        <v>892</v>
      </c>
      <c r="J35" s="530" t="s">
        <v>893</v>
      </c>
      <c r="K35" s="530" t="s">
        <v>894</v>
      </c>
      <c r="L35" s="530" t="s">
        <v>895</v>
      </c>
      <c r="M35" s="528" t="s">
        <v>896</v>
      </c>
      <c r="N35" s="998"/>
      <c r="O35" s="487"/>
    </row>
    <row r="36" spans="2:15" hidden="1">
      <c r="B36" s="494" t="s">
        <v>917</v>
      </c>
      <c r="C36" s="501" t="s">
        <v>712</v>
      </c>
      <c r="D36" s="801" t="s">
        <v>713</v>
      </c>
      <c r="E36" s="801" t="s">
        <v>963</v>
      </c>
      <c r="F36" s="801"/>
      <c r="G36" s="802" t="s">
        <v>1026</v>
      </c>
      <c r="H36" s="802" t="s">
        <v>915</v>
      </c>
      <c r="I36" s="802"/>
      <c r="J36" s="502" t="s">
        <v>916</v>
      </c>
      <c r="K36" s="502"/>
      <c r="L36" s="529" t="s">
        <v>953</v>
      </c>
      <c r="M36" s="774"/>
      <c r="N36" s="1002"/>
      <c r="O36" s="487"/>
    </row>
    <row r="37" spans="2:15" hidden="1">
      <c r="B37" s="491" t="s">
        <v>195</v>
      </c>
      <c r="C37" s="666">
        <f t="shared" ref="C37:M37" ca="1" si="16">C5</f>
        <v>3359.9839999999999</v>
      </c>
      <c r="D37" s="666">
        <f t="shared" si="16"/>
        <v>3115.672</v>
      </c>
      <c r="E37" s="666">
        <f t="shared" si="16"/>
        <v>3906.9750000000004</v>
      </c>
      <c r="F37" s="666">
        <f t="shared" si="16"/>
        <v>5443.1120000000001</v>
      </c>
      <c r="G37" s="666">
        <f t="shared" si="16"/>
        <v>7273.2839999999997</v>
      </c>
      <c r="H37" s="666">
        <f t="shared" si="16"/>
        <v>6321.56</v>
      </c>
      <c r="I37" s="666">
        <f t="shared" si="16"/>
        <v>8029.9210000000003</v>
      </c>
      <c r="J37" s="666">
        <f t="shared" si="16"/>
        <v>9326.7989999999991</v>
      </c>
      <c r="K37" s="666">
        <f t="shared" si="16"/>
        <v>11578.49117131698</v>
      </c>
      <c r="L37" s="666">
        <f t="shared" si="16"/>
        <v>13869.187434829972</v>
      </c>
      <c r="M37" s="760">
        <f t="shared" si="16"/>
        <v>16753.01980557973</v>
      </c>
      <c r="N37" s="666"/>
      <c r="O37" s="482"/>
    </row>
    <row r="38" spans="2:15" hidden="1">
      <c r="B38" s="491" t="s">
        <v>875</v>
      </c>
      <c r="C38" s="666"/>
      <c r="D38" s="738">
        <f ca="1">D37/C37-1</f>
        <v>-7.2712251010719098E-2</v>
      </c>
      <c r="E38" s="738">
        <f>E37/D37-1</f>
        <v>0.25397506541125003</v>
      </c>
      <c r="F38" s="738">
        <f>F37/E37-1</f>
        <v>0.39317809814498417</v>
      </c>
      <c r="G38" s="738">
        <f>G37/F37-1</f>
        <v>0.33623632951150006</v>
      </c>
      <c r="H38" s="738">
        <f t="shared" ref="H38:M38" si="17">H6</f>
        <v>-0.13085203327685258</v>
      </c>
      <c r="I38" s="738">
        <f t="shared" si="17"/>
        <v>0.27024357911654717</v>
      </c>
      <c r="J38" s="738">
        <f t="shared" si="17"/>
        <v>0.16150569849939989</v>
      </c>
      <c r="K38" s="738">
        <f t="shared" si="17"/>
        <v>0.24142175373533648</v>
      </c>
      <c r="L38" s="738">
        <f t="shared" si="17"/>
        <v>0.19784065381400118</v>
      </c>
      <c r="M38" s="496">
        <f t="shared" si="17"/>
        <v>0.2079308816252301</v>
      </c>
      <c r="N38" s="738"/>
      <c r="O38" s="482"/>
    </row>
    <row r="39" spans="2:15" hidden="1">
      <c r="B39" s="491" t="s">
        <v>859</v>
      </c>
      <c r="C39" s="497">
        <f ca="1">C7</f>
        <v>0.22222635583978961</v>
      </c>
      <c r="D39" s="497">
        <f t="shared" ref="D39:L39" si="18">D7</f>
        <v>0.20620238587373776</v>
      </c>
      <c r="E39" s="497">
        <f t="shared" si="18"/>
        <v>0.23570998022766973</v>
      </c>
      <c r="F39" s="497">
        <f t="shared" si="18"/>
        <v>0.30786983622604136</v>
      </c>
      <c r="G39" s="497">
        <f t="shared" si="18"/>
        <v>0.37969753415376056</v>
      </c>
      <c r="H39" s="497">
        <f t="shared" si="18"/>
        <v>0.19263346389182426</v>
      </c>
      <c r="I39" s="497">
        <f t="shared" si="18"/>
        <v>0.18032157477016283</v>
      </c>
      <c r="J39" s="497">
        <f t="shared" si="18"/>
        <v>0.20978247735369857</v>
      </c>
      <c r="K39" s="497">
        <f t="shared" si="18"/>
        <v>0.22087583608382946</v>
      </c>
      <c r="L39" s="497">
        <f t="shared" si="18"/>
        <v>0.24376299998838638</v>
      </c>
      <c r="M39" s="498">
        <f>M7</f>
        <v>0.26558862680907969</v>
      </c>
      <c r="N39" s="497"/>
      <c r="O39" s="482"/>
    </row>
    <row r="40" spans="2:15" hidden="1">
      <c r="B40" s="493" t="s">
        <v>69</v>
      </c>
      <c r="C40" s="803">
        <f ca="1">C37*C39</f>
        <v>746.67699999999968</v>
      </c>
      <c r="D40" s="803">
        <f t="shared" ref="D40:M40" si="19">D37*D39</f>
        <v>642.45900000000029</v>
      </c>
      <c r="E40" s="803">
        <f t="shared" si="19"/>
        <v>920.91300000000001</v>
      </c>
      <c r="F40" s="803">
        <f t="shared" si="19"/>
        <v>1675.7700000000004</v>
      </c>
      <c r="G40" s="803">
        <f t="shared" si="19"/>
        <v>2761.6480000000001</v>
      </c>
      <c r="H40" s="803">
        <f t="shared" si="19"/>
        <v>1217.7440000000006</v>
      </c>
      <c r="I40" s="803">
        <f t="shared" si="19"/>
        <v>1447.9680000000008</v>
      </c>
      <c r="J40" s="803">
        <f t="shared" si="19"/>
        <v>1956.5989999999983</v>
      </c>
      <c r="K40" s="803">
        <f t="shared" si="19"/>
        <v>2557.4089180538758</v>
      </c>
      <c r="L40" s="803">
        <f t="shared" si="19"/>
        <v>3380.7947365153868</v>
      </c>
      <c r="M40" s="804">
        <f t="shared" si="19"/>
        <v>4449.4115250692357</v>
      </c>
      <c r="N40" s="666"/>
      <c r="O40" s="482"/>
    </row>
    <row r="41" spans="2:15" hidden="1" outlineLevel="1">
      <c r="B41" s="491" t="s">
        <v>849</v>
      </c>
      <c r="C41" s="486">
        <f ca="1">C37*C43</f>
        <v>732.03700000000003</v>
      </c>
      <c r="D41" s="486">
        <f>D37*D43</f>
        <v>593.54900000000009</v>
      </c>
      <c r="E41" s="486">
        <f>E37*E43</f>
        <v>608.96699999999998</v>
      </c>
      <c r="F41" s="486">
        <f>F37*F43</f>
        <v>283.20799999999997</v>
      </c>
      <c r="G41" s="486">
        <f>G37*G43</f>
        <v>925.96900000000005</v>
      </c>
      <c r="H41" s="486">
        <f t="shared" ref="H41:M41" si="20">G41*(1+H42)</f>
        <v>1037.0852800000002</v>
      </c>
      <c r="I41" s="486">
        <f t="shared" si="20"/>
        <v>1161.5355136000003</v>
      </c>
      <c r="J41" s="486">
        <f t="shared" si="20"/>
        <v>1283.4967425280004</v>
      </c>
      <c r="K41" s="486">
        <f t="shared" si="20"/>
        <v>1411.8464167808006</v>
      </c>
      <c r="L41" s="486">
        <f t="shared" si="20"/>
        <v>1553.0310584588808</v>
      </c>
      <c r="M41" s="492">
        <f t="shared" si="20"/>
        <v>1646.2129219664137</v>
      </c>
      <c r="O41" s="482"/>
    </row>
    <row r="42" spans="2:15" hidden="1" outlineLevel="1">
      <c r="B42" s="491" t="s">
        <v>875</v>
      </c>
      <c r="E42" s="738">
        <f>E41/D41-1</f>
        <v>2.5975951437876121E-2</v>
      </c>
      <c r="F42" s="738">
        <f>F41/E41-1</f>
        <v>-0.53493703271277426</v>
      </c>
      <c r="G42" s="738">
        <f>G41/F41-1</f>
        <v>2.2695721872263501</v>
      </c>
      <c r="H42" s="738">
        <v>0.12</v>
      </c>
      <c r="I42" s="738">
        <v>0.12</v>
      </c>
      <c r="J42" s="738">
        <v>0.105</v>
      </c>
      <c r="K42" s="738">
        <v>0.1</v>
      </c>
      <c r="L42" s="738">
        <v>0.1</v>
      </c>
      <c r="M42" s="496">
        <v>0.06</v>
      </c>
      <c r="N42" s="738"/>
      <c r="O42" s="482"/>
    </row>
    <row r="43" spans="2:15" hidden="1" collapsed="1">
      <c r="B43" s="491" t="s">
        <v>910</v>
      </c>
      <c r="C43" s="497">
        <f ca="1">C11</f>
        <v>0.21786919223424875</v>
      </c>
      <c r="D43" s="497">
        <f t="shared" ref="D43:L43" si="21">D11</f>
        <v>0.19050432779830487</v>
      </c>
      <c r="E43" s="497">
        <f t="shared" si="21"/>
        <v>0.15586662315474245</v>
      </c>
      <c r="F43" s="497">
        <f t="shared" si="21"/>
        <v>5.2030529594099838E-2</v>
      </c>
      <c r="G43" s="497">
        <f t="shared" si="21"/>
        <v>0.12731099184357439</v>
      </c>
      <c r="H43" s="497">
        <f t="shared" si="21"/>
        <v>0.13604189472218883</v>
      </c>
      <c r="I43" s="497">
        <f t="shared" si="21"/>
        <v>0.12136732104836398</v>
      </c>
      <c r="J43" s="497">
        <f t="shared" si="21"/>
        <v>9.0777339578133942E-2</v>
      </c>
      <c r="K43" s="497">
        <f t="shared" si="21"/>
        <v>9.5608558457283471E-2</v>
      </c>
      <c r="L43" s="497">
        <f t="shared" si="21"/>
        <v>0.10037036892327976</v>
      </c>
      <c r="M43" s="498">
        <f>M11</f>
        <v>9.8988416042322808E-2</v>
      </c>
      <c r="N43" s="497"/>
      <c r="O43" s="482"/>
    </row>
    <row r="44" spans="2:15" hidden="1">
      <c r="B44" s="491" t="s">
        <v>705</v>
      </c>
      <c r="C44" s="486">
        <f ca="1">C12</f>
        <v>14.639999999999674</v>
      </c>
      <c r="D44" s="486">
        <f>D12</f>
        <v>48.910000000000423</v>
      </c>
      <c r="E44" s="486">
        <f>E12</f>
        <v>311.94600000000014</v>
      </c>
      <c r="F44" s="486">
        <f>F12</f>
        <v>1392.5620000000004</v>
      </c>
      <c r="G44" s="486">
        <f>G12</f>
        <v>1835.6790000000001</v>
      </c>
      <c r="H44" s="486">
        <f t="shared" ref="H44:M44" si="22">H37*H39-H37*H43</f>
        <v>357.74700000000053</v>
      </c>
      <c r="I44" s="486">
        <f>I37*I39-I37*I43</f>
        <v>473.39800000000082</v>
      </c>
      <c r="J44" s="486">
        <f t="shared" si="22"/>
        <v>1109.9369999999983</v>
      </c>
      <c r="K44" s="486">
        <f t="shared" si="22"/>
        <v>1450.4060680538757</v>
      </c>
      <c r="L44" s="486">
        <f t="shared" si="22"/>
        <v>1988.7392770153865</v>
      </c>
      <c r="M44" s="492">
        <f t="shared" si="22"/>
        <v>2791.0566305892353</v>
      </c>
      <c r="O44" s="482"/>
    </row>
    <row r="45" spans="2:15" hidden="1" outlineLevel="1">
      <c r="B45" s="491" t="s">
        <v>881</v>
      </c>
      <c r="C45" s="486">
        <v>77.046999999999969</v>
      </c>
      <c r="D45" s="486">
        <v>133.36599999999999</v>
      </c>
      <c r="E45" s="486">
        <v>217.01007600000003</v>
      </c>
      <c r="F45" s="486">
        <v>220.30804962622102</v>
      </c>
      <c r="G45" s="486">
        <v>162.16276007173616</v>
      </c>
      <c r="H45" s="486">
        <f t="shared" ref="H45:M45" si="23">G45</f>
        <v>162.16276007173616</v>
      </c>
      <c r="I45" s="486">
        <f t="shared" si="23"/>
        <v>162.16276007173616</v>
      </c>
      <c r="J45" s="486">
        <f t="shared" si="23"/>
        <v>162.16276007173616</v>
      </c>
      <c r="K45" s="486">
        <f t="shared" si="23"/>
        <v>162.16276007173616</v>
      </c>
      <c r="L45" s="486">
        <f t="shared" si="23"/>
        <v>162.16276007173616</v>
      </c>
      <c r="M45" s="492">
        <f t="shared" si="23"/>
        <v>162.16276007173616</v>
      </c>
      <c r="O45" s="482"/>
    </row>
    <row r="46" spans="2:15" hidden="1" outlineLevel="1">
      <c r="B46" s="491" t="s">
        <v>186</v>
      </c>
      <c r="C46" s="486">
        <f ca="1">C44+C45</f>
        <v>91.686999999999642</v>
      </c>
      <c r="D46" s="486">
        <f t="shared" ref="D46:M46" si="24">D44+D45</f>
        <v>182.27600000000041</v>
      </c>
      <c r="E46" s="486">
        <f t="shared" si="24"/>
        <v>528.95607600000017</v>
      </c>
      <c r="F46" s="486">
        <f t="shared" si="24"/>
        <v>1612.8700496262213</v>
      </c>
      <c r="G46" s="486">
        <f t="shared" si="24"/>
        <v>1997.8417600717362</v>
      </c>
      <c r="H46" s="486">
        <f t="shared" si="24"/>
        <v>519.90976007173663</v>
      </c>
      <c r="I46" s="486">
        <f t="shared" si="24"/>
        <v>635.56076007173692</v>
      </c>
      <c r="J46" s="486">
        <f t="shared" si="24"/>
        <v>1272.0997600717344</v>
      </c>
      <c r="K46" s="486">
        <f t="shared" si="24"/>
        <v>1612.5688281256118</v>
      </c>
      <c r="L46" s="486">
        <f t="shared" si="24"/>
        <v>2150.9020370871226</v>
      </c>
      <c r="M46" s="492">
        <f t="shared" si="24"/>
        <v>2953.2193906609714</v>
      </c>
      <c r="O46" s="482"/>
    </row>
    <row r="47" spans="2:15" hidden="1" outlineLevel="1">
      <c r="B47" s="491" t="s">
        <v>913</v>
      </c>
      <c r="C47" s="486">
        <f t="shared" ref="C47:G50" ca="1" si="25">C15</f>
        <v>-14.475999999999999</v>
      </c>
      <c r="D47" s="486">
        <f t="shared" si="25"/>
        <v>-23.416</v>
      </c>
      <c r="E47" s="486">
        <f t="shared" si="25"/>
        <v>-68.31</v>
      </c>
      <c r="F47" s="486">
        <f t="shared" si="25"/>
        <v>-65.165999999999997</v>
      </c>
      <c r="G47" s="486">
        <f t="shared" si="25"/>
        <v>-16.023000000000003</v>
      </c>
      <c r="H47" s="486">
        <f t="shared" ref="H47:M47" si="26">H46*-15%</f>
        <v>-77.986464010760486</v>
      </c>
      <c r="I47" s="486">
        <f t="shared" si="26"/>
        <v>-95.33411401076053</v>
      </c>
      <c r="J47" s="486">
        <f t="shared" si="26"/>
        <v>-190.81496401076015</v>
      </c>
      <c r="K47" s="486">
        <f t="shared" si="26"/>
        <v>-241.88532421884176</v>
      </c>
      <c r="L47" s="486">
        <f t="shared" si="26"/>
        <v>-322.63530556306836</v>
      </c>
      <c r="M47" s="492">
        <f t="shared" si="26"/>
        <v>-442.98290859914567</v>
      </c>
      <c r="O47" s="482"/>
    </row>
    <row r="48" spans="2:15" hidden="1" outlineLevel="1">
      <c r="B48" s="491" t="s">
        <v>912</v>
      </c>
      <c r="C48" s="486">
        <f t="shared" ca="1" si="25"/>
        <v>-56.843999999999994</v>
      </c>
      <c r="D48" s="486">
        <f t="shared" si="25"/>
        <v>-75.820999999999998</v>
      </c>
      <c r="E48" s="486">
        <f t="shared" si="25"/>
        <v>-46.451999999999998</v>
      </c>
      <c r="F48" s="486">
        <f t="shared" si="25"/>
        <v>73.35499999999999</v>
      </c>
      <c r="G48" s="486">
        <f t="shared" si="25"/>
        <v>380.14000000000004</v>
      </c>
      <c r="H48" s="486">
        <f>H16</f>
        <v>222.40899999999999</v>
      </c>
      <c r="I48" s="486">
        <f>H48</f>
        <v>222.40899999999999</v>
      </c>
      <c r="J48" s="486">
        <f>I48</f>
        <v>222.40899999999999</v>
      </c>
      <c r="K48" s="486">
        <f>J48</f>
        <v>222.40899999999999</v>
      </c>
      <c r="L48" s="486">
        <f>K48</f>
        <v>222.40899999999999</v>
      </c>
      <c r="M48" s="492">
        <f>L48</f>
        <v>222.40899999999999</v>
      </c>
      <c r="O48" s="482"/>
    </row>
    <row r="49" spans="2:15" hidden="1" collapsed="1">
      <c r="B49" s="805" t="s">
        <v>850</v>
      </c>
      <c r="C49" s="806">
        <f t="shared" ca="1" si="25"/>
        <v>134.05499999999964</v>
      </c>
      <c r="D49" s="806">
        <f t="shared" si="25"/>
        <v>234.68100000000041</v>
      </c>
      <c r="E49" s="806">
        <f t="shared" si="25"/>
        <v>715.55000000000018</v>
      </c>
      <c r="F49" s="806">
        <f t="shared" si="25"/>
        <v>1701.8030000000003</v>
      </c>
      <c r="G49" s="806">
        <f t="shared" si="25"/>
        <v>1817.9419999999998</v>
      </c>
      <c r="H49" s="806">
        <f t="shared" ref="H49:M49" si="27">H46+H47-H48</f>
        <v>219.51429606097616</v>
      </c>
      <c r="I49" s="806">
        <f t="shared" si="27"/>
        <v>317.81764606097636</v>
      </c>
      <c r="J49" s="806">
        <f t="shared" si="27"/>
        <v>858.87579606097427</v>
      </c>
      <c r="K49" s="806">
        <f t="shared" si="27"/>
        <v>1148.27450390677</v>
      </c>
      <c r="L49" s="806">
        <f t="shared" si="27"/>
        <v>1605.8577315240541</v>
      </c>
      <c r="M49" s="807">
        <f t="shared" si="27"/>
        <v>2287.8274820618258</v>
      </c>
      <c r="N49" s="487"/>
      <c r="O49" s="482"/>
    </row>
    <row r="50" spans="2:15" hidden="1">
      <c r="B50" s="763" t="s">
        <v>887</v>
      </c>
      <c r="C50" s="764">
        <f t="shared" ca="1" si="25"/>
        <v>2.699E-2</v>
      </c>
      <c r="D50" s="764">
        <f t="shared" si="25"/>
        <v>4.6449868400516896E-2</v>
      </c>
      <c r="E50" s="764">
        <f t="shared" si="25"/>
        <v>0.10715987542813658</v>
      </c>
      <c r="F50" s="764">
        <f t="shared" si="25"/>
        <v>0.21541809847172519</v>
      </c>
      <c r="G50" s="764">
        <f t="shared" si="25"/>
        <v>0.22990191139204391</v>
      </c>
      <c r="H50" s="764">
        <f>H49/Model!$M$63</f>
        <v>2.7734039396602284E-2</v>
      </c>
      <c r="I50" s="764">
        <f>I49/Model!$M$63</f>
        <v>4.0153954776330762E-2</v>
      </c>
      <c r="J50" s="764">
        <f>J49/Model!$M$63</f>
        <v>0.10851272829231368</v>
      </c>
      <c r="K50" s="764">
        <f>K49/Model!$M$63</f>
        <v>0.14507615631839357</v>
      </c>
      <c r="L50" s="764">
        <f>L49/Model!$M$63</f>
        <v>0.20288847874880608</v>
      </c>
      <c r="M50" s="765">
        <f>M49/Model!$M$63</f>
        <v>0.28905041110628577</v>
      </c>
      <c r="N50" s="999"/>
      <c r="O50" s="482"/>
    </row>
    <row r="51" spans="2:15" hidden="1">
      <c r="B51" s="766" t="s">
        <v>897</v>
      </c>
      <c r="C51" s="767"/>
      <c r="D51" s="767">
        <f t="shared" ref="D51:M51" ca="1" si="28">D50/C50-1</f>
        <v>0.72100290479869944</v>
      </c>
      <c r="E51" s="767">
        <f t="shared" si="28"/>
        <v>1.3070006249349051</v>
      </c>
      <c r="F51" s="767">
        <f t="shared" si="28"/>
        <v>1.0102496163891921</v>
      </c>
      <c r="G51" s="767">
        <f t="shared" si="28"/>
        <v>6.7235821980945687E-2</v>
      </c>
      <c r="H51" s="767">
        <f t="shared" si="28"/>
        <v>-0.87936577286950701</v>
      </c>
      <c r="I51" s="767">
        <f t="shared" si="28"/>
        <v>0.44782208614191443</v>
      </c>
      <c r="J51" s="767">
        <f t="shared" si="28"/>
        <v>1.7024169573523009</v>
      </c>
      <c r="K51" s="767">
        <f t="shared" si="28"/>
        <v>0.3369505918935578</v>
      </c>
      <c r="L51" s="767">
        <f t="shared" si="28"/>
        <v>0.39849637526606241</v>
      </c>
      <c r="M51" s="768">
        <f t="shared" si="28"/>
        <v>0.42467631917214876</v>
      </c>
      <c r="N51" s="1000"/>
      <c r="O51" s="482"/>
    </row>
    <row r="52" spans="2:15" hidden="1">
      <c r="B52" s="763" t="s">
        <v>1052</v>
      </c>
      <c r="C52" s="775"/>
      <c r="D52" s="775"/>
      <c r="E52" s="775"/>
      <c r="F52" s="775"/>
      <c r="G52" s="775"/>
      <c r="H52" s="775"/>
      <c r="I52" s="775"/>
      <c r="J52" s="797">
        <v>66</v>
      </c>
      <c r="K52" s="769"/>
      <c r="L52" s="769"/>
      <c r="M52" s="770"/>
      <c r="N52" s="1000"/>
      <c r="O52" s="488"/>
    </row>
    <row r="53" spans="2:15" hidden="1" outlineLevel="1">
      <c r="B53" s="483" t="s">
        <v>1053</v>
      </c>
      <c r="C53" s="527"/>
      <c r="D53" s="527"/>
      <c r="E53" s="527"/>
      <c r="F53" s="527"/>
      <c r="G53" s="527"/>
      <c r="H53" s="527"/>
      <c r="I53" s="527"/>
      <c r="J53" s="798">
        <f>J50*J52</f>
        <v>7.1618400672927027</v>
      </c>
      <c r="K53" s="527"/>
      <c r="L53" s="527"/>
      <c r="M53" s="485"/>
      <c r="N53" s="527"/>
      <c r="O53" s="799"/>
    </row>
    <row r="54" spans="2:15" hidden="1" outlineLevel="1">
      <c r="B54" s="771" t="s">
        <v>1054</v>
      </c>
      <c r="C54" s="772"/>
      <c r="D54" s="772"/>
      <c r="E54" s="772"/>
      <c r="F54" s="772"/>
      <c r="G54" s="800">
        <f>ROUND((J53*6.6)/(1+$C$62)^J34,1)</f>
        <v>36.5</v>
      </c>
      <c r="H54" s="772"/>
      <c r="I54" s="772"/>
      <c r="J54" s="730"/>
      <c r="K54" s="772"/>
      <c r="L54" s="772"/>
      <c r="M54" s="773"/>
      <c r="N54" s="1001"/>
      <c r="O54" s="799"/>
    </row>
    <row r="55" spans="2:15" hidden="1" collapsed="1">
      <c r="B55" s="483" t="s">
        <v>1038</v>
      </c>
      <c r="C55" s="751"/>
      <c r="D55" s="752"/>
      <c r="E55" s="752"/>
      <c r="F55" s="752"/>
      <c r="G55" s="757">
        <f>G54/(G50*7.8)</f>
        <v>20.354276966003162</v>
      </c>
      <c r="H55" s="752"/>
      <c r="I55" s="752"/>
      <c r="J55" s="752"/>
      <c r="K55" s="752"/>
      <c r="L55" s="752"/>
      <c r="M55" s="758"/>
      <c r="N55" s="752"/>
      <c r="O55" s="488"/>
    </row>
    <row r="56" spans="2:15" hidden="1">
      <c r="B56" s="753" t="s">
        <v>1037</v>
      </c>
      <c r="C56" s="754"/>
      <c r="D56" s="755"/>
      <c r="E56" s="755"/>
      <c r="F56" s="755"/>
      <c r="G56" s="759" t="e">
        <f>G54/(#REF!*6.6)</f>
        <v>#REF!</v>
      </c>
      <c r="H56" s="755"/>
      <c r="I56" s="755"/>
      <c r="J56" s="755"/>
      <c r="K56" s="755"/>
      <c r="L56" s="755"/>
      <c r="M56" s="756"/>
      <c r="N56" s="752"/>
      <c r="O56" s="488"/>
    </row>
    <row r="57" spans="2:15" ht="10.5" hidden="1" customHeight="1">
      <c r="D57" s="488"/>
      <c r="E57" s="488"/>
      <c r="F57" s="488"/>
      <c r="G57" s="488"/>
      <c r="H57" s="488"/>
      <c r="I57" s="488"/>
      <c r="J57" s="488"/>
      <c r="K57" s="488"/>
      <c r="L57" s="488"/>
      <c r="M57" s="488"/>
      <c r="N57" s="488"/>
      <c r="O57" s="488"/>
    </row>
    <row r="58" spans="2:15" hidden="1">
      <c r="B58" s="489" t="s">
        <v>899</v>
      </c>
      <c r="C58" s="490"/>
      <c r="O58" s="799"/>
    </row>
    <row r="59" spans="2:15" hidden="1">
      <c r="B59" s="491" t="s">
        <v>30</v>
      </c>
      <c r="C59" s="717">
        <v>1</v>
      </c>
    </row>
    <row r="60" spans="2:15" hidden="1">
      <c r="B60" s="491" t="s">
        <v>900</v>
      </c>
      <c r="C60" s="498">
        <v>0.03</v>
      </c>
    </row>
    <row r="61" spans="2:15" hidden="1">
      <c r="B61" s="493" t="s">
        <v>901</v>
      </c>
      <c r="C61" s="499">
        <v>0.06</v>
      </c>
    </row>
    <row r="62" spans="2:15" hidden="1">
      <c r="B62" s="494" t="s">
        <v>902</v>
      </c>
      <c r="C62" s="718">
        <f>C59*C61+C60</f>
        <v>0.09</v>
      </c>
      <c r="G62" s="495"/>
      <c r="J62" s="482"/>
    </row>
    <row r="63" spans="2:15" hidden="1">
      <c r="C63" s="716"/>
      <c r="G63" s="495"/>
      <c r="J63" s="500"/>
    </row>
    <row r="64" spans="2:15" hidden="1" outlineLevel="1">
      <c r="B64" s="657" t="s">
        <v>903</v>
      </c>
      <c r="C64" s="658" t="s">
        <v>1023</v>
      </c>
    </row>
    <row r="65" spans="2:14" hidden="1" outlineLevel="1">
      <c r="B65" s="491" t="s">
        <v>906</v>
      </c>
      <c r="C65" s="484" t="e">
        <f>#REF!</f>
        <v>#REF!</v>
      </c>
    </row>
    <row r="66" spans="2:14" hidden="1" outlineLevel="1">
      <c r="B66" s="491" t="s">
        <v>907</v>
      </c>
      <c r="C66" s="484" t="e">
        <f>#REF!</f>
        <v>#REF!</v>
      </c>
    </row>
    <row r="67" spans="2:14" hidden="1" outlineLevel="1">
      <c r="B67" s="491" t="s">
        <v>908</v>
      </c>
      <c r="C67" s="484" t="e">
        <f>#REF!</f>
        <v>#REF!</v>
      </c>
    </row>
    <row r="68" spans="2:14" hidden="1" outlineLevel="1">
      <c r="B68" s="493" t="s">
        <v>909</v>
      </c>
      <c r="C68" s="484" t="e">
        <f>#REF!</f>
        <v>#REF!</v>
      </c>
    </row>
    <row r="69" spans="2:14" hidden="1" outlineLevel="1">
      <c r="B69" s="481" t="s">
        <v>904</v>
      </c>
      <c r="C69" s="750"/>
    </row>
    <row r="70" spans="2:14" hidden="1" collapsed="1"/>
    <row r="71" spans="2:14" hidden="1"/>
    <row r="72" spans="2:14" hidden="1">
      <c r="B72" s="730"/>
      <c r="C72" s="724" t="s">
        <v>873</v>
      </c>
      <c r="D72" s="724">
        <v>2019</v>
      </c>
      <c r="E72" s="724" t="s">
        <v>430</v>
      </c>
      <c r="F72" s="724" t="s">
        <v>431</v>
      </c>
      <c r="G72" s="724" t="s">
        <v>890</v>
      </c>
      <c r="H72" s="724" t="s">
        <v>891</v>
      </c>
      <c r="I72" s="724" t="s">
        <v>892</v>
      </c>
      <c r="J72" s="724" t="s">
        <v>893</v>
      </c>
      <c r="K72" s="724" t="s">
        <v>894</v>
      </c>
      <c r="L72" s="724" t="s">
        <v>895</v>
      </c>
      <c r="M72" s="725" t="s">
        <v>896</v>
      </c>
      <c r="N72" s="998"/>
    </row>
    <row r="73" spans="2:14" hidden="1">
      <c r="B73" s="486" t="s">
        <v>1027</v>
      </c>
      <c r="C73" s="728"/>
      <c r="D73" s="728">
        <f t="shared" ref="D73:M73" si="29">D5+D75</f>
        <v>3115.672</v>
      </c>
      <c r="E73" s="728">
        <f t="shared" si="29"/>
        <v>3906.9750000000004</v>
      </c>
      <c r="F73" s="728">
        <f t="shared" si="29"/>
        <v>5783.472600000001</v>
      </c>
      <c r="G73" s="739">
        <f t="shared" si="29"/>
        <v>7636.8723999999993</v>
      </c>
      <c r="H73" s="728">
        <f t="shared" si="29"/>
        <v>6502.0652000000009</v>
      </c>
      <c r="I73" s="728">
        <f t="shared" si="29"/>
        <v>8177.7454000000007</v>
      </c>
      <c r="J73" s="739">
        <f t="shared" si="29"/>
        <v>9395.3120999999992</v>
      </c>
      <c r="K73" s="728">
        <f t="shared" si="29"/>
        <v>11649.515498893241</v>
      </c>
      <c r="L73" s="728">
        <f t="shared" si="29"/>
        <v>13964.026449149616</v>
      </c>
      <c r="M73" s="728">
        <f t="shared" si="29"/>
        <v>16889.719142710906</v>
      </c>
      <c r="N73" s="728"/>
    </row>
    <row r="74" spans="2:14" hidden="1">
      <c r="B74" s="486" t="s">
        <v>875</v>
      </c>
      <c r="C74" s="728"/>
      <c r="D74" s="728"/>
      <c r="E74" s="729">
        <f>E73/D73-1</f>
        <v>0.25397506541125003</v>
      </c>
      <c r="F74" s="729">
        <f t="shared" ref="F74:M74" si="30">F73/E73-1</f>
        <v>0.48029424298850154</v>
      </c>
      <c r="G74" s="740">
        <f t="shared" si="30"/>
        <v>0.32046487088051534</v>
      </c>
      <c r="H74" s="729">
        <f t="shared" si="30"/>
        <v>-0.14859580474331335</v>
      </c>
      <c r="I74" s="729">
        <f t="shared" si="30"/>
        <v>0.25771507182056541</v>
      </c>
      <c r="J74" s="740">
        <f t="shared" si="30"/>
        <v>0.14888782181944649</v>
      </c>
      <c r="K74" s="729">
        <f t="shared" si="30"/>
        <v>0.23992852764233796</v>
      </c>
      <c r="L74" s="729">
        <f t="shared" si="30"/>
        <v>0.19867873049967311</v>
      </c>
      <c r="M74" s="729">
        <f t="shared" si="30"/>
        <v>0.20951641019982881</v>
      </c>
      <c r="N74" s="729"/>
    </row>
    <row r="75" spans="2:14" hidden="1">
      <c r="B75" s="486" t="s">
        <v>931</v>
      </c>
      <c r="C75" s="728"/>
      <c r="D75" s="728"/>
      <c r="E75" s="728">
        <f>E78*2</f>
        <v>0</v>
      </c>
      <c r="F75" s="728">
        <f>F78*2</f>
        <v>340.36060000000043</v>
      </c>
      <c r="G75" s="741">
        <f t="shared" ref="G75:M75" si="31">G78*2</f>
        <v>363.58839999999964</v>
      </c>
      <c r="H75" s="728">
        <f t="shared" si="31"/>
        <v>180.50520000000051</v>
      </c>
      <c r="I75" s="728">
        <f t="shared" si="31"/>
        <v>147.82440000000042</v>
      </c>
      <c r="J75" s="741">
        <f t="shared" si="31"/>
        <v>68.513100000000122</v>
      </c>
      <c r="K75" s="728">
        <f t="shared" si="31"/>
        <v>71.024327576260021</v>
      </c>
      <c r="L75" s="728">
        <f t="shared" si="31"/>
        <v>94.83901431964523</v>
      </c>
      <c r="M75" s="728">
        <f t="shared" si="31"/>
        <v>136.69933713117825</v>
      </c>
      <c r="N75" s="728"/>
    </row>
    <row r="76" spans="2:14" hidden="1">
      <c r="B76" s="730" t="s">
        <v>1051</v>
      </c>
      <c r="C76" s="731"/>
      <c r="D76" s="731"/>
      <c r="E76" s="732">
        <f t="shared" ref="E76:M76" si="32">E73/E5-1</f>
        <v>0</v>
      </c>
      <c r="F76" s="733">
        <f t="shared" si="32"/>
        <v>6.2530515631499251E-2</v>
      </c>
      <c r="G76" s="742">
        <f t="shared" si="32"/>
        <v>4.9989578297781279E-2</v>
      </c>
      <c r="H76" s="733">
        <f t="shared" si="32"/>
        <v>2.855390125222268E-2</v>
      </c>
      <c r="I76" s="733">
        <f t="shared" si="32"/>
        <v>1.8409197300944813E-2</v>
      </c>
      <c r="J76" s="742">
        <f t="shared" si="32"/>
        <v>7.3458321552763994E-3</v>
      </c>
      <c r="K76" s="733">
        <f t="shared" si="32"/>
        <v>6.1341608785958623E-3</v>
      </c>
      <c r="L76" s="733">
        <f t="shared" si="32"/>
        <v>6.8381089206044354E-3</v>
      </c>
      <c r="M76" s="733">
        <f t="shared" si="32"/>
        <v>8.1596833715702477E-3</v>
      </c>
      <c r="N76" s="1003"/>
    </row>
    <row r="77" spans="2:14" hidden="1">
      <c r="B77" s="734" t="s">
        <v>911</v>
      </c>
      <c r="C77" s="734"/>
      <c r="D77" s="734"/>
      <c r="E77" s="734">
        <f t="shared" ref="E77:M77" si="33">E80-E13</f>
        <v>311.94600000000014</v>
      </c>
      <c r="F77" s="734">
        <f t="shared" si="33"/>
        <v>1562.7423000000006</v>
      </c>
      <c r="G77" s="743">
        <f t="shared" si="33"/>
        <v>2017.4731999999999</v>
      </c>
      <c r="H77" s="734">
        <f t="shared" si="33"/>
        <v>447.99960000000056</v>
      </c>
      <c r="I77" s="734">
        <f t="shared" si="33"/>
        <v>547.31020000000126</v>
      </c>
      <c r="J77" s="743">
        <f t="shared" si="33"/>
        <v>1144.1935499999981</v>
      </c>
      <c r="K77" s="734">
        <f t="shared" si="33"/>
        <v>1485.918231842006</v>
      </c>
      <c r="L77" s="734">
        <f t="shared" si="33"/>
        <v>2036.1587841752091</v>
      </c>
      <c r="M77" s="734">
        <f t="shared" si="33"/>
        <v>2859.4062991548244</v>
      </c>
    </row>
    <row r="78" spans="2:14" hidden="1">
      <c r="B78" s="486" t="s">
        <v>1050</v>
      </c>
      <c r="E78" s="486">
        <f t="shared" ref="E78:M78" si="34">E77-E12</f>
        <v>0</v>
      </c>
      <c r="F78" s="486">
        <f t="shared" si="34"/>
        <v>170.18030000000022</v>
      </c>
      <c r="G78" s="744">
        <f t="shared" si="34"/>
        <v>181.79419999999982</v>
      </c>
      <c r="H78" s="486">
        <f t="shared" si="34"/>
        <v>90.252600000000257</v>
      </c>
      <c r="I78" s="486">
        <f t="shared" si="34"/>
        <v>73.912200000000212</v>
      </c>
      <c r="J78" s="744">
        <f t="shared" si="34"/>
        <v>34.256550000000061</v>
      </c>
      <c r="K78" s="486">
        <f t="shared" si="34"/>
        <v>35.51216378813001</v>
      </c>
      <c r="L78" s="486">
        <f t="shared" si="34"/>
        <v>47.419507159822615</v>
      </c>
      <c r="M78" s="486">
        <f t="shared" si="34"/>
        <v>68.349668565589127</v>
      </c>
    </row>
    <row r="79" spans="2:14" hidden="1">
      <c r="B79" s="730" t="s">
        <v>1049</v>
      </c>
      <c r="C79" s="730"/>
      <c r="D79" s="730"/>
      <c r="E79" s="735">
        <f t="shared" ref="E79:M79" si="35">E77/E12-1</f>
        <v>0</v>
      </c>
      <c r="F79" s="735">
        <f t="shared" si="35"/>
        <v>0.12220662347529232</v>
      </c>
      <c r="G79" s="745">
        <f t="shared" si="35"/>
        <v>9.9033763528372676E-2</v>
      </c>
      <c r="H79" s="735">
        <f t="shared" si="35"/>
        <v>0.25228052226853115</v>
      </c>
      <c r="I79" s="735">
        <f t="shared" si="35"/>
        <v>0.15613120461007446</v>
      </c>
      <c r="J79" s="745">
        <f t="shared" si="35"/>
        <v>3.0863508469399781E-2</v>
      </c>
      <c r="K79" s="735">
        <f t="shared" si="35"/>
        <v>2.4484290689558152E-2</v>
      </c>
      <c r="L79" s="735">
        <f t="shared" si="35"/>
        <v>2.3844003941526193E-2</v>
      </c>
      <c r="M79" s="735">
        <f t="shared" si="35"/>
        <v>2.4488814672011694E-2</v>
      </c>
      <c r="N79" s="738"/>
    </row>
    <row r="80" spans="2:14" hidden="1">
      <c r="B80" s="734" t="s">
        <v>1032</v>
      </c>
      <c r="C80" s="736"/>
      <c r="D80" s="736"/>
      <c r="E80" s="736">
        <f t="shared" ref="E80:M80" si="36">E81+E16-E15</f>
        <v>737.40800000000013</v>
      </c>
      <c r="F80" s="736">
        <f t="shared" si="36"/>
        <v>2010.5043000000005</v>
      </c>
      <c r="G80" s="739">
        <f t="shared" si="36"/>
        <v>2395.8991999999998</v>
      </c>
      <c r="H80" s="736">
        <f t="shared" si="36"/>
        <v>1277.7016000000006</v>
      </c>
      <c r="I80" s="736">
        <f t="shared" si="36"/>
        <v>932.96820000000127</v>
      </c>
      <c r="J80" s="739">
        <f t="shared" si="36"/>
        <v>1107.5135499999981</v>
      </c>
      <c r="K80" s="736">
        <f t="shared" si="36"/>
        <v>1507.8604318420059</v>
      </c>
      <c r="L80" s="736">
        <f t="shared" si="36"/>
        <v>2048.8878274595345</v>
      </c>
      <c r="M80" s="736">
        <f t="shared" si="36"/>
        <v>2880.9713300824105</v>
      </c>
      <c r="N80" s="728"/>
    </row>
    <row r="81" spans="2:14" hidden="1">
      <c r="B81" s="486" t="s">
        <v>1040</v>
      </c>
      <c r="C81" s="728"/>
      <c r="D81" s="728"/>
      <c r="E81" s="728">
        <f t="shared" ref="E81:M81" si="37">E17*(1+E82)</f>
        <v>715.55000000000018</v>
      </c>
      <c r="F81" s="728">
        <f t="shared" si="37"/>
        <v>1871.9833000000006</v>
      </c>
      <c r="G81" s="741">
        <f t="shared" si="37"/>
        <v>1999.7361999999998</v>
      </c>
      <c r="H81" s="728">
        <f t="shared" si="37"/>
        <v>992.77860000000055</v>
      </c>
      <c r="I81" s="728">
        <f t="shared" si="37"/>
        <v>566.66020000000105</v>
      </c>
      <c r="J81" s="741">
        <f t="shared" si="37"/>
        <v>719.38754999999821</v>
      </c>
      <c r="K81" s="728">
        <f t="shared" si="37"/>
        <v>1219.2509567257946</v>
      </c>
      <c r="L81" s="728">
        <f t="shared" si="37"/>
        <v>1628.0697458205721</v>
      </c>
      <c r="M81" s="728">
        <f t="shared" si="37"/>
        <v>2346.6719540852241</v>
      </c>
      <c r="N81" s="728"/>
    </row>
    <row r="82" spans="2:14" hidden="1">
      <c r="B82" s="730" t="s">
        <v>1044</v>
      </c>
      <c r="C82" s="730"/>
      <c r="D82" s="730"/>
      <c r="E82" s="735">
        <v>0</v>
      </c>
      <c r="F82" s="735">
        <v>0.1</v>
      </c>
      <c r="G82" s="745">
        <v>0.1</v>
      </c>
      <c r="H82" s="735">
        <v>0.1</v>
      </c>
      <c r="I82" s="735">
        <v>0.15</v>
      </c>
      <c r="J82" s="745">
        <v>0.05</v>
      </c>
      <c r="K82" s="735">
        <v>0.03</v>
      </c>
      <c r="L82" s="735">
        <f>K82</f>
        <v>0.03</v>
      </c>
      <c r="M82" s="735">
        <f>L82</f>
        <v>0.03</v>
      </c>
      <c r="N82" s="738"/>
    </row>
    <row r="83" spans="2:14" hidden="1">
      <c r="B83" s="734" t="s">
        <v>1045</v>
      </c>
      <c r="C83" s="734"/>
      <c r="D83" s="737">
        <f t="shared" ref="D83:M83" si="38">D18*(1+D82)</f>
        <v>4.6449868400516896E-2</v>
      </c>
      <c r="E83" s="737">
        <f t="shared" si="38"/>
        <v>0.10715987542813658</v>
      </c>
      <c r="F83" s="737">
        <f t="shared" si="38"/>
        <v>0.23695990831889774</v>
      </c>
      <c r="G83" s="746">
        <f t="shared" si="38"/>
        <v>0.25289210253124833</v>
      </c>
      <c r="H83" s="737">
        <f t="shared" si="38"/>
        <v>0.12525185818475215</v>
      </c>
      <c r="I83" s="737">
        <f t="shared" si="38"/>
        <v>7.1194133919027375E-2</v>
      </c>
      <c r="J83" s="746">
        <f t="shared" si="38"/>
        <v>9.0056691213584172E-2</v>
      </c>
      <c r="K83" s="737">
        <f t="shared" si="38"/>
        <v>0.15238732117557738</v>
      </c>
      <c r="L83" s="737">
        <f t="shared" si="38"/>
        <v>0.20348328281721936</v>
      </c>
      <c r="M83" s="737">
        <f t="shared" si="38"/>
        <v>0.29329733209414127</v>
      </c>
      <c r="N83" s="1004"/>
    </row>
    <row r="84" spans="2:14" hidden="1">
      <c r="B84" s="486" t="s">
        <v>875</v>
      </c>
      <c r="E84" s="738">
        <f t="shared" ref="E84:L84" si="39">E83/D83-1</f>
        <v>1.3070006249349051</v>
      </c>
      <c r="F84" s="738">
        <f t="shared" si="39"/>
        <v>1.2112745780281116</v>
      </c>
      <c r="G84" s="747">
        <f t="shared" si="39"/>
        <v>6.7235821980945465E-2</v>
      </c>
      <c r="H84" s="738">
        <f t="shared" si="39"/>
        <v>-0.5047221446178789</v>
      </c>
      <c r="I84" s="738">
        <f t="shared" si="39"/>
        <v>-0.43159219391369974</v>
      </c>
      <c r="J84" s="747">
        <f t="shared" si="39"/>
        <v>0.26494538603433426</v>
      </c>
      <c r="K84" s="738">
        <f t="shared" si="39"/>
        <v>0.6921265829561285</v>
      </c>
      <c r="L84" s="738">
        <f t="shared" si="39"/>
        <v>0.33530323420260344</v>
      </c>
      <c r="M84" s="738">
        <f>M83/L83-1</f>
        <v>0.44138293835960063</v>
      </c>
      <c r="N84" s="738"/>
    </row>
    <row r="85" spans="2:14" hidden="1">
      <c r="B85" s="486" t="s">
        <v>1047</v>
      </c>
      <c r="G85" s="744"/>
      <c r="J85" s="744">
        <f>J83*J20*7.8</f>
        <v>0</v>
      </c>
    </row>
    <row r="86" spans="2:14" hidden="1">
      <c r="B86" s="486" t="s">
        <v>1048</v>
      </c>
      <c r="G86" s="744"/>
      <c r="J86" s="749">
        <f>J85/(1+$C$30)^J2</f>
        <v>0</v>
      </c>
    </row>
    <row r="87" spans="2:14" hidden="1">
      <c r="B87" s="730" t="s">
        <v>1046</v>
      </c>
      <c r="C87" s="730"/>
      <c r="D87" s="730"/>
      <c r="E87" s="730"/>
      <c r="F87" s="730"/>
      <c r="G87" s="748">
        <f>J86/7.8/G83</f>
        <v>0</v>
      </c>
      <c r="H87" s="730"/>
      <c r="I87" s="730" t="s">
        <v>1041</v>
      </c>
      <c r="J87" s="745" t="e">
        <f>J86/#REF!-1</f>
        <v>#REF!</v>
      </c>
      <c r="K87" s="730"/>
      <c r="L87" s="730"/>
      <c r="M87" s="730"/>
    </row>
    <row r="88" spans="2:14" hidden="1">
      <c r="G88" s="482"/>
      <c r="J88" s="482"/>
    </row>
    <row r="89" spans="2:14" hidden="1">
      <c r="B89" s="486" t="s">
        <v>1043</v>
      </c>
      <c r="C89" s="482">
        <v>0.18</v>
      </c>
    </row>
    <row r="90" spans="2:14" hidden="1">
      <c r="B90" s="486" t="s">
        <v>1042</v>
      </c>
      <c r="E90" s="500">
        <f t="shared" ref="E90:M90" si="40">E83*(1-$C$89)</f>
        <v>8.7871097851072E-2</v>
      </c>
      <c r="F90" s="500">
        <f t="shared" si="40"/>
        <v>0.19430712482149615</v>
      </c>
      <c r="G90" s="500">
        <f t="shared" si="40"/>
        <v>0.20737152407562365</v>
      </c>
      <c r="H90" s="500">
        <f t="shared" si="40"/>
        <v>0.10270652371149677</v>
      </c>
      <c r="I90" s="500">
        <f t="shared" si="40"/>
        <v>5.8379189813602454E-2</v>
      </c>
      <c r="J90" s="500">
        <f t="shared" si="40"/>
        <v>7.3846486795139027E-2</v>
      </c>
      <c r="K90" s="500">
        <f t="shared" si="40"/>
        <v>0.12495760336397346</v>
      </c>
      <c r="L90" s="500">
        <f t="shared" si="40"/>
        <v>0.16685629191011989</v>
      </c>
      <c r="M90" s="500">
        <f t="shared" si="40"/>
        <v>0.24050381231719586</v>
      </c>
      <c r="N90" s="500"/>
    </row>
    <row r="91" spans="2:14" hidden="1">
      <c r="B91" s="486" t="s">
        <v>1047</v>
      </c>
      <c r="J91" s="486">
        <f>J90*J20*7.8</f>
        <v>0</v>
      </c>
    </row>
    <row r="92" spans="2:14" hidden="1">
      <c r="B92" s="486" t="s">
        <v>1048</v>
      </c>
      <c r="J92" s="727">
        <f>J91/(1+$C$30)^J2</f>
        <v>0</v>
      </c>
      <c r="K92" s="482"/>
    </row>
    <row r="93" spans="2:14" hidden="1">
      <c r="B93" s="486" t="s">
        <v>1046</v>
      </c>
      <c r="G93" s="486">
        <f>J92/7.8/G90</f>
        <v>0</v>
      </c>
      <c r="J93" s="482" t="e">
        <f>J92/#REF!-1</f>
        <v>#REF!</v>
      </c>
    </row>
    <row r="94" spans="2:14" hidden="1">
      <c r="G94" s="486">
        <f>G90*100*7.15</f>
        <v>148.27063971407094</v>
      </c>
      <c r="H94" s="486" t="e">
        <f>G94*#REF!</f>
        <v>#REF!</v>
      </c>
      <c r="J94" s="482"/>
    </row>
    <row r="95" spans="2:14">
      <c r="G95" s="482"/>
      <c r="H95" s="832"/>
      <c r="I95" s="832"/>
      <c r="J95" s="832"/>
      <c r="K95" s="832"/>
      <c r="L95" s="832"/>
      <c r="M95" s="832"/>
      <c r="N95" s="832"/>
    </row>
    <row r="98" spans="2:15">
      <c r="M98" s="495"/>
    </row>
    <row r="99" spans="2:15">
      <c r="B99" s="1262"/>
      <c r="C99" s="1263"/>
      <c r="D99" s="1262"/>
      <c r="E99" s="1262"/>
      <c r="F99" s="1262"/>
      <c r="G99" s="1262"/>
      <c r="H99" s="1262"/>
      <c r="I99" s="1262"/>
      <c r="J99" s="1262"/>
      <c r="K99" s="1262"/>
      <c r="L99" s="1262"/>
      <c r="M99" s="1262"/>
      <c r="N99" s="1262"/>
      <c r="O99" s="1262"/>
    </row>
    <row r="100" spans="2:15">
      <c r="B100" s="1262"/>
      <c r="C100" s="1263"/>
      <c r="D100" s="1262"/>
      <c r="E100" s="1262"/>
      <c r="F100" s="1262"/>
      <c r="G100" s="1262"/>
      <c r="H100" s="1262"/>
      <c r="I100" s="1262"/>
      <c r="J100" s="1262"/>
      <c r="K100" s="1262"/>
      <c r="L100" s="1262"/>
      <c r="M100" s="1262"/>
      <c r="N100" s="1262"/>
      <c r="O100" s="1262"/>
    </row>
    <row r="101" spans="2:15">
      <c r="B101" s="1262"/>
      <c r="C101" s="1262"/>
      <c r="D101" s="1262"/>
      <c r="E101" s="1262"/>
      <c r="F101" s="1262"/>
      <c r="G101" s="1262"/>
      <c r="H101" s="1262"/>
      <c r="I101" s="1262"/>
      <c r="J101" s="1262"/>
      <c r="K101" s="1262"/>
      <c r="L101" s="1262"/>
      <c r="M101" s="1262"/>
      <c r="N101" s="1262"/>
      <c r="O101" s="1262"/>
    </row>
    <row r="102" spans="2:15">
      <c r="B102" s="1262"/>
      <c r="C102" s="1262"/>
      <c r="D102" s="1262">
        <f>286.21*27%-38.052</f>
        <v>39.224700000000006</v>
      </c>
      <c r="E102" s="1262"/>
      <c r="F102" s="1262"/>
      <c r="G102" s="1262"/>
      <c r="H102" s="1262"/>
      <c r="I102" s="1262"/>
      <c r="J102" s="1262"/>
      <c r="K102" s="1262"/>
      <c r="L102" s="1262"/>
      <c r="M102" s="1262"/>
      <c r="N102" s="1262"/>
      <c r="O102" s="1262"/>
    </row>
    <row r="103" spans="2:15">
      <c r="B103" s="1263"/>
      <c r="C103" s="1262"/>
      <c r="D103" s="1262"/>
      <c r="E103" s="1262"/>
      <c r="F103" s="1262"/>
      <c r="G103" s="1262"/>
      <c r="H103" s="1262"/>
      <c r="I103" s="1262"/>
      <c r="J103" s="1262"/>
      <c r="K103" s="1262"/>
      <c r="L103" s="1262"/>
      <c r="M103" s="1262"/>
      <c r="N103" s="1262"/>
      <c r="O103" s="1262"/>
    </row>
    <row r="104" spans="2:15">
      <c r="B104" s="1263"/>
      <c r="C104" s="1262"/>
      <c r="D104" s="1262"/>
      <c r="E104" s="1262"/>
      <c r="F104" s="1262"/>
      <c r="G104" s="1262"/>
      <c r="H104" s="1262"/>
      <c r="I104" s="1262"/>
      <c r="J104" s="1262"/>
      <c r="K104" s="1262"/>
      <c r="L104" s="1262"/>
      <c r="M104" s="1262"/>
      <c r="N104" s="1262"/>
      <c r="O104" s="1262"/>
    </row>
    <row r="105" spans="2:15">
      <c r="B105" s="1262"/>
      <c r="C105" s="1262"/>
      <c r="D105" s="1262"/>
      <c r="E105" s="1262"/>
      <c r="F105" s="1262"/>
      <c r="G105" s="1262"/>
      <c r="H105" s="1262"/>
      <c r="I105" s="1262"/>
      <c r="J105" s="1262"/>
      <c r="K105" s="1262"/>
      <c r="L105" s="1262"/>
      <c r="M105" s="1262"/>
      <c r="N105" s="1262"/>
      <c r="O105" s="1262"/>
    </row>
    <row r="106" spans="2:15">
      <c r="B106" s="1262"/>
      <c r="C106" s="1262"/>
      <c r="D106" s="1262"/>
      <c r="E106" s="1262"/>
      <c r="F106" s="1262"/>
      <c r="G106" s="1262"/>
      <c r="H106" s="1262"/>
      <c r="I106" s="1262"/>
      <c r="J106" s="1262"/>
      <c r="K106" s="1262"/>
      <c r="L106" s="1262"/>
      <c r="M106" s="1262"/>
      <c r="N106" s="1262"/>
      <c r="O106" s="1262"/>
    </row>
    <row r="107" spans="2:15">
      <c r="B107" s="1262"/>
      <c r="C107" s="1262"/>
      <c r="D107" s="1262"/>
      <c r="E107" s="1262"/>
      <c r="F107" s="1262"/>
      <c r="G107" s="1262"/>
      <c r="H107" s="1262"/>
      <c r="I107" s="1262"/>
      <c r="J107" s="1262"/>
      <c r="K107" s="1262"/>
      <c r="L107" s="1262"/>
      <c r="M107" s="1262"/>
      <c r="N107" s="1262"/>
      <c r="O107" s="1262"/>
    </row>
    <row r="108" spans="2:15">
      <c r="B108" s="1262"/>
      <c r="C108" s="1262"/>
      <c r="D108" s="1262"/>
      <c r="E108" s="1262"/>
      <c r="F108" s="1262"/>
      <c r="G108" s="1262"/>
      <c r="H108" s="1262"/>
      <c r="I108" s="1262"/>
      <c r="J108" s="1262"/>
      <c r="K108" s="1262"/>
      <c r="L108" s="1262"/>
      <c r="M108" s="1262"/>
      <c r="N108" s="1262"/>
      <c r="O108" s="1262"/>
    </row>
    <row r="109" spans="2:15">
      <c r="B109" s="1262"/>
      <c r="C109" s="1262"/>
      <c r="D109" s="1262"/>
      <c r="E109" s="1262"/>
      <c r="F109" s="1262"/>
      <c r="G109" s="1262"/>
      <c r="H109" s="1262"/>
      <c r="I109" s="1262"/>
      <c r="J109" s="1262"/>
      <c r="K109" s="1262"/>
      <c r="L109" s="1262"/>
      <c r="M109" s="1262"/>
      <c r="N109" s="1262"/>
      <c r="O109" s="1262"/>
    </row>
    <row r="110" spans="2:15">
      <c r="B110" s="1262"/>
      <c r="C110" s="1262"/>
      <c r="D110" s="1262"/>
      <c r="E110" s="1262"/>
      <c r="F110" s="1262"/>
      <c r="G110" s="1262"/>
      <c r="H110" s="1262"/>
      <c r="I110" s="1262"/>
      <c r="J110" s="1262"/>
      <c r="K110" s="1262"/>
      <c r="L110" s="1262"/>
      <c r="M110" s="1262"/>
      <c r="N110" s="1262"/>
      <c r="O110" s="1262"/>
    </row>
    <row r="111" spans="2:15">
      <c r="B111" s="1262"/>
      <c r="C111" s="1262"/>
      <c r="D111" s="1262"/>
      <c r="E111" s="1262"/>
      <c r="F111" s="1262"/>
      <c r="G111" s="1262"/>
      <c r="H111" s="1262"/>
      <c r="I111" s="1262"/>
      <c r="J111" s="1262"/>
      <c r="K111" s="1262"/>
      <c r="L111" s="1262"/>
      <c r="M111" s="1262"/>
      <c r="N111" s="1262"/>
      <c r="O111" s="1262"/>
    </row>
    <row r="112" spans="2:15" ht="27" customHeight="1">
      <c r="B112" s="1262"/>
      <c r="C112" s="1262"/>
      <c r="D112" s="1262"/>
      <c r="E112" s="1262"/>
      <c r="F112" s="1262"/>
      <c r="G112" s="1262"/>
      <c r="H112" s="1262"/>
      <c r="I112" s="1262"/>
      <c r="J112" s="1262"/>
      <c r="K112" s="1262"/>
      <c r="L112" s="1262"/>
      <c r="M112" s="1262"/>
      <c r="N112" s="1262"/>
      <c r="O112" s="1262"/>
    </row>
    <row r="113" spans="2:15" ht="27" customHeight="1">
      <c r="B113" s="1264" t="s">
        <v>1118</v>
      </c>
      <c r="C113" s="1265">
        <f>J18</f>
        <v>8.5768277346270641E-2</v>
      </c>
      <c r="D113" s="1262"/>
      <c r="E113" s="1262" t="s">
        <v>1121</v>
      </c>
      <c r="F113" s="1266">
        <v>246.22</v>
      </c>
      <c r="G113" s="1262"/>
      <c r="H113" s="1262"/>
      <c r="I113" s="1262"/>
      <c r="J113" s="1262"/>
      <c r="K113" s="1262"/>
      <c r="L113" s="1262"/>
      <c r="M113" s="1262"/>
      <c r="N113" s="1262"/>
      <c r="O113" s="1262"/>
    </row>
    <row r="114" spans="2:15" ht="27" customHeight="1">
      <c r="B114" s="1262" t="s">
        <v>1138</v>
      </c>
      <c r="C114" s="1267">
        <f>AVERAGE(M19:N19)</f>
        <v>0.37166034637890755</v>
      </c>
      <c r="D114" s="1262"/>
      <c r="E114" s="1262" t="s">
        <v>1122</v>
      </c>
      <c r="F114" s="1266">
        <v>-10.794</v>
      </c>
      <c r="G114" s="1262"/>
      <c r="H114" s="1262"/>
      <c r="I114" s="1262"/>
      <c r="J114" s="1262"/>
      <c r="K114" s="1262"/>
      <c r="L114" s="1262"/>
      <c r="M114" s="1262"/>
      <c r="N114" s="1262"/>
      <c r="O114" s="1262"/>
    </row>
    <row r="115" spans="2:15" ht="27" customHeight="1">
      <c r="B115" s="1262" t="s">
        <v>1194</v>
      </c>
      <c r="C115" s="1262">
        <f>C116*C117</f>
        <v>7.7935000000000008</v>
      </c>
      <c r="D115" s="1262"/>
      <c r="E115" s="1262"/>
      <c r="F115" s="1262"/>
      <c r="G115" s="1262"/>
      <c r="H115" s="1262"/>
      <c r="I115" s="1262"/>
      <c r="J115" s="1262"/>
      <c r="K115" s="1262"/>
      <c r="L115" s="1262"/>
      <c r="M115" s="1262"/>
      <c r="N115" s="1262"/>
      <c r="O115" s="1262"/>
    </row>
    <row r="116" spans="2:15" ht="27" customHeight="1">
      <c r="B116" s="1262" t="s">
        <v>1102</v>
      </c>
      <c r="C116" s="1263">
        <v>7.15</v>
      </c>
      <c r="D116" s="1262"/>
      <c r="E116" s="1262" t="s">
        <v>1123</v>
      </c>
      <c r="F116" s="1267">
        <f>C114</f>
        <v>0.37166034637890755</v>
      </c>
      <c r="G116" s="1262"/>
      <c r="H116" s="1262"/>
      <c r="I116" s="1262"/>
      <c r="J116" s="1262"/>
      <c r="K116" s="1262"/>
      <c r="L116" s="1262"/>
      <c r="M116" s="1262"/>
      <c r="N116" s="1262"/>
      <c r="O116" s="1262"/>
    </row>
    <row r="117" spans="2:15" ht="27" customHeight="1">
      <c r="B117" s="1262" t="s">
        <v>1103</v>
      </c>
      <c r="C117" s="1263">
        <v>1.0900000000000001</v>
      </c>
      <c r="D117" s="1263"/>
      <c r="E117" s="1262" t="s">
        <v>1124</v>
      </c>
      <c r="F117" s="1266">
        <f>ROUND(F113*F116+F114,1)</f>
        <v>80.7</v>
      </c>
      <c r="G117" s="1262"/>
      <c r="H117" s="1262"/>
      <c r="I117" s="1262"/>
      <c r="J117" s="1262"/>
      <c r="K117" s="1262"/>
      <c r="L117" s="1262"/>
      <c r="M117" s="1262"/>
      <c r="N117" s="1262"/>
      <c r="O117" s="1262"/>
    </row>
    <row r="118" spans="2:15" ht="27" customHeight="1">
      <c r="B118" s="1264" t="s">
        <v>1119</v>
      </c>
      <c r="C118" s="1265">
        <f>C113*C116*C117</f>
        <v>0.66843506949816034</v>
      </c>
      <c r="D118" s="1262" t="s">
        <v>1196</v>
      </c>
      <c r="E118" s="1262"/>
      <c r="F118" s="1262"/>
      <c r="G118" s="1262"/>
      <c r="H118" s="1262"/>
      <c r="I118" s="1262"/>
      <c r="J118" s="1262"/>
      <c r="K118" s="1262"/>
      <c r="L118" s="1262"/>
      <c r="M118" s="1262"/>
      <c r="N118" s="1262"/>
      <c r="O118" s="1262"/>
    </row>
    <row r="119" spans="2:15">
      <c r="B119" s="1264" t="s">
        <v>1120</v>
      </c>
      <c r="C119" s="1265">
        <f>F117</f>
        <v>80.7</v>
      </c>
      <c r="D119" s="1266">
        <v>71.599999999999994</v>
      </c>
      <c r="E119" s="1262"/>
      <c r="F119" s="1262"/>
      <c r="G119" s="1262"/>
      <c r="H119" s="1262"/>
      <c r="I119" s="1262"/>
      <c r="J119" s="1262"/>
      <c r="K119" s="1262"/>
      <c r="L119" s="1262"/>
      <c r="M119" s="1262"/>
      <c r="N119" s="1262"/>
      <c r="O119" s="1262"/>
    </row>
    <row r="120" spans="2:15">
      <c r="B120" s="1262"/>
      <c r="C120" s="1268"/>
      <c r="D120" s="1263"/>
      <c r="E120" s="1262"/>
      <c r="F120" s="1262"/>
      <c r="G120" s="1262"/>
      <c r="H120" s="1262"/>
      <c r="I120" s="1262"/>
      <c r="J120" s="1262"/>
      <c r="K120" s="1262"/>
      <c r="L120" s="1262"/>
      <c r="M120" s="1262"/>
      <c r="N120" s="1262"/>
      <c r="O120" s="1262"/>
    </row>
    <row r="121" spans="2:15">
      <c r="B121" s="1262"/>
      <c r="C121" s="1262"/>
      <c r="D121" s="1262"/>
      <c r="E121" s="1262"/>
      <c r="F121" s="1262"/>
      <c r="G121" s="1262"/>
      <c r="H121" s="1262"/>
      <c r="I121" s="1262"/>
      <c r="J121" s="1262"/>
      <c r="K121" s="1262"/>
      <c r="L121" s="1262"/>
      <c r="M121" s="1262"/>
      <c r="N121" s="1262"/>
      <c r="O121" s="1267"/>
    </row>
    <row r="122" spans="2:15" ht="30" customHeight="1">
      <c r="B122" s="1262" t="s">
        <v>1104</v>
      </c>
      <c r="C122" s="1263">
        <v>134</v>
      </c>
      <c r="D122" s="1262"/>
      <c r="E122" s="1262"/>
      <c r="F122" s="1262"/>
      <c r="G122" s="1262"/>
      <c r="H122" s="1262"/>
      <c r="I122" s="1262"/>
      <c r="J122" s="1262"/>
      <c r="K122" s="1262"/>
      <c r="L122" s="1262"/>
      <c r="M122" s="1262"/>
      <c r="N122" s="1262"/>
      <c r="O122" s="1262"/>
    </row>
    <row r="123" spans="2:15">
      <c r="B123" s="1262" t="s">
        <v>1105</v>
      </c>
      <c r="C123" s="1267">
        <f>K22/C122-1</f>
        <v>7.4626865671640896E-3</v>
      </c>
      <c r="D123" s="1262"/>
      <c r="E123" s="1262"/>
      <c r="F123" s="1262"/>
      <c r="G123" s="1262"/>
      <c r="H123" s="1262"/>
      <c r="I123" s="1262"/>
      <c r="J123" s="1262"/>
      <c r="K123" s="1262"/>
      <c r="L123" s="1262"/>
      <c r="M123" s="1262"/>
      <c r="N123" s="1262"/>
      <c r="O123" s="1262"/>
    </row>
    <row r="124" spans="2:15">
      <c r="B124" s="1262" t="s">
        <v>1106</v>
      </c>
      <c r="C124" s="1263">
        <v>74.150000000000006</v>
      </c>
      <c r="D124" s="1262"/>
      <c r="E124" s="1262"/>
      <c r="F124" s="1262"/>
      <c r="G124" s="1262"/>
      <c r="H124" s="1262"/>
      <c r="I124" s="1262"/>
      <c r="J124" s="1262"/>
      <c r="K124" s="1262"/>
      <c r="L124" s="1262"/>
      <c r="M124" s="1262"/>
      <c r="N124" s="1262"/>
      <c r="O124" s="1262"/>
    </row>
    <row r="125" spans="2:15">
      <c r="B125" s="1262" t="s">
        <v>840</v>
      </c>
      <c r="C125" s="1268">
        <f>K22/C124-1</f>
        <v>0.82063385030343894</v>
      </c>
      <c r="D125" s="1262"/>
      <c r="E125" s="1262"/>
      <c r="F125" s="1262"/>
      <c r="G125" s="1262"/>
      <c r="H125" s="1262"/>
      <c r="I125" s="1262"/>
      <c r="J125" s="1262"/>
      <c r="K125" s="1262"/>
      <c r="L125" s="1262"/>
      <c r="M125" s="1262"/>
      <c r="N125" s="1262"/>
      <c r="O125" s="1262"/>
    </row>
    <row r="126" spans="2:15">
      <c r="B126" s="1262"/>
      <c r="C126" s="1262"/>
      <c r="D126" s="1262"/>
      <c r="E126" s="1262"/>
      <c r="F126" s="1262"/>
      <c r="G126" s="1262"/>
      <c r="H126" s="1262"/>
      <c r="I126" s="1262"/>
      <c r="J126" s="1262"/>
      <c r="K126" s="1262"/>
      <c r="L126" s="1262"/>
      <c r="M126" s="1262"/>
      <c r="N126" s="1262"/>
      <c r="O126" s="1262"/>
    </row>
    <row r="127" spans="2:15">
      <c r="B127" s="1262"/>
      <c r="C127" s="1262"/>
      <c r="D127" s="1262"/>
      <c r="E127" s="1262"/>
      <c r="F127" s="1262"/>
      <c r="G127" s="1262"/>
      <c r="H127" s="1262"/>
      <c r="I127" s="1262"/>
      <c r="J127" s="1262"/>
      <c r="K127" s="1262"/>
      <c r="L127" s="1262"/>
      <c r="M127" s="1262"/>
      <c r="N127" s="1262"/>
      <c r="O127" s="1262"/>
    </row>
    <row r="128" spans="2:15">
      <c r="B128" s="1262"/>
      <c r="C128" s="1262"/>
      <c r="D128" s="1262"/>
      <c r="E128" s="1262"/>
      <c r="F128" s="1262"/>
      <c r="G128" s="1262"/>
      <c r="H128" s="1262"/>
      <c r="I128" s="1262"/>
      <c r="J128" s="1262"/>
      <c r="K128" s="1262"/>
      <c r="L128" s="1262"/>
      <c r="M128" s="1262"/>
      <c r="N128" s="1262"/>
      <c r="O128" s="1262"/>
    </row>
    <row r="129" spans="2:15">
      <c r="B129" s="1262"/>
      <c r="C129" s="1262"/>
      <c r="D129" s="1262"/>
      <c r="E129" s="1262"/>
      <c r="F129" s="1262"/>
      <c r="G129" s="1262"/>
      <c r="H129" s="1262"/>
      <c r="I129" s="1262"/>
      <c r="J129" s="1262"/>
      <c r="K129" s="1262"/>
      <c r="L129" s="1262"/>
      <c r="M129" s="1262"/>
      <c r="N129" s="1262"/>
      <c r="O129" s="1262"/>
    </row>
    <row r="130" spans="2:15">
      <c r="B130" s="1262"/>
      <c r="C130" s="1262"/>
      <c r="D130" s="1262"/>
      <c r="E130" s="1262"/>
      <c r="F130" s="1262"/>
      <c r="G130" s="1262"/>
      <c r="H130" s="1262"/>
      <c r="I130" s="1262"/>
      <c r="J130" s="1262"/>
      <c r="K130" s="1262"/>
      <c r="L130" s="1262"/>
      <c r="M130" s="1262"/>
      <c r="N130" s="1262"/>
      <c r="O130" s="1262"/>
    </row>
    <row r="131" spans="2:15">
      <c r="B131" s="1262"/>
      <c r="C131" s="1262"/>
      <c r="D131" s="1262"/>
      <c r="E131" s="1262"/>
      <c r="F131" s="1262"/>
      <c r="G131" s="1262"/>
      <c r="H131" s="1262"/>
      <c r="I131" s="1262"/>
      <c r="J131" s="1262"/>
      <c r="K131" s="1262"/>
      <c r="L131" s="1262"/>
      <c r="M131" s="1262"/>
      <c r="N131" s="1262"/>
      <c r="O131" s="1262"/>
    </row>
    <row r="132" spans="2:15">
      <c r="B132" s="1262"/>
      <c r="C132" s="1262"/>
      <c r="D132" s="1262"/>
      <c r="E132" s="1262"/>
      <c r="F132" s="1262"/>
      <c r="G132" s="1262"/>
      <c r="H132" s="1262"/>
      <c r="I132" s="1262"/>
      <c r="J132" s="1262"/>
      <c r="K132" s="1262"/>
      <c r="L132" s="1262"/>
      <c r="M132" s="1262"/>
      <c r="N132" s="1262"/>
      <c r="O132" s="1262"/>
    </row>
    <row r="133" spans="2:15">
      <c r="B133" s="1262"/>
      <c r="C133" s="1262"/>
      <c r="D133" s="1262"/>
      <c r="E133" s="1262"/>
      <c r="F133" s="1262"/>
      <c r="G133" s="1262"/>
      <c r="H133" s="1262"/>
      <c r="I133" s="1269">
        <v>2024</v>
      </c>
      <c r="J133" s="1269">
        <v>2025</v>
      </c>
      <c r="K133" s="1269">
        <v>2026</v>
      </c>
      <c r="L133" s="1269">
        <v>2027</v>
      </c>
      <c r="M133" s="1269"/>
      <c r="N133" s="1269"/>
      <c r="O133" s="1262"/>
    </row>
    <row r="134" spans="2:15" s="487" customFormat="1">
      <c r="B134" s="1264"/>
      <c r="C134" s="1264" t="s">
        <v>123</v>
      </c>
      <c r="D134" s="1264" t="s">
        <v>1142</v>
      </c>
      <c r="E134" s="1264" t="s">
        <v>1143</v>
      </c>
      <c r="F134" s="1264"/>
      <c r="G134" s="1264"/>
      <c r="H134" s="1264"/>
      <c r="I134" s="1270" t="s">
        <v>1144</v>
      </c>
      <c r="J134" s="1270" t="s">
        <v>1145</v>
      </c>
      <c r="K134" s="1270" t="s">
        <v>1146</v>
      </c>
      <c r="L134" s="1270" t="s">
        <v>1147</v>
      </c>
      <c r="M134" s="1270"/>
      <c r="N134" s="1270" t="s">
        <v>1106</v>
      </c>
      <c r="O134" s="1264"/>
    </row>
    <row r="135" spans="2:15">
      <c r="B135" s="1262" t="s">
        <v>1148</v>
      </c>
      <c r="C135" s="1262" t="s">
        <v>1149</v>
      </c>
      <c r="D135" s="1268" t="e">
        <f t="shared" ref="D135:D153" si="41">AVERAGE(J135/I135-1,K135/J135-1)</f>
        <v>#VALUE!</v>
      </c>
      <c r="E135" s="1271" t="e">
        <f t="shared" ref="E135:E153" si="42">N135/J135</f>
        <v>#VALUE!</v>
      </c>
      <c r="F135" s="1262" t="e">
        <f t="shared" ref="F135:F153" si="43">E135/D135</f>
        <v>#VALUE!</v>
      </c>
      <c r="G135" s="1262"/>
      <c r="H135" s="1262"/>
      <c r="I135" s="1272" t="str" cm="1">
        <f t="array" ref="I135">_xll.QueryTool.Functions.GQ($C135,"EPS_PUB",I$133,"Pricing")</f>
        <v>Error: RTD method of WorksheetFunction class failed</v>
      </c>
      <c r="J135" s="1272" t="str" cm="1">
        <f t="array" ref="J135">_xll.QueryTool.Functions.GQ($C135,"EPS_PUB",J$133,"Pricing")</f>
        <v>Error: RTD method of WorksheetFunction class failed</v>
      </c>
      <c r="K135" s="1272" t="str" cm="1">
        <f t="array" ref="K135">_xll.QueryTool.Functions.GQ($C135,"EPS_PUB",K$133,"Pricing")</f>
        <v>Error: RTD method of WorksheetFunction class failed</v>
      </c>
      <c r="L135" s="1272" t="str" cm="1">
        <f t="array" ref="L135">_xll.QueryTool.Functions.GQ($C135,"EPS_PUB",L$133,"Pricing")</f>
        <v>Error: RTD method of WorksheetFunction class failed</v>
      </c>
      <c r="M135" s="1269"/>
      <c r="N135" s="1262">
        <f>_xll.RDP.Data(C135,"CF_LAST")</f>
        <v>135</v>
      </c>
      <c r="O135" s="1262"/>
    </row>
    <row r="136" spans="2:15">
      <c r="B136" s="1262" t="s">
        <v>1150</v>
      </c>
      <c r="C136" s="1262" t="s">
        <v>1195</v>
      </c>
      <c r="D136" s="1268" t="e">
        <f t="shared" si="41"/>
        <v>#VALUE!</v>
      </c>
      <c r="E136" s="1271" t="e">
        <f t="shared" si="42"/>
        <v>#VALUE!</v>
      </c>
      <c r="F136" s="1262" t="e">
        <f t="shared" si="43"/>
        <v>#VALUE!</v>
      </c>
      <c r="G136" s="1262"/>
      <c r="H136" s="1262"/>
      <c r="I136" s="1272" t="e">
        <f>I135/$C$117</f>
        <v>#VALUE!</v>
      </c>
      <c r="J136" s="1272" t="e">
        <f>J135/$C$117</f>
        <v>#VALUE!</v>
      </c>
      <c r="K136" s="1272" t="e">
        <f>K135/$C$117</f>
        <v>#VALUE!</v>
      </c>
      <c r="L136" s="1272" t="e">
        <f>L135/$C$117</f>
        <v>#VALUE!</v>
      </c>
      <c r="M136" s="1269"/>
      <c r="N136" s="1262">
        <f>_xll.RDP.Data(C136,"CF_LAST")</f>
        <v>214.98</v>
      </c>
      <c r="O136" s="1262"/>
    </row>
    <row r="137" spans="2:15">
      <c r="B137" s="1262" t="s">
        <v>1151</v>
      </c>
      <c r="C137" s="1262" t="s">
        <v>1152</v>
      </c>
      <c r="D137" s="1268" t="e">
        <f t="shared" si="41"/>
        <v>#VALUE!</v>
      </c>
      <c r="E137" s="1271" t="e">
        <f t="shared" si="42"/>
        <v>#VALUE!</v>
      </c>
      <c r="F137" s="1262" t="e">
        <f t="shared" si="43"/>
        <v>#VALUE!</v>
      </c>
      <c r="G137" s="1262"/>
      <c r="H137" s="1262"/>
      <c r="I137" s="1272" t="str" cm="1">
        <f t="array" ref="I137">_xll.QueryTool.Functions.GQ($C137,"EPS_PUB",I$133,"Pricing")</f>
        <v>Error: RTD method of WorksheetFunction class failed</v>
      </c>
      <c r="J137" s="1272" t="str" cm="1">
        <f t="array" ref="J137">_xll.QueryTool.Functions.GQ($C137,"EPS_PUB",J$133,"Pricing")</f>
        <v>Error: RTD method of WorksheetFunction class failed</v>
      </c>
      <c r="K137" s="1272" t="str" cm="1">
        <f t="array" ref="K137">_xll.QueryTool.Functions.GQ($C137,"EPS_PUB",K$133,"Pricing")</f>
        <v>Error: RTD method of WorksheetFunction class failed</v>
      </c>
      <c r="L137" s="1272" t="str" cm="1">
        <f t="array" ref="L137">_xll.QueryTool.Functions.GQ($C137,"EPS_PUB",L$133,"Pricing")</f>
        <v>Error: RTD method of WorksheetFunction class failed</v>
      </c>
      <c r="M137" s="1269"/>
      <c r="N137" s="1262">
        <f>_xll.RDP.Data(C137,"CF_LAST")</f>
        <v>2295</v>
      </c>
      <c r="O137" s="1262"/>
    </row>
    <row r="138" spans="2:15">
      <c r="B138" s="1262" t="s">
        <v>1153</v>
      </c>
      <c r="C138" s="1262" t="s">
        <v>1154</v>
      </c>
      <c r="D138" s="1268" t="e">
        <f t="shared" si="41"/>
        <v>#VALUE!</v>
      </c>
      <c r="E138" s="1271" t="e">
        <f t="shared" si="42"/>
        <v>#VALUE!</v>
      </c>
      <c r="F138" s="1262" t="e">
        <f t="shared" si="43"/>
        <v>#VALUE!</v>
      </c>
      <c r="G138" s="1262"/>
      <c r="H138" s="1262"/>
      <c r="I138" s="1272" t="str" cm="1">
        <f t="array" ref="I138">_xll.QueryTool.Functions.GQ($C138,"EPS_PUB",I$133,"Pricing")</f>
        <v>Error: RTD method of WorksheetFunction class failed</v>
      </c>
      <c r="J138" s="1272" t="str" cm="1">
        <f t="array" ref="J138">_xll.QueryTool.Functions.GQ($C138,"EPS_PUB",J$133,"Pricing")</f>
        <v>Error: RTD method of WorksheetFunction class failed</v>
      </c>
      <c r="K138" s="1272" t="str" cm="1">
        <f t="array" ref="K138">_xll.QueryTool.Functions.GQ($C138,"EPS_PUB",K$133,"Pricing")</f>
        <v>Error: RTD method of WorksheetFunction class failed</v>
      </c>
      <c r="L138" s="1272" t="str" cm="1">
        <f t="array" ref="L138">_xll.QueryTool.Functions.GQ($C138,"EPS_PUB",L$133,"Pricing")</f>
        <v>Error: RTD method of WorksheetFunction class failed</v>
      </c>
      <c r="M138" s="1269"/>
      <c r="N138" s="1262">
        <f>_xll.RDP.Data(C138,"CF_LAST")</f>
        <v>415.17</v>
      </c>
      <c r="O138" s="1262"/>
    </row>
    <row r="139" spans="2:15">
      <c r="B139" s="1262" t="s">
        <v>908</v>
      </c>
      <c r="C139" s="1262" t="s">
        <v>1155</v>
      </c>
      <c r="D139" s="1268" t="e">
        <f t="shared" si="41"/>
        <v>#VALUE!</v>
      </c>
      <c r="E139" s="1271" t="e">
        <f t="shared" si="42"/>
        <v>#VALUE!</v>
      </c>
      <c r="F139" s="1262" t="e">
        <f t="shared" si="43"/>
        <v>#VALUE!</v>
      </c>
      <c r="G139" s="1262"/>
      <c r="H139" s="1262"/>
      <c r="I139" s="1272" t="str" cm="1">
        <f t="array" ref="I139">_xll.QueryTool.Functions.GQ($C139,"EPS_PUB",I$133,"Pricing")</f>
        <v>Error: RTD method of WorksheetFunction class failed</v>
      </c>
      <c r="J139" s="1272" t="str" cm="1">
        <f t="array" ref="J139">_xll.QueryTool.Functions.GQ($C139,"EPS_PUB",J$133,"Pricing")</f>
        <v>Error: RTD method of WorksheetFunction class failed</v>
      </c>
      <c r="K139" s="1272" t="str" cm="1">
        <f t="array" ref="K139">_xll.QueryTool.Functions.GQ($C139,"EPS_PUB",K$133,"Pricing")</f>
        <v>Error: RTD method of WorksheetFunction class failed</v>
      </c>
      <c r="L139" s="1272" t="str" cm="1">
        <f t="array" ref="L139">_xll.QueryTool.Functions.GQ($C139,"EPS_PUB",L$133,"Pricing")</f>
        <v>Error: RTD method of WorksheetFunction class failed</v>
      </c>
      <c r="M139" s="1269"/>
      <c r="N139" s="1262">
        <f>_xll.RDP.Data(C139,"CF_LAST")</f>
        <v>121</v>
      </c>
      <c r="O139" s="1262"/>
    </row>
    <row r="140" spans="2:15">
      <c r="B140" s="1262" t="s">
        <v>909</v>
      </c>
      <c r="C140" s="1262" t="s">
        <v>1156</v>
      </c>
      <c r="D140" s="1268" t="e">
        <f t="shared" si="41"/>
        <v>#VALUE!</v>
      </c>
      <c r="E140" s="1271" t="e">
        <f t="shared" si="42"/>
        <v>#VALUE!</v>
      </c>
      <c r="F140" s="1262" t="e">
        <f t="shared" si="43"/>
        <v>#VALUE!</v>
      </c>
      <c r="G140" s="1262"/>
      <c r="H140" s="1262"/>
      <c r="I140" s="1272" t="str" cm="1">
        <f t="array" ref="I140">_xll.QueryTool.Functions.GQ($C140,"EPS_PUB",I$133,"Pricing")</f>
        <v>Error: RTD method of WorksheetFunction class failed</v>
      </c>
      <c r="J140" s="1272" t="str" cm="1">
        <f t="array" ref="J140">_xll.QueryTool.Functions.GQ($C140,"EPS_PUB",J$133,"Pricing")</f>
        <v>Error: RTD method of WorksheetFunction class failed</v>
      </c>
      <c r="K140" s="1272" t="str" cm="1">
        <f t="array" ref="K140">_xll.QueryTool.Functions.GQ($C140,"EPS_PUB",K$133,"Pricing")</f>
        <v>Error: RTD method of WorksheetFunction class failed</v>
      </c>
      <c r="L140" s="1272" t="str" cm="1">
        <f t="array" ref="L140">_xll.QueryTool.Functions.GQ($C140,"EPS_PUB",L$133,"Pricing")</f>
        <v>Error: RTD method of WorksheetFunction class failed</v>
      </c>
      <c r="M140" s="1269"/>
      <c r="N140" s="1262">
        <f>_xll.RDP.Data(C140,"CF_LAST")</f>
        <v>156.5</v>
      </c>
      <c r="O140" s="1262"/>
    </row>
    <row r="141" spans="2:15">
      <c r="B141" s="1262" t="s">
        <v>1157</v>
      </c>
      <c r="C141" s="1262" t="s">
        <v>1091</v>
      </c>
      <c r="D141" s="1268" t="e">
        <f t="shared" si="41"/>
        <v>#VALUE!</v>
      </c>
      <c r="E141" s="1271" t="e">
        <f t="shared" si="42"/>
        <v>#VALUE!</v>
      </c>
      <c r="F141" s="1262" t="e">
        <f t="shared" si="43"/>
        <v>#VALUE!</v>
      </c>
      <c r="G141" s="1262"/>
      <c r="H141" s="1262"/>
      <c r="I141" s="1272" t="str" cm="1">
        <f t="array" ref="I141">_xll.QueryTool.Functions.GQ($C141,"EPS_PUB",I$133,"Pricing")</f>
        <v>Error: RTD method of WorksheetFunction class failed</v>
      </c>
      <c r="J141" s="1272" t="str" cm="1">
        <f t="array" ref="J141">_xll.QueryTool.Functions.GQ($C141,"EPS_PUB",J$133,"Pricing")</f>
        <v>Error: RTD method of WorksheetFunction class failed</v>
      </c>
      <c r="K141" s="1272" t="str" cm="1">
        <f t="array" ref="K141">_xll.QueryTool.Functions.GQ($C141,"EPS_PUB",K$133,"Pricing")</f>
        <v>Error: RTD method of WorksheetFunction class failed</v>
      </c>
      <c r="L141" s="1272" t="str" cm="1">
        <f t="array" ref="L141">_xll.QueryTool.Functions.GQ($C141,"EPS_PUB",L$133,"Pricing")</f>
        <v>Error: RTD method of WorksheetFunction class failed</v>
      </c>
      <c r="M141" s="1269"/>
      <c r="N141" s="1262">
        <f>_xll.RDP.Data(C141,"CF_LAST")</f>
        <v>122.3</v>
      </c>
      <c r="O141" s="1262"/>
    </row>
    <row r="142" spans="2:15">
      <c r="B142" s="1262" t="s">
        <v>1158</v>
      </c>
      <c r="C142" s="1262" t="s">
        <v>703</v>
      </c>
      <c r="D142" s="1268" t="e">
        <f t="shared" si="41"/>
        <v>#VALUE!</v>
      </c>
      <c r="E142" s="1271" t="e">
        <f t="shared" si="42"/>
        <v>#VALUE!</v>
      </c>
      <c r="F142" s="1262" t="e">
        <f t="shared" si="43"/>
        <v>#VALUE!</v>
      </c>
      <c r="G142" s="1262"/>
      <c r="H142" s="1262"/>
      <c r="I142" s="1272" t="str" cm="1">
        <f t="array" ref="I142">_xll.QueryTool.Functions.GQ($C142,"EPS_PUB",I$133,"Pricing")</f>
        <v>Error: RTD method of WorksheetFunction class failed</v>
      </c>
      <c r="J142" s="1272" t="str" cm="1">
        <f t="array" ref="J142">_xll.QueryTool.Functions.GQ($C142,"EPS_PUB",J$133,"Pricing")</f>
        <v>Error: RTD method of WorksheetFunction class failed</v>
      </c>
      <c r="K142" s="1272" t="str" cm="1">
        <f t="array" ref="K142">_xll.QueryTool.Functions.GQ($C142,"EPS_PUB",K$133,"Pricing")</f>
        <v>Error: RTD method of WorksheetFunction class failed</v>
      </c>
      <c r="L142" s="1272" t="str" cm="1">
        <f t="array" ref="L142">_xll.QueryTool.Functions.GQ($C142,"EPS_PUB",L$133,"Pricing")</f>
        <v>Error: RTD method of WorksheetFunction class failed</v>
      </c>
      <c r="M142" s="1269"/>
      <c r="N142" s="1262">
        <f>_xll.RDP.Data(C142,"CF_LAST")</f>
        <v>71.95</v>
      </c>
      <c r="O142" s="1262"/>
    </row>
    <row r="143" spans="2:15">
      <c r="B143" s="1262" t="s">
        <v>1159</v>
      </c>
      <c r="C143" s="1262" t="s">
        <v>1160</v>
      </c>
      <c r="D143" s="1268" t="e">
        <f t="shared" si="41"/>
        <v>#VALUE!</v>
      </c>
      <c r="E143" s="1271" t="e">
        <f t="shared" si="42"/>
        <v>#VALUE!</v>
      </c>
      <c r="F143" s="1262" t="e">
        <f t="shared" si="43"/>
        <v>#VALUE!</v>
      </c>
      <c r="G143" s="1262"/>
      <c r="H143" s="1262"/>
      <c r="I143" s="1272" t="str" cm="1">
        <f t="array" ref="I143">_xll.QueryTool.Functions.GQ($C143,"EPS_PUB",I$133,"Pricing")</f>
        <v>Error: RTD method of WorksheetFunction class failed</v>
      </c>
      <c r="J143" s="1272" t="str" cm="1">
        <f t="array" ref="J143">_xll.QueryTool.Functions.GQ($C143,"EPS_PUB",J$133,"Pricing")</f>
        <v>Error: RTD method of WorksheetFunction class failed</v>
      </c>
      <c r="K143" s="1272" t="str" cm="1">
        <f t="array" ref="K143">_xll.QueryTool.Functions.GQ($C143,"EPS_PUB",K$133,"Pricing")</f>
        <v>Error: RTD method of WorksheetFunction class failed</v>
      </c>
      <c r="L143" s="1272" t="str" cm="1">
        <f t="array" ref="L143">_xll.QueryTool.Functions.GQ($C143,"EPS_PUB",L$133,"Pricing")</f>
        <v>Error: RTD method of WorksheetFunction class failed</v>
      </c>
      <c r="M143" s="1269"/>
      <c r="N143" s="1262">
        <f>_xll.RDP.Data(C143,"CF_LAST")</f>
        <v>38.299999999999997</v>
      </c>
      <c r="O143" s="1262"/>
    </row>
    <row r="144" spans="2:15">
      <c r="B144" s="1262" t="s">
        <v>1161</v>
      </c>
      <c r="C144" s="1262" t="s">
        <v>1162</v>
      </c>
      <c r="D144" s="1268" t="e">
        <f t="shared" si="41"/>
        <v>#VALUE!</v>
      </c>
      <c r="E144" s="1271" t="e">
        <f t="shared" si="42"/>
        <v>#VALUE!</v>
      </c>
      <c r="F144" s="1262" t="e">
        <f t="shared" si="43"/>
        <v>#VALUE!</v>
      </c>
      <c r="G144" s="1262"/>
      <c r="H144" s="1262"/>
      <c r="I144" s="1272" t="str" cm="1">
        <f t="array" ref="I144">_xll.QueryTool.Functions.GQ($C144,"EPS_PUB",I$133,"Pricing")</f>
        <v>Error: RTD method of WorksheetFunction class failed</v>
      </c>
      <c r="J144" s="1272" t="str" cm="1">
        <f t="array" ref="J144">_xll.QueryTool.Functions.GQ($C144,"EPS_PUB",J$133,"Pricing")</f>
        <v>Error: RTD method of WorksheetFunction class failed</v>
      </c>
      <c r="K144" s="1272" t="str" cm="1">
        <f t="array" ref="K144">_xll.QueryTool.Functions.GQ($C144,"EPS_PUB",K$133,"Pricing")</f>
        <v>Error: RTD method of WorksheetFunction class failed</v>
      </c>
      <c r="L144" s="1272" t="str" cm="1">
        <f t="array" ref="L144">_xll.QueryTool.Functions.GQ($C144,"EPS_PUB",L$133,"Pricing")</f>
        <v>Error: RTD method of WorksheetFunction class failed</v>
      </c>
      <c r="M144" s="1269"/>
      <c r="N144" s="1262">
        <f>_xll.RDP.Data(C144,"CF_LAST")</f>
        <v>62.6</v>
      </c>
      <c r="O144" s="1262"/>
    </row>
    <row r="145" spans="2:15">
      <c r="B145" s="1262" t="s">
        <v>1163</v>
      </c>
      <c r="C145" s="1262" t="s">
        <v>1164</v>
      </c>
      <c r="D145" s="1268"/>
      <c r="E145" s="1271"/>
      <c r="F145" s="1262"/>
      <c r="G145" s="1262"/>
      <c r="H145" s="1262"/>
      <c r="I145" s="1272" t="str" cm="1">
        <f t="array" ref="I145">_xll.QueryTool.Functions.GQ($C145,"EPS_PUB",I$133,"Pricing")</f>
        <v>Error: RTD method of WorksheetFunction class failed</v>
      </c>
      <c r="J145" s="1272" t="str" cm="1">
        <f t="array" ref="J145">_xll.QueryTool.Functions.GQ($C145,"EPS_PUB",J$133,"Pricing")</f>
        <v>Error: RTD method of WorksheetFunction class failed</v>
      </c>
      <c r="K145" s="1272" t="str" cm="1">
        <f t="array" ref="K145">_xll.QueryTool.Functions.GQ($C145,"EPS_PUB",K$133,"Pricing")</f>
        <v>Error: RTD method of WorksheetFunction class failed</v>
      </c>
      <c r="L145" s="1272" t="str" cm="1">
        <f t="array" ref="L145">_xll.QueryTool.Functions.GQ($C145,"EPS_PUB",L$133,"Pricing")</f>
        <v>Error: RTD method of WorksheetFunction class failed</v>
      </c>
      <c r="M145" s="1269"/>
      <c r="N145" s="1262">
        <f>_xll.RDP.Data(C145,"CF_LAST")</f>
        <v>16.440000000000001</v>
      </c>
      <c r="O145" s="1262"/>
    </row>
    <row r="146" spans="2:15">
      <c r="B146" s="1262" t="s">
        <v>1165</v>
      </c>
      <c r="C146" s="1262" t="s">
        <v>1166</v>
      </c>
      <c r="D146" s="1268">
        <f t="shared" si="41"/>
        <v>1.1461538461538461</v>
      </c>
      <c r="E146" s="1271">
        <f t="shared" si="42"/>
        <v>91.857142857142861</v>
      </c>
      <c r="F146" s="1262">
        <f t="shared" si="43"/>
        <v>80.143815915628011</v>
      </c>
      <c r="G146" s="1262"/>
      <c r="H146" s="1262"/>
      <c r="I146" s="1273">
        <v>0.13</v>
      </c>
      <c r="J146" s="1273">
        <v>0.35</v>
      </c>
      <c r="K146" s="1273">
        <v>0.56000000000000005</v>
      </c>
      <c r="L146" s="1273">
        <v>0.84</v>
      </c>
      <c r="M146" s="1262"/>
      <c r="N146" s="1262">
        <f>_xll.RDP.Data(C146,"CF_LAST")</f>
        <v>32.15</v>
      </c>
      <c r="O146" s="1262"/>
    </row>
    <row r="147" spans="2:15">
      <c r="B147" s="1262" t="s">
        <v>1167</v>
      </c>
      <c r="C147" s="1262" t="s">
        <v>1168</v>
      </c>
      <c r="D147" s="1268"/>
      <c r="E147" s="1271"/>
      <c r="F147" s="1262"/>
      <c r="G147" s="1262"/>
      <c r="H147" s="1262"/>
      <c r="I147" s="1273"/>
      <c r="J147" s="1273"/>
      <c r="K147" s="1273"/>
      <c r="L147" s="1262"/>
      <c r="M147" s="1262"/>
      <c r="N147" s="1262"/>
      <c r="O147" s="1262"/>
    </row>
    <row r="148" spans="2:15">
      <c r="B148" s="1262" t="s">
        <v>1169</v>
      </c>
      <c r="C148" s="1262" t="s">
        <v>1170</v>
      </c>
      <c r="D148" s="1268"/>
      <c r="E148" s="1271"/>
      <c r="F148" s="1262"/>
      <c r="G148" s="1262"/>
      <c r="H148" s="1262"/>
      <c r="I148" s="1273"/>
      <c r="J148" s="1273"/>
      <c r="K148" s="1273"/>
      <c r="L148" s="1262"/>
      <c r="M148" s="1262"/>
      <c r="N148" s="1262"/>
      <c r="O148" s="1262"/>
    </row>
    <row r="149" spans="2:15">
      <c r="B149" s="1262" t="s">
        <v>1171</v>
      </c>
      <c r="C149" s="1262" t="s">
        <v>1172</v>
      </c>
      <c r="D149" s="1268">
        <f t="shared" si="41"/>
        <v>0.13093247332377767</v>
      </c>
      <c r="E149" s="1271">
        <f t="shared" si="42"/>
        <v>46.913043478260867</v>
      </c>
      <c r="F149" s="1262">
        <f t="shared" si="43"/>
        <v>358.29952866048353</v>
      </c>
      <c r="G149" s="1262"/>
      <c r="H149" s="1262"/>
      <c r="I149" s="1273">
        <v>1.56</v>
      </c>
      <c r="J149" s="1273">
        <v>1.61</v>
      </c>
      <c r="K149" s="1273">
        <v>1.98</v>
      </c>
      <c r="L149" s="1274">
        <v>2.4900000000000002</v>
      </c>
      <c r="M149" s="1262"/>
      <c r="N149" s="1262">
        <f>_xll.RDP.Data(O149,"CF_LAST")</f>
        <v>75.53</v>
      </c>
      <c r="O149" s="1262" t="s">
        <v>1197</v>
      </c>
    </row>
    <row r="150" spans="2:15">
      <c r="B150" s="1262" t="s">
        <v>1173</v>
      </c>
      <c r="C150" s="1262" t="s">
        <v>1174</v>
      </c>
      <c r="D150" s="1268">
        <f t="shared" si="41"/>
        <v>0.14573804573804561</v>
      </c>
      <c r="E150" s="1271">
        <f t="shared" si="42"/>
        <v>129.38461538461539</v>
      </c>
      <c r="F150" s="1262">
        <f t="shared" si="43"/>
        <v>887.78887303851718</v>
      </c>
      <c r="G150" s="1262"/>
      <c r="H150" s="1262"/>
      <c r="I150" s="1273">
        <v>1.85</v>
      </c>
      <c r="J150" s="1273">
        <v>1.82</v>
      </c>
      <c r="K150" s="1273">
        <v>2.38</v>
      </c>
      <c r="L150" s="1262"/>
      <c r="M150" s="1262"/>
      <c r="N150" s="1262">
        <f>_xll.RDP.Data(O150,"CF_LAST")</f>
        <v>235.48</v>
      </c>
      <c r="O150" s="1262" t="s">
        <v>1198</v>
      </c>
    </row>
    <row r="151" spans="2:15">
      <c r="B151" s="1262" t="s">
        <v>1055</v>
      </c>
      <c r="C151" s="1262" t="s">
        <v>1175</v>
      </c>
      <c r="D151" s="1268" t="e">
        <f t="shared" si="41"/>
        <v>#VALUE!</v>
      </c>
      <c r="E151" s="1271" t="e">
        <f t="shared" si="42"/>
        <v>#VALUE!</v>
      </c>
      <c r="F151" s="1262" t="e">
        <f t="shared" si="43"/>
        <v>#VALUE!</v>
      </c>
      <c r="G151" s="1262"/>
      <c r="H151" s="1262"/>
      <c r="I151" s="1272" t="str" cm="1">
        <f t="array" ref="I151">_xll.QueryTool.Functions.GQ($C151,"EPS_PUB",I$133,"Pricing")</f>
        <v>Error: RTD method of WorksheetFunction class failed</v>
      </c>
      <c r="J151" s="1272" t="str" cm="1">
        <f t="array" ref="J151">_xll.QueryTool.Functions.GQ($C151,"EPS_PUB",J$133,"Pricing")</f>
        <v>Error: RTD method of WorksheetFunction class failed</v>
      </c>
      <c r="K151" s="1272" t="str" cm="1">
        <f t="array" ref="K151">_xll.QueryTool.Functions.GQ($C151,"EPS_PUB",K$133,"Pricing")</f>
        <v>Error: RTD method of WorksheetFunction class failed</v>
      </c>
      <c r="L151" s="1272" t="str" cm="1">
        <f t="array" ref="L151">_xll.QueryTool.Functions.GQ($C151,"EPS_PUB",L$133,"Pricing")</f>
        <v>Error: RTD method of WorksheetFunction class failed</v>
      </c>
      <c r="M151" s="1269"/>
      <c r="N151" s="1262">
        <f>_xll.RDP.Data(C151,"CF_LAST")</f>
        <v>297000</v>
      </c>
      <c r="O151" s="1262"/>
    </row>
    <row r="152" spans="2:15">
      <c r="B152" s="1262" t="s">
        <v>1176</v>
      </c>
      <c r="C152" s="1262" t="s">
        <v>1177</v>
      </c>
      <c r="D152" s="1268">
        <f t="shared" si="41"/>
        <v>1.2285714285714284</v>
      </c>
      <c r="E152" s="1271">
        <f t="shared" si="42"/>
        <v>1073</v>
      </c>
      <c r="F152" s="1262">
        <f t="shared" si="43"/>
        <v>873.37209302325596</v>
      </c>
      <c r="G152" s="1262"/>
      <c r="H152" s="1262"/>
      <c r="I152" s="1272">
        <v>-0.35</v>
      </c>
      <c r="J152" s="1272">
        <v>0.05</v>
      </c>
      <c r="K152" s="1272">
        <v>0.23</v>
      </c>
      <c r="L152" s="1272">
        <v>0.44</v>
      </c>
      <c r="M152" s="1269"/>
      <c r="N152" s="1262">
        <f>_xll.RDP.Data(C152,"CF_LAST")</f>
        <v>53.65</v>
      </c>
      <c r="O152" s="1262"/>
    </row>
    <row r="153" spans="2:15">
      <c r="B153" s="1262" t="s">
        <v>1036</v>
      </c>
      <c r="C153" s="1262" t="s">
        <v>1178</v>
      </c>
      <c r="D153" s="1268">
        <f t="shared" si="41"/>
        <v>0.55089475549255851</v>
      </c>
      <c r="E153" s="1271">
        <f t="shared" si="42"/>
        <v>191.35294117647058</v>
      </c>
      <c r="F153" s="1262">
        <f t="shared" si="43"/>
        <v>347.3493607783227</v>
      </c>
      <c r="G153" s="1262"/>
      <c r="H153" s="1262"/>
      <c r="I153" s="1272">
        <v>0.83</v>
      </c>
      <c r="J153" s="1272">
        <v>1.36</v>
      </c>
      <c r="K153" s="1272">
        <v>1.99</v>
      </c>
      <c r="L153" s="1272">
        <v>2.57</v>
      </c>
      <c r="M153" s="1269"/>
      <c r="N153" s="1262">
        <f>_xll.RDP.Data(C153,"CF_LAST")</f>
        <v>260.24</v>
      </c>
      <c r="O153" s="1262"/>
    </row>
    <row r="154" spans="2:15">
      <c r="B154" s="1262" t="s">
        <v>1179</v>
      </c>
      <c r="C154" s="1262" t="s">
        <v>1180</v>
      </c>
      <c r="D154" s="1268"/>
      <c r="E154" s="1271"/>
      <c r="F154" s="1262"/>
      <c r="G154" s="1262"/>
      <c r="H154" s="1262"/>
      <c r="I154" s="1272" t="str" cm="1">
        <f t="array" ref="I154">_xll.QueryTool.Functions.GQ($C154,"EPS_PUB",I$133,"Pricing")</f>
        <v>Error: RTD method of WorksheetFunction class failed</v>
      </c>
      <c r="J154" s="1272" t="str" cm="1">
        <f t="array" ref="J154">_xll.QueryTool.Functions.GQ($C154,"EPS_PUB",J$133,"Pricing")</f>
        <v>Error: RTD method of WorksheetFunction class failed</v>
      </c>
      <c r="K154" s="1272" t="str" cm="1">
        <f t="array" ref="K154">_xll.QueryTool.Functions.GQ($C154,"EPS_PUB",K$133,"Pricing")</f>
        <v>Error: RTD method of WorksheetFunction class failed</v>
      </c>
      <c r="L154" s="1272" t="str" cm="1">
        <f t="array" ref="L154">_xll.QueryTool.Functions.GQ($C154,"EPS_PUB",L$133,"Pricing")</f>
        <v>Error: RTD method of WorksheetFunction class failed</v>
      </c>
      <c r="M154" s="1269"/>
      <c r="N154" s="1262">
        <f>_xll.RDP.Data(C154,"CF_LAST")</f>
        <v>95.64</v>
      </c>
      <c r="O154" s="1262"/>
    </row>
    <row r="155" spans="2:15">
      <c r="B155" s="1262"/>
      <c r="C155" s="1262"/>
      <c r="D155" s="1268"/>
      <c r="E155" s="1271"/>
      <c r="F155" s="1262"/>
      <c r="G155" s="1262"/>
      <c r="H155" s="1262"/>
      <c r="I155" s="1272"/>
      <c r="J155" s="1272"/>
      <c r="K155" s="1272"/>
      <c r="L155" s="1272"/>
      <c r="M155" s="1269"/>
      <c r="N155" s="1269"/>
      <c r="O155" s="1262"/>
    </row>
    <row r="156" spans="2:15">
      <c r="B156" s="1262"/>
      <c r="C156" s="1262"/>
      <c r="D156" s="1268"/>
      <c r="E156" s="1271"/>
      <c r="F156" s="1262"/>
      <c r="G156" s="1262"/>
      <c r="H156" s="1262"/>
      <c r="I156" s="1272"/>
      <c r="J156" s="1272"/>
      <c r="K156" s="1272"/>
      <c r="L156" s="1272"/>
      <c r="M156" s="1269"/>
      <c r="N156" s="1269"/>
      <c r="O156" s="1262"/>
    </row>
    <row r="157" spans="2:15">
      <c r="B157" s="1262" t="s">
        <v>1181</v>
      </c>
      <c r="C157" s="1262" t="s">
        <v>1182</v>
      </c>
      <c r="D157" s="1268" t="e">
        <f t="shared" ref="D157:D163" si="44">AVERAGE(J157/I157-1,K157/J157-1)</f>
        <v>#VALUE!</v>
      </c>
      <c r="E157" s="1271" t="e">
        <f t="shared" ref="E157:E163" si="45">N157/J157</f>
        <v>#VALUE!</v>
      </c>
      <c r="F157" s="1262" t="e">
        <f t="shared" ref="F157:F163" si="46">E157/D157</f>
        <v>#VALUE!</v>
      </c>
      <c r="G157" s="1262"/>
      <c r="H157" s="1262"/>
      <c r="I157" s="1272" t="str" cm="1">
        <f t="array" ref="I157">_xll.QueryTool.Functions.GQ($C157,"EPS_PUB",I$133,"Pricing")</f>
        <v>Error: RTD method of WorksheetFunction class failed</v>
      </c>
      <c r="J157" s="1272" t="str" cm="1">
        <f t="array" ref="J157">_xll.QueryTool.Functions.GQ($C157,"EPS_PUB",J$133,"Pricing")</f>
        <v>Error: RTD method of WorksheetFunction class failed</v>
      </c>
      <c r="K157" s="1272" t="str" cm="1">
        <f t="array" ref="K157">_xll.QueryTool.Functions.GQ($C157,"EPS_PUB",K$133,"Pricing")</f>
        <v>Error: RTD method of WorksheetFunction class failed</v>
      </c>
      <c r="L157" s="1272" t="str" cm="1">
        <f t="array" ref="L157">_xll.QueryTool.Functions.GQ($C157,"EPS_PUB",L$133,"Pricing")</f>
        <v>Error: RTD method of WorksheetFunction class failed</v>
      </c>
      <c r="M157" s="1269"/>
      <c r="N157" s="1262">
        <f>_xll.RDP.Data(C157,"CF_LAST")</f>
        <v>70.63</v>
      </c>
      <c r="O157" s="1262"/>
    </row>
    <row r="158" spans="2:15">
      <c r="B158" s="1262" t="s">
        <v>1183</v>
      </c>
      <c r="C158" s="1262" t="s">
        <v>1184</v>
      </c>
      <c r="D158" s="1268">
        <f t="shared" si="44"/>
        <v>0.47762762762762756</v>
      </c>
      <c r="E158" s="1271">
        <f t="shared" si="45"/>
        <v>84.405405405405403</v>
      </c>
      <c r="F158" s="1262">
        <f t="shared" si="46"/>
        <v>176.71801320339517</v>
      </c>
      <c r="G158" s="1262"/>
      <c r="H158" s="1262"/>
      <c r="I158" s="1273">
        <v>0.45</v>
      </c>
      <c r="J158" s="1273">
        <v>0.74</v>
      </c>
      <c r="K158" s="1273">
        <v>0.97</v>
      </c>
      <c r="L158" s="1274">
        <v>1.17</v>
      </c>
      <c r="M158" s="1262"/>
      <c r="N158" s="1262">
        <f>_xll.RDP.Data(C158,"CF_LAST")</f>
        <v>62.46</v>
      </c>
      <c r="O158" s="1262"/>
    </row>
    <row r="159" spans="2:15">
      <c r="B159" s="1262" t="s">
        <v>1185</v>
      </c>
      <c r="C159" s="1262" t="s">
        <v>1186</v>
      </c>
      <c r="D159" s="1268">
        <f t="shared" si="44"/>
        <v>0.23683025130393554</v>
      </c>
      <c r="E159" s="1271">
        <f t="shared" si="45"/>
        <v>41.359649122807021</v>
      </c>
      <c r="F159" s="1262">
        <f t="shared" si="46"/>
        <v>174.63837028880323</v>
      </c>
      <c r="G159" s="1268"/>
      <c r="H159" s="1268"/>
      <c r="I159" s="1273">
        <v>1.85</v>
      </c>
      <c r="J159" s="1273">
        <v>2.2799999999999998</v>
      </c>
      <c r="K159" s="1273">
        <v>2.83</v>
      </c>
      <c r="L159" s="1274">
        <v>3.37</v>
      </c>
      <c r="M159" s="1268"/>
      <c r="N159" s="1262">
        <f>_xll.RDP.Data(C159,"CF_LAST")</f>
        <v>94.3</v>
      </c>
      <c r="O159" s="1262"/>
    </row>
    <row r="160" spans="2:15">
      <c r="B160" s="1262" t="s">
        <v>1187</v>
      </c>
      <c r="C160" s="1262" t="s">
        <v>1188</v>
      </c>
      <c r="D160" s="1268" t="e">
        <f t="shared" si="44"/>
        <v>#VALUE!</v>
      </c>
      <c r="E160" s="1271" t="e">
        <f t="shared" si="45"/>
        <v>#VALUE!</v>
      </c>
      <c r="F160" s="1262" t="e">
        <f t="shared" si="46"/>
        <v>#VALUE!</v>
      </c>
      <c r="G160" s="1262"/>
      <c r="H160" s="1273"/>
      <c r="I160" s="1272" t="str" cm="1">
        <f t="array" ref="I160">_xll.QueryTool.Functions.GQ($C160,"EPS_PUB",I$133,"Pricing")</f>
        <v>Error: RTD method of WorksheetFunction class failed</v>
      </c>
      <c r="J160" s="1272" t="str" cm="1">
        <f t="array" ref="J160">_xll.QueryTool.Functions.GQ($C160,"EPS_PUB",J$133,"Pricing")</f>
        <v>Error: RTD method of WorksheetFunction class failed</v>
      </c>
      <c r="K160" s="1272" t="str" cm="1">
        <f t="array" ref="K160">_xll.QueryTool.Functions.GQ($C160,"EPS_PUB",K$133,"Pricing")</f>
        <v>Error: RTD method of WorksheetFunction class failed</v>
      </c>
      <c r="L160" s="1272" t="str" cm="1">
        <f t="array" ref="L160">_xll.QueryTool.Functions.GQ($C160,"EPS_PUB",L$133,"Pricing")</f>
        <v>Error: RTD method of WorksheetFunction class failed</v>
      </c>
      <c r="M160" s="1269"/>
      <c r="N160" s="1262">
        <f>_xll.RDP.Data(C160,"CF_LAST")</f>
        <v>433.75</v>
      </c>
      <c r="O160" s="1262"/>
    </row>
    <row r="161" spans="2:15">
      <c r="B161" s="1262" t="s">
        <v>1189</v>
      </c>
      <c r="C161" s="1262" t="s">
        <v>1190</v>
      </c>
      <c r="D161" s="1268" t="e">
        <f t="shared" si="44"/>
        <v>#VALUE!</v>
      </c>
      <c r="E161" s="1271" t="e">
        <f t="shared" si="45"/>
        <v>#VALUE!</v>
      </c>
      <c r="F161" s="1262" t="e">
        <f t="shared" si="46"/>
        <v>#VALUE!</v>
      </c>
      <c r="G161" s="1262"/>
      <c r="H161" s="1262"/>
      <c r="I161" s="1272" t="str" cm="1">
        <f t="array" ref="I161">_xll.QueryTool.Functions.GQ($C161,"EPS_PUB",I$133,"Pricing")</f>
        <v>Error: RTD method of WorksheetFunction class failed</v>
      </c>
      <c r="J161" s="1272" t="str" cm="1">
        <f t="array" ref="J161">_xll.QueryTool.Functions.GQ($C161,"EPS_PUB",J$133,"Pricing")</f>
        <v>Error: RTD method of WorksheetFunction class failed</v>
      </c>
      <c r="K161" s="1272" t="str" cm="1">
        <f t="array" ref="K161">_xll.QueryTool.Functions.GQ($C161,"EPS_PUB",K$133,"Pricing")</f>
        <v>Error: RTD method of WorksheetFunction class failed</v>
      </c>
      <c r="L161" s="1272" t="str" cm="1">
        <f t="array" ref="L161">_xll.QueryTool.Functions.GQ($C161,"EPS_PUB",L$133,"Pricing")</f>
        <v>Error: RTD method of WorksheetFunction class failed</v>
      </c>
      <c r="M161" s="1269"/>
      <c r="N161" s="1262">
        <f>_xll.RDP.Data(C161,"CF_LAST")</f>
        <v>586.58000000000004</v>
      </c>
      <c r="O161" s="1262"/>
    </row>
    <row r="162" spans="2:15">
      <c r="B162" s="1262" t="s">
        <v>1191</v>
      </c>
      <c r="C162" s="1262" t="s">
        <v>1192</v>
      </c>
      <c r="D162" s="1268" t="e">
        <f t="shared" si="44"/>
        <v>#VALUE!</v>
      </c>
      <c r="E162" s="1271" t="e">
        <f t="shared" si="45"/>
        <v>#VALUE!</v>
      </c>
      <c r="F162" s="1262" t="e">
        <f t="shared" si="46"/>
        <v>#VALUE!</v>
      </c>
      <c r="G162" s="1262"/>
      <c r="H162" s="1262"/>
      <c r="I162" s="1272" t="str" cm="1">
        <f t="array" ref="I162">_xll.QueryTool.Functions.GQ($C162,"EPS_PUB",I$133,"Pricing")</f>
        <v>Error: RTD method of WorksheetFunction class failed</v>
      </c>
      <c r="J162" s="1272" t="str" cm="1">
        <f t="array" ref="J162">_xll.QueryTool.Functions.GQ($C162,"EPS_PUB",J$133,"Pricing")</f>
        <v>Error: RTD method of WorksheetFunction class failed</v>
      </c>
      <c r="K162" s="1272" t="str" cm="1">
        <f t="array" ref="K162">_xll.QueryTool.Functions.GQ($C162,"EPS_PUB",K$133,"Pricing")</f>
        <v>Error: RTD method of WorksheetFunction class failed</v>
      </c>
      <c r="L162" s="1272" t="str" cm="1">
        <f t="array" ref="L162">_xll.QueryTool.Functions.GQ($C162,"EPS_PUB",L$133,"Pricing")</f>
        <v>Error: RTD method of WorksheetFunction class failed</v>
      </c>
      <c r="M162" s="1269"/>
      <c r="N162" s="1262">
        <f>_xll.RDP.Data(C162,"CF_LAST")</f>
        <v>265.42</v>
      </c>
      <c r="O162" s="1262"/>
    </row>
    <row r="163" spans="2:15">
      <c r="B163" s="1262" t="s">
        <v>989</v>
      </c>
      <c r="C163" s="1262" t="s">
        <v>1193</v>
      </c>
      <c r="D163" s="1268" t="e">
        <f t="shared" si="44"/>
        <v>#VALUE!</v>
      </c>
      <c r="E163" s="1271" t="e">
        <f t="shared" si="45"/>
        <v>#VALUE!</v>
      </c>
      <c r="F163" s="1262" t="e">
        <f t="shared" si="46"/>
        <v>#VALUE!</v>
      </c>
      <c r="G163" s="1262"/>
      <c r="H163" s="1262"/>
      <c r="I163" s="1272" t="str" cm="1">
        <f t="array" ref="I163">_xll.QueryTool.Functions.GQ($C163,"EPS_PUB",I$133,"Pricing")</f>
        <v>Error: RTD method of WorksheetFunction class failed</v>
      </c>
      <c r="J163" s="1272" t="str" cm="1">
        <f t="array" ref="J163">_xll.QueryTool.Functions.GQ($C163,"EPS_PUB",J$133,"Pricing")</f>
        <v>Error: RTD method of WorksheetFunction class failed</v>
      </c>
      <c r="K163" s="1272" t="str" cm="1">
        <f t="array" ref="K163">_xll.QueryTool.Functions.GQ($C163,"EPS_PUB",K$133,"Pricing")</f>
        <v>Error: RTD method of WorksheetFunction class failed</v>
      </c>
      <c r="L163" s="1272" t="str" cm="1">
        <f t="array" ref="L163">_xll.QueryTool.Functions.GQ($C163,"EPS_PUB",L$133,"Pricing")</f>
        <v>Error: RTD method of WorksheetFunction class failed</v>
      </c>
      <c r="M163" s="1269"/>
      <c r="N163" s="1262">
        <f>_xll.RDP.Data(C163,"CF_LAST")</f>
        <v>92.04</v>
      </c>
      <c r="O163" s="1262"/>
    </row>
    <row r="164" spans="2:15">
      <c r="B164" s="1262"/>
      <c r="C164" s="1262"/>
      <c r="D164" s="1268"/>
      <c r="E164" s="1271"/>
      <c r="F164" s="1262"/>
      <c r="G164" s="1262"/>
      <c r="H164" s="1262"/>
      <c r="I164" s="1273"/>
      <c r="J164" s="1273"/>
      <c r="K164" s="1273"/>
      <c r="L164" s="1273"/>
      <c r="M164" s="1262"/>
      <c r="N164" s="1262"/>
      <c r="O164" s="1262"/>
    </row>
    <row r="165" spans="2:15">
      <c r="B165" s="1262"/>
      <c r="C165" s="1262"/>
      <c r="D165" s="1262"/>
      <c r="E165" s="1262"/>
      <c r="F165" s="1262"/>
      <c r="G165" s="1262"/>
      <c r="H165" s="1262"/>
      <c r="I165" s="1262"/>
      <c r="J165" s="1262"/>
      <c r="K165" s="1262"/>
      <c r="L165" s="1262"/>
      <c r="M165" s="1262"/>
      <c r="N165" s="1262"/>
      <c r="O165" s="1262"/>
    </row>
    <row r="166" spans="2:15">
      <c r="B166" s="1262" t="s">
        <v>857</v>
      </c>
      <c r="C166" s="1262"/>
      <c r="D166" s="1262"/>
      <c r="E166" s="1262"/>
      <c r="F166" s="1262"/>
      <c r="G166" s="1262"/>
      <c r="H166" s="1262"/>
      <c r="I166" s="1262"/>
      <c r="J166" s="1262"/>
      <c r="K166" s="1262"/>
      <c r="L166" s="1262"/>
      <c r="M166" s="1262"/>
      <c r="N166" s="1262"/>
      <c r="O166" s="1262"/>
    </row>
    <row r="167" spans="2:15" s="487" customFormat="1">
      <c r="B167" s="1264"/>
      <c r="C167" s="1264" t="s">
        <v>123</v>
      </c>
      <c r="D167" s="1264" t="s">
        <v>1142</v>
      </c>
      <c r="E167" s="1264" t="s">
        <v>1143</v>
      </c>
      <c r="F167" s="1264"/>
      <c r="G167" s="1264"/>
      <c r="H167" s="1264"/>
      <c r="I167" s="1270" t="s">
        <v>1144</v>
      </c>
      <c r="J167" s="1270" t="s">
        <v>1145</v>
      </c>
      <c r="K167" s="1270" t="s">
        <v>1146</v>
      </c>
      <c r="L167" s="1270" t="s">
        <v>1147</v>
      </c>
      <c r="M167" s="1270"/>
      <c r="N167" s="1270" t="s">
        <v>1106</v>
      </c>
      <c r="O167" s="1264"/>
    </row>
    <row r="168" spans="2:15">
      <c r="B168" s="1262" t="s">
        <v>1148</v>
      </c>
      <c r="C168" s="1262" t="s">
        <v>1149</v>
      </c>
      <c r="D168" s="1268"/>
      <c r="E168" s="1271"/>
      <c r="F168" s="1262"/>
      <c r="G168" s="1262"/>
      <c r="H168" s="1262"/>
      <c r="I168" s="1272">
        <v>0.26411318496300001</v>
      </c>
      <c r="J168" s="1272">
        <v>0.37060104991699999</v>
      </c>
      <c r="K168" s="1272">
        <v>1.198830771186</v>
      </c>
      <c r="L168" s="1272">
        <v>1.6009653130120001</v>
      </c>
      <c r="M168" s="1269"/>
      <c r="N168" s="1269">
        <v>87.35</v>
      </c>
      <c r="O168" s="1262"/>
    </row>
    <row r="169" spans="2:15">
      <c r="B169" s="1262" t="s">
        <v>1150</v>
      </c>
      <c r="C169" s="1262" t="s">
        <v>1195</v>
      </c>
      <c r="D169" s="1268">
        <v>1.3373624341798462</v>
      </c>
      <c r="E169" s="1271">
        <v>338.25746553622281</v>
      </c>
      <c r="F169" s="1262">
        <v>252.92879244336135</v>
      </c>
      <c r="G169" s="1262"/>
      <c r="H169" s="1262"/>
      <c r="I169" s="1272">
        <v>0.24230567427798164</v>
      </c>
      <c r="J169" s="1272">
        <v>0.34000096322660545</v>
      </c>
      <c r="K169" s="1272">
        <v>1.0998447442073394</v>
      </c>
      <c r="L169" s="1272">
        <v>1.4687755165247707</v>
      </c>
      <c r="M169" s="1269"/>
      <c r="N169" s="1269">
        <v>114.56</v>
      </c>
      <c r="O169" s="1262"/>
    </row>
    <row r="170" spans="2:15">
      <c r="B170" s="1262" t="s">
        <v>1151</v>
      </c>
      <c r="C170" s="1262" t="s">
        <v>1152</v>
      </c>
      <c r="D170" s="1268">
        <v>0.30044579611895128</v>
      </c>
      <c r="E170" s="1271">
        <v>22.139277481758459</v>
      </c>
      <c r="F170" s="1262">
        <v>73.688092054359004</v>
      </c>
      <c r="G170" s="1262"/>
      <c r="H170" s="1262"/>
      <c r="I170" s="1272">
        <v>45.251072912977001</v>
      </c>
      <c r="J170" s="1272">
        <v>60.361408560207998</v>
      </c>
      <c r="K170" s="1272">
        <v>68.490850868438997</v>
      </c>
      <c r="L170" s="1272">
        <v>77.556813406569006</v>
      </c>
      <c r="M170" s="1269"/>
      <c r="N170" s="1269">
        <v>1400</v>
      </c>
      <c r="O170" s="1262"/>
    </row>
    <row r="171" spans="2:15">
      <c r="B171" s="1262" t="s">
        <v>1153</v>
      </c>
      <c r="C171" s="1262" t="s">
        <v>1154</v>
      </c>
      <c r="D171" s="1268"/>
      <c r="E171" s="1271"/>
      <c r="F171" s="1262"/>
      <c r="G171" s="1262"/>
      <c r="H171" s="1262"/>
      <c r="I171" s="1272">
        <v>7.0420563091419996</v>
      </c>
      <c r="J171" s="1272">
        <v>9.95134584897</v>
      </c>
      <c r="K171" s="1272">
        <v>11.808767391110001</v>
      </c>
      <c r="L171" s="1272">
        <v>13.371864380443</v>
      </c>
      <c r="M171" s="1269"/>
      <c r="N171" s="1269">
        <v>288.11</v>
      </c>
      <c r="O171" s="1262"/>
    </row>
    <row r="172" spans="2:15">
      <c r="B172" s="1262" t="s">
        <v>908</v>
      </c>
      <c r="C172" s="1262" t="s">
        <v>1155</v>
      </c>
      <c r="D172" s="1268">
        <v>-0.10696259927079654</v>
      </c>
      <c r="E172" s="1271">
        <v>13.030068912935269</v>
      </c>
      <c r="F172" s="1262">
        <v>-121.81892551009466</v>
      </c>
      <c r="G172" s="1262"/>
      <c r="H172" s="1262"/>
      <c r="I172" s="1272">
        <v>3.7995720555710002</v>
      </c>
      <c r="J172" s="1272">
        <v>2.511286755839</v>
      </c>
      <c r="K172" s="1272">
        <v>2.7674807464329998</v>
      </c>
      <c r="L172" s="1272">
        <v>2.8618894987769998</v>
      </c>
      <c r="M172" s="1269"/>
      <c r="N172" s="1269">
        <v>43.85</v>
      </c>
      <c r="O172" s="1262"/>
    </row>
    <row r="173" spans="2:15">
      <c r="B173" s="1262" t="s">
        <v>909</v>
      </c>
      <c r="C173" s="1262" t="s">
        <v>1156</v>
      </c>
      <c r="D173" s="1268">
        <v>0.16301089428909132</v>
      </c>
      <c r="E173" s="1271">
        <v>18.217866102051314</v>
      </c>
      <c r="F173" s="1262">
        <v>111.75858019490941</v>
      </c>
      <c r="G173" s="1262"/>
      <c r="H173" s="1262"/>
      <c r="I173" s="1272">
        <v>4.2792247818159996</v>
      </c>
      <c r="J173" s="1272">
        <v>4.9944812602999997</v>
      </c>
      <c r="K173" s="1272">
        <v>5.3016682942450002</v>
      </c>
      <c r="L173" s="1272">
        <v>5.5023983576819999</v>
      </c>
      <c r="M173" s="1269"/>
      <c r="N173" s="1269">
        <v>101.5</v>
      </c>
      <c r="O173" s="1262"/>
    </row>
    <row r="174" spans="2:15">
      <c r="B174" s="1262" t="s">
        <v>1157</v>
      </c>
      <c r="C174" s="1262" t="s">
        <v>1091</v>
      </c>
      <c r="D174" s="1268">
        <v>0.61521732884745817</v>
      </c>
      <c r="E174" s="1271">
        <v>172.97522314767076</v>
      </c>
      <c r="F174" s="1262">
        <v>281.1611686421785</v>
      </c>
      <c r="G174" s="1262"/>
      <c r="H174" s="1262"/>
      <c r="I174" s="1272">
        <v>0.44549735080500003</v>
      </c>
      <c r="J174" s="1272">
        <v>0.69517073572400001</v>
      </c>
      <c r="K174" s="1272">
        <v>1.164955787212</v>
      </c>
      <c r="L174" s="1272">
        <v>1.5984580884899999</v>
      </c>
      <c r="M174" s="1269"/>
      <c r="N174" s="1269">
        <v>140.13</v>
      </c>
      <c r="O174" s="1262"/>
    </row>
    <row r="175" spans="2:15">
      <c r="B175" s="1262" t="s">
        <v>1158</v>
      </c>
      <c r="C175" s="1262" t="s">
        <v>703</v>
      </c>
      <c r="D175" s="1268">
        <v>0.62362014670469612</v>
      </c>
      <c r="E175" s="1271">
        <v>100.00946657175786</v>
      </c>
      <c r="F175" s="1262">
        <v>160.36920407434417</v>
      </c>
      <c r="G175" s="1262"/>
      <c r="H175" s="1262"/>
      <c r="I175" s="1272">
        <v>0.48306253267499999</v>
      </c>
      <c r="J175" s="1272">
        <v>0.75084292538700004</v>
      </c>
      <c r="K175" s="1272">
        <v>1.272353893147</v>
      </c>
      <c r="L175" s="1272">
        <v>1.745821081151</v>
      </c>
      <c r="M175" s="1269"/>
      <c r="N175" s="1269">
        <v>90.2</v>
      </c>
      <c r="O175" s="1262"/>
    </row>
    <row r="176" spans="2:15">
      <c r="B176" s="1262" t="s">
        <v>1159</v>
      </c>
      <c r="C176" s="1262" t="s">
        <v>1160</v>
      </c>
      <c r="D176" s="1268"/>
      <c r="E176" s="1262"/>
      <c r="F176" s="1262"/>
      <c r="G176" s="1262"/>
      <c r="H176" s="1262"/>
      <c r="I176" s="1272">
        <v>0.26560553978200002</v>
      </c>
      <c r="J176" s="1272">
        <v>0.46894714556799999</v>
      </c>
      <c r="K176" s="1272">
        <v>0.64739189237200001</v>
      </c>
      <c r="L176" s="1272">
        <v>0.98555204177199995</v>
      </c>
      <c r="M176" s="1269"/>
      <c r="N176" s="1269">
        <v>34.85</v>
      </c>
      <c r="O176" s="1262"/>
    </row>
    <row r="177" spans="2:15">
      <c r="B177" s="1262" t="s">
        <v>1161</v>
      </c>
      <c r="C177" s="1262" t="s">
        <v>1162</v>
      </c>
      <c r="D177" s="1268">
        <v>0.39775915757485136</v>
      </c>
      <c r="E177" s="1271">
        <v>71.516904561540144</v>
      </c>
      <c r="F177" s="1262">
        <v>179.79951737021142</v>
      </c>
      <c r="G177" s="1262"/>
      <c r="H177" s="1262"/>
      <c r="I177" s="1272">
        <v>0.57675721600399998</v>
      </c>
      <c r="J177" s="1272">
        <v>0.77411021136500002</v>
      </c>
      <c r="K177" s="1272">
        <v>1.088747764372</v>
      </c>
      <c r="L177" s="1272">
        <v>1.2222197197489999</v>
      </c>
      <c r="M177" s="1269"/>
      <c r="N177" s="1269">
        <v>55.55</v>
      </c>
      <c r="O177" s="1262"/>
    </row>
    <row r="178" spans="2:15">
      <c r="B178" s="1262" t="s">
        <v>1163</v>
      </c>
      <c r="C178" s="1262" t="s">
        <v>1164</v>
      </c>
      <c r="D178" s="1268"/>
      <c r="E178" s="1271"/>
      <c r="F178" s="1262"/>
      <c r="G178" s="1262"/>
      <c r="H178" s="1262"/>
      <c r="I178" s="1272" t="s">
        <v>35</v>
      </c>
      <c r="J178" s="1272" t="s">
        <v>35</v>
      </c>
      <c r="K178" s="1272" t="s">
        <v>35</v>
      </c>
      <c r="L178" s="1272" t="s">
        <v>35</v>
      </c>
      <c r="M178" s="1269"/>
      <c r="N178" s="1269">
        <v>15.58</v>
      </c>
      <c r="O178" s="1262"/>
    </row>
    <row r="179" spans="2:15">
      <c r="B179" s="1262" t="s">
        <v>1165</v>
      </c>
      <c r="C179" s="1262" t="s">
        <v>1166</v>
      </c>
      <c r="D179" s="1268"/>
      <c r="E179" s="1271"/>
      <c r="F179" s="1262"/>
      <c r="G179" s="1262"/>
      <c r="H179" s="1262"/>
      <c r="I179" s="1272">
        <v>0.13</v>
      </c>
      <c r="J179" s="1272">
        <v>0.35</v>
      </c>
      <c r="K179" s="1272">
        <v>0.56000000000000005</v>
      </c>
      <c r="L179" s="1269">
        <v>0.84</v>
      </c>
      <c r="M179" s="1269"/>
      <c r="N179" s="1269">
        <v>31.44</v>
      </c>
      <c r="O179" s="1262"/>
    </row>
    <row r="180" spans="2:15">
      <c r="B180" s="1262" t="s">
        <v>1167</v>
      </c>
      <c r="C180" s="1262" t="s">
        <v>1168</v>
      </c>
      <c r="D180" s="1268"/>
      <c r="E180" s="1271"/>
      <c r="F180" s="1262"/>
      <c r="G180" s="1262"/>
      <c r="H180" s="1262"/>
      <c r="I180" s="1272"/>
      <c r="J180" s="1272"/>
      <c r="K180" s="1272"/>
      <c r="L180" s="1269"/>
      <c r="M180" s="1269"/>
      <c r="N180" s="1269"/>
      <c r="O180" s="1262"/>
    </row>
    <row r="181" spans="2:15">
      <c r="B181" s="1262" t="s">
        <v>1169</v>
      </c>
      <c r="C181" s="1262" t="s">
        <v>1170</v>
      </c>
      <c r="D181" s="1268"/>
      <c r="E181" s="1262"/>
      <c r="F181" s="1262"/>
      <c r="G181" s="1262"/>
      <c r="H181" s="1262"/>
      <c r="I181" s="1272"/>
      <c r="J181" s="1272"/>
      <c r="K181" s="1272"/>
      <c r="L181" s="1269"/>
      <c r="M181" s="1269"/>
      <c r="N181" s="1269"/>
      <c r="O181" s="1262"/>
    </row>
    <row r="182" spans="2:15">
      <c r="B182" s="1262" t="s">
        <v>1171</v>
      </c>
      <c r="C182" s="1262" t="s">
        <v>1172</v>
      </c>
      <c r="D182" s="1268">
        <v>0.13093247332377767</v>
      </c>
      <c r="E182" s="1271">
        <v>20.322981366459626</v>
      </c>
      <c r="F182" s="1262">
        <v>155.21727231260454</v>
      </c>
      <c r="G182" s="1262"/>
      <c r="H182" s="1262"/>
      <c r="I182" s="1272">
        <v>1.56</v>
      </c>
      <c r="J182" s="1272">
        <v>1.61</v>
      </c>
      <c r="K182" s="1272">
        <v>1.98</v>
      </c>
      <c r="L182" s="1275">
        <v>2.4900000000000002</v>
      </c>
      <c r="M182" s="1269"/>
      <c r="N182" s="1269">
        <v>35.74</v>
      </c>
      <c r="O182" s="1262"/>
    </row>
    <row r="183" spans="2:15">
      <c r="B183" s="1262" t="s">
        <v>1173</v>
      </c>
      <c r="C183" s="1262" t="s">
        <v>1174</v>
      </c>
      <c r="D183" s="1268">
        <v>0.14573804573804561</v>
      </c>
      <c r="E183" s="1271">
        <v>54.445054945054942</v>
      </c>
      <c r="F183" s="1262">
        <v>373.58161809659703</v>
      </c>
      <c r="G183" s="1262"/>
      <c r="H183" s="1262"/>
      <c r="I183" s="1272">
        <v>1.85</v>
      </c>
      <c r="J183" s="1272">
        <v>1.82</v>
      </c>
      <c r="K183" s="1272">
        <v>2.38</v>
      </c>
      <c r="L183" s="1269"/>
      <c r="M183" s="1269"/>
      <c r="N183" s="1269">
        <v>76.19</v>
      </c>
      <c r="O183" s="1262"/>
    </row>
    <row r="184" spans="2:15">
      <c r="B184" s="1262" t="s">
        <v>1055</v>
      </c>
      <c r="C184" s="1262" t="s">
        <v>1175</v>
      </c>
      <c r="D184" s="1268"/>
      <c r="E184" s="1271"/>
      <c r="F184" s="1262"/>
      <c r="G184" s="1262"/>
      <c r="H184" s="1262"/>
      <c r="I184" s="1272">
        <v>4953.0447339258799</v>
      </c>
      <c r="J184" s="1272">
        <v>4699.1624322591197</v>
      </c>
      <c r="K184" s="1272">
        <v>6811.3864080613203</v>
      </c>
      <c r="L184" s="1272">
        <v>7462.0567605631104</v>
      </c>
      <c r="M184" s="1269"/>
      <c r="N184" s="1269">
        <v>89000</v>
      </c>
      <c r="O184" s="1262"/>
    </row>
    <row r="185" spans="2:15">
      <c r="B185" s="1262" t="s">
        <v>1176</v>
      </c>
      <c r="C185" s="1262" t="s">
        <v>1177</v>
      </c>
      <c r="D185" s="1268"/>
      <c r="E185" s="1262"/>
      <c r="F185" s="1262"/>
      <c r="G185" s="1262"/>
      <c r="H185" s="1262"/>
      <c r="I185" s="1272">
        <v>-0.35</v>
      </c>
      <c r="J185" s="1272">
        <v>0.05</v>
      </c>
      <c r="K185" s="1272">
        <v>0.23</v>
      </c>
      <c r="L185" s="1272">
        <v>0.44</v>
      </c>
      <c r="M185" s="1269"/>
      <c r="N185" s="1269">
        <v>82.75</v>
      </c>
      <c r="O185" s="1262"/>
    </row>
    <row r="186" spans="2:15">
      <c r="B186" s="1262" t="s">
        <v>1036</v>
      </c>
      <c r="C186" s="1262" t="s">
        <v>1178</v>
      </c>
      <c r="D186" s="1268">
        <v>0.55089475549255851</v>
      </c>
      <c r="E186" s="1271">
        <v>158.51470588235293</v>
      </c>
      <c r="F186" s="1262">
        <v>287.74045187746236</v>
      </c>
      <c r="G186" s="1262"/>
      <c r="H186" s="1262"/>
      <c r="I186" s="1272">
        <v>0.83</v>
      </c>
      <c r="J186" s="1272">
        <v>1.36</v>
      </c>
      <c r="K186" s="1272">
        <v>1.99</v>
      </c>
      <c r="L186" s="1272">
        <v>2.57</v>
      </c>
      <c r="M186" s="1269"/>
      <c r="N186" s="1269">
        <v>252.6</v>
      </c>
      <c r="O186" s="1262"/>
    </row>
    <row r="187" spans="2:15">
      <c r="B187" s="1262" t="s">
        <v>1179</v>
      </c>
      <c r="C187" s="1262" t="s">
        <v>1180</v>
      </c>
      <c r="D187" s="1268"/>
      <c r="E187" s="1262"/>
      <c r="F187" s="1262"/>
      <c r="G187" s="1262"/>
      <c r="H187" s="1262"/>
      <c r="I187" s="1272">
        <v>0.20164002254499999</v>
      </c>
      <c r="J187" s="1272">
        <v>0.287623888474</v>
      </c>
      <c r="K187" s="1272">
        <v>0.88584369723300005</v>
      </c>
      <c r="L187" s="1272">
        <v>1.7994363239519999</v>
      </c>
      <c r="M187" s="1269"/>
      <c r="N187" s="1269">
        <v>126.3</v>
      </c>
      <c r="O187" s="1262"/>
    </row>
    <row r="188" spans="2:15">
      <c r="B188" s="1262"/>
      <c r="C188" s="1262"/>
      <c r="D188" s="1268"/>
      <c r="E188" s="1262"/>
      <c r="F188" s="1262"/>
      <c r="G188" s="1262"/>
      <c r="H188" s="1262"/>
      <c r="I188" s="1272"/>
      <c r="J188" s="1272"/>
      <c r="K188" s="1272"/>
      <c r="L188" s="1272"/>
      <c r="M188" s="1269"/>
      <c r="N188" s="1269"/>
      <c r="O188" s="1262"/>
    </row>
    <row r="189" spans="2:15">
      <c r="B189" s="1262"/>
      <c r="C189" s="1262"/>
      <c r="D189" s="1268"/>
      <c r="E189" s="1271"/>
      <c r="F189" s="1262"/>
      <c r="G189" s="1262"/>
      <c r="H189" s="1262"/>
      <c r="I189" s="1272"/>
      <c r="J189" s="1272"/>
      <c r="K189" s="1272"/>
      <c r="L189" s="1272"/>
      <c r="M189" s="1269"/>
      <c r="N189" s="1269"/>
      <c r="O189" s="1262"/>
    </row>
    <row r="190" spans="2:15">
      <c r="B190" s="1262" t="s">
        <v>1181</v>
      </c>
      <c r="C190" s="1262" t="s">
        <v>1182</v>
      </c>
      <c r="D190" s="1268"/>
      <c r="E190" s="1271"/>
      <c r="F190" s="1262"/>
      <c r="G190" s="1262"/>
      <c r="H190" s="1262"/>
      <c r="I190" s="1272">
        <v>0.89949832638299998</v>
      </c>
      <c r="J190" s="1272">
        <v>1.014783666017</v>
      </c>
      <c r="K190" s="1272">
        <v>1.685420248814</v>
      </c>
      <c r="L190" s="1269">
        <v>2.0115143036899998</v>
      </c>
      <c r="M190" s="1269"/>
      <c r="N190" s="1269">
        <v>44.09</v>
      </c>
      <c r="O190" s="1262"/>
    </row>
    <row r="191" spans="2:15">
      <c r="B191" s="1262" t="s">
        <v>1183</v>
      </c>
      <c r="C191" s="1262" t="s">
        <v>1184</v>
      </c>
      <c r="D191" s="1268"/>
      <c r="E191" s="1271"/>
      <c r="F191" s="1262"/>
      <c r="G191" s="1262"/>
      <c r="H191" s="1262"/>
      <c r="I191" s="1272">
        <v>0.45</v>
      </c>
      <c r="J191" s="1272">
        <v>0.74</v>
      </c>
      <c r="K191" s="1272">
        <v>0.97</v>
      </c>
      <c r="L191" s="1269">
        <v>1.17</v>
      </c>
      <c r="M191" s="1269"/>
      <c r="N191" s="1269">
        <v>40.17</v>
      </c>
      <c r="O191" s="1262"/>
    </row>
    <row r="192" spans="2:15">
      <c r="B192" s="1262" t="s">
        <v>1185</v>
      </c>
      <c r="C192" s="1262" t="s">
        <v>1186</v>
      </c>
      <c r="D192" s="1268">
        <v>0.23683025130393554</v>
      </c>
      <c r="E192" s="1271">
        <v>28.640350877192983</v>
      </c>
      <c r="F192" s="1262">
        <v>120.93197857750637</v>
      </c>
      <c r="G192" s="1262"/>
      <c r="H192" s="1262"/>
      <c r="I192" s="1272">
        <v>1.85</v>
      </c>
      <c r="J192" s="1272">
        <v>2.2799999999999998</v>
      </c>
      <c r="K192" s="1272">
        <v>2.83</v>
      </c>
      <c r="L192" s="1269">
        <v>3.37</v>
      </c>
      <c r="M192" s="1276"/>
      <c r="N192" s="1269">
        <v>69.44</v>
      </c>
      <c r="O192" s="1262"/>
    </row>
    <row r="193" spans="2:15">
      <c r="B193" s="1262" t="s">
        <v>1187</v>
      </c>
      <c r="C193" s="1262" t="s">
        <v>1188</v>
      </c>
      <c r="D193" s="1268"/>
      <c r="E193" s="1271"/>
      <c r="F193" s="1262"/>
      <c r="G193" s="1262"/>
      <c r="H193" s="1262"/>
      <c r="I193" s="1272">
        <v>1.4804803860189999</v>
      </c>
      <c r="J193" s="1272">
        <v>3.6614988053880002</v>
      </c>
      <c r="K193" s="1272">
        <v>5.4477268234420002</v>
      </c>
      <c r="L193" s="1272">
        <v>6.5175853636429997</v>
      </c>
      <c r="M193" s="1269"/>
      <c r="N193" s="1269">
        <v>208.3</v>
      </c>
      <c r="O193" s="1262"/>
    </row>
    <row r="194" spans="2:15">
      <c r="B194" s="1262" t="s">
        <v>1189</v>
      </c>
      <c r="C194" s="1262" t="s">
        <v>1190</v>
      </c>
      <c r="D194" s="1268">
        <v>0.34922831146112043</v>
      </c>
      <c r="E194" s="1271">
        <v>40.512591649408343</v>
      </c>
      <c r="F194" s="1262">
        <v>116.00603479113579</v>
      </c>
      <c r="G194" s="1262"/>
      <c r="H194" s="1262"/>
      <c r="I194" s="1272">
        <v>8.253183238459</v>
      </c>
      <c r="J194" s="1272">
        <v>9.8664005137739998</v>
      </c>
      <c r="K194" s="1272">
        <v>14.608674117784</v>
      </c>
      <c r="L194" s="1272">
        <v>16.758141757253998</v>
      </c>
      <c r="M194" s="1269"/>
      <c r="N194" s="1269">
        <v>452.36</v>
      </c>
      <c r="O194" s="1262"/>
    </row>
    <row r="195" spans="2:15">
      <c r="B195" s="1262" t="s">
        <v>1191</v>
      </c>
      <c r="C195" s="1262" t="s">
        <v>1192</v>
      </c>
      <c r="D195" s="1268"/>
      <c r="E195" s="1271"/>
      <c r="F195" s="1262"/>
      <c r="G195" s="1262"/>
      <c r="H195" s="1262"/>
      <c r="I195" s="1272">
        <v>2.61</v>
      </c>
      <c r="J195" s="1272">
        <v>3.6136477981440001</v>
      </c>
      <c r="K195" s="1272">
        <v>6.1690681912010001</v>
      </c>
      <c r="L195" s="1272">
        <v>8.3416919006610009</v>
      </c>
      <c r="M195" s="1269"/>
      <c r="N195" s="1269">
        <v>298.99</v>
      </c>
      <c r="O195" s="1262"/>
    </row>
    <row r="196" spans="2:15">
      <c r="B196" s="1262" t="s">
        <v>989</v>
      </c>
      <c r="C196" s="1262" t="s">
        <v>1193</v>
      </c>
      <c r="D196" s="1268"/>
      <c r="E196" s="1271"/>
      <c r="F196" s="1262"/>
      <c r="G196" s="1262"/>
      <c r="H196" s="1262"/>
      <c r="I196" s="1272">
        <v>2.7341321058350001</v>
      </c>
      <c r="J196" s="1272">
        <v>4.0253133556370004</v>
      </c>
      <c r="K196" s="1272">
        <v>5.7888470658550002</v>
      </c>
      <c r="L196" s="1272">
        <v>8.4626451969889995</v>
      </c>
      <c r="M196" s="1269"/>
      <c r="N196" s="1269">
        <v>151.16999999999999</v>
      </c>
      <c r="O196" s="1262"/>
    </row>
    <row r="197" spans="2:15">
      <c r="B197" s="1262"/>
      <c r="C197" s="1262"/>
      <c r="D197" s="1262"/>
      <c r="E197" s="1262"/>
      <c r="F197" s="1262"/>
      <c r="G197" s="1262"/>
      <c r="H197" s="1262"/>
      <c r="I197" s="1269"/>
      <c r="J197" s="1269"/>
      <c r="K197" s="1269"/>
      <c r="L197" s="1269"/>
      <c r="M197" s="1269"/>
      <c r="N197" s="1269"/>
      <c r="O197" s="1262"/>
    </row>
    <row r="198" spans="2:15">
      <c r="B198" s="1262"/>
      <c r="C198" s="1262"/>
      <c r="D198" s="1262"/>
      <c r="E198" s="1262"/>
      <c r="F198" s="1262"/>
      <c r="G198" s="1262"/>
      <c r="H198" s="1262"/>
      <c r="I198" s="1269"/>
      <c r="J198" s="1269"/>
      <c r="K198" s="1269"/>
      <c r="L198" s="1269"/>
      <c r="M198" s="1269"/>
      <c r="N198" s="1269"/>
      <c r="O198" s="1262"/>
    </row>
    <row r="199" spans="2:15">
      <c r="B199" s="1262"/>
      <c r="C199" s="1262"/>
      <c r="D199" s="1262"/>
      <c r="E199" s="1262"/>
      <c r="F199" s="1262"/>
      <c r="G199" s="1262"/>
      <c r="H199" s="1262"/>
      <c r="I199" s="1262"/>
      <c r="J199" s="1262"/>
      <c r="K199" s="1262"/>
      <c r="L199" s="1262"/>
      <c r="M199" s="1262"/>
      <c r="N199" s="1262"/>
      <c r="O199" s="1262"/>
    </row>
    <row r="200" spans="2:15">
      <c r="B200" s="1262"/>
      <c r="C200" s="1262"/>
      <c r="D200" s="1262"/>
      <c r="E200" s="1262"/>
      <c r="F200" s="1262"/>
      <c r="G200" s="1262"/>
      <c r="H200" s="1262"/>
      <c r="I200" s="1262"/>
      <c r="J200" s="1262"/>
      <c r="K200" s="1262"/>
      <c r="L200" s="1262"/>
      <c r="M200" s="1262"/>
      <c r="N200" s="1262"/>
      <c r="O200" s="1262"/>
    </row>
    <row r="201" spans="2:15">
      <c r="B201" s="1262"/>
      <c r="C201" s="1262"/>
      <c r="D201" s="1262"/>
      <c r="E201" s="1262"/>
      <c r="F201" s="1262"/>
      <c r="G201" s="1262"/>
      <c r="H201" s="1262"/>
      <c r="I201" s="1262"/>
      <c r="J201" s="1262"/>
      <c r="K201" s="1262"/>
      <c r="L201" s="1262"/>
      <c r="M201" s="1262"/>
      <c r="N201" s="1262"/>
      <c r="O201" s="1262"/>
    </row>
    <row r="202" spans="2:15">
      <c r="B202" s="1262"/>
      <c r="C202" s="1262"/>
      <c r="D202" s="1262"/>
      <c r="E202" s="1262"/>
      <c r="F202" s="1262"/>
      <c r="G202" s="1262"/>
      <c r="H202" s="1262"/>
      <c r="I202" s="1262"/>
      <c r="J202" s="1262"/>
      <c r="K202" s="1262"/>
      <c r="L202" s="1262"/>
      <c r="M202" s="1262"/>
      <c r="N202" s="1262"/>
      <c r="O202" s="1262"/>
    </row>
    <row r="203" spans="2:15">
      <c r="B203" s="1262"/>
      <c r="C203" s="1262"/>
      <c r="D203" s="1262"/>
      <c r="E203" s="1262"/>
      <c r="F203" s="1262"/>
      <c r="G203" s="1262"/>
      <c r="H203" s="1262"/>
      <c r="I203" s="1262"/>
      <c r="J203" s="1262"/>
      <c r="K203" s="1262"/>
      <c r="L203" s="1262"/>
      <c r="M203" s="1262"/>
      <c r="N203" s="1262"/>
      <c r="O203" s="1262"/>
    </row>
    <row r="204" spans="2:15">
      <c r="B204" s="1262"/>
      <c r="C204" s="1262"/>
      <c r="D204" s="1262"/>
      <c r="E204" s="1262"/>
      <c r="F204" s="1262"/>
      <c r="G204" s="1262"/>
      <c r="H204" s="1262"/>
      <c r="I204" s="1262"/>
      <c r="J204" s="1262"/>
      <c r="K204" s="1262"/>
      <c r="L204" s="1262"/>
      <c r="M204" s="1262"/>
      <c r="N204" s="1262"/>
      <c r="O204" s="1262"/>
    </row>
    <row r="205" spans="2:15">
      <c r="B205" s="1262"/>
      <c r="C205" s="1262"/>
      <c r="D205" s="1262"/>
      <c r="E205" s="1262"/>
      <c r="F205" s="1262"/>
      <c r="G205" s="1262"/>
      <c r="H205" s="1262"/>
      <c r="I205" s="1262"/>
      <c r="J205" s="1262"/>
      <c r="K205" s="1262"/>
      <c r="L205" s="1262"/>
      <c r="M205" s="1262"/>
      <c r="N205" s="1262"/>
      <c r="O205" s="1262"/>
    </row>
    <row r="206" spans="2:15">
      <c r="B206" s="1262"/>
      <c r="C206" s="1262"/>
      <c r="D206" s="1262"/>
      <c r="E206" s="1262"/>
      <c r="F206" s="1262"/>
      <c r="G206" s="1262"/>
      <c r="H206" s="1262"/>
      <c r="I206" s="1262"/>
      <c r="J206" s="1262"/>
      <c r="K206" s="1262"/>
      <c r="L206" s="1262"/>
      <c r="M206" s="1262"/>
      <c r="N206" s="1262"/>
      <c r="O206" s="1262"/>
    </row>
    <row r="207" spans="2:15">
      <c r="B207" s="1262"/>
      <c r="C207" s="1262"/>
      <c r="D207" s="1262"/>
      <c r="E207" s="1262"/>
      <c r="F207" s="1262"/>
      <c r="G207" s="1262"/>
      <c r="H207" s="1262"/>
      <c r="I207" s="1262"/>
      <c r="J207" s="1262"/>
      <c r="K207" s="1262"/>
      <c r="L207" s="1262"/>
      <c r="M207" s="1262"/>
      <c r="N207" s="1262"/>
      <c r="O207" s="1262"/>
    </row>
    <row r="208" spans="2:15">
      <c r="B208" s="1262"/>
      <c r="C208" s="1262"/>
      <c r="D208" s="1262"/>
      <c r="E208" s="1262"/>
      <c r="F208" s="1262"/>
      <c r="G208" s="1262"/>
      <c r="H208" s="1262"/>
      <c r="I208" s="1262"/>
      <c r="J208" s="1262"/>
      <c r="K208" s="1262"/>
      <c r="L208" s="1262"/>
      <c r="M208" s="1262"/>
      <c r="N208" s="1262"/>
      <c r="O208" s="1262"/>
    </row>
    <row r="209" spans="2:15">
      <c r="B209" s="1262"/>
      <c r="C209" s="1262"/>
      <c r="D209" s="1262"/>
      <c r="E209" s="1262"/>
      <c r="F209" s="1262"/>
      <c r="G209" s="1262"/>
      <c r="H209" s="1262"/>
      <c r="I209" s="1262"/>
      <c r="J209" s="1262"/>
      <c r="K209" s="1262"/>
      <c r="L209" s="1262"/>
      <c r="M209" s="1262"/>
      <c r="N209" s="1262"/>
      <c r="O209" s="1262"/>
    </row>
    <row r="210" spans="2:15">
      <c r="B210" s="1262"/>
      <c r="C210" s="1262"/>
      <c r="D210" s="1262"/>
      <c r="E210" s="1262"/>
      <c r="F210" s="1262"/>
      <c r="G210" s="1262"/>
      <c r="H210" s="1262"/>
      <c r="I210" s="1262"/>
      <c r="J210" s="1262"/>
      <c r="K210" s="1262"/>
      <c r="L210" s="1262"/>
      <c r="M210" s="1262"/>
      <c r="N210" s="1262"/>
      <c r="O210" s="1262"/>
    </row>
    <row r="211" spans="2:15">
      <c r="B211" s="1262"/>
      <c r="C211" s="1262"/>
      <c r="D211" s="1262"/>
      <c r="E211" s="1262"/>
      <c r="F211" s="1262"/>
      <c r="G211" s="1262"/>
      <c r="H211" s="1262"/>
      <c r="I211" s="1262"/>
      <c r="J211" s="1262"/>
      <c r="K211" s="1262"/>
      <c r="L211" s="1262"/>
      <c r="M211" s="1262"/>
      <c r="N211" s="1262"/>
      <c r="O211" s="1262"/>
    </row>
    <row r="212" spans="2:15">
      <c r="B212" s="1262"/>
      <c r="C212" s="1262"/>
      <c r="D212" s="1262"/>
      <c r="E212" s="1262"/>
      <c r="F212" s="1262"/>
      <c r="G212" s="1262"/>
      <c r="H212" s="1262"/>
      <c r="I212" s="1262"/>
      <c r="J212" s="1262"/>
      <c r="K212" s="1262"/>
      <c r="L212" s="1262"/>
      <c r="M212" s="1262"/>
      <c r="N212" s="1262"/>
      <c r="O212" s="1262"/>
    </row>
    <row r="213" spans="2:15">
      <c r="B213" s="1262"/>
      <c r="C213" s="1262"/>
      <c r="D213" s="1262"/>
      <c r="E213" s="1262"/>
      <c r="F213" s="1262"/>
      <c r="G213" s="1262"/>
      <c r="H213" s="1262"/>
      <c r="I213" s="1262"/>
      <c r="J213" s="1262"/>
      <c r="K213" s="1262"/>
      <c r="L213" s="1262"/>
      <c r="M213" s="1262"/>
      <c r="N213" s="1262"/>
      <c r="O213" s="1262"/>
    </row>
    <row r="214" spans="2:15">
      <c r="B214" s="1262"/>
      <c r="C214" s="1262"/>
      <c r="D214" s="1262"/>
      <c r="E214" s="1262"/>
      <c r="F214" s="1262"/>
      <c r="G214" s="1262"/>
      <c r="H214" s="1262"/>
      <c r="I214" s="1262"/>
      <c r="J214" s="1262"/>
      <c r="K214" s="1262"/>
      <c r="L214" s="1262"/>
      <c r="M214" s="1262"/>
      <c r="N214" s="1262"/>
      <c r="O214" s="1262"/>
    </row>
    <row r="215" spans="2:15">
      <c r="B215" s="1262"/>
      <c r="C215" s="1262"/>
      <c r="D215" s="1262"/>
      <c r="E215" s="1262"/>
      <c r="F215" s="1262"/>
      <c r="G215" s="1262"/>
      <c r="H215" s="1262"/>
      <c r="I215" s="1262"/>
      <c r="J215" s="1262"/>
      <c r="K215" s="1262"/>
      <c r="L215" s="1262"/>
      <c r="M215" s="1262"/>
      <c r="N215" s="1262"/>
      <c r="O215" s="1262"/>
    </row>
    <row r="216" spans="2:15">
      <c r="B216" s="1262"/>
      <c r="C216" s="1262"/>
      <c r="D216" s="1262"/>
      <c r="E216" s="1262"/>
      <c r="F216" s="1262"/>
      <c r="G216" s="1262"/>
      <c r="H216" s="1262"/>
      <c r="I216" s="1262"/>
      <c r="J216" s="1262"/>
      <c r="K216" s="1262"/>
      <c r="L216" s="1262"/>
      <c r="M216" s="1262"/>
      <c r="N216" s="1262"/>
      <c r="O216" s="1262"/>
    </row>
    <row r="217" spans="2:15">
      <c r="B217" s="1262"/>
      <c r="C217" s="1262"/>
      <c r="D217" s="1262"/>
      <c r="E217" s="1262"/>
      <c r="F217" s="1262"/>
      <c r="G217" s="1262"/>
      <c r="H217" s="1262"/>
      <c r="I217" s="1262"/>
      <c r="J217" s="1262"/>
      <c r="K217" s="1262"/>
      <c r="L217" s="1262"/>
      <c r="M217" s="1262"/>
      <c r="N217" s="1262"/>
      <c r="O217" s="1262"/>
    </row>
    <row r="218" spans="2:15">
      <c r="B218" s="1262"/>
      <c r="C218" s="1262"/>
      <c r="D218" s="1262"/>
      <c r="E218" s="1262"/>
      <c r="F218" s="1262"/>
      <c r="G218" s="1262"/>
      <c r="H218" s="1262"/>
      <c r="I218" s="1262"/>
      <c r="J218" s="1262"/>
      <c r="K218" s="1262"/>
      <c r="L218" s="1262"/>
      <c r="M218" s="1262"/>
      <c r="N218" s="1262"/>
      <c r="O218" s="1262"/>
    </row>
    <row r="219" spans="2:15">
      <c r="B219" s="1262"/>
      <c r="C219" s="1262"/>
      <c r="D219" s="1262"/>
      <c r="E219" s="1262"/>
      <c r="F219" s="1262"/>
      <c r="G219" s="1262"/>
      <c r="H219" s="1262"/>
      <c r="I219" s="1262"/>
      <c r="J219" s="1262"/>
      <c r="K219" s="1262"/>
      <c r="L219" s="1262"/>
      <c r="M219" s="1262"/>
      <c r="N219" s="1262"/>
      <c r="O219" s="1262"/>
    </row>
    <row r="220" spans="2:15">
      <c r="B220" s="1262"/>
      <c r="C220" s="1262"/>
      <c r="D220" s="1262"/>
      <c r="E220" s="1262"/>
      <c r="F220" s="1262"/>
      <c r="G220" s="1262"/>
      <c r="H220" s="1262"/>
      <c r="I220" s="1262"/>
      <c r="J220" s="1262"/>
      <c r="K220" s="1262"/>
      <c r="L220" s="1262"/>
      <c r="M220" s="1262"/>
      <c r="N220" s="1262"/>
      <c r="O220" s="1262"/>
    </row>
    <row r="221" spans="2:15">
      <c r="B221" s="1262"/>
      <c r="C221" s="1262"/>
      <c r="D221" s="1262"/>
      <c r="E221" s="1262"/>
      <c r="F221" s="1262"/>
      <c r="G221" s="1262"/>
      <c r="H221" s="1262"/>
      <c r="I221" s="1262"/>
      <c r="J221" s="1262"/>
      <c r="K221" s="1262"/>
      <c r="L221" s="1262"/>
      <c r="M221" s="1262"/>
      <c r="N221" s="1262"/>
      <c r="O221" s="1262"/>
    </row>
    <row r="222" spans="2:15">
      <c r="B222" s="1262"/>
      <c r="C222" s="1262"/>
      <c r="D222" s="1262"/>
      <c r="E222" s="1262"/>
      <c r="F222" s="1262"/>
      <c r="G222" s="1262"/>
      <c r="H222" s="1262"/>
      <c r="I222" s="1262"/>
      <c r="J222" s="1262"/>
      <c r="K222" s="1262"/>
      <c r="L222" s="1262"/>
      <c r="M222" s="1262"/>
      <c r="N222" s="1262"/>
      <c r="O222" s="1262"/>
    </row>
    <row r="223" spans="2:15">
      <c r="B223" s="1262"/>
      <c r="C223" s="1262"/>
      <c r="D223" s="1262"/>
      <c r="E223" s="1262"/>
      <c r="F223" s="1262"/>
      <c r="G223" s="1262"/>
      <c r="H223" s="1262"/>
      <c r="I223" s="1262"/>
      <c r="J223" s="1262"/>
      <c r="K223" s="1262"/>
      <c r="L223" s="1262"/>
      <c r="M223" s="1262"/>
      <c r="N223" s="1262"/>
      <c r="O223" s="1262"/>
    </row>
    <row r="224" spans="2:15">
      <c r="B224" s="1262"/>
      <c r="C224" s="1262"/>
      <c r="D224" s="1262"/>
      <c r="E224" s="1262"/>
      <c r="F224" s="1262"/>
      <c r="G224" s="1262"/>
      <c r="H224" s="1262"/>
      <c r="I224" s="1262"/>
      <c r="J224" s="1262"/>
      <c r="K224" s="1262"/>
      <c r="L224" s="1262"/>
      <c r="M224" s="1262"/>
      <c r="N224" s="1262"/>
      <c r="O224" s="1262"/>
    </row>
    <row r="225" spans="2:15">
      <c r="B225" s="1262"/>
      <c r="C225" s="1262"/>
      <c r="D225" s="1262"/>
      <c r="E225" s="1262"/>
      <c r="F225" s="1262"/>
      <c r="G225" s="1262"/>
      <c r="H225" s="1262"/>
      <c r="I225" s="1262"/>
      <c r="J225" s="1262"/>
      <c r="K225" s="1262"/>
      <c r="L225" s="1262"/>
      <c r="M225" s="1262"/>
      <c r="N225" s="1262"/>
      <c r="O225" s="1262"/>
    </row>
    <row r="226" spans="2:15">
      <c r="B226" s="1262"/>
      <c r="C226" s="1262"/>
      <c r="D226" s="1262"/>
      <c r="E226" s="1262"/>
      <c r="F226" s="1262"/>
      <c r="G226" s="1262"/>
      <c r="H226" s="1262"/>
      <c r="I226" s="1262"/>
      <c r="J226" s="1262"/>
      <c r="K226" s="1262"/>
      <c r="L226" s="1262"/>
      <c r="M226" s="1262"/>
      <c r="N226" s="1262"/>
      <c r="O226" s="1262"/>
    </row>
    <row r="227" spans="2:15">
      <c r="B227" s="1262"/>
      <c r="C227" s="1262"/>
      <c r="D227" s="1262"/>
      <c r="E227" s="1262"/>
      <c r="F227" s="1262"/>
      <c r="G227" s="1262"/>
      <c r="H227" s="1262"/>
      <c r="I227" s="1262"/>
      <c r="J227" s="1262"/>
      <c r="K227" s="1262"/>
      <c r="L227" s="1262"/>
      <c r="M227" s="1262"/>
      <c r="N227" s="1262"/>
      <c r="O227" s="1262"/>
    </row>
    <row r="228" spans="2:15">
      <c r="B228" s="1262"/>
      <c r="C228" s="1262"/>
      <c r="D228" s="1262"/>
      <c r="E228" s="1262"/>
      <c r="F228" s="1262"/>
      <c r="G228" s="1262"/>
      <c r="H228" s="1262"/>
      <c r="I228" s="1262"/>
      <c r="J228" s="1262"/>
      <c r="K228" s="1262"/>
      <c r="L228" s="1262"/>
      <c r="M228" s="1262"/>
      <c r="N228" s="1262"/>
      <c r="O228" s="1262"/>
    </row>
    <row r="229" spans="2:15">
      <c r="B229" s="1262"/>
      <c r="C229" s="1262"/>
      <c r="D229" s="1262"/>
      <c r="E229" s="1262"/>
      <c r="F229" s="1262"/>
      <c r="G229" s="1262"/>
      <c r="H229" s="1262"/>
      <c r="I229" s="1262"/>
      <c r="J229" s="1262"/>
      <c r="K229" s="1262"/>
      <c r="L229" s="1262"/>
      <c r="M229" s="1262"/>
      <c r="N229" s="1262"/>
      <c r="O229" s="1262"/>
    </row>
    <row r="230" spans="2:15">
      <c r="B230" s="1262"/>
      <c r="C230" s="1262"/>
      <c r="D230" s="1262"/>
      <c r="E230" s="1262"/>
      <c r="F230" s="1262"/>
      <c r="G230" s="1262"/>
      <c r="H230" s="1262"/>
      <c r="I230" s="1262"/>
      <c r="J230" s="1262"/>
      <c r="K230" s="1262"/>
      <c r="L230" s="1262"/>
      <c r="M230" s="1262"/>
      <c r="N230" s="1262"/>
      <c r="O230" s="1262"/>
    </row>
    <row r="231" spans="2:15">
      <c r="B231" s="1262"/>
      <c r="C231" s="1262"/>
      <c r="D231" s="1262"/>
      <c r="E231" s="1262"/>
      <c r="F231" s="1262"/>
      <c r="G231" s="1262"/>
      <c r="H231" s="1262"/>
      <c r="I231" s="1262"/>
      <c r="J231" s="1262"/>
      <c r="K231" s="1262"/>
      <c r="L231" s="1262"/>
      <c r="M231" s="1262"/>
      <c r="N231" s="1262"/>
      <c r="O231" s="1262"/>
    </row>
    <row r="232" spans="2:15">
      <c r="B232" s="1262"/>
      <c r="C232" s="1262"/>
      <c r="D232" s="1262"/>
      <c r="E232" s="1262"/>
      <c r="F232" s="1262"/>
      <c r="G232" s="1262"/>
      <c r="H232" s="1262"/>
      <c r="I232" s="1262"/>
      <c r="J232" s="1262"/>
      <c r="K232" s="1262"/>
      <c r="L232" s="1262"/>
      <c r="M232" s="1262"/>
      <c r="N232" s="1262"/>
      <c r="O232" s="1262"/>
    </row>
    <row r="233" spans="2:15">
      <c r="B233" s="1262"/>
      <c r="C233" s="1262"/>
      <c r="D233" s="1262"/>
      <c r="E233" s="1262"/>
      <c r="F233" s="1262"/>
      <c r="G233" s="1262"/>
      <c r="H233" s="1262"/>
      <c r="I233" s="1262"/>
      <c r="J233" s="1262"/>
      <c r="K233" s="1262"/>
      <c r="L233" s="1262"/>
      <c r="M233" s="1262"/>
      <c r="N233" s="1262"/>
      <c r="O233" s="1262"/>
    </row>
    <row r="234" spans="2:15">
      <c r="B234" s="1262"/>
      <c r="C234" s="1262"/>
      <c r="D234" s="1262"/>
      <c r="E234" s="1262"/>
      <c r="F234" s="1262"/>
      <c r="G234" s="1262"/>
      <c r="H234" s="1262"/>
      <c r="I234" s="1262"/>
      <c r="J234" s="1262"/>
      <c r="K234" s="1262"/>
      <c r="L234" s="1262"/>
      <c r="M234" s="1262"/>
      <c r="N234" s="1262"/>
      <c r="O234" s="1262"/>
    </row>
    <row r="235" spans="2:15">
      <c r="B235" s="1262"/>
      <c r="C235" s="1262"/>
      <c r="D235" s="1262"/>
      <c r="E235" s="1262"/>
      <c r="F235" s="1262"/>
      <c r="G235" s="1262"/>
      <c r="H235" s="1262"/>
      <c r="I235" s="1262"/>
      <c r="J235" s="1262"/>
      <c r="K235" s="1262"/>
      <c r="L235" s="1262"/>
      <c r="M235" s="1262"/>
      <c r="N235" s="1262"/>
      <c r="O235" s="1262"/>
    </row>
    <row r="236" spans="2:15">
      <c r="B236" s="1262"/>
      <c r="C236" s="1262"/>
      <c r="D236" s="1262"/>
      <c r="E236" s="1262"/>
      <c r="F236" s="1262"/>
      <c r="G236" s="1262"/>
      <c r="H236" s="1262"/>
      <c r="I236" s="1262"/>
      <c r="J236" s="1262"/>
      <c r="K236" s="1262"/>
      <c r="L236" s="1262"/>
      <c r="M236" s="1262"/>
      <c r="N236" s="1262"/>
      <c r="O236" s="1262"/>
    </row>
    <row r="237" spans="2:15">
      <c r="B237" s="1262"/>
      <c r="C237" s="1262"/>
      <c r="D237" s="1262"/>
      <c r="E237" s="1262"/>
      <c r="F237" s="1262"/>
      <c r="G237" s="1262"/>
      <c r="H237" s="1262"/>
      <c r="I237" s="1262"/>
      <c r="J237" s="1262"/>
      <c r="K237" s="1262"/>
      <c r="L237" s="1262"/>
      <c r="M237" s="1262"/>
      <c r="N237" s="1262"/>
      <c r="O237" s="1262"/>
    </row>
    <row r="238" spans="2:15">
      <c r="B238" s="1262"/>
      <c r="C238" s="1262"/>
      <c r="D238" s="1262"/>
      <c r="E238" s="1262"/>
      <c r="F238" s="1262"/>
      <c r="G238" s="1262"/>
      <c r="H238" s="1262"/>
      <c r="I238" s="1262"/>
      <c r="J238" s="1262"/>
      <c r="K238" s="1262"/>
      <c r="L238" s="1262"/>
      <c r="M238" s="1262"/>
      <c r="N238" s="1262"/>
      <c r="O238" s="1262"/>
    </row>
    <row r="239" spans="2:15">
      <c r="B239" s="1262"/>
      <c r="C239" s="1262"/>
      <c r="D239" s="1262"/>
      <c r="E239" s="1262"/>
      <c r="F239" s="1262"/>
      <c r="G239" s="1262"/>
      <c r="H239" s="1262"/>
      <c r="I239" s="1262"/>
      <c r="J239" s="1262"/>
      <c r="K239" s="1262"/>
      <c r="L239" s="1262"/>
      <c r="M239" s="1262"/>
      <c r="N239" s="1262"/>
      <c r="O239" s="1262"/>
    </row>
    <row r="240" spans="2:15">
      <c r="B240" s="1262"/>
      <c r="C240" s="1262"/>
      <c r="D240" s="1262"/>
      <c r="E240" s="1262"/>
      <c r="F240" s="1262"/>
      <c r="G240" s="1262"/>
      <c r="H240" s="1262"/>
      <c r="I240" s="1262"/>
      <c r="J240" s="1262"/>
      <c r="K240" s="1262"/>
      <c r="L240" s="1262"/>
      <c r="M240" s="1262"/>
      <c r="N240" s="1262"/>
      <c r="O240" s="1262"/>
    </row>
    <row r="241" spans="2:15">
      <c r="B241" s="1262"/>
      <c r="C241" s="1262"/>
      <c r="D241" s="1262"/>
      <c r="E241" s="1262"/>
      <c r="F241" s="1262"/>
      <c r="G241" s="1262"/>
      <c r="H241" s="1262"/>
      <c r="I241" s="1262"/>
      <c r="J241" s="1262"/>
      <c r="K241" s="1262"/>
      <c r="L241" s="1262"/>
      <c r="M241" s="1262"/>
      <c r="N241" s="1262"/>
      <c r="O241" s="1262"/>
    </row>
    <row r="242" spans="2:15">
      <c r="B242" s="1262"/>
      <c r="C242" s="1262"/>
      <c r="D242" s="1262"/>
      <c r="E242" s="1262"/>
      <c r="F242" s="1262"/>
      <c r="G242" s="1262"/>
      <c r="H242" s="1262"/>
      <c r="I242" s="1262"/>
      <c r="J242" s="1262"/>
      <c r="K242" s="1262"/>
      <c r="L242" s="1262"/>
      <c r="M242" s="1262"/>
      <c r="N242" s="1262"/>
      <c r="O242" s="1262"/>
    </row>
    <row r="243" spans="2:15">
      <c r="B243" s="1262"/>
      <c r="C243" s="1262"/>
      <c r="D243" s="1262"/>
      <c r="E243" s="1262"/>
      <c r="F243" s="1262"/>
      <c r="G243" s="1262"/>
      <c r="H243" s="1262"/>
      <c r="I243" s="1262"/>
      <c r="J243" s="1262"/>
      <c r="K243" s="1262"/>
      <c r="L243" s="1262"/>
      <c r="M243" s="1262"/>
      <c r="N243" s="1262"/>
      <c r="O243" s="1262"/>
    </row>
    <row r="244" spans="2:15">
      <c r="B244" s="1262"/>
      <c r="C244" s="1262"/>
      <c r="D244" s="1262"/>
      <c r="E244" s="1262"/>
      <c r="F244" s="1262"/>
      <c r="G244" s="1262"/>
      <c r="H244" s="1262"/>
      <c r="I244" s="1262"/>
      <c r="J244" s="1262"/>
      <c r="K244" s="1262"/>
      <c r="L244" s="1262"/>
      <c r="M244" s="1262"/>
      <c r="N244" s="1262"/>
      <c r="O244" s="1262"/>
    </row>
    <row r="245" spans="2:15">
      <c r="B245" s="1262"/>
      <c r="C245" s="1262"/>
      <c r="D245" s="1262"/>
      <c r="E245" s="1262"/>
      <c r="F245" s="1262"/>
      <c r="G245" s="1262"/>
      <c r="H245" s="1262"/>
      <c r="I245" s="1262"/>
      <c r="J245" s="1262"/>
      <c r="K245" s="1262"/>
      <c r="L245" s="1262"/>
      <c r="M245" s="1262"/>
      <c r="N245" s="1262"/>
      <c r="O245" s="1262"/>
    </row>
    <row r="246" spans="2:15">
      <c r="B246" s="1262"/>
      <c r="C246" s="1262"/>
      <c r="D246" s="1262"/>
      <c r="E246" s="1262"/>
      <c r="F246" s="1262"/>
      <c r="G246" s="1262"/>
      <c r="H246" s="1262"/>
      <c r="I246" s="1262"/>
      <c r="J246" s="1262"/>
      <c r="K246" s="1262"/>
      <c r="L246" s="1262"/>
      <c r="M246" s="1262"/>
      <c r="N246" s="1262"/>
      <c r="O246" s="1262"/>
    </row>
    <row r="247" spans="2:15">
      <c r="B247" s="1262"/>
      <c r="C247" s="1262"/>
      <c r="D247" s="1262"/>
      <c r="E247" s="1262"/>
      <c r="F247" s="1262"/>
      <c r="G247" s="1262"/>
      <c r="H247" s="1262"/>
      <c r="I247" s="1262"/>
      <c r="J247" s="1262"/>
      <c r="K247" s="1262"/>
      <c r="L247" s="1262"/>
      <c r="M247" s="1262"/>
      <c r="N247" s="1262"/>
      <c r="O247" s="1262"/>
    </row>
    <row r="248" spans="2:15">
      <c r="B248" s="1262"/>
      <c r="C248" s="1262"/>
      <c r="D248" s="1262"/>
      <c r="E248" s="1262"/>
      <c r="F248" s="1262"/>
      <c r="G248" s="1262"/>
      <c r="H248" s="1262"/>
      <c r="I248" s="1262"/>
      <c r="J248" s="1262"/>
      <c r="K248" s="1262"/>
      <c r="L248" s="1262"/>
      <c r="M248" s="1262"/>
      <c r="N248" s="1262"/>
      <c r="O248" s="1262"/>
    </row>
    <row r="249" spans="2:15">
      <c r="B249" s="1262"/>
      <c r="C249" s="1262"/>
      <c r="D249" s="1262"/>
      <c r="E249" s="1262"/>
      <c r="F249" s="1262"/>
      <c r="G249" s="1262"/>
      <c r="H249" s="1262"/>
      <c r="I249" s="1262"/>
      <c r="J249" s="1262"/>
      <c r="K249" s="1262"/>
      <c r="L249" s="1262"/>
      <c r="M249" s="1262"/>
      <c r="N249" s="1262"/>
      <c r="O249" s="1262"/>
    </row>
    <row r="250" spans="2:15">
      <c r="B250" s="1262"/>
      <c r="C250" s="1262"/>
      <c r="D250" s="1262"/>
      <c r="E250" s="1262"/>
      <c r="F250" s="1262"/>
      <c r="G250" s="1262"/>
      <c r="H250" s="1262"/>
      <c r="I250" s="1262"/>
      <c r="J250" s="1262"/>
      <c r="K250" s="1262"/>
      <c r="L250" s="1262"/>
      <c r="M250" s="1262"/>
      <c r="N250" s="1262"/>
      <c r="O250" s="1262"/>
    </row>
    <row r="251" spans="2:15">
      <c r="B251" s="1262"/>
      <c r="C251" s="1262"/>
      <c r="D251" s="1262"/>
      <c r="E251" s="1262"/>
      <c r="F251" s="1262"/>
      <c r="G251" s="1262"/>
      <c r="H251" s="1262"/>
      <c r="I251" s="1262"/>
      <c r="J251" s="1262"/>
      <c r="K251" s="1262"/>
      <c r="L251" s="1262"/>
      <c r="M251" s="1262"/>
      <c r="N251" s="1262"/>
      <c r="O251" s="1262"/>
    </row>
    <row r="252" spans="2:15">
      <c r="B252" s="1262"/>
      <c r="C252" s="1262"/>
      <c r="D252" s="1262"/>
      <c r="E252" s="1262"/>
      <c r="F252" s="1262"/>
      <c r="G252" s="1262"/>
      <c r="H252" s="1262"/>
      <c r="I252" s="1262"/>
      <c r="J252" s="1262"/>
      <c r="K252" s="1262"/>
      <c r="L252" s="1262"/>
      <c r="M252" s="1262"/>
      <c r="N252" s="1262"/>
      <c r="O252" s="1262"/>
    </row>
    <row r="253" spans="2:15">
      <c r="B253" s="1262"/>
      <c r="C253" s="1262"/>
      <c r="D253" s="1262"/>
      <c r="E253" s="1262"/>
      <c r="F253" s="1262"/>
      <c r="G253" s="1262"/>
      <c r="H253" s="1262"/>
      <c r="I253" s="1262"/>
      <c r="J253" s="1262"/>
      <c r="K253" s="1262"/>
      <c r="L253" s="1262"/>
      <c r="M253" s="1262"/>
      <c r="N253" s="1262"/>
      <c r="O253" s="1262"/>
    </row>
    <row r="254" spans="2:15">
      <c r="B254" s="1262"/>
      <c r="C254" s="1262"/>
      <c r="D254" s="1262"/>
      <c r="E254" s="1262"/>
      <c r="F254" s="1262"/>
      <c r="G254" s="1262"/>
      <c r="H254" s="1262"/>
      <c r="I254" s="1262"/>
      <c r="J254" s="1262"/>
      <c r="K254" s="1262"/>
      <c r="L254" s="1262"/>
      <c r="M254" s="1262"/>
      <c r="N254" s="1262"/>
      <c r="O254" s="1262"/>
    </row>
    <row r="255" spans="2:15">
      <c r="B255" s="1262"/>
      <c r="C255" s="1262"/>
      <c r="D255" s="1262"/>
      <c r="E255" s="1262"/>
      <c r="F255" s="1262"/>
      <c r="G255" s="1262"/>
      <c r="H255" s="1262"/>
      <c r="I255" s="1262"/>
      <c r="J255" s="1262"/>
      <c r="K255" s="1262"/>
      <c r="L255" s="1262"/>
      <c r="M255" s="1262"/>
      <c r="N255" s="1262"/>
      <c r="O255" s="1262"/>
    </row>
    <row r="256" spans="2:15">
      <c r="B256" s="1262"/>
      <c r="C256" s="1262"/>
      <c r="D256" s="1262"/>
      <c r="E256" s="1262"/>
      <c r="F256" s="1262"/>
      <c r="G256" s="1262"/>
      <c r="H256" s="1262"/>
      <c r="I256" s="1262"/>
      <c r="J256" s="1262"/>
      <c r="K256" s="1262"/>
      <c r="L256" s="1262"/>
      <c r="M256" s="1262"/>
      <c r="N256" s="1262"/>
      <c r="O256" s="1262"/>
    </row>
    <row r="257" spans="2:15">
      <c r="B257" s="1262"/>
      <c r="C257" s="1262"/>
      <c r="D257" s="1262"/>
      <c r="E257" s="1262"/>
      <c r="F257" s="1262"/>
      <c r="G257" s="1262"/>
      <c r="H257" s="1262"/>
      <c r="I257" s="1262"/>
      <c r="J257" s="1262"/>
      <c r="K257" s="1262"/>
      <c r="L257" s="1262"/>
      <c r="M257" s="1262"/>
      <c r="N257" s="1262"/>
      <c r="O257" s="1262"/>
    </row>
    <row r="258" spans="2:15">
      <c r="B258" s="1262"/>
      <c r="C258" s="1262"/>
      <c r="D258" s="1262"/>
      <c r="E258" s="1262"/>
      <c r="F258" s="1262"/>
      <c r="G258" s="1262"/>
      <c r="H258" s="1262"/>
      <c r="I258" s="1262"/>
      <c r="J258" s="1262"/>
      <c r="K258" s="1262"/>
      <c r="L258" s="1262"/>
      <c r="M258" s="1262"/>
      <c r="N258" s="1262"/>
      <c r="O258" s="1262"/>
    </row>
    <row r="259" spans="2:15">
      <c r="B259" s="1262"/>
      <c r="C259" s="1262"/>
      <c r="D259" s="1262"/>
      <c r="E259" s="1262"/>
      <c r="F259" s="1262"/>
      <c r="G259" s="1262"/>
      <c r="H259" s="1262"/>
      <c r="I259" s="1262"/>
      <c r="J259" s="1262"/>
      <c r="K259" s="1262"/>
      <c r="L259" s="1262"/>
      <c r="M259" s="1262"/>
      <c r="N259" s="1262"/>
      <c r="O259" s="1262"/>
    </row>
    <row r="260" spans="2:15">
      <c r="B260" s="1262"/>
      <c r="C260" s="1262"/>
      <c r="D260" s="1262"/>
      <c r="E260" s="1262"/>
      <c r="F260" s="1262"/>
      <c r="G260" s="1262"/>
      <c r="H260" s="1262"/>
      <c r="I260" s="1262"/>
      <c r="J260" s="1262"/>
      <c r="K260" s="1262"/>
      <c r="L260" s="1262"/>
      <c r="M260" s="1262"/>
      <c r="N260" s="1262"/>
      <c r="O260" s="1262"/>
    </row>
    <row r="261" spans="2:15">
      <c r="B261" s="1262"/>
      <c r="C261" s="1262"/>
      <c r="D261" s="1262"/>
      <c r="E261" s="1262"/>
      <c r="F261" s="1262"/>
      <c r="G261" s="1262"/>
      <c r="H261" s="1262"/>
      <c r="I261" s="1262"/>
      <c r="J261" s="1262"/>
      <c r="K261" s="1262"/>
      <c r="L261" s="1262"/>
      <c r="M261" s="1262"/>
      <c r="N261" s="1262"/>
      <c r="O261" s="1262"/>
    </row>
    <row r="262" spans="2:15">
      <c r="B262" s="1262"/>
      <c r="C262" s="1262"/>
      <c r="D262" s="1262"/>
      <c r="E262" s="1262"/>
      <c r="F262" s="1262"/>
      <c r="G262" s="1262"/>
      <c r="H262" s="1262"/>
      <c r="I262" s="1262"/>
      <c r="J262" s="1262"/>
      <c r="K262" s="1262"/>
      <c r="L262" s="1262"/>
      <c r="M262" s="1262"/>
      <c r="N262" s="1262"/>
      <c r="O262" s="1262"/>
    </row>
    <row r="263" spans="2:15">
      <c r="B263" s="1262"/>
      <c r="C263" s="1262"/>
      <c r="D263" s="1262"/>
      <c r="E263" s="1262"/>
      <c r="F263" s="1262"/>
      <c r="G263" s="1262"/>
      <c r="H263" s="1262"/>
      <c r="I263" s="1262"/>
      <c r="J263" s="1262"/>
      <c r="K263" s="1262"/>
      <c r="L263" s="1262"/>
      <c r="M263" s="1262"/>
      <c r="N263" s="1262"/>
      <c r="O263" s="1262"/>
    </row>
    <row r="264" spans="2:15">
      <c r="B264" s="1262"/>
      <c r="C264" s="1262"/>
      <c r="D264" s="1262"/>
      <c r="E264" s="1262"/>
      <c r="F264" s="1262"/>
      <c r="G264" s="1262"/>
      <c r="H264" s="1262"/>
      <c r="I264" s="1262"/>
      <c r="J264" s="1262"/>
      <c r="K264" s="1262"/>
      <c r="L264" s="1262"/>
      <c r="M264" s="1262"/>
      <c r="N264" s="1262"/>
      <c r="O264" s="1262"/>
    </row>
    <row r="265" spans="2:15">
      <c r="B265" s="1262"/>
      <c r="C265" s="1262"/>
      <c r="D265" s="1262"/>
      <c r="E265" s="1262"/>
      <c r="F265" s="1262"/>
      <c r="G265" s="1262"/>
      <c r="H265" s="1262"/>
      <c r="I265" s="1262"/>
      <c r="J265" s="1262"/>
      <c r="K265" s="1262"/>
      <c r="L265" s="1262"/>
      <c r="M265" s="1262"/>
      <c r="N265" s="1262"/>
      <c r="O265" s="1262"/>
    </row>
    <row r="266" spans="2:15">
      <c r="B266" s="1262"/>
      <c r="C266" s="1262"/>
      <c r="D266" s="1262"/>
      <c r="E266" s="1262"/>
      <c r="F266" s="1262"/>
      <c r="G266" s="1262"/>
      <c r="H266" s="1262"/>
      <c r="I266" s="1262"/>
      <c r="J266" s="1262"/>
      <c r="K266" s="1262"/>
      <c r="L266" s="1262"/>
      <c r="M266" s="1262"/>
      <c r="N266" s="1262"/>
      <c r="O266" s="1262"/>
    </row>
    <row r="267" spans="2:15">
      <c r="B267" s="1262"/>
      <c r="C267" s="1262"/>
      <c r="D267" s="1262"/>
      <c r="E267" s="1262"/>
      <c r="F267" s="1262"/>
      <c r="G267" s="1262"/>
      <c r="H267" s="1262"/>
      <c r="I267" s="1262"/>
      <c r="J267" s="1262"/>
      <c r="K267" s="1262"/>
      <c r="L267" s="1262"/>
      <c r="M267" s="1262"/>
      <c r="N267" s="1262"/>
      <c r="O267" s="1262"/>
    </row>
    <row r="268" spans="2:15">
      <c r="B268" s="1262"/>
      <c r="C268" s="1262"/>
      <c r="D268" s="1262"/>
      <c r="E268" s="1262"/>
      <c r="F268" s="1262"/>
      <c r="G268" s="1262"/>
      <c r="H268" s="1262"/>
      <c r="I268" s="1262"/>
      <c r="J268" s="1262"/>
      <c r="K268" s="1262"/>
      <c r="L268" s="1262"/>
      <c r="M268" s="1262"/>
      <c r="N268" s="1262"/>
      <c r="O268" s="1262"/>
    </row>
    <row r="269" spans="2:15">
      <c r="B269" s="1262"/>
      <c r="C269" s="1262"/>
      <c r="D269" s="1262"/>
      <c r="E269" s="1262"/>
      <c r="F269" s="1262"/>
      <c r="G269" s="1262"/>
      <c r="H269" s="1262"/>
      <c r="I269" s="1262"/>
      <c r="J269" s="1262"/>
      <c r="K269" s="1262"/>
      <c r="L269" s="1262"/>
      <c r="M269" s="1262"/>
      <c r="N269" s="1262"/>
      <c r="O269" s="1262"/>
    </row>
    <row r="270" spans="2:15">
      <c r="B270" s="1262"/>
      <c r="C270" s="1262"/>
      <c r="D270" s="1262"/>
      <c r="E270" s="1262"/>
      <c r="F270" s="1262"/>
      <c r="G270" s="1262"/>
      <c r="H270" s="1262"/>
      <c r="I270" s="1262"/>
      <c r="J270" s="1262"/>
      <c r="K270" s="1262"/>
      <c r="L270" s="1262"/>
      <c r="M270" s="1262"/>
      <c r="N270" s="1262"/>
      <c r="O270" s="1262"/>
    </row>
    <row r="271" spans="2:15">
      <c r="B271" s="1262"/>
      <c r="C271" s="1262"/>
      <c r="D271" s="1262"/>
      <c r="E271" s="1262"/>
      <c r="F271" s="1262"/>
      <c r="G271" s="1262"/>
      <c r="H271" s="1262"/>
      <c r="I271" s="1262"/>
      <c r="J271" s="1262"/>
      <c r="K271" s="1262"/>
      <c r="L271" s="1262"/>
      <c r="M271" s="1262"/>
      <c r="N271" s="1262"/>
      <c r="O271" s="1262"/>
    </row>
    <row r="272" spans="2:15">
      <c r="B272" s="1262"/>
      <c r="C272" s="1262"/>
      <c r="D272" s="1262"/>
      <c r="E272" s="1262"/>
      <c r="F272" s="1262"/>
      <c r="G272" s="1262"/>
      <c r="H272" s="1262"/>
      <c r="I272" s="1262"/>
      <c r="J272" s="1262"/>
      <c r="K272" s="1262"/>
      <c r="L272" s="1262"/>
      <c r="M272" s="1262"/>
      <c r="N272" s="1262"/>
      <c r="O272" s="1262"/>
    </row>
    <row r="273" spans="2:15">
      <c r="B273" s="1262"/>
      <c r="C273" s="1262"/>
      <c r="D273" s="1262"/>
      <c r="E273" s="1262"/>
      <c r="F273" s="1262"/>
      <c r="G273" s="1262"/>
      <c r="H273" s="1262"/>
      <c r="I273" s="1262"/>
      <c r="J273" s="1262"/>
      <c r="K273" s="1262"/>
      <c r="L273" s="1262"/>
      <c r="M273" s="1262"/>
      <c r="N273" s="1262"/>
      <c r="O273" s="1262"/>
    </row>
    <row r="274" spans="2:15">
      <c r="B274" s="1262"/>
      <c r="C274" s="1262"/>
      <c r="D274" s="1262"/>
      <c r="E274" s="1262"/>
      <c r="F274" s="1262"/>
      <c r="G274" s="1262"/>
      <c r="H274" s="1262"/>
      <c r="I274" s="1262"/>
      <c r="J274" s="1262"/>
      <c r="K274" s="1262"/>
      <c r="L274" s="1262"/>
      <c r="M274" s="1262"/>
      <c r="N274" s="1262"/>
      <c r="O274" s="1262"/>
    </row>
    <row r="275" spans="2:15">
      <c r="B275" s="1262"/>
      <c r="C275" s="1262"/>
      <c r="D275" s="1262"/>
      <c r="E275" s="1262"/>
      <c r="F275" s="1262"/>
      <c r="G275" s="1262"/>
      <c r="H275" s="1262"/>
      <c r="I275" s="1262"/>
      <c r="J275" s="1262"/>
      <c r="K275" s="1262"/>
      <c r="L275" s="1262"/>
      <c r="M275" s="1262"/>
      <c r="N275" s="1262"/>
      <c r="O275" s="1262"/>
    </row>
    <row r="276" spans="2:15">
      <c r="B276" s="1262"/>
      <c r="C276" s="1262"/>
      <c r="D276" s="1262"/>
      <c r="E276" s="1262"/>
      <c r="F276" s="1262"/>
      <c r="G276" s="1262"/>
      <c r="H276" s="1262"/>
      <c r="I276" s="1262"/>
      <c r="J276" s="1262"/>
      <c r="K276" s="1262"/>
      <c r="L276" s="1262"/>
      <c r="M276" s="1262"/>
      <c r="N276" s="1262"/>
      <c r="O276" s="1262"/>
    </row>
    <row r="277" spans="2:15">
      <c r="B277" s="1262"/>
      <c r="C277" s="1262"/>
      <c r="D277" s="1262"/>
      <c r="E277" s="1262"/>
      <c r="F277" s="1262"/>
      <c r="G277" s="1262"/>
      <c r="H277" s="1262"/>
      <c r="I277" s="1262"/>
      <c r="J277" s="1262"/>
      <c r="K277" s="1262"/>
      <c r="L277" s="1262"/>
      <c r="M277" s="1262"/>
      <c r="N277" s="1262"/>
      <c r="O277" s="1262"/>
    </row>
    <row r="278" spans="2:15">
      <c r="B278" s="1262"/>
      <c r="C278" s="1262"/>
      <c r="D278" s="1262"/>
      <c r="E278" s="1262"/>
      <c r="F278" s="1262"/>
      <c r="G278" s="1262"/>
      <c r="H278" s="1262"/>
      <c r="I278" s="1262"/>
      <c r="J278" s="1262"/>
      <c r="K278" s="1262"/>
      <c r="L278" s="1262"/>
      <c r="M278" s="1262"/>
      <c r="N278" s="1262"/>
      <c r="O278" s="1262"/>
    </row>
    <row r="279" spans="2:15">
      <c r="B279" s="1262"/>
      <c r="C279" s="1262"/>
      <c r="D279" s="1262"/>
      <c r="E279" s="1262"/>
      <c r="F279" s="1262"/>
      <c r="G279" s="1262"/>
      <c r="H279" s="1262"/>
      <c r="I279" s="1262"/>
      <c r="J279" s="1262"/>
      <c r="K279" s="1262"/>
      <c r="L279" s="1262"/>
      <c r="M279" s="1262"/>
      <c r="N279" s="1262"/>
      <c r="O279" s="1262"/>
    </row>
    <row r="280" spans="2:15">
      <c r="B280" s="1262"/>
      <c r="C280" s="1262"/>
      <c r="D280" s="1262"/>
      <c r="E280" s="1262"/>
      <c r="F280" s="1262"/>
      <c r="G280" s="1262"/>
      <c r="H280" s="1262"/>
      <c r="I280" s="1262"/>
      <c r="J280" s="1262"/>
      <c r="K280" s="1262"/>
      <c r="L280" s="1262"/>
      <c r="M280" s="1262"/>
      <c r="N280" s="1262"/>
      <c r="O280" s="1262"/>
    </row>
    <row r="281" spans="2:15">
      <c r="B281" s="1262"/>
      <c r="C281" s="1262"/>
      <c r="D281" s="1262"/>
      <c r="E281" s="1262"/>
      <c r="F281" s="1262"/>
      <c r="G281" s="1262"/>
      <c r="H281" s="1262"/>
      <c r="I281" s="1262"/>
      <c r="J281" s="1262"/>
      <c r="K281" s="1262"/>
      <c r="L281" s="1262"/>
      <c r="M281" s="1262"/>
      <c r="N281" s="1262"/>
      <c r="O281" s="1262"/>
    </row>
    <row r="282" spans="2:15">
      <c r="B282" s="1262"/>
      <c r="C282" s="1262"/>
      <c r="D282" s="1262"/>
      <c r="E282" s="1262"/>
      <c r="F282" s="1262"/>
      <c r="G282" s="1262"/>
      <c r="H282" s="1262"/>
      <c r="I282" s="1262"/>
      <c r="J282" s="1262"/>
      <c r="K282" s="1262"/>
      <c r="L282" s="1262"/>
      <c r="M282" s="1262"/>
      <c r="N282" s="1262"/>
      <c r="O282" s="1262"/>
    </row>
    <row r="283" spans="2:15">
      <c r="B283" s="1262"/>
      <c r="C283" s="1262"/>
      <c r="D283" s="1262"/>
      <c r="E283" s="1262"/>
      <c r="F283" s="1262"/>
      <c r="G283" s="1262"/>
      <c r="H283" s="1262"/>
      <c r="I283" s="1262"/>
      <c r="J283" s="1262"/>
      <c r="K283" s="1262"/>
      <c r="L283" s="1262"/>
      <c r="M283" s="1262"/>
      <c r="N283" s="1262"/>
      <c r="O283" s="1262"/>
    </row>
    <row r="284" spans="2:15">
      <c r="B284" s="1262"/>
      <c r="C284" s="1262"/>
      <c r="D284" s="1262"/>
      <c r="E284" s="1262"/>
      <c r="F284" s="1262"/>
      <c r="G284" s="1262"/>
      <c r="H284" s="1262"/>
      <c r="I284" s="1262"/>
      <c r="J284" s="1262"/>
      <c r="K284" s="1262"/>
      <c r="L284" s="1262"/>
      <c r="M284" s="1262"/>
      <c r="N284" s="1262"/>
      <c r="O284" s="1262"/>
    </row>
    <row r="285" spans="2:15">
      <c r="B285" s="1262"/>
      <c r="C285" s="1262"/>
      <c r="D285" s="1262"/>
      <c r="E285" s="1262"/>
      <c r="F285" s="1262"/>
      <c r="G285" s="1262"/>
      <c r="H285" s="1262"/>
      <c r="I285" s="1262"/>
      <c r="J285" s="1262"/>
      <c r="K285" s="1262"/>
      <c r="L285" s="1262"/>
      <c r="M285" s="1262"/>
      <c r="N285" s="1262"/>
      <c r="O285" s="1262"/>
    </row>
    <row r="286" spans="2:15">
      <c r="B286" s="1262"/>
      <c r="C286" s="1262"/>
      <c r="D286" s="1262"/>
      <c r="E286" s="1262"/>
      <c r="F286" s="1262"/>
      <c r="G286" s="1262"/>
      <c r="H286" s="1262"/>
      <c r="I286" s="1262"/>
      <c r="J286" s="1262"/>
      <c r="K286" s="1262"/>
      <c r="L286" s="1262"/>
      <c r="M286" s="1262"/>
      <c r="N286" s="1262"/>
      <c r="O286" s="1262"/>
    </row>
    <row r="287" spans="2:15">
      <c r="B287" s="1262"/>
      <c r="C287" s="1262"/>
      <c r="D287" s="1262"/>
      <c r="E287" s="1262"/>
      <c r="F287" s="1262"/>
      <c r="G287" s="1262"/>
      <c r="H287" s="1262"/>
      <c r="I287" s="1262"/>
      <c r="J287" s="1262"/>
      <c r="K287" s="1262"/>
      <c r="L287" s="1262"/>
      <c r="M287" s="1262"/>
      <c r="N287" s="1262"/>
      <c r="O287" s="1262"/>
    </row>
    <row r="288" spans="2:15">
      <c r="B288" s="1262"/>
      <c r="C288" s="1262"/>
      <c r="D288" s="1262"/>
      <c r="E288" s="1262"/>
      <c r="F288" s="1262"/>
      <c r="G288" s="1262"/>
      <c r="H288" s="1262"/>
      <c r="I288" s="1262"/>
      <c r="J288" s="1262"/>
      <c r="K288" s="1262"/>
      <c r="L288" s="1262"/>
      <c r="M288" s="1262"/>
      <c r="N288" s="1262"/>
      <c r="O288" s="1262"/>
    </row>
    <row r="289" spans="2:15">
      <c r="B289" s="1262"/>
      <c r="C289" s="1262"/>
      <c r="D289" s="1262"/>
      <c r="E289" s="1262"/>
      <c r="F289" s="1262"/>
      <c r="G289" s="1262"/>
      <c r="H289" s="1262"/>
      <c r="I289" s="1262"/>
      <c r="J289" s="1262"/>
      <c r="K289" s="1262"/>
      <c r="L289" s="1262"/>
      <c r="M289" s="1262"/>
      <c r="N289" s="1262"/>
      <c r="O289" s="1262"/>
    </row>
    <row r="290" spans="2:15">
      <c r="B290" s="1262"/>
      <c r="C290" s="1262"/>
      <c r="D290" s="1262"/>
      <c r="E290" s="1262"/>
      <c r="F290" s="1262"/>
      <c r="G290" s="1262"/>
      <c r="H290" s="1262"/>
      <c r="I290" s="1262"/>
      <c r="J290" s="1262"/>
      <c r="K290" s="1262"/>
      <c r="L290" s="1262"/>
      <c r="M290" s="1262"/>
      <c r="N290" s="1262"/>
      <c r="O290" s="1262"/>
    </row>
    <row r="291" spans="2:15">
      <c r="B291" s="1262"/>
      <c r="C291" s="1262"/>
      <c r="D291" s="1262"/>
      <c r="E291" s="1262"/>
      <c r="F291" s="1262"/>
      <c r="G291" s="1262"/>
      <c r="H291" s="1262"/>
      <c r="I291" s="1262"/>
      <c r="J291" s="1262"/>
      <c r="K291" s="1262"/>
      <c r="L291" s="1262"/>
      <c r="M291" s="1262"/>
      <c r="N291" s="1262"/>
      <c r="O291" s="1262"/>
    </row>
    <row r="292" spans="2:15">
      <c r="B292" s="1262"/>
      <c r="C292" s="1262"/>
      <c r="D292" s="1262"/>
      <c r="E292" s="1262"/>
      <c r="F292" s="1262"/>
      <c r="G292" s="1262"/>
      <c r="H292" s="1262"/>
      <c r="I292" s="1262"/>
      <c r="J292" s="1262"/>
      <c r="K292" s="1262"/>
      <c r="L292" s="1262"/>
      <c r="M292" s="1262"/>
      <c r="N292" s="1262"/>
      <c r="O292" s="1262"/>
    </row>
    <row r="293" spans="2:15">
      <c r="B293" s="1262"/>
      <c r="C293" s="1262"/>
      <c r="D293" s="1262"/>
      <c r="E293" s="1262"/>
      <c r="F293" s="1262"/>
      <c r="G293" s="1262"/>
      <c r="H293" s="1262"/>
      <c r="I293" s="1262"/>
      <c r="J293" s="1262"/>
      <c r="K293" s="1262"/>
      <c r="L293" s="1262"/>
      <c r="M293" s="1262"/>
      <c r="N293" s="1262"/>
      <c r="O293" s="1262"/>
    </row>
    <row r="294" spans="2:15">
      <c r="B294" s="1262"/>
      <c r="C294" s="1262"/>
      <c r="D294" s="1262"/>
      <c r="E294" s="1262"/>
      <c r="F294" s="1262"/>
      <c r="G294" s="1262"/>
      <c r="H294" s="1262"/>
      <c r="I294" s="1262"/>
      <c r="J294" s="1262"/>
      <c r="K294" s="1262"/>
      <c r="L294" s="1262"/>
      <c r="M294" s="1262"/>
      <c r="N294" s="1262"/>
      <c r="O294" s="1262"/>
    </row>
    <row r="295" spans="2:15">
      <c r="B295" s="1262"/>
      <c r="C295" s="1262"/>
      <c r="D295" s="1262"/>
      <c r="E295" s="1262"/>
      <c r="F295" s="1262"/>
      <c r="G295" s="1262"/>
      <c r="H295" s="1262"/>
      <c r="I295" s="1262"/>
      <c r="J295" s="1262"/>
      <c r="K295" s="1262"/>
      <c r="L295" s="1262"/>
      <c r="M295" s="1262"/>
      <c r="N295" s="1262"/>
      <c r="O295" s="1262"/>
    </row>
    <row r="296" spans="2:15">
      <c r="B296" s="1262"/>
      <c r="C296" s="1262"/>
      <c r="D296" s="1262"/>
      <c r="E296" s="1262"/>
      <c r="F296" s="1262"/>
      <c r="G296" s="1262"/>
      <c r="H296" s="1262"/>
      <c r="I296" s="1262"/>
      <c r="J296" s="1262"/>
      <c r="K296" s="1262"/>
      <c r="L296" s="1262"/>
      <c r="M296" s="1262"/>
      <c r="N296" s="1262"/>
      <c r="O296" s="1262"/>
    </row>
    <row r="297" spans="2:15">
      <c r="B297" s="1262"/>
      <c r="C297" s="1262"/>
      <c r="D297" s="1262"/>
      <c r="E297" s="1262"/>
      <c r="F297" s="1262"/>
      <c r="G297" s="1262"/>
      <c r="H297" s="1262"/>
      <c r="I297" s="1262"/>
      <c r="J297" s="1262"/>
      <c r="K297" s="1262"/>
      <c r="L297" s="1262"/>
      <c r="M297" s="1262"/>
      <c r="N297" s="1262"/>
      <c r="O297" s="1262"/>
    </row>
    <row r="298" spans="2:15">
      <c r="B298" s="1262"/>
      <c r="C298" s="1262"/>
      <c r="D298" s="1262"/>
      <c r="E298" s="1262"/>
      <c r="F298" s="1262"/>
      <c r="G298" s="1262"/>
      <c r="H298" s="1262"/>
      <c r="I298" s="1262"/>
      <c r="J298" s="1262"/>
      <c r="K298" s="1262"/>
      <c r="L298" s="1262"/>
      <c r="M298" s="1262"/>
      <c r="N298" s="1262"/>
      <c r="O298" s="1262"/>
    </row>
    <row r="299" spans="2:15">
      <c r="B299" s="1262"/>
      <c r="C299" s="1262"/>
      <c r="D299" s="1262"/>
      <c r="E299" s="1262"/>
      <c r="F299" s="1262"/>
      <c r="G299" s="1262"/>
      <c r="H299" s="1262"/>
      <c r="I299" s="1262"/>
      <c r="J299" s="1262"/>
      <c r="K299" s="1262"/>
      <c r="L299" s="1262"/>
      <c r="M299" s="1262"/>
      <c r="N299" s="1262"/>
      <c r="O299" s="1262"/>
    </row>
    <row r="300" spans="2:15">
      <c r="B300" s="1262"/>
      <c r="C300" s="1262"/>
      <c r="D300" s="1262"/>
      <c r="E300" s="1262"/>
      <c r="F300" s="1262"/>
      <c r="G300" s="1262"/>
      <c r="H300" s="1262"/>
      <c r="I300" s="1262"/>
      <c r="J300" s="1262"/>
      <c r="K300" s="1262"/>
      <c r="L300" s="1262"/>
      <c r="M300" s="1262"/>
      <c r="N300" s="1262"/>
      <c r="O300" s="1262"/>
    </row>
    <row r="301" spans="2:15">
      <c r="B301" s="1262"/>
      <c r="C301" s="1262"/>
      <c r="D301" s="1262"/>
      <c r="E301" s="1262"/>
      <c r="F301" s="1262"/>
      <c r="G301" s="1262"/>
      <c r="H301" s="1262"/>
      <c r="I301" s="1262"/>
      <c r="J301" s="1262"/>
      <c r="K301" s="1262"/>
      <c r="L301" s="1262"/>
      <c r="M301" s="1262"/>
      <c r="N301" s="1262"/>
      <c r="O301" s="1262"/>
    </row>
    <row r="302" spans="2:15">
      <c r="B302" s="1262"/>
      <c r="C302" s="1262"/>
      <c r="D302" s="1262"/>
      <c r="E302" s="1262"/>
      <c r="F302" s="1262"/>
      <c r="G302" s="1262"/>
      <c r="H302" s="1262"/>
      <c r="I302" s="1262"/>
      <c r="J302" s="1262"/>
      <c r="K302" s="1262"/>
      <c r="L302" s="1262"/>
      <c r="M302" s="1262"/>
      <c r="N302" s="1262"/>
      <c r="O302" s="1262"/>
    </row>
    <row r="303" spans="2:15">
      <c r="B303" s="1262"/>
      <c r="C303" s="1262"/>
      <c r="D303" s="1262"/>
      <c r="E303" s="1262"/>
      <c r="F303" s="1262"/>
      <c r="G303" s="1262"/>
      <c r="H303" s="1262"/>
      <c r="I303" s="1262"/>
      <c r="J303" s="1262"/>
      <c r="K303" s="1262"/>
      <c r="L303" s="1262"/>
      <c r="M303" s="1262"/>
      <c r="N303" s="1262"/>
      <c r="O303" s="1262"/>
    </row>
    <row r="304" spans="2:15">
      <c r="B304" s="1262"/>
      <c r="C304" s="1262"/>
      <c r="D304" s="1262"/>
      <c r="E304" s="1262"/>
      <c r="F304" s="1262"/>
      <c r="G304" s="1262"/>
      <c r="H304" s="1262"/>
      <c r="I304" s="1262"/>
      <c r="J304" s="1262"/>
      <c r="K304" s="1262"/>
      <c r="L304" s="1262"/>
      <c r="M304" s="1262"/>
      <c r="N304" s="1262"/>
      <c r="O304" s="1262"/>
    </row>
    <row r="305" spans="2:15">
      <c r="B305" s="1262"/>
      <c r="C305" s="1262"/>
      <c r="D305" s="1262"/>
      <c r="E305" s="1262"/>
      <c r="F305" s="1262"/>
      <c r="G305" s="1262"/>
      <c r="H305" s="1262"/>
      <c r="I305" s="1262"/>
      <c r="J305" s="1262"/>
      <c r="K305" s="1262"/>
      <c r="L305" s="1262"/>
      <c r="M305" s="1262"/>
      <c r="N305" s="1262"/>
      <c r="O305" s="1262"/>
    </row>
    <row r="306" spans="2:15">
      <c r="B306" s="1262"/>
      <c r="C306" s="1262"/>
      <c r="D306" s="1262"/>
      <c r="E306" s="1262"/>
      <c r="F306" s="1262"/>
      <c r="G306" s="1262"/>
      <c r="H306" s="1262"/>
      <c r="I306" s="1262"/>
      <c r="J306" s="1262"/>
      <c r="K306" s="1262"/>
      <c r="L306" s="1262"/>
      <c r="M306" s="1262"/>
      <c r="N306" s="1262"/>
      <c r="O306" s="1262"/>
    </row>
    <row r="307" spans="2:15">
      <c r="B307" s="1262"/>
      <c r="C307" s="1262"/>
      <c r="D307" s="1262"/>
      <c r="E307" s="1262"/>
      <c r="F307" s="1262"/>
      <c r="G307" s="1262"/>
      <c r="H307" s="1262"/>
      <c r="I307" s="1262"/>
      <c r="J307" s="1262"/>
      <c r="K307" s="1262"/>
      <c r="L307" s="1262"/>
      <c r="M307" s="1262"/>
      <c r="N307" s="1262"/>
      <c r="O307" s="1262"/>
    </row>
    <row r="308" spans="2:15">
      <c r="B308" s="1262"/>
      <c r="C308" s="1262"/>
      <c r="D308" s="1262"/>
      <c r="E308" s="1262"/>
      <c r="F308" s="1262"/>
      <c r="G308" s="1262"/>
      <c r="H308" s="1262"/>
      <c r="I308" s="1262"/>
      <c r="J308" s="1262"/>
      <c r="K308" s="1262"/>
      <c r="L308" s="1262"/>
      <c r="M308" s="1262"/>
      <c r="N308" s="1262"/>
      <c r="O308" s="1262"/>
    </row>
    <row r="309" spans="2:15">
      <c r="B309" s="1262"/>
      <c r="C309" s="1262"/>
      <c r="D309" s="1262"/>
      <c r="E309" s="1262"/>
      <c r="F309" s="1262"/>
      <c r="G309" s="1262"/>
      <c r="H309" s="1262"/>
      <c r="I309" s="1262"/>
      <c r="J309" s="1262"/>
      <c r="K309" s="1262"/>
      <c r="L309" s="1262"/>
      <c r="M309" s="1262"/>
      <c r="N309" s="1262"/>
      <c r="O309" s="1262"/>
    </row>
    <row r="310" spans="2:15">
      <c r="B310" s="1262"/>
      <c r="C310" s="1262"/>
      <c r="D310" s="1262"/>
      <c r="E310" s="1262"/>
      <c r="F310" s="1262"/>
      <c r="G310" s="1262"/>
      <c r="H310" s="1262"/>
      <c r="I310" s="1262"/>
      <c r="J310" s="1262"/>
      <c r="K310" s="1262"/>
      <c r="L310" s="1262"/>
      <c r="M310" s="1262"/>
      <c r="N310" s="1262"/>
      <c r="O310" s="1262"/>
    </row>
    <row r="311" spans="2:15">
      <c r="B311" s="1262"/>
      <c r="C311" s="1262"/>
      <c r="D311" s="1262"/>
      <c r="E311" s="1262"/>
      <c r="F311" s="1262"/>
      <c r="G311" s="1262"/>
      <c r="H311" s="1262"/>
      <c r="I311" s="1262"/>
      <c r="J311" s="1262"/>
      <c r="K311" s="1262"/>
      <c r="L311" s="1262"/>
      <c r="M311" s="1262"/>
      <c r="N311" s="1262"/>
      <c r="O311" s="1262"/>
    </row>
    <row r="312" spans="2:15">
      <c r="B312" s="1262"/>
      <c r="C312" s="1262"/>
      <c r="D312" s="1262"/>
      <c r="E312" s="1262"/>
      <c r="F312" s="1262"/>
      <c r="G312" s="1262"/>
      <c r="H312" s="1262"/>
      <c r="I312" s="1262"/>
      <c r="J312" s="1262"/>
      <c r="K312" s="1262"/>
      <c r="L312" s="1262"/>
      <c r="M312" s="1262"/>
      <c r="N312" s="1262"/>
      <c r="O312" s="1262"/>
    </row>
    <row r="313" spans="2:15">
      <c r="B313" s="1262"/>
      <c r="C313" s="1262"/>
      <c r="D313" s="1262"/>
      <c r="E313" s="1262"/>
      <c r="F313" s="1262"/>
      <c r="G313" s="1262"/>
      <c r="H313" s="1262"/>
      <c r="I313" s="1262"/>
      <c r="J313" s="1262"/>
      <c r="K313" s="1262"/>
      <c r="L313" s="1262"/>
      <c r="M313" s="1262"/>
      <c r="N313" s="1262"/>
      <c r="O313" s="1262"/>
    </row>
    <row r="314" spans="2:15">
      <c r="B314" s="1262"/>
      <c r="C314" s="1262"/>
      <c r="D314" s="1262"/>
      <c r="E314" s="1262"/>
      <c r="F314" s="1262"/>
      <c r="G314" s="1262"/>
      <c r="H314" s="1262"/>
      <c r="I314" s="1262"/>
      <c r="J314" s="1262"/>
      <c r="K314" s="1262"/>
      <c r="L314" s="1262"/>
      <c r="M314" s="1262"/>
      <c r="N314" s="1262"/>
      <c r="O314" s="1262"/>
    </row>
    <row r="315" spans="2:15">
      <c r="B315" s="1262"/>
      <c r="C315" s="1262"/>
      <c r="D315" s="1262"/>
      <c r="E315" s="1262"/>
      <c r="F315" s="1262"/>
      <c r="G315" s="1262"/>
      <c r="H315" s="1262"/>
      <c r="I315" s="1262"/>
      <c r="J315" s="1262"/>
      <c r="K315" s="1262"/>
      <c r="L315" s="1262"/>
      <c r="M315" s="1262"/>
      <c r="N315" s="1262"/>
      <c r="O315" s="1262"/>
    </row>
    <row r="316" spans="2:15">
      <c r="B316" s="1262"/>
      <c r="C316" s="1262"/>
      <c r="D316" s="1262"/>
      <c r="E316" s="1262"/>
      <c r="F316" s="1262"/>
      <c r="G316" s="1262"/>
      <c r="H316" s="1262"/>
      <c r="I316" s="1262"/>
      <c r="J316" s="1262"/>
      <c r="K316" s="1262"/>
      <c r="L316" s="1262"/>
      <c r="M316" s="1262"/>
      <c r="N316" s="1262"/>
      <c r="O316" s="1262"/>
    </row>
    <row r="317" spans="2:15">
      <c r="B317" s="1262"/>
      <c r="C317" s="1262"/>
      <c r="D317" s="1262"/>
      <c r="E317" s="1262"/>
      <c r="F317" s="1262"/>
      <c r="G317" s="1262"/>
      <c r="H317" s="1262"/>
      <c r="I317" s="1262"/>
      <c r="J317" s="1262"/>
      <c r="K317" s="1262"/>
      <c r="L317" s="1262"/>
      <c r="M317" s="1262"/>
      <c r="N317" s="1262"/>
      <c r="O317" s="1262"/>
    </row>
    <row r="318" spans="2:15">
      <c r="B318" s="1262"/>
      <c r="C318" s="1262"/>
      <c r="D318" s="1262"/>
      <c r="E318" s="1262"/>
      <c r="F318" s="1262"/>
      <c r="G318" s="1262"/>
      <c r="H318" s="1262"/>
      <c r="I318" s="1262"/>
      <c r="J318" s="1262"/>
      <c r="K318" s="1262"/>
      <c r="L318" s="1262"/>
      <c r="M318" s="1262"/>
      <c r="N318" s="1262"/>
      <c r="O318" s="1262"/>
    </row>
    <row r="319" spans="2:15">
      <c r="B319" s="1262"/>
      <c r="C319" s="1262"/>
      <c r="D319" s="1262"/>
      <c r="E319" s="1262"/>
      <c r="F319" s="1262"/>
      <c r="G319" s="1262"/>
      <c r="H319" s="1262"/>
      <c r="I319" s="1262"/>
      <c r="J319" s="1262"/>
      <c r="K319" s="1262"/>
      <c r="L319" s="1262"/>
      <c r="M319" s="1262"/>
      <c r="N319" s="1262"/>
      <c r="O319" s="1262"/>
    </row>
    <row r="320" spans="2:15">
      <c r="B320" s="1262"/>
      <c r="C320" s="1262"/>
      <c r="D320" s="1262"/>
      <c r="E320" s="1262"/>
      <c r="F320" s="1262"/>
      <c r="G320" s="1262"/>
      <c r="H320" s="1262"/>
      <c r="I320" s="1262"/>
      <c r="J320" s="1262"/>
      <c r="K320" s="1262"/>
      <c r="L320" s="1262"/>
      <c r="M320" s="1262"/>
      <c r="N320" s="1262"/>
      <c r="O320" s="1262"/>
    </row>
    <row r="321" spans="2:15">
      <c r="B321" s="1262"/>
      <c r="C321" s="1262"/>
      <c r="D321" s="1262"/>
      <c r="E321" s="1262"/>
      <c r="F321" s="1262"/>
      <c r="G321" s="1262"/>
      <c r="H321" s="1262"/>
      <c r="I321" s="1262"/>
      <c r="J321" s="1262"/>
      <c r="K321" s="1262"/>
      <c r="L321" s="1262"/>
      <c r="M321" s="1262"/>
      <c r="N321" s="1262"/>
      <c r="O321" s="1262"/>
    </row>
    <row r="322" spans="2:15">
      <c r="B322" s="1262"/>
      <c r="C322" s="1262"/>
      <c r="D322" s="1262"/>
      <c r="E322" s="1262"/>
      <c r="F322" s="1262"/>
      <c r="G322" s="1262"/>
      <c r="H322" s="1262"/>
      <c r="I322" s="1262"/>
      <c r="J322" s="1262"/>
      <c r="K322" s="1262"/>
      <c r="L322" s="1262"/>
      <c r="M322" s="1262"/>
      <c r="N322" s="1262"/>
      <c r="O322" s="1262"/>
    </row>
    <row r="323" spans="2:15">
      <c r="B323" s="1262"/>
      <c r="C323" s="1262"/>
      <c r="D323" s="1262"/>
      <c r="E323" s="1262"/>
      <c r="F323" s="1262"/>
      <c r="G323" s="1262"/>
      <c r="H323" s="1262"/>
      <c r="I323" s="1262"/>
      <c r="J323" s="1262"/>
      <c r="K323" s="1262"/>
      <c r="L323" s="1262"/>
      <c r="M323" s="1262"/>
      <c r="N323" s="1262"/>
      <c r="O323" s="1262"/>
    </row>
    <row r="324" spans="2:15">
      <c r="B324" s="1262"/>
      <c r="C324" s="1262"/>
      <c r="D324" s="1262"/>
      <c r="E324" s="1262"/>
      <c r="F324" s="1262"/>
      <c r="G324" s="1262"/>
      <c r="H324" s="1262"/>
      <c r="I324" s="1262"/>
      <c r="J324" s="1262"/>
      <c r="K324" s="1262"/>
      <c r="L324" s="1262"/>
      <c r="M324" s="1262"/>
      <c r="N324" s="1262"/>
      <c r="O324" s="1262"/>
    </row>
    <row r="325" spans="2:15">
      <c r="B325" s="1262"/>
      <c r="C325" s="1262"/>
      <c r="D325" s="1262"/>
      <c r="E325" s="1262"/>
      <c r="F325" s="1262"/>
      <c r="G325" s="1262"/>
      <c r="H325" s="1262"/>
      <c r="I325" s="1262"/>
      <c r="J325" s="1262"/>
      <c r="K325" s="1262"/>
      <c r="L325" s="1262"/>
      <c r="M325" s="1262"/>
      <c r="N325" s="1262"/>
      <c r="O325" s="1262"/>
    </row>
    <row r="326" spans="2:15">
      <c r="B326" s="1262"/>
      <c r="C326" s="1262"/>
      <c r="D326" s="1262"/>
      <c r="E326" s="1262"/>
      <c r="F326" s="1262"/>
      <c r="G326" s="1262"/>
      <c r="H326" s="1262"/>
      <c r="I326" s="1262"/>
      <c r="J326" s="1262"/>
      <c r="K326" s="1262"/>
      <c r="L326" s="1262"/>
      <c r="M326" s="1262"/>
      <c r="N326" s="1262"/>
      <c r="O326" s="1262"/>
    </row>
    <row r="327" spans="2:15">
      <c r="B327" s="1262"/>
      <c r="C327" s="1262"/>
      <c r="D327" s="1262"/>
      <c r="E327" s="1262"/>
      <c r="F327" s="1262"/>
      <c r="G327" s="1262"/>
      <c r="H327" s="1262"/>
      <c r="I327" s="1262"/>
      <c r="J327" s="1262"/>
      <c r="K327" s="1262"/>
      <c r="L327" s="1262"/>
      <c r="M327" s="1262"/>
      <c r="N327" s="1262"/>
      <c r="O327" s="1262"/>
    </row>
    <row r="328" spans="2:15">
      <c r="B328" s="1262"/>
      <c r="C328" s="1262"/>
      <c r="D328" s="1262"/>
      <c r="E328" s="1262"/>
      <c r="F328" s="1262"/>
      <c r="G328" s="1262"/>
      <c r="H328" s="1262"/>
      <c r="I328" s="1262"/>
      <c r="J328" s="1262"/>
      <c r="K328" s="1262"/>
      <c r="L328" s="1262"/>
      <c r="M328" s="1262"/>
      <c r="N328" s="1262"/>
      <c r="O328" s="1262"/>
    </row>
    <row r="329" spans="2:15">
      <c r="B329" s="1262"/>
      <c r="C329" s="1262"/>
      <c r="D329" s="1262"/>
      <c r="E329" s="1262"/>
      <c r="F329" s="1262"/>
      <c r="G329" s="1262"/>
      <c r="H329" s="1262"/>
      <c r="I329" s="1262"/>
      <c r="J329" s="1262"/>
      <c r="K329" s="1262"/>
      <c r="L329" s="1262"/>
      <c r="M329" s="1262"/>
      <c r="N329" s="1262"/>
      <c r="O329" s="1262"/>
    </row>
    <row r="330" spans="2:15">
      <c r="B330" s="1262"/>
      <c r="C330" s="1262"/>
      <c r="D330" s="1262"/>
      <c r="E330" s="1262"/>
      <c r="F330" s="1262"/>
      <c r="G330" s="1262"/>
      <c r="H330" s="1262"/>
      <c r="I330" s="1262"/>
      <c r="J330" s="1262"/>
      <c r="K330" s="1262"/>
      <c r="L330" s="1262"/>
      <c r="M330" s="1262"/>
      <c r="N330" s="1262"/>
      <c r="O330" s="1262"/>
    </row>
    <row r="331" spans="2:15">
      <c r="B331" s="1262"/>
      <c r="C331" s="1262"/>
      <c r="D331" s="1262"/>
      <c r="E331" s="1262"/>
      <c r="F331" s="1262"/>
      <c r="G331" s="1262"/>
      <c r="H331" s="1262"/>
      <c r="I331" s="1262"/>
      <c r="J331" s="1262"/>
      <c r="K331" s="1262"/>
      <c r="L331" s="1262"/>
      <c r="M331" s="1262"/>
      <c r="N331" s="1262"/>
      <c r="O331" s="1262"/>
    </row>
    <row r="332" spans="2:15">
      <c r="B332" s="1262"/>
      <c r="C332" s="1262"/>
      <c r="D332" s="1262"/>
      <c r="E332" s="1262"/>
      <c r="F332" s="1262"/>
      <c r="G332" s="1262"/>
      <c r="H332" s="1262"/>
      <c r="I332" s="1262"/>
      <c r="J332" s="1262"/>
      <c r="K332" s="1262"/>
      <c r="L332" s="1262"/>
      <c r="M332" s="1262"/>
      <c r="N332" s="1262"/>
      <c r="O332" s="1262"/>
    </row>
    <row r="333" spans="2:15">
      <c r="B333" s="1262"/>
      <c r="C333" s="1262"/>
      <c r="D333" s="1262"/>
      <c r="E333" s="1262"/>
      <c r="F333" s="1262"/>
      <c r="G333" s="1262"/>
      <c r="H333" s="1262"/>
      <c r="I333" s="1262"/>
      <c r="J333" s="1262"/>
      <c r="K333" s="1262"/>
      <c r="L333" s="1262"/>
      <c r="M333" s="1262"/>
      <c r="N333" s="1262"/>
      <c r="O333" s="1262"/>
    </row>
    <row r="334" spans="2:15">
      <c r="B334" s="1262"/>
      <c r="C334" s="1262"/>
      <c r="D334" s="1262"/>
      <c r="E334" s="1262"/>
      <c r="F334" s="1262"/>
      <c r="G334" s="1262"/>
      <c r="H334" s="1262"/>
      <c r="I334" s="1262"/>
      <c r="J334" s="1262"/>
      <c r="K334" s="1262"/>
      <c r="L334" s="1262"/>
      <c r="M334" s="1262"/>
      <c r="N334" s="1262"/>
      <c r="O334" s="1262"/>
    </row>
    <row r="335" spans="2:15">
      <c r="B335" s="1262"/>
      <c r="C335" s="1262"/>
      <c r="D335" s="1262"/>
      <c r="E335" s="1262"/>
      <c r="F335" s="1262"/>
      <c r="G335" s="1262"/>
      <c r="H335" s="1262"/>
      <c r="I335" s="1262"/>
      <c r="J335" s="1262"/>
      <c r="K335" s="1262"/>
      <c r="L335" s="1262"/>
      <c r="M335" s="1262"/>
      <c r="N335" s="1262"/>
      <c r="O335" s="1262"/>
    </row>
    <row r="336" spans="2:15">
      <c r="B336" s="1262"/>
      <c r="C336" s="1262"/>
      <c r="D336" s="1262"/>
      <c r="E336" s="1262"/>
      <c r="F336" s="1262"/>
      <c r="G336" s="1262"/>
      <c r="H336" s="1262"/>
      <c r="I336" s="1262"/>
      <c r="J336" s="1262"/>
      <c r="K336" s="1262"/>
      <c r="L336" s="1262"/>
      <c r="M336" s="1262"/>
      <c r="N336" s="1262"/>
      <c r="O336" s="1262"/>
    </row>
    <row r="337" spans="2:15">
      <c r="B337" s="1262"/>
      <c r="C337" s="1262"/>
      <c r="D337" s="1262"/>
      <c r="E337" s="1262"/>
      <c r="F337" s="1262"/>
      <c r="G337" s="1262"/>
      <c r="H337" s="1262"/>
      <c r="I337" s="1262"/>
      <c r="J337" s="1262"/>
      <c r="K337" s="1262"/>
      <c r="L337" s="1262"/>
      <c r="M337" s="1262"/>
      <c r="N337" s="1262"/>
      <c r="O337" s="1262"/>
    </row>
    <row r="338" spans="2:15">
      <c r="B338" s="1262"/>
      <c r="C338" s="1262"/>
      <c r="D338" s="1262"/>
      <c r="E338" s="1262"/>
      <c r="F338" s="1262"/>
      <c r="G338" s="1262"/>
      <c r="H338" s="1262"/>
      <c r="I338" s="1262"/>
      <c r="J338" s="1262"/>
      <c r="K338" s="1262"/>
      <c r="L338" s="1262"/>
      <c r="M338" s="1262"/>
      <c r="N338" s="1262"/>
      <c r="O338" s="1262"/>
    </row>
    <row r="339" spans="2:15">
      <c r="B339" s="1262"/>
      <c r="C339" s="1262"/>
      <c r="D339" s="1262"/>
      <c r="E339" s="1262"/>
      <c r="F339" s="1262"/>
      <c r="G339" s="1262"/>
      <c r="H339" s="1262"/>
      <c r="I339" s="1262"/>
      <c r="J339" s="1262"/>
      <c r="K339" s="1262"/>
      <c r="L339" s="1262"/>
      <c r="M339" s="1262"/>
      <c r="N339" s="1262"/>
      <c r="O339" s="1262"/>
    </row>
    <row r="340" spans="2:15">
      <c r="B340" s="1262"/>
      <c r="C340" s="1262"/>
      <c r="D340" s="1262"/>
      <c r="E340" s="1262"/>
      <c r="F340" s="1262"/>
      <c r="G340" s="1262"/>
      <c r="H340" s="1262"/>
      <c r="I340" s="1262"/>
      <c r="J340" s="1262"/>
      <c r="K340" s="1262"/>
      <c r="L340" s="1262"/>
      <c r="M340" s="1262"/>
      <c r="N340" s="1262"/>
      <c r="O340" s="1262"/>
    </row>
    <row r="341" spans="2:15">
      <c r="B341" s="1262"/>
      <c r="C341" s="1262"/>
      <c r="D341" s="1262"/>
      <c r="E341" s="1262"/>
      <c r="F341" s="1262"/>
      <c r="G341" s="1262"/>
      <c r="H341" s="1262"/>
      <c r="I341" s="1262"/>
      <c r="J341" s="1262"/>
      <c r="K341" s="1262"/>
      <c r="L341" s="1262"/>
      <c r="M341" s="1262"/>
      <c r="N341" s="1262"/>
      <c r="O341" s="1262"/>
    </row>
    <row r="342" spans="2:15">
      <c r="B342" s="1262"/>
      <c r="C342" s="1262"/>
      <c r="D342" s="1262"/>
      <c r="E342" s="1262"/>
      <c r="F342" s="1262"/>
      <c r="G342" s="1262"/>
      <c r="H342" s="1262"/>
      <c r="I342" s="1262"/>
      <c r="J342" s="1262"/>
      <c r="K342" s="1262"/>
      <c r="L342" s="1262"/>
      <c r="M342" s="1262"/>
      <c r="N342" s="1262"/>
      <c r="O342" s="1262"/>
    </row>
    <row r="343" spans="2:15">
      <c r="B343" s="1262"/>
      <c r="C343" s="1262"/>
      <c r="D343" s="1262"/>
      <c r="E343" s="1262"/>
      <c r="F343" s="1262"/>
      <c r="G343" s="1262"/>
      <c r="H343" s="1262"/>
      <c r="I343" s="1262"/>
      <c r="J343" s="1262"/>
      <c r="K343" s="1262"/>
      <c r="L343" s="1262"/>
      <c r="M343" s="1262"/>
      <c r="N343" s="1262"/>
      <c r="O343" s="1262"/>
    </row>
    <row r="344" spans="2:15">
      <c r="B344" s="1262"/>
      <c r="C344" s="1262"/>
      <c r="D344" s="1262"/>
      <c r="E344" s="1262"/>
      <c r="F344" s="1262"/>
      <c r="G344" s="1262"/>
      <c r="H344" s="1262"/>
      <c r="I344" s="1262"/>
      <c r="J344" s="1262"/>
      <c r="K344" s="1262"/>
      <c r="L344" s="1262"/>
      <c r="M344" s="1262"/>
      <c r="N344" s="1262"/>
      <c r="O344" s="1262"/>
    </row>
    <row r="345" spans="2:15">
      <c r="B345" s="1262"/>
      <c r="C345" s="1262"/>
      <c r="D345" s="1262"/>
      <c r="E345" s="1262"/>
      <c r="F345" s="1262"/>
      <c r="G345" s="1262"/>
      <c r="H345" s="1262"/>
      <c r="I345" s="1262"/>
      <c r="J345" s="1262"/>
      <c r="K345" s="1262"/>
      <c r="L345" s="1262"/>
      <c r="M345" s="1262"/>
      <c r="N345" s="1262"/>
      <c r="O345" s="1262"/>
    </row>
    <row r="346" spans="2:15">
      <c r="B346" s="1262"/>
      <c r="C346" s="1262"/>
      <c r="D346" s="1262"/>
      <c r="E346" s="1262"/>
      <c r="F346" s="1262"/>
      <c r="G346" s="1262"/>
      <c r="H346" s="1262"/>
      <c r="I346" s="1262"/>
      <c r="J346" s="1262"/>
      <c r="K346" s="1262"/>
      <c r="L346" s="1262"/>
      <c r="M346" s="1262"/>
      <c r="N346" s="1262"/>
      <c r="O346" s="1262"/>
    </row>
    <row r="347" spans="2:15">
      <c r="B347" s="1262"/>
      <c r="C347" s="1262"/>
      <c r="D347" s="1262"/>
      <c r="E347" s="1262"/>
      <c r="F347" s="1262"/>
      <c r="G347" s="1262"/>
      <c r="H347" s="1262"/>
      <c r="I347" s="1262"/>
      <c r="J347" s="1262"/>
      <c r="K347" s="1262"/>
      <c r="L347" s="1262"/>
      <c r="M347" s="1262"/>
      <c r="N347" s="1262"/>
      <c r="O347" s="1262"/>
    </row>
    <row r="348" spans="2:15">
      <c r="B348" s="1262"/>
      <c r="C348" s="1262"/>
      <c r="D348" s="1262"/>
      <c r="E348" s="1262"/>
      <c r="F348" s="1262"/>
      <c r="G348" s="1262"/>
      <c r="H348" s="1262"/>
      <c r="I348" s="1262"/>
      <c r="J348" s="1262"/>
      <c r="K348" s="1262"/>
      <c r="L348" s="1262"/>
      <c r="M348" s="1262"/>
      <c r="N348" s="1262"/>
      <c r="O348" s="1262"/>
    </row>
    <row r="349" spans="2:15">
      <c r="B349" s="1262"/>
      <c r="C349" s="1262"/>
      <c r="D349" s="1262"/>
      <c r="E349" s="1262"/>
      <c r="F349" s="1262"/>
      <c r="G349" s="1262"/>
      <c r="H349" s="1262"/>
      <c r="I349" s="1262"/>
      <c r="J349" s="1262"/>
      <c r="K349" s="1262"/>
      <c r="L349" s="1262"/>
      <c r="M349" s="1262"/>
      <c r="N349" s="1262"/>
      <c r="O349" s="1262"/>
    </row>
    <row r="350" spans="2:15">
      <c r="B350" s="1262"/>
      <c r="C350" s="1262"/>
      <c r="D350" s="1262"/>
      <c r="E350" s="1262"/>
      <c r="F350" s="1262"/>
      <c r="G350" s="1262"/>
      <c r="H350" s="1262"/>
      <c r="I350" s="1262"/>
      <c r="J350" s="1262"/>
      <c r="K350" s="1262"/>
      <c r="L350" s="1262"/>
      <c r="M350" s="1262"/>
      <c r="N350" s="1262"/>
      <c r="O350" s="1262"/>
    </row>
    <row r="351" spans="2:15">
      <c r="B351" s="1262"/>
      <c r="C351" s="1262"/>
      <c r="D351" s="1262"/>
      <c r="E351" s="1262"/>
      <c r="F351" s="1262"/>
      <c r="G351" s="1262"/>
      <c r="H351" s="1262"/>
      <c r="I351" s="1262"/>
      <c r="J351" s="1262"/>
      <c r="K351" s="1262"/>
      <c r="L351" s="1262"/>
      <c r="M351" s="1262"/>
      <c r="N351" s="1262"/>
      <c r="O351" s="1262"/>
    </row>
    <row r="352" spans="2:15">
      <c r="B352" s="1262"/>
      <c r="C352" s="1262"/>
      <c r="D352" s="1262"/>
      <c r="E352" s="1262"/>
      <c r="F352" s="1262"/>
      <c r="G352" s="1262"/>
      <c r="H352" s="1262"/>
      <c r="I352" s="1262"/>
      <c r="J352" s="1262"/>
      <c r="K352" s="1262"/>
      <c r="L352" s="1262"/>
      <c r="M352" s="1262"/>
      <c r="N352" s="1262"/>
      <c r="O352" s="1262"/>
    </row>
    <row r="353" spans="2:15">
      <c r="B353" s="1262"/>
      <c r="C353" s="1262"/>
      <c r="D353" s="1262"/>
      <c r="E353" s="1262"/>
      <c r="F353" s="1262"/>
      <c r="G353" s="1262"/>
      <c r="H353" s="1262"/>
      <c r="I353" s="1262"/>
      <c r="J353" s="1262"/>
      <c r="K353" s="1262"/>
      <c r="L353" s="1262"/>
      <c r="M353" s="1262"/>
      <c r="N353" s="1262"/>
      <c r="O353" s="1262"/>
    </row>
    <row r="354" spans="2:15">
      <c r="B354" s="1262"/>
      <c r="C354" s="1262"/>
      <c r="D354" s="1262"/>
      <c r="E354" s="1262"/>
      <c r="F354" s="1262"/>
      <c r="G354" s="1262"/>
      <c r="H354" s="1262"/>
      <c r="I354" s="1262"/>
      <c r="J354" s="1262"/>
      <c r="K354" s="1262"/>
      <c r="L354" s="1262"/>
      <c r="M354" s="1262"/>
      <c r="N354" s="1262"/>
      <c r="O354" s="1262"/>
    </row>
    <row r="355" spans="2:15">
      <c r="B355" s="1262"/>
      <c r="C355" s="1262"/>
      <c r="D355" s="1262"/>
      <c r="E355" s="1262"/>
      <c r="F355" s="1262"/>
      <c r="G355" s="1262"/>
      <c r="H355" s="1262"/>
      <c r="I355" s="1262"/>
      <c r="J355" s="1262"/>
      <c r="K355" s="1262"/>
      <c r="L355" s="1262"/>
      <c r="M355" s="1262"/>
      <c r="N355" s="1262"/>
      <c r="O355" s="1262"/>
    </row>
    <row r="356" spans="2:15">
      <c r="B356" s="1262"/>
      <c r="C356" s="1262"/>
      <c r="D356" s="1262"/>
      <c r="E356" s="1262"/>
      <c r="F356" s="1262"/>
      <c r="G356" s="1262"/>
      <c r="H356" s="1262"/>
      <c r="I356" s="1262"/>
      <c r="J356" s="1262"/>
      <c r="K356" s="1262"/>
      <c r="L356" s="1262"/>
      <c r="M356" s="1262"/>
      <c r="N356" s="1262"/>
      <c r="O356" s="1262"/>
    </row>
    <row r="357" spans="2:15">
      <c r="B357" s="1262"/>
      <c r="C357" s="1262"/>
      <c r="D357" s="1262"/>
      <c r="E357" s="1262"/>
      <c r="F357" s="1262"/>
      <c r="G357" s="1262"/>
      <c r="H357" s="1262"/>
      <c r="I357" s="1262"/>
      <c r="J357" s="1262"/>
      <c r="K357" s="1262"/>
      <c r="L357" s="1262"/>
      <c r="M357" s="1262"/>
      <c r="N357" s="1262"/>
      <c r="O357" s="1262"/>
    </row>
    <row r="358" spans="2:15">
      <c r="B358" s="1262"/>
      <c r="C358" s="1262"/>
      <c r="D358" s="1262"/>
      <c r="E358" s="1262"/>
      <c r="F358" s="1262"/>
      <c r="G358" s="1262"/>
      <c r="H358" s="1262"/>
      <c r="I358" s="1262"/>
      <c r="J358" s="1262"/>
      <c r="K358" s="1262"/>
      <c r="L358" s="1262"/>
      <c r="M358" s="1262"/>
      <c r="N358" s="1262"/>
      <c r="O358" s="1262"/>
    </row>
    <row r="359" spans="2:15">
      <c r="B359" s="1262"/>
      <c r="C359" s="1262"/>
      <c r="D359" s="1262"/>
      <c r="E359" s="1262"/>
      <c r="F359" s="1262"/>
      <c r="G359" s="1262"/>
      <c r="H359" s="1262"/>
      <c r="I359" s="1262"/>
      <c r="J359" s="1262"/>
      <c r="K359" s="1262"/>
      <c r="L359" s="1262"/>
      <c r="M359" s="1262"/>
      <c r="N359" s="1262"/>
      <c r="O359" s="1262"/>
    </row>
    <row r="360" spans="2:15">
      <c r="B360" s="1262"/>
      <c r="C360" s="1262"/>
      <c r="D360" s="1262"/>
      <c r="E360" s="1262"/>
      <c r="F360" s="1262"/>
      <c r="G360" s="1262"/>
      <c r="H360" s="1262"/>
      <c r="I360" s="1262"/>
      <c r="J360" s="1262"/>
      <c r="K360" s="1262"/>
      <c r="L360" s="1262"/>
      <c r="M360" s="1262"/>
      <c r="N360" s="1262"/>
      <c r="O360" s="1262"/>
    </row>
    <row r="361" spans="2:15">
      <c r="B361" s="1262"/>
      <c r="C361" s="1262"/>
      <c r="D361" s="1262"/>
      <c r="E361" s="1262"/>
      <c r="F361" s="1262"/>
      <c r="G361" s="1262"/>
      <c r="H361" s="1262"/>
      <c r="I361" s="1262"/>
      <c r="J361" s="1262"/>
      <c r="K361" s="1262"/>
      <c r="L361" s="1262"/>
      <c r="M361" s="1262"/>
      <c r="N361" s="1262"/>
      <c r="O361" s="1262"/>
    </row>
    <row r="362" spans="2:15">
      <c r="B362" s="1262"/>
      <c r="C362" s="1262"/>
      <c r="D362" s="1262"/>
      <c r="E362" s="1262"/>
      <c r="F362" s="1262"/>
      <c r="G362" s="1262"/>
      <c r="H362" s="1262"/>
      <c r="I362" s="1262"/>
      <c r="J362" s="1262"/>
      <c r="K362" s="1262"/>
      <c r="L362" s="1262"/>
      <c r="M362" s="1262"/>
      <c r="N362" s="1262"/>
      <c r="O362" s="1262"/>
    </row>
    <row r="363" spans="2:15">
      <c r="B363" s="1262"/>
      <c r="C363" s="1262"/>
      <c r="D363" s="1262"/>
      <c r="E363" s="1262"/>
      <c r="F363" s="1262"/>
      <c r="G363" s="1262"/>
      <c r="H363" s="1262"/>
      <c r="I363" s="1262"/>
      <c r="J363" s="1262"/>
      <c r="K363" s="1262"/>
      <c r="L363" s="1262"/>
      <c r="M363" s="1262"/>
      <c r="N363" s="1262"/>
      <c r="O363" s="1262"/>
    </row>
    <row r="364" spans="2:15">
      <c r="B364" s="1262"/>
      <c r="C364" s="1262"/>
      <c r="D364" s="1262"/>
      <c r="E364" s="1262"/>
      <c r="F364" s="1262"/>
      <c r="G364" s="1262"/>
      <c r="H364" s="1262"/>
      <c r="I364" s="1262"/>
      <c r="J364" s="1262"/>
      <c r="K364" s="1262"/>
      <c r="L364" s="1262"/>
      <c r="M364" s="1262"/>
      <c r="N364" s="1262"/>
      <c r="O364" s="1262"/>
    </row>
    <row r="365" spans="2:15">
      <c r="B365" s="1262"/>
      <c r="C365" s="1262"/>
      <c r="D365" s="1262"/>
      <c r="E365" s="1262"/>
      <c r="F365" s="1262"/>
      <c r="G365" s="1262"/>
      <c r="H365" s="1262"/>
      <c r="I365" s="1262"/>
      <c r="J365" s="1262"/>
      <c r="K365" s="1262"/>
      <c r="L365" s="1262"/>
      <c r="M365" s="1262"/>
      <c r="N365" s="1262"/>
      <c r="O365" s="1262"/>
    </row>
    <row r="366" spans="2:15">
      <c r="B366" s="1262"/>
      <c r="C366" s="1262"/>
      <c r="D366" s="1262"/>
      <c r="E366" s="1262"/>
      <c r="F366" s="1262"/>
      <c r="G366" s="1262"/>
      <c r="H366" s="1262"/>
      <c r="I366" s="1262"/>
      <c r="J366" s="1262"/>
      <c r="K366" s="1262"/>
      <c r="L366" s="1262"/>
      <c r="M366" s="1262"/>
      <c r="N366" s="1262"/>
      <c r="O366" s="1262"/>
    </row>
    <row r="367" spans="2:15">
      <c r="B367" s="1262"/>
      <c r="C367" s="1262"/>
      <c r="D367" s="1262"/>
      <c r="E367" s="1262"/>
      <c r="F367" s="1262"/>
      <c r="G367" s="1262"/>
      <c r="H367" s="1262"/>
      <c r="I367" s="1262"/>
      <c r="J367" s="1262"/>
      <c r="K367" s="1262"/>
      <c r="L367" s="1262"/>
      <c r="M367" s="1262"/>
      <c r="N367" s="1262"/>
      <c r="O367" s="1262"/>
    </row>
    <row r="368" spans="2:15">
      <c r="B368" s="1262"/>
      <c r="C368" s="1262"/>
      <c r="D368" s="1262"/>
      <c r="E368" s="1262"/>
      <c r="F368" s="1262"/>
      <c r="G368" s="1262"/>
      <c r="H368" s="1262"/>
      <c r="I368" s="1262"/>
      <c r="J368" s="1262"/>
      <c r="K368" s="1262"/>
      <c r="L368" s="1262"/>
      <c r="M368" s="1262"/>
      <c r="N368" s="1262"/>
      <c r="O368" s="1262"/>
    </row>
    <row r="369" spans="2:15">
      <c r="B369" s="1262"/>
      <c r="C369" s="1262"/>
      <c r="D369" s="1262"/>
      <c r="E369" s="1262"/>
      <c r="F369" s="1262"/>
      <c r="G369" s="1262"/>
      <c r="H369" s="1262"/>
      <c r="I369" s="1262"/>
      <c r="J369" s="1262"/>
      <c r="K369" s="1262"/>
      <c r="L369" s="1262"/>
      <c r="M369" s="1262"/>
      <c r="N369" s="1262"/>
      <c r="O369" s="1262"/>
    </row>
    <row r="370" spans="2:15">
      <c r="B370" s="1262"/>
      <c r="C370" s="1262"/>
      <c r="D370" s="1262"/>
      <c r="E370" s="1262"/>
      <c r="F370" s="1262"/>
      <c r="G370" s="1262"/>
      <c r="H370" s="1262"/>
      <c r="I370" s="1262"/>
      <c r="J370" s="1262"/>
      <c r="K370" s="1262"/>
      <c r="L370" s="1262"/>
      <c r="M370" s="1262"/>
      <c r="N370" s="1262"/>
      <c r="O370" s="1262"/>
    </row>
    <row r="371" spans="2:15">
      <c r="B371" s="1262"/>
      <c r="C371" s="1262"/>
      <c r="D371" s="1262"/>
      <c r="E371" s="1262"/>
      <c r="F371" s="1262"/>
      <c r="G371" s="1262"/>
      <c r="H371" s="1262"/>
      <c r="I371" s="1262"/>
      <c r="J371" s="1262"/>
      <c r="K371" s="1262"/>
      <c r="L371" s="1262"/>
      <c r="M371" s="1262"/>
      <c r="N371" s="1262"/>
      <c r="O371" s="1262"/>
    </row>
    <row r="372" spans="2:15">
      <c r="B372" s="1262"/>
      <c r="C372" s="1262"/>
      <c r="D372" s="1262"/>
      <c r="E372" s="1262"/>
      <c r="F372" s="1262"/>
      <c r="G372" s="1262"/>
      <c r="H372" s="1262"/>
      <c r="I372" s="1262"/>
      <c r="J372" s="1262"/>
      <c r="K372" s="1262"/>
      <c r="L372" s="1262"/>
      <c r="M372" s="1262"/>
      <c r="N372" s="1262"/>
      <c r="O372" s="1262"/>
    </row>
    <row r="373" spans="2:15">
      <c r="B373" s="1262"/>
      <c r="C373" s="1262"/>
      <c r="D373" s="1262"/>
      <c r="E373" s="1262"/>
      <c r="F373" s="1262"/>
      <c r="G373" s="1262"/>
      <c r="H373" s="1262"/>
      <c r="I373" s="1262"/>
      <c r="J373" s="1262"/>
      <c r="K373" s="1262"/>
      <c r="L373" s="1262"/>
      <c r="M373" s="1262"/>
      <c r="N373" s="1262"/>
      <c r="O373" s="1262"/>
    </row>
    <row r="374" spans="2:15">
      <c r="B374" s="1262"/>
      <c r="C374" s="1262"/>
      <c r="D374" s="1262"/>
      <c r="E374" s="1262"/>
      <c r="F374" s="1262"/>
      <c r="G374" s="1262"/>
      <c r="H374" s="1262"/>
      <c r="I374" s="1262"/>
      <c r="J374" s="1262"/>
      <c r="K374" s="1262"/>
      <c r="L374" s="1262"/>
      <c r="M374" s="1262"/>
      <c r="N374" s="1262"/>
      <c r="O374" s="1262"/>
    </row>
    <row r="375" spans="2:15">
      <c r="B375" s="1262"/>
      <c r="C375" s="1262"/>
      <c r="D375" s="1262"/>
      <c r="E375" s="1262"/>
      <c r="F375" s="1262"/>
      <c r="G375" s="1262"/>
      <c r="H375" s="1262"/>
      <c r="I375" s="1262"/>
      <c r="J375" s="1262"/>
      <c r="K375" s="1262"/>
      <c r="L375" s="1262"/>
      <c r="M375" s="1262"/>
      <c r="N375" s="1262"/>
      <c r="O375" s="1262"/>
    </row>
    <row r="376" spans="2:15">
      <c r="B376" s="1262"/>
      <c r="C376" s="1262"/>
      <c r="D376" s="1262"/>
      <c r="E376" s="1262"/>
      <c r="F376" s="1262"/>
      <c r="G376" s="1262"/>
      <c r="H376" s="1262"/>
      <c r="I376" s="1262"/>
      <c r="J376" s="1262"/>
      <c r="K376" s="1262"/>
      <c r="L376" s="1262"/>
      <c r="M376" s="1262"/>
      <c r="N376" s="1262"/>
      <c r="O376" s="1262"/>
    </row>
    <row r="377" spans="2:15">
      <c r="B377" s="1262"/>
      <c r="C377" s="1262"/>
      <c r="D377" s="1262"/>
      <c r="E377" s="1262"/>
      <c r="F377" s="1262"/>
      <c r="G377" s="1262"/>
      <c r="H377" s="1262"/>
      <c r="I377" s="1262"/>
      <c r="J377" s="1262"/>
      <c r="K377" s="1262"/>
      <c r="L377" s="1262"/>
      <c r="M377" s="1262"/>
      <c r="N377" s="1262"/>
      <c r="O377" s="1262"/>
    </row>
    <row r="378" spans="2:15">
      <c r="B378" s="1262"/>
      <c r="C378" s="1262"/>
      <c r="D378" s="1262"/>
      <c r="E378" s="1262"/>
      <c r="F378" s="1262"/>
      <c r="G378" s="1262"/>
      <c r="H378" s="1262"/>
      <c r="I378" s="1262"/>
      <c r="J378" s="1262"/>
      <c r="K378" s="1262"/>
      <c r="L378" s="1262"/>
      <c r="M378" s="1262"/>
      <c r="N378" s="1262"/>
      <c r="O378" s="1262"/>
    </row>
    <row r="379" spans="2:15">
      <c r="B379" s="1262"/>
      <c r="C379" s="1262"/>
      <c r="D379" s="1262"/>
      <c r="E379" s="1262"/>
      <c r="F379" s="1262"/>
      <c r="G379" s="1262"/>
      <c r="H379" s="1262"/>
      <c r="I379" s="1262"/>
      <c r="J379" s="1262"/>
      <c r="K379" s="1262"/>
      <c r="L379" s="1262"/>
      <c r="M379" s="1262"/>
      <c r="N379" s="1262"/>
      <c r="O379" s="1262"/>
    </row>
    <row r="380" spans="2:15">
      <c r="B380" s="1262"/>
      <c r="C380" s="1262"/>
      <c r="D380" s="1262"/>
      <c r="E380" s="1262"/>
      <c r="F380" s="1262"/>
      <c r="G380" s="1262"/>
      <c r="H380" s="1262"/>
      <c r="I380" s="1262"/>
      <c r="J380" s="1262"/>
      <c r="K380" s="1262"/>
      <c r="L380" s="1262"/>
      <c r="M380" s="1262"/>
      <c r="N380" s="1262"/>
      <c r="O380" s="1262"/>
    </row>
    <row r="381" spans="2:15">
      <c r="B381" s="1262"/>
      <c r="C381" s="1262"/>
      <c r="D381" s="1262"/>
      <c r="E381" s="1262"/>
      <c r="F381" s="1262"/>
      <c r="G381" s="1262"/>
      <c r="H381" s="1262"/>
      <c r="I381" s="1262"/>
      <c r="J381" s="1262"/>
      <c r="K381" s="1262"/>
      <c r="L381" s="1262"/>
      <c r="M381" s="1262"/>
      <c r="N381" s="1262"/>
      <c r="O381" s="1262"/>
    </row>
    <row r="382" spans="2:15">
      <c r="B382" s="1262"/>
      <c r="C382" s="1262"/>
      <c r="D382" s="1262"/>
      <c r="E382" s="1262"/>
      <c r="F382" s="1262"/>
      <c r="G382" s="1262"/>
      <c r="H382" s="1262"/>
      <c r="I382" s="1262"/>
      <c r="J382" s="1262"/>
      <c r="K382" s="1262"/>
      <c r="L382" s="1262"/>
      <c r="M382" s="1262"/>
      <c r="N382" s="1262"/>
      <c r="O382" s="1262"/>
    </row>
    <row r="383" spans="2:15">
      <c r="B383" s="1262"/>
      <c r="C383" s="1262"/>
      <c r="D383" s="1262"/>
      <c r="E383" s="1262"/>
      <c r="F383" s="1262"/>
      <c r="G383" s="1262"/>
      <c r="H383" s="1262"/>
      <c r="I383" s="1262"/>
      <c r="J383" s="1262"/>
      <c r="K383" s="1262"/>
      <c r="L383" s="1262"/>
      <c r="M383" s="1262"/>
      <c r="N383" s="1262"/>
      <c r="O383" s="1262"/>
    </row>
    <row r="384" spans="2:15">
      <c r="B384" s="1262"/>
      <c r="C384" s="1262"/>
      <c r="D384" s="1262"/>
      <c r="E384" s="1262"/>
      <c r="F384" s="1262"/>
      <c r="G384" s="1262"/>
      <c r="H384" s="1262"/>
      <c r="I384" s="1262"/>
      <c r="J384" s="1262"/>
      <c r="K384" s="1262"/>
      <c r="L384" s="1262"/>
      <c r="M384" s="1262"/>
      <c r="N384" s="1262"/>
      <c r="O384" s="1262"/>
    </row>
    <row r="385" spans="2:15">
      <c r="B385" s="1262"/>
      <c r="C385" s="1262"/>
      <c r="D385" s="1262"/>
      <c r="E385" s="1262"/>
      <c r="F385" s="1262"/>
      <c r="G385" s="1262"/>
      <c r="H385" s="1262"/>
      <c r="I385" s="1262"/>
      <c r="J385" s="1262"/>
      <c r="K385" s="1262"/>
      <c r="L385" s="1262"/>
      <c r="M385" s="1262"/>
      <c r="N385" s="1262"/>
      <c r="O385" s="1262"/>
    </row>
    <row r="386" spans="2:15">
      <c r="B386" s="1262"/>
      <c r="C386" s="1262"/>
      <c r="D386" s="1262"/>
      <c r="E386" s="1262"/>
      <c r="F386" s="1262"/>
      <c r="G386" s="1262"/>
      <c r="H386" s="1262"/>
      <c r="I386" s="1262"/>
      <c r="J386" s="1262"/>
      <c r="K386" s="1262"/>
      <c r="L386" s="1262"/>
      <c r="M386" s="1262"/>
      <c r="N386" s="1262"/>
      <c r="O386" s="1262"/>
    </row>
    <row r="387" spans="2:15">
      <c r="B387" s="1262"/>
      <c r="C387" s="1262"/>
      <c r="D387" s="1262"/>
      <c r="E387" s="1262"/>
      <c r="F387" s="1262"/>
      <c r="G387" s="1262"/>
      <c r="H387" s="1262"/>
      <c r="I387" s="1262"/>
      <c r="J387" s="1262"/>
      <c r="K387" s="1262"/>
      <c r="L387" s="1262"/>
      <c r="M387" s="1262"/>
      <c r="N387" s="1262"/>
      <c r="O387" s="1262"/>
    </row>
    <row r="388" spans="2:15">
      <c r="B388" s="1262"/>
      <c r="C388" s="1262"/>
      <c r="D388" s="1262"/>
      <c r="E388" s="1262"/>
      <c r="F388" s="1262"/>
      <c r="G388" s="1262"/>
      <c r="H388" s="1262"/>
      <c r="I388" s="1262"/>
      <c r="J388" s="1262"/>
      <c r="K388" s="1262"/>
      <c r="L388" s="1262"/>
      <c r="M388" s="1262"/>
      <c r="N388" s="1262"/>
      <c r="O388" s="1262"/>
    </row>
    <row r="389" spans="2:15">
      <c r="B389" s="1262"/>
      <c r="C389" s="1262"/>
      <c r="D389" s="1262"/>
      <c r="E389" s="1262"/>
      <c r="F389" s="1262"/>
      <c r="G389" s="1262"/>
      <c r="H389" s="1262"/>
      <c r="I389" s="1262"/>
      <c r="J389" s="1262"/>
      <c r="K389" s="1262"/>
      <c r="L389" s="1262"/>
      <c r="M389" s="1262"/>
      <c r="N389" s="1262"/>
      <c r="O389" s="1262"/>
    </row>
    <row r="390" spans="2:15">
      <c r="B390" s="1262"/>
      <c r="C390" s="1262"/>
      <c r="D390" s="1262"/>
      <c r="E390" s="1262"/>
      <c r="F390" s="1262"/>
      <c r="G390" s="1262"/>
      <c r="H390" s="1262"/>
      <c r="I390" s="1262"/>
      <c r="J390" s="1262"/>
      <c r="K390" s="1262"/>
      <c r="L390" s="1262"/>
      <c r="M390" s="1262"/>
      <c r="N390" s="1262"/>
      <c r="O390" s="1262"/>
    </row>
    <row r="391" spans="2:15">
      <c r="B391" s="1262"/>
      <c r="C391" s="1262"/>
      <c r="D391" s="1262"/>
      <c r="E391" s="1262"/>
      <c r="F391" s="1262"/>
      <c r="G391" s="1262"/>
      <c r="H391" s="1262"/>
      <c r="I391" s="1262"/>
      <c r="J391" s="1262"/>
      <c r="K391" s="1262"/>
      <c r="L391" s="1262"/>
      <c r="M391" s="1262"/>
      <c r="N391" s="1262"/>
      <c r="O391" s="1262"/>
    </row>
    <row r="392" spans="2:15">
      <c r="B392" s="1262"/>
      <c r="C392" s="1262"/>
      <c r="D392" s="1262"/>
      <c r="E392" s="1262"/>
      <c r="F392" s="1262"/>
      <c r="G392" s="1262"/>
      <c r="H392" s="1262"/>
      <c r="I392" s="1262"/>
      <c r="J392" s="1262"/>
      <c r="K392" s="1262"/>
      <c r="L392" s="1262"/>
      <c r="M392" s="1262"/>
      <c r="N392" s="1262"/>
      <c r="O392" s="1262"/>
    </row>
    <row r="393" spans="2:15">
      <c r="B393" s="1262"/>
      <c r="C393" s="1262"/>
      <c r="D393" s="1262"/>
      <c r="E393" s="1262"/>
      <c r="F393" s="1262"/>
      <c r="G393" s="1262"/>
      <c r="H393" s="1262"/>
      <c r="I393" s="1262"/>
      <c r="J393" s="1262"/>
      <c r="K393" s="1262"/>
      <c r="L393" s="1262"/>
      <c r="M393" s="1262"/>
      <c r="N393" s="1262"/>
      <c r="O393" s="1262"/>
    </row>
    <row r="394" spans="2:15">
      <c r="B394" s="1262"/>
      <c r="C394" s="1262"/>
      <c r="D394" s="1262"/>
      <c r="E394" s="1262"/>
      <c r="F394" s="1262"/>
      <c r="G394" s="1262"/>
      <c r="H394" s="1262"/>
      <c r="I394" s="1262"/>
      <c r="J394" s="1262"/>
      <c r="K394" s="1262"/>
      <c r="L394" s="1262"/>
      <c r="M394" s="1262"/>
      <c r="N394" s="1262"/>
      <c r="O394" s="1262"/>
    </row>
    <row r="395" spans="2:15">
      <c r="B395" s="1262"/>
      <c r="C395" s="1262"/>
      <c r="D395" s="1262"/>
      <c r="E395" s="1262"/>
      <c r="F395" s="1262"/>
      <c r="G395" s="1262"/>
      <c r="H395" s="1262"/>
      <c r="I395" s="1262"/>
      <c r="J395" s="1262"/>
      <c r="K395" s="1262"/>
      <c r="L395" s="1262"/>
      <c r="M395" s="1262"/>
      <c r="N395" s="1262"/>
      <c r="O395" s="1262"/>
    </row>
    <row r="396" spans="2:15">
      <c r="B396" s="1262"/>
      <c r="C396" s="1262"/>
      <c r="D396" s="1262"/>
      <c r="E396" s="1262"/>
      <c r="F396" s="1262"/>
      <c r="G396" s="1262"/>
      <c r="H396" s="1262"/>
      <c r="I396" s="1262"/>
      <c r="J396" s="1262"/>
      <c r="K396" s="1262"/>
      <c r="L396" s="1262"/>
      <c r="M396" s="1262"/>
      <c r="N396" s="1262"/>
      <c r="O396" s="1262"/>
    </row>
    <row r="397" spans="2:15">
      <c r="B397" s="1262"/>
      <c r="C397" s="1262"/>
      <c r="D397" s="1262"/>
      <c r="E397" s="1262"/>
      <c r="F397" s="1262"/>
      <c r="G397" s="1262"/>
      <c r="H397" s="1262"/>
      <c r="I397" s="1262"/>
      <c r="J397" s="1262"/>
      <c r="K397" s="1262"/>
      <c r="L397" s="1262"/>
      <c r="M397" s="1262"/>
      <c r="N397" s="1262"/>
      <c r="O397" s="1262"/>
    </row>
    <row r="398" spans="2:15">
      <c r="B398" s="1262"/>
      <c r="C398" s="1262"/>
      <c r="D398" s="1262"/>
      <c r="E398" s="1262"/>
      <c r="F398" s="1262"/>
      <c r="G398" s="1262"/>
      <c r="H398" s="1262"/>
      <c r="I398" s="1262"/>
      <c r="J398" s="1262"/>
      <c r="K398" s="1262"/>
      <c r="L398" s="1262"/>
      <c r="M398" s="1262"/>
      <c r="N398" s="1262"/>
      <c r="O398" s="1262"/>
    </row>
    <row r="399" spans="2:15">
      <c r="B399" s="1262"/>
      <c r="C399" s="1262"/>
      <c r="D399" s="1262"/>
      <c r="E399" s="1262"/>
      <c r="F399" s="1262"/>
      <c r="G399" s="1262"/>
      <c r="H399" s="1262"/>
      <c r="I399" s="1262"/>
      <c r="J399" s="1262"/>
      <c r="K399" s="1262"/>
      <c r="L399" s="1262"/>
      <c r="M399" s="1262"/>
      <c r="N399" s="1262"/>
      <c r="O399" s="1262"/>
    </row>
    <row r="400" spans="2:15">
      <c r="B400" s="1262"/>
      <c r="C400" s="1262"/>
      <c r="D400" s="1262"/>
      <c r="E400" s="1262"/>
      <c r="F400" s="1262"/>
      <c r="G400" s="1262"/>
      <c r="H400" s="1262"/>
      <c r="I400" s="1262"/>
      <c r="J400" s="1262"/>
      <c r="K400" s="1262"/>
      <c r="L400" s="1262"/>
      <c r="M400" s="1262"/>
      <c r="N400" s="1262"/>
      <c r="O400" s="1262"/>
    </row>
    <row r="401" spans="2:15">
      <c r="B401" s="1262"/>
      <c r="C401" s="1262"/>
      <c r="D401" s="1262"/>
      <c r="E401" s="1262"/>
      <c r="F401" s="1262"/>
      <c r="G401" s="1262"/>
      <c r="H401" s="1262"/>
      <c r="I401" s="1262"/>
      <c r="J401" s="1262"/>
      <c r="K401" s="1262"/>
      <c r="L401" s="1262"/>
      <c r="M401" s="1262"/>
      <c r="N401" s="1262"/>
      <c r="O401" s="1262"/>
    </row>
    <row r="402" spans="2:15">
      <c r="B402" s="1262"/>
      <c r="C402" s="1262"/>
      <c r="D402" s="1262"/>
      <c r="E402" s="1262"/>
      <c r="F402" s="1262"/>
      <c r="G402" s="1262"/>
      <c r="H402" s="1262"/>
      <c r="I402" s="1262"/>
      <c r="J402" s="1262"/>
      <c r="K402" s="1262"/>
      <c r="L402" s="1262"/>
      <c r="M402" s="1262"/>
      <c r="N402" s="1262"/>
      <c r="O402" s="1262"/>
    </row>
    <row r="403" spans="2:15">
      <c r="B403" s="1262"/>
      <c r="C403" s="1262"/>
      <c r="D403" s="1262"/>
      <c r="E403" s="1262"/>
      <c r="F403" s="1262"/>
      <c r="G403" s="1262"/>
      <c r="H403" s="1262"/>
      <c r="I403" s="1262"/>
      <c r="J403" s="1262"/>
      <c r="K403" s="1262"/>
      <c r="L403" s="1262"/>
      <c r="M403" s="1262"/>
      <c r="N403" s="1262"/>
      <c r="O403" s="1262"/>
    </row>
    <row r="404" spans="2:15">
      <c r="B404" s="1262"/>
      <c r="C404" s="1262"/>
      <c r="D404" s="1262"/>
      <c r="E404" s="1262"/>
      <c r="F404" s="1262"/>
      <c r="G404" s="1262"/>
      <c r="H404" s="1262"/>
      <c r="I404" s="1262"/>
      <c r="J404" s="1262"/>
      <c r="K404" s="1262"/>
      <c r="L404" s="1262"/>
      <c r="M404" s="1262"/>
      <c r="N404" s="1262"/>
      <c r="O404" s="1262"/>
    </row>
    <row r="405" spans="2:15">
      <c r="B405" s="1262"/>
      <c r="C405" s="1262"/>
      <c r="D405" s="1262"/>
      <c r="E405" s="1262"/>
      <c r="F405" s="1262"/>
      <c r="G405" s="1262"/>
      <c r="H405" s="1262"/>
      <c r="I405" s="1262"/>
      <c r="J405" s="1262"/>
      <c r="K405" s="1262"/>
      <c r="L405" s="1262"/>
      <c r="M405" s="1262"/>
      <c r="N405" s="1262"/>
      <c r="O405" s="1262"/>
    </row>
    <row r="406" spans="2:15">
      <c r="B406" s="1262"/>
      <c r="C406" s="1262"/>
      <c r="D406" s="1262"/>
      <c r="E406" s="1262"/>
      <c r="F406" s="1262"/>
      <c r="G406" s="1262"/>
      <c r="H406" s="1262"/>
      <c r="I406" s="1262"/>
      <c r="J406" s="1262"/>
      <c r="K406" s="1262"/>
      <c r="L406" s="1262"/>
      <c r="M406" s="1262"/>
      <c r="N406" s="1262"/>
      <c r="O406" s="1262"/>
    </row>
    <row r="407" spans="2:15">
      <c r="B407" s="1262"/>
      <c r="C407" s="1262"/>
      <c r="D407" s="1262"/>
      <c r="E407" s="1262"/>
      <c r="F407" s="1262"/>
      <c r="G407" s="1262"/>
      <c r="H407" s="1262"/>
      <c r="I407" s="1262"/>
      <c r="J407" s="1262"/>
      <c r="K407" s="1262"/>
      <c r="L407" s="1262"/>
      <c r="M407" s="1262"/>
      <c r="N407" s="1262"/>
      <c r="O407" s="1262"/>
    </row>
    <row r="408" spans="2:15">
      <c r="B408" s="1262"/>
      <c r="C408" s="1262"/>
      <c r="D408" s="1262"/>
      <c r="E408" s="1262"/>
      <c r="F408" s="1262"/>
      <c r="G408" s="1262"/>
      <c r="H408" s="1262"/>
      <c r="I408" s="1262"/>
      <c r="J408" s="1262"/>
      <c r="K408" s="1262"/>
      <c r="L408" s="1262"/>
      <c r="M408" s="1262"/>
      <c r="N408" s="1262"/>
      <c r="O408" s="1262"/>
    </row>
    <row r="409" spans="2:15">
      <c r="B409" s="1262"/>
      <c r="C409" s="1262"/>
      <c r="D409" s="1262"/>
      <c r="E409" s="1262"/>
      <c r="F409" s="1262"/>
      <c r="G409" s="1262"/>
      <c r="H409" s="1262"/>
      <c r="I409" s="1262"/>
      <c r="J409" s="1262"/>
      <c r="K409" s="1262"/>
      <c r="L409" s="1262"/>
      <c r="M409" s="1262"/>
      <c r="N409" s="1262"/>
      <c r="O409" s="1262"/>
    </row>
    <row r="410" spans="2:15">
      <c r="B410" s="1262"/>
      <c r="C410" s="1262"/>
      <c r="D410" s="1262"/>
      <c r="E410" s="1262"/>
      <c r="F410" s="1262"/>
      <c r="G410" s="1262"/>
      <c r="H410" s="1262"/>
      <c r="I410" s="1262"/>
      <c r="J410" s="1262"/>
      <c r="K410" s="1262"/>
      <c r="L410" s="1262"/>
      <c r="M410" s="1262"/>
      <c r="N410" s="1262"/>
      <c r="O410" s="1262"/>
    </row>
    <row r="411" spans="2:15">
      <c r="B411" s="1262"/>
      <c r="C411" s="1262"/>
      <c r="D411" s="1262"/>
      <c r="E411" s="1262"/>
      <c r="F411" s="1262"/>
      <c r="G411" s="1262"/>
      <c r="H411" s="1262"/>
      <c r="I411" s="1262"/>
      <c r="J411" s="1262"/>
      <c r="K411" s="1262"/>
      <c r="L411" s="1262"/>
      <c r="M411" s="1262"/>
      <c r="N411" s="1262"/>
      <c r="O411" s="1262"/>
    </row>
    <row r="412" spans="2:15">
      <c r="B412" s="1262"/>
      <c r="C412" s="1262"/>
      <c r="D412" s="1262"/>
      <c r="E412" s="1262"/>
      <c r="F412" s="1262"/>
      <c r="G412" s="1262"/>
      <c r="H412" s="1262"/>
      <c r="I412" s="1262"/>
      <c r="J412" s="1262"/>
      <c r="K412" s="1262"/>
      <c r="L412" s="1262"/>
      <c r="M412" s="1262"/>
      <c r="N412" s="1262"/>
      <c r="O412" s="1262"/>
    </row>
    <row r="413" spans="2:15">
      <c r="B413" s="1262"/>
      <c r="C413" s="1262"/>
      <c r="D413" s="1262"/>
      <c r="E413" s="1262"/>
      <c r="F413" s="1262"/>
      <c r="G413" s="1262"/>
      <c r="H413" s="1262"/>
      <c r="I413" s="1262"/>
      <c r="J413" s="1262"/>
      <c r="K413" s="1262"/>
      <c r="L413" s="1262"/>
      <c r="M413" s="1262"/>
      <c r="N413" s="1262"/>
      <c r="O413" s="1262"/>
    </row>
    <row r="414" spans="2:15">
      <c r="B414" s="1262"/>
      <c r="C414" s="1262"/>
      <c r="D414" s="1262"/>
      <c r="E414" s="1262"/>
      <c r="F414" s="1262"/>
      <c r="G414" s="1262"/>
      <c r="H414" s="1262"/>
      <c r="I414" s="1262"/>
      <c r="J414" s="1262"/>
      <c r="K414" s="1262"/>
      <c r="L414" s="1262"/>
      <c r="M414" s="1262"/>
      <c r="N414" s="1262"/>
      <c r="O414" s="1262"/>
    </row>
    <row r="415" spans="2:15">
      <c r="B415" s="1262"/>
      <c r="C415" s="1262"/>
      <c r="D415" s="1262"/>
      <c r="E415" s="1262"/>
      <c r="F415" s="1262"/>
      <c r="G415" s="1262"/>
      <c r="H415" s="1262"/>
      <c r="I415" s="1262"/>
      <c r="J415" s="1262"/>
      <c r="K415" s="1262"/>
      <c r="L415" s="1262"/>
      <c r="M415" s="1262"/>
      <c r="N415" s="1262"/>
      <c r="O415" s="1262"/>
    </row>
    <row r="416" spans="2:15">
      <c r="B416" s="1262"/>
      <c r="C416" s="1262"/>
      <c r="D416" s="1262"/>
      <c r="E416" s="1262"/>
      <c r="F416" s="1262"/>
      <c r="G416" s="1262"/>
      <c r="H416" s="1262"/>
      <c r="I416" s="1262"/>
      <c r="J416" s="1262"/>
      <c r="K416" s="1262"/>
      <c r="L416" s="1262"/>
      <c r="M416" s="1262"/>
      <c r="N416" s="1262"/>
      <c r="O416" s="1262"/>
    </row>
    <row r="417" spans="2:15">
      <c r="B417" s="1262"/>
      <c r="C417" s="1262"/>
      <c r="D417" s="1262"/>
      <c r="E417" s="1262"/>
      <c r="F417" s="1262"/>
      <c r="G417" s="1262"/>
      <c r="H417" s="1262"/>
      <c r="I417" s="1262"/>
      <c r="J417" s="1262"/>
      <c r="K417" s="1262"/>
      <c r="L417" s="1262"/>
      <c r="M417" s="1262"/>
      <c r="N417" s="1262"/>
      <c r="O417" s="1262"/>
    </row>
    <row r="418" spans="2:15">
      <c r="B418" s="1262"/>
      <c r="C418" s="1262"/>
      <c r="D418" s="1262"/>
      <c r="E418" s="1262"/>
      <c r="F418" s="1262"/>
      <c r="G418" s="1262"/>
      <c r="H418" s="1262"/>
      <c r="I418" s="1262"/>
      <c r="J418" s="1262"/>
      <c r="K418" s="1262"/>
      <c r="L418" s="1262"/>
      <c r="M418" s="1262"/>
      <c r="N418" s="1262"/>
      <c r="O418" s="1262"/>
    </row>
    <row r="419" spans="2:15">
      <c r="B419" s="1262"/>
      <c r="C419" s="1262"/>
      <c r="D419" s="1262"/>
      <c r="E419" s="1262"/>
      <c r="F419" s="1262"/>
      <c r="G419" s="1262"/>
      <c r="H419" s="1262"/>
      <c r="I419" s="1262"/>
      <c r="J419" s="1262"/>
      <c r="K419" s="1262"/>
      <c r="L419" s="1262"/>
      <c r="M419" s="1262"/>
      <c r="N419" s="1262"/>
      <c r="O419" s="1262"/>
    </row>
    <row r="420" spans="2:15">
      <c r="B420" s="1262"/>
      <c r="C420" s="1262"/>
      <c r="D420" s="1262"/>
      <c r="E420" s="1262"/>
      <c r="F420" s="1262"/>
      <c r="G420" s="1262"/>
      <c r="H420" s="1262"/>
      <c r="I420" s="1262"/>
      <c r="J420" s="1262"/>
      <c r="K420" s="1262"/>
      <c r="L420" s="1262"/>
      <c r="M420" s="1262"/>
      <c r="N420" s="1262"/>
      <c r="O420" s="1262"/>
    </row>
    <row r="421" spans="2:15">
      <c r="B421" s="1262"/>
      <c r="C421" s="1262"/>
      <c r="D421" s="1262"/>
      <c r="E421" s="1262"/>
      <c r="F421" s="1262"/>
      <c r="G421" s="1262"/>
      <c r="H421" s="1262"/>
      <c r="I421" s="1262"/>
      <c r="J421" s="1262"/>
      <c r="K421" s="1262"/>
      <c r="L421" s="1262"/>
      <c r="M421" s="1262"/>
      <c r="N421" s="1262"/>
      <c r="O421" s="1262"/>
    </row>
    <row r="422" spans="2:15">
      <c r="B422" s="1262"/>
      <c r="C422" s="1262"/>
      <c r="D422" s="1262"/>
      <c r="E422" s="1262"/>
      <c r="F422" s="1262"/>
      <c r="G422" s="1262"/>
      <c r="H422" s="1262"/>
      <c r="I422" s="1262"/>
      <c r="J422" s="1262"/>
      <c r="K422" s="1262"/>
      <c r="L422" s="1262"/>
      <c r="M422" s="1262"/>
      <c r="N422" s="1262"/>
      <c r="O422" s="1262"/>
    </row>
    <row r="423" spans="2:15">
      <c r="B423" s="1262"/>
      <c r="C423" s="1262"/>
      <c r="D423" s="1262"/>
      <c r="E423" s="1262"/>
      <c r="F423" s="1262"/>
      <c r="G423" s="1262"/>
      <c r="H423" s="1262"/>
      <c r="I423" s="1262"/>
      <c r="J423" s="1262"/>
      <c r="K423" s="1262"/>
      <c r="L423" s="1262"/>
      <c r="M423" s="1262"/>
      <c r="N423" s="1262"/>
      <c r="O423" s="1262"/>
    </row>
    <row r="424" spans="2:15">
      <c r="B424" s="1262"/>
      <c r="C424" s="1262"/>
      <c r="D424" s="1262"/>
      <c r="E424" s="1262"/>
      <c r="F424" s="1262"/>
      <c r="G424" s="1262"/>
      <c r="H424" s="1262"/>
      <c r="I424" s="1262"/>
      <c r="J424" s="1262"/>
      <c r="K424" s="1262"/>
      <c r="L424" s="1262"/>
      <c r="M424" s="1262"/>
      <c r="N424" s="1262"/>
      <c r="O424" s="1262"/>
    </row>
    <row r="425" spans="2:15">
      <c r="B425" s="1262"/>
      <c r="C425" s="1262"/>
      <c r="D425" s="1262"/>
      <c r="E425" s="1262"/>
      <c r="F425" s="1262"/>
      <c r="G425" s="1262"/>
      <c r="H425" s="1262"/>
      <c r="I425" s="1262"/>
      <c r="J425" s="1262"/>
      <c r="K425" s="1262"/>
      <c r="L425" s="1262"/>
      <c r="M425" s="1262"/>
      <c r="N425" s="1262"/>
      <c r="O425" s="1262"/>
    </row>
    <row r="426" spans="2:15">
      <c r="B426" s="1262"/>
      <c r="C426" s="1262"/>
      <c r="D426" s="1262"/>
      <c r="E426" s="1262"/>
      <c r="F426" s="1262"/>
      <c r="G426" s="1262"/>
      <c r="H426" s="1262"/>
      <c r="I426" s="1262"/>
      <c r="J426" s="1262"/>
      <c r="K426" s="1262"/>
      <c r="L426" s="1262"/>
      <c r="M426" s="1262"/>
      <c r="N426" s="1262"/>
      <c r="O426" s="1262"/>
    </row>
    <row r="427" spans="2:15">
      <c r="B427" s="1262"/>
      <c r="C427" s="1262"/>
      <c r="D427" s="1262"/>
      <c r="E427" s="1262"/>
      <c r="F427" s="1262"/>
      <c r="G427" s="1262"/>
      <c r="H427" s="1262"/>
      <c r="I427" s="1262"/>
      <c r="J427" s="1262"/>
      <c r="K427" s="1262"/>
      <c r="L427" s="1262"/>
      <c r="M427" s="1262"/>
      <c r="N427" s="1262"/>
      <c r="O427" s="1262"/>
    </row>
    <row r="428" spans="2:15">
      <c r="B428" s="1262"/>
      <c r="C428" s="1262"/>
      <c r="D428" s="1262"/>
      <c r="E428" s="1262"/>
      <c r="F428" s="1262"/>
      <c r="G428" s="1262"/>
      <c r="H428" s="1262"/>
      <c r="I428" s="1262"/>
      <c r="J428" s="1262"/>
      <c r="K428" s="1262"/>
      <c r="L428" s="1262"/>
      <c r="M428" s="1262"/>
      <c r="N428" s="1262"/>
      <c r="O428" s="1262"/>
    </row>
    <row r="429" spans="2:15">
      <c r="B429" s="1262"/>
      <c r="C429" s="1262"/>
      <c r="D429" s="1262"/>
      <c r="E429" s="1262"/>
      <c r="F429" s="1262"/>
      <c r="G429" s="1262"/>
      <c r="H429" s="1262"/>
      <c r="I429" s="1262"/>
      <c r="J429" s="1262"/>
      <c r="K429" s="1262"/>
      <c r="L429" s="1262"/>
      <c r="M429" s="1262"/>
      <c r="N429" s="1262"/>
      <c r="O429" s="1262"/>
    </row>
    <row r="430" spans="2:15">
      <c r="B430" s="1262"/>
      <c r="C430" s="1262"/>
      <c r="D430" s="1262"/>
      <c r="E430" s="1262"/>
      <c r="F430" s="1262"/>
      <c r="G430" s="1262"/>
      <c r="H430" s="1262"/>
      <c r="I430" s="1262"/>
      <c r="J430" s="1262"/>
      <c r="K430" s="1262"/>
      <c r="L430" s="1262"/>
      <c r="M430" s="1262"/>
      <c r="N430" s="1262"/>
      <c r="O430" s="1262"/>
    </row>
    <row r="431" spans="2:15">
      <c r="B431" s="1262"/>
      <c r="C431" s="1262"/>
      <c r="D431" s="1262"/>
      <c r="E431" s="1262"/>
      <c r="F431" s="1262"/>
      <c r="G431" s="1262"/>
      <c r="H431" s="1262"/>
      <c r="I431" s="1262"/>
      <c r="J431" s="1262"/>
      <c r="K431" s="1262"/>
      <c r="L431" s="1262"/>
      <c r="M431" s="1262"/>
      <c r="N431" s="1262"/>
      <c r="O431" s="1262"/>
    </row>
    <row r="432" spans="2:15">
      <c r="B432" s="1262"/>
      <c r="C432" s="1262"/>
      <c r="D432" s="1262"/>
      <c r="E432" s="1262"/>
      <c r="F432" s="1262"/>
      <c r="G432" s="1262"/>
      <c r="H432" s="1262"/>
      <c r="I432" s="1262"/>
      <c r="J432" s="1262"/>
      <c r="K432" s="1262"/>
      <c r="L432" s="1262"/>
      <c r="M432" s="1262"/>
      <c r="N432" s="1262"/>
      <c r="O432" s="1262"/>
    </row>
    <row r="433" spans="2:15">
      <c r="B433" s="1262"/>
      <c r="C433" s="1262"/>
      <c r="D433" s="1262"/>
      <c r="E433" s="1262"/>
      <c r="F433" s="1262"/>
      <c r="G433" s="1262"/>
      <c r="H433" s="1262"/>
      <c r="I433" s="1262"/>
      <c r="J433" s="1262"/>
      <c r="K433" s="1262"/>
      <c r="L433" s="1262"/>
      <c r="M433" s="1262"/>
      <c r="N433" s="1262"/>
      <c r="O433" s="1262"/>
    </row>
    <row r="434" spans="2:15">
      <c r="B434" s="1262"/>
      <c r="C434" s="1262"/>
      <c r="D434" s="1262"/>
      <c r="E434" s="1262"/>
      <c r="F434" s="1262"/>
      <c r="G434" s="1262"/>
      <c r="H434" s="1262"/>
      <c r="I434" s="1262"/>
      <c r="J434" s="1262"/>
      <c r="K434" s="1262"/>
      <c r="L434" s="1262"/>
      <c r="M434" s="1262"/>
      <c r="N434" s="1262"/>
      <c r="O434" s="1262"/>
    </row>
    <row r="435" spans="2:15">
      <c r="B435" s="1262"/>
      <c r="C435" s="1262"/>
      <c r="D435" s="1262"/>
      <c r="E435" s="1262"/>
      <c r="F435" s="1262"/>
      <c r="G435" s="1262"/>
      <c r="H435" s="1262"/>
      <c r="I435" s="1262"/>
      <c r="J435" s="1262"/>
      <c r="K435" s="1262"/>
      <c r="L435" s="1262"/>
      <c r="M435" s="1262"/>
      <c r="N435" s="1262"/>
      <c r="O435" s="1262"/>
    </row>
    <row r="436" spans="2:15">
      <c r="B436" s="1262"/>
      <c r="C436" s="1262"/>
      <c r="D436" s="1262"/>
      <c r="E436" s="1262"/>
      <c r="F436" s="1262"/>
      <c r="G436" s="1262"/>
      <c r="H436" s="1262"/>
      <c r="I436" s="1262"/>
      <c r="J436" s="1262"/>
      <c r="K436" s="1262"/>
      <c r="L436" s="1262"/>
      <c r="M436" s="1262"/>
      <c r="N436" s="1262"/>
      <c r="O436" s="1262"/>
    </row>
    <row r="437" spans="2:15">
      <c r="B437" s="1262"/>
      <c r="C437" s="1262"/>
      <c r="D437" s="1262"/>
      <c r="E437" s="1262"/>
      <c r="F437" s="1262"/>
      <c r="G437" s="1262"/>
      <c r="H437" s="1262"/>
      <c r="I437" s="1262"/>
      <c r="J437" s="1262"/>
      <c r="K437" s="1262"/>
      <c r="L437" s="1262"/>
      <c r="M437" s="1262"/>
      <c r="N437" s="1262"/>
      <c r="O437" s="1262"/>
    </row>
    <row r="438" spans="2:15">
      <c r="B438" s="1262"/>
      <c r="C438" s="1262"/>
      <c r="D438" s="1262"/>
      <c r="E438" s="1262"/>
      <c r="F438" s="1262"/>
      <c r="G438" s="1262"/>
      <c r="H438" s="1262"/>
      <c r="I438" s="1262"/>
      <c r="J438" s="1262"/>
      <c r="K438" s="1262"/>
      <c r="L438" s="1262"/>
      <c r="M438" s="1262"/>
      <c r="N438" s="1262"/>
      <c r="O438" s="1262"/>
    </row>
    <row r="439" spans="2:15">
      <c r="B439" s="1262"/>
      <c r="C439" s="1262"/>
      <c r="D439" s="1262"/>
      <c r="E439" s="1262"/>
      <c r="F439" s="1262"/>
      <c r="G439" s="1262"/>
      <c r="H439" s="1262"/>
      <c r="I439" s="1262"/>
      <c r="J439" s="1262"/>
      <c r="K439" s="1262"/>
      <c r="L439" s="1262"/>
      <c r="M439" s="1262"/>
      <c r="N439" s="1262"/>
      <c r="O439" s="1262"/>
    </row>
    <row r="440" spans="2:15">
      <c r="B440" s="1262"/>
      <c r="C440" s="1262"/>
      <c r="D440" s="1262"/>
      <c r="E440" s="1262"/>
      <c r="F440" s="1262"/>
      <c r="G440" s="1262"/>
      <c r="H440" s="1262"/>
      <c r="I440" s="1262"/>
      <c r="J440" s="1262"/>
      <c r="K440" s="1262"/>
      <c r="L440" s="1262"/>
      <c r="M440" s="1262"/>
      <c r="N440" s="1262"/>
      <c r="O440" s="1262"/>
    </row>
    <row r="441" spans="2:15">
      <c r="B441" s="1262"/>
      <c r="C441" s="1262"/>
      <c r="D441" s="1262"/>
      <c r="E441" s="1262"/>
      <c r="F441" s="1262"/>
      <c r="G441" s="1262"/>
      <c r="H441" s="1262"/>
      <c r="I441" s="1262"/>
      <c r="J441" s="1262"/>
      <c r="K441" s="1262"/>
      <c r="L441" s="1262"/>
      <c r="M441" s="1262"/>
      <c r="N441" s="1262"/>
      <c r="O441" s="1262"/>
    </row>
    <row r="442" spans="2:15">
      <c r="B442" s="1262"/>
      <c r="C442" s="1262"/>
      <c r="D442" s="1262"/>
      <c r="E442" s="1262"/>
      <c r="F442" s="1262"/>
      <c r="G442" s="1262"/>
      <c r="H442" s="1262"/>
      <c r="I442" s="1262"/>
      <c r="J442" s="1262"/>
      <c r="K442" s="1262"/>
      <c r="L442" s="1262"/>
      <c r="M442" s="1262"/>
      <c r="N442" s="1262"/>
      <c r="O442" s="1262"/>
    </row>
    <row r="443" spans="2:15">
      <c r="B443" s="1262"/>
      <c r="C443" s="1262"/>
      <c r="D443" s="1262"/>
      <c r="E443" s="1262"/>
      <c r="F443" s="1262"/>
      <c r="G443" s="1262"/>
      <c r="H443" s="1262"/>
      <c r="I443" s="1262"/>
      <c r="J443" s="1262"/>
      <c r="K443" s="1262"/>
      <c r="L443" s="1262"/>
      <c r="M443" s="1262"/>
      <c r="N443" s="1262"/>
      <c r="O443" s="1262"/>
    </row>
    <row r="444" spans="2:15">
      <c r="B444" s="1262"/>
      <c r="C444" s="1262"/>
      <c r="D444" s="1262"/>
      <c r="E444" s="1262"/>
      <c r="F444" s="1262"/>
      <c r="G444" s="1262"/>
      <c r="H444" s="1262"/>
      <c r="I444" s="1262"/>
      <c r="J444" s="1262"/>
      <c r="K444" s="1262"/>
      <c r="L444" s="1262"/>
      <c r="M444" s="1262"/>
      <c r="N444" s="1262"/>
      <c r="O444" s="1262"/>
    </row>
    <row r="445" spans="2:15">
      <c r="B445" s="1262"/>
      <c r="C445" s="1262"/>
      <c r="D445" s="1262"/>
      <c r="E445" s="1262"/>
      <c r="F445" s="1262"/>
      <c r="G445" s="1262"/>
      <c r="H445" s="1262"/>
      <c r="I445" s="1262"/>
      <c r="J445" s="1262"/>
      <c r="K445" s="1262"/>
      <c r="L445" s="1262"/>
      <c r="M445" s="1262"/>
      <c r="N445" s="1262"/>
      <c r="O445" s="1262"/>
    </row>
    <row r="446" spans="2:15">
      <c r="B446" s="1262"/>
      <c r="C446" s="1262"/>
      <c r="D446" s="1262"/>
      <c r="E446" s="1262"/>
      <c r="F446" s="1262"/>
      <c r="G446" s="1262"/>
      <c r="H446" s="1262"/>
      <c r="I446" s="1262"/>
      <c r="J446" s="1262"/>
      <c r="K446" s="1262"/>
      <c r="L446" s="1262"/>
      <c r="M446" s="1262"/>
      <c r="N446" s="1262"/>
      <c r="O446" s="1262"/>
    </row>
    <row r="447" spans="2:15">
      <c r="B447" s="1262"/>
      <c r="C447" s="1262"/>
      <c r="D447" s="1262"/>
      <c r="E447" s="1262"/>
      <c r="F447" s="1262"/>
      <c r="G447" s="1262"/>
      <c r="H447" s="1262"/>
      <c r="I447" s="1262"/>
      <c r="J447" s="1262"/>
      <c r="K447" s="1262"/>
      <c r="L447" s="1262"/>
      <c r="M447" s="1262"/>
      <c r="N447" s="1262"/>
      <c r="O447" s="1262"/>
    </row>
    <row r="448" spans="2:15">
      <c r="B448" s="1262"/>
      <c r="C448" s="1262"/>
      <c r="D448" s="1262"/>
      <c r="E448" s="1262"/>
      <c r="F448" s="1262"/>
      <c r="G448" s="1262"/>
      <c r="H448" s="1262"/>
      <c r="I448" s="1262"/>
      <c r="J448" s="1262"/>
      <c r="K448" s="1262"/>
      <c r="L448" s="1262"/>
      <c r="M448" s="1262"/>
      <c r="N448" s="1262"/>
      <c r="O448" s="1262"/>
    </row>
    <row r="449" spans="2:15">
      <c r="B449" s="1262"/>
      <c r="C449" s="1262"/>
      <c r="D449" s="1262"/>
      <c r="E449" s="1262"/>
      <c r="F449" s="1262"/>
      <c r="G449" s="1262"/>
      <c r="H449" s="1262"/>
      <c r="I449" s="1262"/>
      <c r="J449" s="1262"/>
      <c r="K449" s="1262"/>
      <c r="L449" s="1262"/>
      <c r="M449" s="1262"/>
      <c r="N449" s="1262"/>
      <c r="O449" s="1262"/>
    </row>
  </sheetData>
  <printOptions horizontalCentered="1" verticalCentered="1"/>
  <pageMargins left="0.7" right="0.7" top="0.75" bottom="0.75" header="0.3" footer="0.3"/>
  <pageSetup paperSize="9" scale="10" orientation="portrait" r:id="rId1"/>
  <customProperties>
    <customPr name="Qube.Worksheet.ID" r:id="rId2"/>
    <customPr name="Qube.Worksheet.Visibility" r:id="rId3"/>
    <customPr name="SHEET_UNIQUE_ID" r:id="rId4"/>
  </customProperties>
  <ignoredErrors>
    <ignoredError sqref="C3:E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U88"/>
  <sheetViews>
    <sheetView showGridLines="0" showOutlineSymbols="0" showWhiteSpace="0" topLeftCell="A7" workbookViewId="0">
      <selection activeCell="CK61" sqref="CK61"/>
    </sheetView>
  </sheetViews>
  <sheetFormatPr defaultColWidth="9.42578125" defaultRowHeight="11.25" outlineLevelCol="1"/>
  <cols>
    <col min="1" max="1" width="26.42578125" style="108" customWidth="1"/>
    <col min="2" max="2" width="9.140625" style="108" customWidth="1"/>
    <col min="3" max="4" width="9.5703125" style="108" hidden="1" customWidth="1" outlineLevel="1"/>
    <col min="5" max="22" width="9.42578125" style="108" hidden="1" customWidth="1" outlineLevel="1"/>
    <col min="23" max="23" width="9.42578125" style="108" hidden="1" customWidth="1" outlineLevel="1" collapsed="1"/>
    <col min="24" max="42" width="9.42578125" style="108" hidden="1" customWidth="1" outlineLevel="1"/>
    <col min="43" max="43" width="9.42578125" style="108" hidden="1" customWidth="1" outlineLevel="1" collapsed="1"/>
    <col min="44" max="65" width="9.42578125" style="108" hidden="1" customWidth="1" outlineLevel="1"/>
    <col min="66" max="66" width="10" style="108" hidden="1" customWidth="1" outlineLevel="1"/>
    <col min="67" max="67" width="10" style="108" hidden="1" customWidth="1" outlineLevel="1" collapsed="1"/>
    <col min="68" max="69" width="9.42578125" style="108" hidden="1" customWidth="1" outlineLevel="1"/>
    <col min="70" max="70" width="9.85546875" style="108" hidden="1" customWidth="1" outlineLevel="1"/>
    <col min="71" max="72" width="9.42578125" style="108" hidden="1" customWidth="1" outlineLevel="1"/>
    <col min="73" max="86" width="11.5703125" style="108" hidden="1" customWidth="1" outlineLevel="1"/>
    <col min="87" max="87" width="11.5703125" style="108" customWidth="1" collapsed="1"/>
    <col min="88" max="95" width="11.5703125" style="108" customWidth="1"/>
    <col min="96" max="16384" width="9.42578125" style="108"/>
  </cols>
  <sheetData>
    <row r="1" spans="1:99" ht="15.75" hidden="1">
      <c r="A1" s="106"/>
      <c r="B1" s="106"/>
      <c r="C1" s="107"/>
      <c r="F1" s="109"/>
      <c r="G1" s="109"/>
      <c r="H1" s="109"/>
      <c r="I1" s="109"/>
      <c r="J1" s="109"/>
      <c r="K1" s="109"/>
      <c r="L1" s="109"/>
      <c r="M1" s="109"/>
      <c r="N1" s="109"/>
      <c r="O1" s="109"/>
      <c r="P1" s="109"/>
    </row>
    <row r="2" spans="1:99" hidden="1">
      <c r="G2" s="109"/>
      <c r="H2" s="109"/>
      <c r="I2" s="109"/>
      <c r="J2" s="109"/>
      <c r="K2" s="109"/>
      <c r="L2" s="109"/>
      <c r="M2" s="109"/>
      <c r="N2" s="109"/>
      <c r="O2" s="109"/>
      <c r="P2" s="109"/>
    </row>
    <row r="3" spans="1:99" hidden="1"/>
    <row r="4" spans="1:99" hidden="1">
      <c r="BF4" s="122"/>
      <c r="BJ4" s="122"/>
      <c r="BK4" s="122"/>
      <c r="BN4" s="122"/>
      <c r="BO4" s="122"/>
    </row>
    <row r="5" spans="1:99" hidden="1">
      <c r="BF5" s="122"/>
      <c r="BJ5" s="122"/>
      <c r="BK5" s="122"/>
      <c r="BN5" s="122"/>
      <c r="BO5" s="122"/>
    </row>
    <row r="6" spans="1:99" hidden="1">
      <c r="M6" s="110"/>
      <c r="N6" s="110"/>
      <c r="O6" s="110"/>
      <c r="P6" s="110"/>
      <c r="Q6" s="110"/>
      <c r="R6" s="110"/>
      <c r="S6" s="110"/>
      <c r="T6" s="110"/>
      <c r="U6" s="110"/>
      <c r="V6" s="110"/>
      <c r="W6" s="110"/>
      <c r="X6" s="110"/>
      <c r="Y6" s="110"/>
      <c r="Z6" s="110"/>
    </row>
    <row r="7" spans="1:99" ht="15.75">
      <c r="A7" s="107" t="s">
        <v>762</v>
      </c>
      <c r="B7" s="107"/>
      <c r="C7" s="111"/>
      <c r="D7" s="111"/>
      <c r="E7" s="111"/>
      <c r="F7" s="111"/>
    </row>
    <row r="8" spans="1:99" ht="15.75">
      <c r="A8" s="107" t="s">
        <v>763</v>
      </c>
      <c r="B8" s="107"/>
      <c r="C8" s="111"/>
      <c r="D8" s="111"/>
      <c r="E8" s="111"/>
      <c r="F8" s="111"/>
    </row>
    <row r="9" spans="1:99" ht="15.75">
      <c r="A9" s="107"/>
      <c r="B9" s="107"/>
      <c r="C9" s="111"/>
      <c r="D9" s="111"/>
      <c r="E9" s="111"/>
      <c r="F9" s="111"/>
      <c r="BU9" s="108" t="s">
        <v>1061</v>
      </c>
      <c r="CH9" s="110">
        <f>SUM(CH11:CH21)-CH23</f>
        <v>0</v>
      </c>
      <c r="CI9" s="110">
        <f>SUM(CI11:CI21)-CI23</f>
        <v>0</v>
      </c>
      <c r="CJ9" s="110">
        <f>SUM(CJ11:CJ21)-CJ23</f>
        <v>0</v>
      </c>
      <c r="CK9" s="110">
        <f>SUM(CK11:CK21)-CK23</f>
        <v>0</v>
      </c>
      <c r="CL9" s="110"/>
      <c r="CM9" s="110"/>
      <c r="CN9" s="110"/>
      <c r="CO9" s="110"/>
      <c r="CP9" s="110"/>
      <c r="CQ9" s="110"/>
    </row>
    <row r="10" spans="1:99">
      <c r="A10" s="112" t="s">
        <v>764</v>
      </c>
      <c r="B10" s="112" t="s">
        <v>1126</v>
      </c>
      <c r="C10" s="113" t="s">
        <v>765</v>
      </c>
      <c r="D10" s="113" t="s">
        <v>766</v>
      </c>
      <c r="E10" s="113" t="s">
        <v>767</v>
      </c>
      <c r="F10" s="113" t="s">
        <v>768</v>
      </c>
      <c r="G10" s="113" t="s">
        <v>769</v>
      </c>
      <c r="H10" s="113" t="s">
        <v>770</v>
      </c>
      <c r="I10" s="113" t="s">
        <v>771</v>
      </c>
      <c r="J10" s="113" t="s">
        <v>772</v>
      </c>
      <c r="K10" s="113" t="s">
        <v>773</v>
      </c>
      <c r="L10" s="113" t="s">
        <v>774</v>
      </c>
      <c r="M10" s="113" t="s">
        <v>775</v>
      </c>
      <c r="N10" s="113" t="s">
        <v>776</v>
      </c>
      <c r="O10" s="113" t="s">
        <v>777</v>
      </c>
      <c r="P10" s="113" t="s">
        <v>778</v>
      </c>
      <c r="Q10" s="113" t="s">
        <v>779</v>
      </c>
      <c r="R10" s="113" t="s">
        <v>780</v>
      </c>
      <c r="S10" s="113" t="s">
        <v>238</v>
      </c>
      <c r="T10" s="113" t="s">
        <v>239</v>
      </c>
      <c r="U10" s="113" t="s">
        <v>240</v>
      </c>
      <c r="V10" s="113" t="s">
        <v>241</v>
      </c>
      <c r="W10" s="113" t="s">
        <v>781</v>
      </c>
      <c r="X10" s="113" t="s">
        <v>242</v>
      </c>
      <c r="Y10" s="113" t="s">
        <v>782</v>
      </c>
      <c r="Z10" s="113" t="s">
        <v>783</v>
      </c>
      <c r="AA10" s="113" t="s">
        <v>243</v>
      </c>
      <c r="AB10" s="113" t="s">
        <v>244</v>
      </c>
      <c r="AC10" s="113" t="s">
        <v>245</v>
      </c>
      <c r="AD10" s="113" t="s">
        <v>246</v>
      </c>
      <c r="AE10" s="113" t="s">
        <v>784</v>
      </c>
      <c r="AF10" s="113" t="s">
        <v>248</v>
      </c>
      <c r="AG10" s="113" t="s">
        <v>249</v>
      </c>
      <c r="AH10" s="113" t="s">
        <v>250</v>
      </c>
      <c r="AI10" s="113" t="s">
        <v>785</v>
      </c>
      <c r="AJ10" s="113" t="s">
        <v>786</v>
      </c>
      <c r="AK10" s="113" t="s">
        <v>787</v>
      </c>
      <c r="AL10" s="113" t="s">
        <v>788</v>
      </c>
      <c r="AM10" s="113" t="s">
        <v>789</v>
      </c>
      <c r="AN10" s="113" t="s">
        <v>790</v>
      </c>
      <c r="AO10" s="113" t="s">
        <v>791</v>
      </c>
      <c r="AP10" s="113" t="s">
        <v>792</v>
      </c>
      <c r="AQ10" s="113" t="s">
        <v>259</v>
      </c>
      <c r="AR10" s="113" t="s">
        <v>260</v>
      </c>
      <c r="AS10" s="113" t="s">
        <v>261</v>
      </c>
      <c r="AT10" s="113" t="s">
        <v>262</v>
      </c>
      <c r="AU10" s="113" t="s">
        <v>263</v>
      </c>
      <c r="AV10" s="113" t="s">
        <v>264</v>
      </c>
      <c r="AW10" s="113" t="s">
        <v>265</v>
      </c>
      <c r="AX10" s="113" t="s">
        <v>266</v>
      </c>
      <c r="AY10" s="113" t="s">
        <v>267</v>
      </c>
      <c r="AZ10" s="113" t="s">
        <v>268</v>
      </c>
      <c r="BA10" s="113" t="s">
        <v>269</v>
      </c>
      <c r="BB10" s="113" t="s">
        <v>270</v>
      </c>
      <c r="BC10" s="113" t="s">
        <v>271</v>
      </c>
      <c r="BD10" s="113" t="s">
        <v>793</v>
      </c>
      <c r="BE10" s="113" t="s">
        <v>794</v>
      </c>
      <c r="BF10" s="113" t="s">
        <v>795</v>
      </c>
      <c r="BG10" s="113" t="s">
        <v>796</v>
      </c>
      <c r="BH10" s="113" t="s">
        <v>797</v>
      </c>
      <c r="BI10" s="113" t="s">
        <v>798</v>
      </c>
      <c r="BJ10" s="113" t="s">
        <v>799</v>
      </c>
      <c r="BK10" s="113" t="s">
        <v>800</v>
      </c>
      <c r="BL10" s="113" t="s">
        <v>801</v>
      </c>
      <c r="BM10" s="113" t="s">
        <v>802</v>
      </c>
      <c r="BN10" s="113" t="s">
        <v>803</v>
      </c>
      <c r="BO10" s="113" t="s">
        <v>283</v>
      </c>
      <c r="BP10" s="113" t="s">
        <v>284</v>
      </c>
      <c r="BQ10" s="113" t="s">
        <v>285</v>
      </c>
      <c r="BR10" s="113" t="s">
        <v>286</v>
      </c>
      <c r="BS10" s="113" t="s">
        <v>417</v>
      </c>
      <c r="BT10" s="113" t="s">
        <v>418</v>
      </c>
      <c r="BU10" s="113" t="s">
        <v>419</v>
      </c>
      <c r="BV10" s="113" t="s">
        <v>420</v>
      </c>
      <c r="BW10" s="113" t="s">
        <v>421</v>
      </c>
      <c r="BX10" s="113" t="s">
        <v>422</v>
      </c>
      <c r="BY10" s="113" t="s">
        <v>423</v>
      </c>
      <c r="BZ10" s="113" t="s">
        <v>424</v>
      </c>
      <c r="CA10" s="113" t="s">
        <v>946</v>
      </c>
      <c r="CB10" s="113" t="s">
        <v>947</v>
      </c>
      <c r="CC10" s="113" t="s">
        <v>948</v>
      </c>
      <c r="CD10" s="113" t="s">
        <v>949</v>
      </c>
      <c r="CE10" s="113" t="s">
        <v>1065</v>
      </c>
      <c r="CF10" s="113" t="s">
        <v>1066</v>
      </c>
      <c r="CG10" s="113" t="s">
        <v>1067</v>
      </c>
      <c r="CH10" s="113" t="s">
        <v>1064</v>
      </c>
      <c r="CI10" s="113" t="s">
        <v>1069</v>
      </c>
      <c r="CJ10" s="113" t="s">
        <v>1070</v>
      </c>
      <c r="CK10" s="113" t="s">
        <v>1071</v>
      </c>
      <c r="CL10" s="113" t="s">
        <v>1072</v>
      </c>
      <c r="CM10" s="113" t="s">
        <v>1073</v>
      </c>
      <c r="CN10" s="113" t="s">
        <v>1074</v>
      </c>
      <c r="CO10" s="113" t="s">
        <v>1075</v>
      </c>
      <c r="CP10" s="113" t="s">
        <v>1076</v>
      </c>
      <c r="CQ10" s="113" t="s">
        <v>1077</v>
      </c>
    </row>
    <row r="11" spans="1:99">
      <c r="A11" s="114" t="s">
        <v>804</v>
      </c>
      <c r="B11" s="114" t="s">
        <v>1093</v>
      </c>
      <c r="C11" s="115">
        <v>30100</v>
      </c>
      <c r="D11" s="115">
        <v>40000</v>
      </c>
      <c r="E11" s="115">
        <v>48500</v>
      </c>
      <c r="F11" s="115">
        <f>28000+21000+9000</f>
        <v>58000</v>
      </c>
      <c r="G11" s="115">
        <f>31720+24400+9300</f>
        <v>65420</v>
      </c>
      <c r="H11" s="115">
        <f>33675+31098+10099</f>
        <v>74872</v>
      </c>
      <c r="I11" s="115">
        <f>38820+34824+15077</f>
        <v>88721</v>
      </c>
      <c r="J11" s="115">
        <f>45536+35870+17802</f>
        <v>99208</v>
      </c>
      <c r="K11" s="115">
        <f>45731+40000+19000</f>
        <v>104731</v>
      </c>
      <c r="L11" s="115">
        <f>45000+43045+19193</f>
        <v>107238</v>
      </c>
      <c r="M11" s="115">
        <v>106583</v>
      </c>
      <c r="N11" s="115">
        <v>109851</v>
      </c>
      <c r="O11" s="115">
        <v>112110</v>
      </c>
      <c r="P11" s="115">
        <v>114597</v>
      </c>
      <c r="Q11" s="115">
        <v>114775</v>
      </c>
      <c r="R11" s="115">
        <v>106000</v>
      </c>
      <c r="S11" s="115">
        <v>98000</v>
      </c>
      <c r="T11" s="115">
        <v>94000</v>
      </c>
      <c r="U11" s="115">
        <v>98000</v>
      </c>
      <c r="V11" s="115">
        <v>98000</v>
      </c>
      <c r="W11" s="115">
        <v>88000</v>
      </c>
      <c r="X11" s="115">
        <v>86000</v>
      </c>
      <c r="Y11" s="115">
        <v>88000</v>
      </c>
      <c r="Z11" s="115">
        <v>88000</v>
      </c>
      <c r="AA11" s="115">
        <v>85000</v>
      </c>
      <c r="AB11" s="115">
        <v>88000</v>
      </c>
      <c r="AC11" s="115">
        <v>88000</v>
      </c>
      <c r="AD11" s="115">
        <v>85000</v>
      </c>
      <c r="AE11" s="115">
        <v>84000</v>
      </c>
      <c r="AF11" s="115">
        <v>84000</v>
      </c>
      <c r="AG11" s="115">
        <v>86000</v>
      </c>
      <c r="AH11" s="115">
        <v>86000</v>
      </c>
      <c r="AI11" s="115">
        <v>90000</v>
      </c>
      <c r="AJ11" s="115">
        <v>90000</v>
      </c>
      <c r="AK11" s="115">
        <v>90000</v>
      </c>
      <c r="AL11" s="115">
        <v>90000</v>
      </c>
      <c r="AM11" s="115">
        <v>79210</v>
      </c>
      <c r="AN11" s="115">
        <v>84600</v>
      </c>
      <c r="AO11" s="115">
        <v>90000</v>
      </c>
      <c r="AP11" s="115">
        <v>90000</v>
      </c>
      <c r="AQ11" s="115">
        <v>90000</v>
      </c>
      <c r="AR11" s="115">
        <v>90000</v>
      </c>
      <c r="AS11" s="115">
        <v>90000</v>
      </c>
      <c r="AT11" s="115">
        <v>90000</v>
      </c>
      <c r="AU11" s="115">
        <v>94000</v>
      </c>
      <c r="AV11" s="115">
        <v>96000</v>
      </c>
      <c r="AW11" s="115">
        <v>96000</v>
      </c>
      <c r="AX11" s="115">
        <v>96000</v>
      </c>
      <c r="AY11" s="115">
        <v>97000</v>
      </c>
      <c r="AZ11" s="115">
        <v>99000</v>
      </c>
      <c r="BA11" s="115">
        <v>100000</v>
      </c>
      <c r="BB11" s="115">
        <v>100000</v>
      </c>
      <c r="BC11" s="115">
        <v>101000</v>
      </c>
      <c r="BD11" s="115">
        <v>106000</v>
      </c>
      <c r="BE11" s="115">
        <v>107000</v>
      </c>
      <c r="BF11" s="115">
        <v>108000</v>
      </c>
      <c r="BG11" s="115">
        <v>110000</v>
      </c>
      <c r="BH11" s="115">
        <v>112000</v>
      </c>
      <c r="BI11" s="115">
        <v>114000</v>
      </c>
      <c r="BJ11" s="116">
        <v>109000</v>
      </c>
      <c r="BK11" s="116">
        <v>109000</v>
      </c>
      <c r="BL11" s="115">
        <v>108000</v>
      </c>
      <c r="BM11" s="115">
        <v>106000</v>
      </c>
      <c r="BN11" s="115">
        <v>109000</v>
      </c>
      <c r="BO11" s="115">
        <v>112000</v>
      </c>
      <c r="BP11" s="115">
        <v>115000</v>
      </c>
      <c r="BQ11" s="115">
        <v>112000</v>
      </c>
      <c r="BR11" s="115">
        <v>115000</v>
      </c>
      <c r="BS11" s="115">
        <v>115000</v>
      </c>
      <c r="BT11" s="115">
        <v>115000</v>
      </c>
      <c r="BU11" s="808">
        <v>115000</v>
      </c>
      <c r="BV11" s="808">
        <v>115000</v>
      </c>
      <c r="BW11" s="808">
        <v>115000</v>
      </c>
      <c r="BX11" s="808">
        <v>115000</v>
      </c>
      <c r="BY11" s="808">
        <v>115000</v>
      </c>
      <c r="BZ11" s="808">
        <v>115000</v>
      </c>
      <c r="CA11" s="808">
        <v>115000</v>
      </c>
      <c r="CB11" s="808">
        <v>115000</v>
      </c>
      <c r="CC11" s="808">
        <v>115000</v>
      </c>
      <c r="CD11" s="808">
        <v>115000</v>
      </c>
      <c r="CE11" s="808">
        <v>115000</v>
      </c>
      <c r="CF11" s="808">
        <v>115000</v>
      </c>
      <c r="CG11" s="808">
        <v>115000</v>
      </c>
      <c r="CH11" s="808">
        <f t="shared" ref="CH11:CQ11" si="0">CG11</f>
        <v>115000</v>
      </c>
      <c r="CI11" s="808">
        <f t="shared" si="0"/>
        <v>115000</v>
      </c>
      <c r="CJ11" s="808">
        <f t="shared" si="0"/>
        <v>115000</v>
      </c>
      <c r="CK11" s="808">
        <f t="shared" si="0"/>
        <v>115000</v>
      </c>
      <c r="CL11" s="808">
        <f t="shared" si="0"/>
        <v>115000</v>
      </c>
      <c r="CM11" s="808">
        <f t="shared" si="0"/>
        <v>115000</v>
      </c>
      <c r="CN11" s="808">
        <f t="shared" si="0"/>
        <v>115000</v>
      </c>
      <c r="CO11" s="808">
        <f t="shared" si="0"/>
        <v>115000</v>
      </c>
      <c r="CP11" s="808">
        <f t="shared" si="0"/>
        <v>115000</v>
      </c>
      <c r="CQ11" s="808">
        <f t="shared" si="0"/>
        <v>115000</v>
      </c>
      <c r="CS11" s="122" t="s">
        <v>193</v>
      </c>
    </row>
    <row r="12" spans="1:99">
      <c r="A12" s="114" t="s">
        <v>805</v>
      </c>
      <c r="B12" s="114" t="s">
        <v>1098</v>
      </c>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v>13500</v>
      </c>
      <c r="AQ12" s="115">
        <v>14150</v>
      </c>
      <c r="AR12" s="115">
        <v>18000</v>
      </c>
      <c r="AS12" s="115">
        <v>24750</v>
      </c>
      <c r="AT12" s="115">
        <v>27000</v>
      </c>
      <c r="AU12" s="115">
        <v>31500</v>
      </c>
      <c r="AV12" s="115">
        <v>31500</v>
      </c>
      <c r="AW12" s="115">
        <v>31500</v>
      </c>
      <c r="AX12" s="115">
        <v>31500</v>
      </c>
      <c r="AY12" s="115">
        <v>31500</v>
      </c>
      <c r="AZ12" s="115">
        <v>31500</v>
      </c>
      <c r="BA12" s="115">
        <v>31500</v>
      </c>
      <c r="BB12" s="115">
        <v>31500</v>
      </c>
      <c r="BC12" s="115">
        <v>34875</v>
      </c>
      <c r="BD12" s="115">
        <v>45000</v>
      </c>
      <c r="BE12" s="115">
        <v>45000</v>
      </c>
      <c r="BF12" s="115">
        <v>45000</v>
      </c>
      <c r="BG12" s="115">
        <v>45000</v>
      </c>
      <c r="BH12" s="115">
        <v>45000</v>
      </c>
      <c r="BI12" s="115">
        <v>40500</v>
      </c>
      <c r="BJ12" s="116">
        <v>38250</v>
      </c>
      <c r="BK12" s="116">
        <v>38250</v>
      </c>
      <c r="BL12" s="115">
        <v>38250</v>
      </c>
      <c r="BM12" s="115">
        <v>33750</v>
      </c>
      <c r="BN12" s="115">
        <v>22500</v>
      </c>
      <c r="BO12" s="115">
        <v>22500</v>
      </c>
      <c r="BP12" s="115">
        <v>18000</v>
      </c>
      <c r="BQ12" s="115">
        <v>18000</v>
      </c>
      <c r="BR12" s="115">
        <v>4500</v>
      </c>
      <c r="BS12" s="115">
        <v>4500</v>
      </c>
      <c r="BT12" s="115">
        <v>3150</v>
      </c>
      <c r="BU12" s="808">
        <v>3150</v>
      </c>
      <c r="BV12" s="808">
        <v>3150</v>
      </c>
      <c r="BW12" s="808">
        <v>3150</v>
      </c>
      <c r="BX12" s="808">
        <v>3150</v>
      </c>
      <c r="BY12" s="808">
        <v>3150</v>
      </c>
      <c r="BZ12" s="808">
        <v>3150</v>
      </c>
      <c r="CA12" s="808">
        <v>3150</v>
      </c>
      <c r="CB12" s="808">
        <v>3150</v>
      </c>
      <c r="CC12" s="808">
        <v>3150</v>
      </c>
      <c r="CD12" s="808">
        <v>3150</v>
      </c>
      <c r="CE12" s="808">
        <v>3150</v>
      </c>
      <c r="CF12" s="808">
        <v>3150</v>
      </c>
      <c r="CG12" s="808">
        <v>3150</v>
      </c>
      <c r="CH12" s="808">
        <v>3150</v>
      </c>
      <c r="CI12" s="808">
        <f t="shared" ref="CI12:CQ12" si="1">CH12</f>
        <v>3150</v>
      </c>
      <c r="CJ12" s="808">
        <f t="shared" si="1"/>
        <v>3150</v>
      </c>
      <c r="CK12" s="808">
        <f t="shared" si="1"/>
        <v>3150</v>
      </c>
      <c r="CL12" s="808">
        <f t="shared" si="1"/>
        <v>3150</v>
      </c>
      <c r="CM12" s="808">
        <f t="shared" si="1"/>
        <v>3150</v>
      </c>
      <c r="CN12" s="808">
        <f t="shared" si="1"/>
        <v>3150</v>
      </c>
      <c r="CO12" s="808">
        <f t="shared" si="1"/>
        <v>3150</v>
      </c>
      <c r="CP12" s="808">
        <f t="shared" si="1"/>
        <v>3150</v>
      </c>
      <c r="CQ12" s="808">
        <f t="shared" si="1"/>
        <v>3150</v>
      </c>
      <c r="CS12" s="122" t="s">
        <v>193</v>
      </c>
      <c r="CT12" s="110">
        <f>SUM(BQ11:BQ12)</f>
        <v>130000</v>
      </c>
      <c r="CU12" s="513">
        <f>CT12/$BQ$23</f>
        <v>0.2928917427058691</v>
      </c>
    </row>
    <row r="13" spans="1:99">
      <c r="A13" s="114" t="s">
        <v>806</v>
      </c>
      <c r="B13" s="114" t="s">
        <v>1094</v>
      </c>
      <c r="C13" s="115">
        <v>0</v>
      </c>
      <c r="D13" s="115">
        <v>0</v>
      </c>
      <c r="E13" s="115">
        <v>0</v>
      </c>
      <c r="F13" s="115">
        <v>0</v>
      </c>
      <c r="G13" s="115">
        <v>0</v>
      </c>
      <c r="H13" s="115">
        <v>0</v>
      </c>
      <c r="I13" s="115">
        <v>0</v>
      </c>
      <c r="J13" s="560">
        <v>7027</v>
      </c>
      <c r="K13" s="115">
        <v>10220</v>
      </c>
      <c r="L13" s="115">
        <v>16787</v>
      </c>
      <c r="M13" s="115">
        <v>21605</v>
      </c>
      <c r="N13" s="115">
        <v>27368</v>
      </c>
      <c r="O13" s="115">
        <v>30220</v>
      </c>
      <c r="P13" s="115">
        <v>35438</v>
      </c>
      <c r="Q13" s="115">
        <v>41850</v>
      </c>
      <c r="R13" s="115">
        <v>56250</v>
      </c>
      <c r="S13" s="115">
        <v>57150</v>
      </c>
      <c r="T13" s="115">
        <v>54000</v>
      </c>
      <c r="U13" s="115">
        <v>61200</v>
      </c>
      <c r="V13" s="115">
        <v>65250</v>
      </c>
      <c r="W13" s="115">
        <v>54000</v>
      </c>
      <c r="X13" s="115">
        <v>40500</v>
      </c>
      <c r="Y13" s="115">
        <v>36000</v>
      </c>
      <c r="Z13" s="115">
        <v>40500</v>
      </c>
      <c r="AA13" s="115">
        <v>33750</v>
      </c>
      <c r="AB13" s="115">
        <v>40500</v>
      </c>
      <c r="AC13" s="115">
        <v>42750</v>
      </c>
      <c r="AD13" s="115">
        <v>42750</v>
      </c>
      <c r="AE13" s="115">
        <v>46800</v>
      </c>
      <c r="AF13" s="115">
        <v>46125</v>
      </c>
      <c r="AG13" s="115">
        <v>50625</v>
      </c>
      <c r="AH13" s="115">
        <v>52425</v>
      </c>
      <c r="AI13" s="115">
        <v>62550</v>
      </c>
      <c r="AJ13" s="115">
        <v>65540</v>
      </c>
      <c r="AK13" s="115">
        <v>65540</v>
      </c>
      <c r="AL13" s="115">
        <v>65540</v>
      </c>
      <c r="AM13" s="115">
        <v>67500</v>
      </c>
      <c r="AN13" s="115">
        <v>76500</v>
      </c>
      <c r="AO13" s="115">
        <v>78750</v>
      </c>
      <c r="AP13" s="115">
        <v>78750</v>
      </c>
      <c r="AQ13" s="115">
        <v>81000</v>
      </c>
      <c r="AR13" s="115">
        <v>81000</v>
      </c>
      <c r="AS13" s="115">
        <v>81000</v>
      </c>
      <c r="AT13" s="115">
        <v>81000</v>
      </c>
      <c r="AU13" s="115">
        <v>81000</v>
      </c>
      <c r="AV13" s="115">
        <v>81000</v>
      </c>
      <c r="AW13" s="115">
        <v>81000</v>
      </c>
      <c r="AX13" s="115">
        <v>81000</v>
      </c>
      <c r="AY13" s="115">
        <v>81000</v>
      </c>
      <c r="AZ13" s="115">
        <v>83250</v>
      </c>
      <c r="BA13" s="115">
        <v>83250</v>
      </c>
      <c r="BB13" s="115">
        <v>83250</v>
      </c>
      <c r="BC13" s="115">
        <v>83250</v>
      </c>
      <c r="BD13" s="115">
        <v>83250</v>
      </c>
      <c r="BE13" s="115">
        <v>87750</v>
      </c>
      <c r="BF13" s="115">
        <v>96750</v>
      </c>
      <c r="BG13" s="115">
        <v>108000</v>
      </c>
      <c r="BH13" s="115">
        <v>112500</v>
      </c>
      <c r="BI13" s="115">
        <v>112500</v>
      </c>
      <c r="BJ13" s="116">
        <v>103500</v>
      </c>
      <c r="BK13" s="116">
        <v>103500</v>
      </c>
      <c r="BL13" s="115">
        <v>96750</v>
      </c>
      <c r="BM13" s="115">
        <v>94500</v>
      </c>
      <c r="BN13" s="115">
        <v>94500</v>
      </c>
      <c r="BO13" s="115">
        <v>105750</v>
      </c>
      <c r="BP13" s="115">
        <v>112500</v>
      </c>
      <c r="BQ13" s="115">
        <v>112500</v>
      </c>
      <c r="BR13" s="115">
        <v>117000</v>
      </c>
      <c r="BS13" s="115">
        <v>117000</v>
      </c>
      <c r="BT13" s="115">
        <v>117000</v>
      </c>
      <c r="BU13" s="808">
        <f t="shared" ref="BU13:CQ13" si="2">BT13</f>
        <v>117000</v>
      </c>
      <c r="BV13" s="808">
        <f t="shared" si="2"/>
        <v>117000</v>
      </c>
      <c r="BW13" s="808">
        <f t="shared" si="2"/>
        <v>117000</v>
      </c>
      <c r="BX13" s="808">
        <f t="shared" si="2"/>
        <v>117000</v>
      </c>
      <c r="BY13" s="808">
        <f t="shared" si="2"/>
        <v>117000</v>
      </c>
      <c r="BZ13" s="808">
        <f t="shared" si="2"/>
        <v>117000</v>
      </c>
      <c r="CA13" s="808">
        <f t="shared" si="2"/>
        <v>117000</v>
      </c>
      <c r="CB13" s="808">
        <f t="shared" si="2"/>
        <v>117000</v>
      </c>
      <c r="CC13" s="808">
        <f t="shared" si="2"/>
        <v>117000</v>
      </c>
      <c r="CD13" s="808">
        <f t="shared" si="2"/>
        <v>117000</v>
      </c>
      <c r="CE13" s="808">
        <f t="shared" si="2"/>
        <v>117000</v>
      </c>
      <c r="CF13" s="808">
        <f t="shared" si="2"/>
        <v>117000</v>
      </c>
      <c r="CG13" s="808">
        <f t="shared" si="2"/>
        <v>117000</v>
      </c>
      <c r="CH13" s="808">
        <f t="shared" si="2"/>
        <v>117000</v>
      </c>
      <c r="CI13" s="808">
        <f t="shared" si="2"/>
        <v>117000</v>
      </c>
      <c r="CJ13" s="808">
        <f t="shared" si="2"/>
        <v>117000</v>
      </c>
      <c r="CK13" s="808">
        <f t="shared" si="2"/>
        <v>117000</v>
      </c>
      <c r="CL13" s="808">
        <f t="shared" si="2"/>
        <v>117000</v>
      </c>
      <c r="CM13" s="808">
        <f t="shared" si="2"/>
        <v>117000</v>
      </c>
      <c r="CN13" s="808">
        <f t="shared" si="2"/>
        <v>117000</v>
      </c>
      <c r="CO13" s="808">
        <f t="shared" si="2"/>
        <v>117000</v>
      </c>
      <c r="CP13" s="808">
        <f t="shared" si="2"/>
        <v>117000</v>
      </c>
      <c r="CQ13" s="808">
        <f t="shared" si="2"/>
        <v>117000</v>
      </c>
      <c r="CS13" s="122" t="s">
        <v>942</v>
      </c>
      <c r="CT13" s="110">
        <f>SUM(BQ13,BQ17)</f>
        <v>197100</v>
      </c>
      <c r="CU13" s="513">
        <f>CT13/$BQ$23</f>
        <v>0.44406894221020615</v>
      </c>
    </row>
    <row r="14" spans="1:99">
      <c r="A14" s="114" t="s">
        <v>807</v>
      </c>
      <c r="B14" s="114" t="s">
        <v>1095</v>
      </c>
      <c r="C14" s="115">
        <v>0</v>
      </c>
      <c r="D14" s="115">
        <v>0</v>
      </c>
      <c r="E14" s="115">
        <v>0</v>
      </c>
      <c r="F14" s="115">
        <v>0</v>
      </c>
      <c r="G14" s="115">
        <v>0</v>
      </c>
      <c r="H14" s="115">
        <v>6000</v>
      </c>
      <c r="I14" s="115">
        <v>10322</v>
      </c>
      <c r="J14" s="115">
        <v>14182</v>
      </c>
      <c r="K14" s="115">
        <v>16221</v>
      </c>
      <c r="L14" s="115">
        <v>15000</v>
      </c>
      <c r="M14" s="115">
        <v>15000</v>
      </c>
      <c r="N14" s="115">
        <v>15000</v>
      </c>
      <c r="O14" s="115">
        <v>15000</v>
      </c>
      <c r="P14" s="115">
        <v>17216</v>
      </c>
      <c r="Q14" s="115">
        <v>20000</v>
      </c>
      <c r="R14" s="115">
        <v>20000</v>
      </c>
      <c r="S14" s="115">
        <v>22000</v>
      </c>
      <c r="T14" s="115">
        <v>21000</v>
      </c>
      <c r="U14" s="115">
        <v>21000</v>
      </c>
      <c r="V14" s="115">
        <v>22000</v>
      </c>
      <c r="W14" s="115">
        <v>25396</v>
      </c>
      <c r="X14" s="115">
        <v>28000</v>
      </c>
      <c r="Y14" s="115">
        <v>30000</v>
      </c>
      <c r="Z14" s="115">
        <v>32000</v>
      </c>
      <c r="AA14" s="115">
        <v>32000</v>
      </c>
      <c r="AB14" s="115">
        <v>34300</v>
      </c>
      <c r="AC14" s="115">
        <v>35300</v>
      </c>
      <c r="AD14" s="115">
        <v>34300</v>
      </c>
      <c r="AE14" s="115">
        <v>34300</v>
      </c>
      <c r="AF14" s="115">
        <v>33000</v>
      </c>
      <c r="AG14" s="115">
        <v>33300</v>
      </c>
      <c r="AH14" s="115">
        <v>33300</v>
      </c>
      <c r="AI14" s="115">
        <v>33200</v>
      </c>
      <c r="AJ14" s="115">
        <v>34250</v>
      </c>
      <c r="AK14" s="115">
        <v>37750</v>
      </c>
      <c r="AL14" s="115">
        <v>37750</v>
      </c>
      <c r="AM14" s="115">
        <v>37839</v>
      </c>
      <c r="AN14" s="115">
        <v>37000</v>
      </c>
      <c r="AO14" s="115">
        <v>37000</v>
      </c>
      <c r="AP14" s="115">
        <v>37000</v>
      </c>
      <c r="AQ14" s="115">
        <v>34450</v>
      </c>
      <c r="AR14" s="115">
        <v>34500</v>
      </c>
      <c r="AS14" s="115">
        <v>36000</v>
      </c>
      <c r="AT14" s="115">
        <v>36000</v>
      </c>
      <c r="AU14" s="115">
        <v>37000</v>
      </c>
      <c r="AV14" s="115">
        <v>39000</v>
      </c>
      <c r="AW14" s="115">
        <v>39000</v>
      </c>
      <c r="AX14" s="115">
        <v>39000</v>
      </c>
      <c r="AY14" s="115">
        <v>42000</v>
      </c>
      <c r="AZ14" s="115">
        <v>42000</v>
      </c>
      <c r="BA14" s="115">
        <v>43000</v>
      </c>
      <c r="BB14" s="115">
        <v>43000</v>
      </c>
      <c r="BC14" s="115">
        <v>42000</v>
      </c>
      <c r="BD14" s="115">
        <v>45000</v>
      </c>
      <c r="BE14" s="115">
        <v>45000</v>
      </c>
      <c r="BF14" s="115">
        <v>45000</v>
      </c>
      <c r="BG14" s="115">
        <v>45000</v>
      </c>
      <c r="BH14" s="115">
        <v>45000</v>
      </c>
      <c r="BI14" s="115">
        <v>47000</v>
      </c>
      <c r="BJ14" s="116">
        <v>50000</v>
      </c>
      <c r="BK14" s="116">
        <v>50000</v>
      </c>
      <c r="BL14" s="115">
        <v>50000</v>
      </c>
      <c r="BM14" s="115">
        <v>53000</v>
      </c>
      <c r="BN14" s="115">
        <v>60000</v>
      </c>
      <c r="BO14" s="115">
        <v>58000</v>
      </c>
      <c r="BP14" s="115">
        <v>57000</v>
      </c>
      <c r="BQ14" s="115">
        <v>58000</v>
      </c>
      <c r="BR14" s="115">
        <v>58000</v>
      </c>
      <c r="BS14" s="115">
        <v>63000</v>
      </c>
      <c r="BT14" s="115">
        <v>73000</v>
      </c>
      <c r="BU14" s="808">
        <f>BT14+23250</f>
        <v>96250</v>
      </c>
      <c r="BV14" s="808">
        <v>93350</v>
      </c>
      <c r="BW14" s="808">
        <f t="shared" ref="BW14:CB14" si="3">BV14</f>
        <v>93350</v>
      </c>
      <c r="BX14" s="808">
        <f t="shared" si="3"/>
        <v>93350</v>
      </c>
      <c r="BY14" s="808">
        <f t="shared" si="3"/>
        <v>93350</v>
      </c>
      <c r="BZ14" s="808">
        <f t="shared" si="3"/>
        <v>93350</v>
      </c>
      <c r="CA14" s="808">
        <f t="shared" si="3"/>
        <v>93350</v>
      </c>
      <c r="CB14" s="808">
        <f t="shared" si="3"/>
        <v>93350</v>
      </c>
      <c r="CC14" s="808">
        <f>CB14+5374</f>
        <v>98724</v>
      </c>
      <c r="CD14" s="808">
        <f>CC14+1250</f>
        <v>99974</v>
      </c>
      <c r="CE14" s="808">
        <f>CD14+4750</f>
        <v>104724</v>
      </c>
      <c r="CF14" s="808">
        <f>CE14+4000</f>
        <v>108724</v>
      </c>
      <c r="CG14" s="808">
        <f>CG23-SUM(CG11:CG13,CG15:CG19)</f>
        <v>123224</v>
      </c>
      <c r="CH14" s="808">
        <f>CH23-SUM(CH11:CH13,CH15:CH19)</f>
        <v>126224</v>
      </c>
      <c r="CI14" s="808">
        <f t="shared" ref="CI14:CQ14" si="4">CH14</f>
        <v>126224</v>
      </c>
      <c r="CJ14" s="808">
        <f t="shared" si="4"/>
        <v>126224</v>
      </c>
      <c r="CK14" s="808">
        <f t="shared" si="4"/>
        <v>126224</v>
      </c>
      <c r="CL14" s="808">
        <f t="shared" si="4"/>
        <v>126224</v>
      </c>
      <c r="CM14" s="808">
        <f t="shared" si="4"/>
        <v>126224</v>
      </c>
      <c r="CN14" s="808">
        <f t="shared" si="4"/>
        <v>126224</v>
      </c>
      <c r="CO14" s="808">
        <f t="shared" si="4"/>
        <v>126224</v>
      </c>
      <c r="CP14" s="808">
        <f t="shared" si="4"/>
        <v>126224</v>
      </c>
      <c r="CQ14" s="808">
        <f t="shared" si="4"/>
        <v>126224</v>
      </c>
      <c r="CR14" s="110"/>
      <c r="CS14" s="122" t="s">
        <v>943</v>
      </c>
      <c r="CT14" s="110">
        <f>BQ14</f>
        <v>58000</v>
      </c>
      <c r="CU14" s="513">
        <f>CT14/$BQ$23</f>
        <v>0.1306747775149262</v>
      </c>
    </row>
    <row r="15" spans="1:99">
      <c r="A15" s="114" t="s">
        <v>808</v>
      </c>
      <c r="B15" s="114" t="s">
        <v>1096</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v>11000</v>
      </c>
      <c r="BB15" s="115">
        <v>13000</v>
      </c>
      <c r="BC15" s="115">
        <v>19000</v>
      </c>
      <c r="BD15" s="115">
        <v>26000</v>
      </c>
      <c r="BE15" s="115">
        <v>31000</v>
      </c>
      <c r="BF15" s="115">
        <v>31000</v>
      </c>
      <c r="BG15" s="115">
        <v>31000</v>
      </c>
      <c r="BH15" s="115">
        <v>32000</v>
      </c>
      <c r="BI15" s="115">
        <v>32075</v>
      </c>
      <c r="BJ15" s="116">
        <v>30000</v>
      </c>
      <c r="BK15" s="116">
        <v>35000</v>
      </c>
      <c r="BL15" s="115">
        <v>35000</v>
      </c>
      <c r="BM15" s="115">
        <v>40300</v>
      </c>
      <c r="BN15" s="115">
        <v>42000</v>
      </c>
      <c r="BO15" s="115">
        <v>45000</v>
      </c>
      <c r="BP15" s="115">
        <v>50000</v>
      </c>
      <c r="BQ15" s="115">
        <v>52000</v>
      </c>
      <c r="BR15" s="115">
        <v>55000</v>
      </c>
      <c r="BS15" s="115">
        <v>55000</v>
      </c>
      <c r="BT15" s="115">
        <v>46000</v>
      </c>
      <c r="BU15" s="808">
        <v>46000</v>
      </c>
      <c r="BV15" s="808">
        <v>46000</v>
      </c>
      <c r="BW15" s="808">
        <f>BV15+20000</f>
        <v>66000</v>
      </c>
      <c r="BX15" s="808">
        <f>BW15+14000</f>
        <v>80000</v>
      </c>
      <c r="BY15" s="808">
        <f>BX15+5375</f>
        <v>85375</v>
      </c>
      <c r="BZ15" s="808">
        <f>BY15+6874</f>
        <v>92249</v>
      </c>
      <c r="CA15" s="808">
        <f>BZ15+7875</f>
        <v>100124</v>
      </c>
      <c r="CB15" s="808">
        <f>CA15+6626</f>
        <v>106750</v>
      </c>
      <c r="CC15" s="808">
        <f>CB15+6626</f>
        <v>113376</v>
      </c>
      <c r="CD15" s="808">
        <f t="shared" ref="CD15:CI15" si="5">CC15</f>
        <v>113376</v>
      </c>
      <c r="CE15" s="808">
        <f t="shared" si="5"/>
        <v>113376</v>
      </c>
      <c r="CF15" s="808">
        <f t="shared" si="5"/>
        <v>113376</v>
      </c>
      <c r="CG15" s="808">
        <f t="shared" si="5"/>
        <v>113376</v>
      </c>
      <c r="CH15" s="808">
        <f t="shared" si="5"/>
        <v>113376</v>
      </c>
      <c r="CI15" s="808">
        <f t="shared" si="5"/>
        <v>113376</v>
      </c>
      <c r="CJ15" s="808">
        <f t="shared" ref="CJ15:CQ18" si="6">CI15</f>
        <v>113376</v>
      </c>
      <c r="CK15" s="808">
        <f t="shared" si="6"/>
        <v>113376</v>
      </c>
      <c r="CL15" s="808">
        <f t="shared" si="6"/>
        <v>113376</v>
      </c>
      <c r="CM15" s="808">
        <f t="shared" si="6"/>
        <v>113376</v>
      </c>
      <c r="CN15" s="808">
        <f t="shared" si="6"/>
        <v>113376</v>
      </c>
      <c r="CO15" s="808">
        <f t="shared" si="6"/>
        <v>113376</v>
      </c>
      <c r="CP15" s="808">
        <f t="shared" si="6"/>
        <v>113376</v>
      </c>
      <c r="CQ15" s="808">
        <f t="shared" si="6"/>
        <v>113376</v>
      </c>
      <c r="CS15" s="122" t="s">
        <v>944</v>
      </c>
      <c r="CT15" s="110">
        <f>SUM(BQ15:BQ16)</f>
        <v>58750</v>
      </c>
      <c r="CU15" s="513">
        <f>CT15/$BQ$23</f>
        <v>0.13236453756899855</v>
      </c>
    </row>
    <row r="16" spans="1:99">
      <c r="A16" s="114" t="s">
        <v>809</v>
      </c>
      <c r="B16" s="114" t="s">
        <v>1097</v>
      </c>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6">
        <v>6750</v>
      </c>
      <c r="BK16" s="116">
        <v>6750</v>
      </c>
      <c r="BL16" s="115">
        <v>6750</v>
      </c>
      <c r="BM16" s="115">
        <v>6750</v>
      </c>
      <c r="BN16" s="115">
        <v>6750</v>
      </c>
      <c r="BO16" s="115">
        <v>6750</v>
      </c>
      <c r="BP16" s="115">
        <v>6750</v>
      </c>
      <c r="BQ16" s="115">
        <v>6750</v>
      </c>
      <c r="BR16" s="115">
        <v>0</v>
      </c>
      <c r="BS16" s="115"/>
      <c r="BT16" s="115"/>
      <c r="BU16" s="808"/>
      <c r="BV16" s="808"/>
      <c r="BW16" s="808"/>
      <c r="BX16" s="808"/>
      <c r="BY16" s="808"/>
      <c r="BZ16" s="808"/>
      <c r="CA16" s="808"/>
      <c r="CB16" s="808">
        <f>8*2.25*1000</f>
        <v>18000</v>
      </c>
      <c r="CC16" s="808">
        <f>8*2.25*1000+9*2.25*1000</f>
        <v>38250</v>
      </c>
      <c r="CD16" s="808">
        <f>8*2.25*1000+9*2.25*1000+3*2.25*1000</f>
        <v>45000</v>
      </c>
      <c r="CE16" s="808">
        <f>8*2.25*1000+9*2.25*1000+3*2.25*1000+6*2.25*1000</f>
        <v>58500</v>
      </c>
      <c r="CF16" s="808">
        <f>8*2.25*1000+9*2.25*1000+3*2.25*1000+6*2.25*1000+8*2.25*1000</f>
        <v>76500</v>
      </c>
      <c r="CG16" s="808">
        <f>8*2.25*1000+9*2.25*1000+3*2.25*1000+6*2.25*1000+8*2.25*1000+6*2.25*1000</f>
        <v>90000</v>
      </c>
      <c r="CH16" s="949">
        <f>CG16</f>
        <v>90000</v>
      </c>
      <c r="CI16" s="949">
        <f>CH16</f>
        <v>90000</v>
      </c>
      <c r="CJ16" s="949">
        <f t="shared" si="6"/>
        <v>90000</v>
      </c>
      <c r="CK16" s="949">
        <f t="shared" si="6"/>
        <v>90000</v>
      </c>
      <c r="CL16" s="949">
        <f t="shared" si="6"/>
        <v>90000</v>
      </c>
      <c r="CM16" s="949">
        <f t="shared" si="6"/>
        <v>90000</v>
      </c>
      <c r="CN16" s="949">
        <f t="shared" si="6"/>
        <v>90000</v>
      </c>
      <c r="CO16" s="949">
        <f t="shared" si="6"/>
        <v>90000</v>
      </c>
      <c r="CP16" s="949">
        <f t="shared" si="6"/>
        <v>90000</v>
      </c>
      <c r="CQ16" s="949">
        <f t="shared" si="6"/>
        <v>90000</v>
      </c>
      <c r="CS16" s="122" t="s">
        <v>944</v>
      </c>
      <c r="CT16" s="110"/>
    </row>
    <row r="17" spans="1:98">
      <c r="A17" s="114" t="s">
        <v>1113</v>
      </c>
      <c r="B17" s="114" t="s">
        <v>1127</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v>11000</v>
      </c>
      <c r="BB17" s="115">
        <v>13500</v>
      </c>
      <c r="BC17" s="115">
        <v>22500</v>
      </c>
      <c r="BD17" s="115">
        <v>33750</v>
      </c>
      <c r="BE17" s="115">
        <v>34875</v>
      </c>
      <c r="BF17" s="115">
        <v>40500</v>
      </c>
      <c r="BG17" s="115">
        <v>42750</v>
      </c>
      <c r="BH17" s="115">
        <v>51750</v>
      </c>
      <c r="BI17" s="115">
        <v>61875</v>
      </c>
      <c r="BJ17" s="116">
        <v>65250</v>
      </c>
      <c r="BK17" s="116">
        <v>65250</v>
      </c>
      <c r="BL17" s="115">
        <v>72000</v>
      </c>
      <c r="BM17" s="115">
        <v>74250</v>
      </c>
      <c r="BN17" s="115">
        <v>74250</v>
      </c>
      <c r="BO17" s="115">
        <v>74250</v>
      </c>
      <c r="BP17" s="115">
        <v>81000</v>
      </c>
      <c r="BQ17" s="115">
        <v>84600</v>
      </c>
      <c r="BR17" s="115">
        <v>92250</v>
      </c>
      <c r="BS17" s="115">
        <v>112500</v>
      </c>
      <c r="BT17" s="115">
        <v>112500</v>
      </c>
      <c r="BU17" s="808">
        <f>BT17</f>
        <v>112500</v>
      </c>
      <c r="BV17" s="808">
        <f>BU17</f>
        <v>112500</v>
      </c>
      <c r="BW17" s="808">
        <f>BV17</f>
        <v>112500</v>
      </c>
      <c r="BX17" s="808">
        <f>BW17+3000*2.25</f>
        <v>119250</v>
      </c>
      <c r="BY17" s="808">
        <f>BX17+12000*2.25</f>
        <v>146250</v>
      </c>
      <c r="BZ17" s="808">
        <f>BY17+9000*2.25</f>
        <v>166500</v>
      </c>
      <c r="CA17" s="808">
        <f>BZ17+9000*2.25</f>
        <v>186750</v>
      </c>
      <c r="CB17" s="808">
        <f t="shared" ref="CB17:CI18" si="7">CA17</f>
        <v>186750</v>
      </c>
      <c r="CC17" s="808">
        <f t="shared" si="7"/>
        <v>186750</v>
      </c>
      <c r="CD17" s="808">
        <f t="shared" si="7"/>
        <v>186750</v>
      </c>
      <c r="CE17" s="808">
        <f t="shared" si="7"/>
        <v>186750</v>
      </c>
      <c r="CF17" s="808">
        <f t="shared" si="7"/>
        <v>186750</v>
      </c>
      <c r="CG17" s="808">
        <f t="shared" si="7"/>
        <v>186750</v>
      </c>
      <c r="CH17" s="808">
        <f t="shared" si="7"/>
        <v>186750</v>
      </c>
      <c r="CI17" s="808">
        <f t="shared" si="7"/>
        <v>186750</v>
      </c>
      <c r="CJ17" s="808">
        <f t="shared" si="6"/>
        <v>186750</v>
      </c>
      <c r="CK17" s="808">
        <f t="shared" si="6"/>
        <v>186750</v>
      </c>
      <c r="CL17" s="808">
        <f t="shared" si="6"/>
        <v>186750</v>
      </c>
      <c r="CM17" s="808">
        <f t="shared" si="6"/>
        <v>186750</v>
      </c>
      <c r="CN17" s="808">
        <f t="shared" si="6"/>
        <v>186750</v>
      </c>
      <c r="CO17" s="808">
        <f t="shared" si="6"/>
        <v>186750</v>
      </c>
      <c r="CP17" s="808">
        <f t="shared" si="6"/>
        <v>186750</v>
      </c>
      <c r="CQ17" s="808">
        <f t="shared" si="6"/>
        <v>186750</v>
      </c>
      <c r="CS17" s="122" t="s">
        <v>942</v>
      </c>
      <c r="CT17" s="110"/>
    </row>
    <row r="18" spans="1:98">
      <c r="A18" s="114" t="s">
        <v>1114</v>
      </c>
      <c r="B18" s="114" t="s">
        <v>1100</v>
      </c>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8"/>
      <c r="AI18" s="117"/>
      <c r="AJ18" s="117"/>
      <c r="AK18" s="117"/>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1"/>
      <c r="BK18" s="651"/>
      <c r="BL18" s="650"/>
      <c r="BM18" s="650"/>
      <c r="BN18" s="650"/>
      <c r="BO18" s="650"/>
      <c r="BP18" s="650"/>
      <c r="BQ18" s="650"/>
      <c r="BR18" s="650">
        <v>6750</v>
      </c>
      <c r="BS18" s="650">
        <v>9000</v>
      </c>
      <c r="BT18" s="650">
        <v>13500</v>
      </c>
      <c r="BU18" s="808">
        <f>BT18+3*2.25*1000</f>
        <v>20250</v>
      </c>
      <c r="BV18" s="808">
        <f>BU18+6*2.25*1000</f>
        <v>33750</v>
      </c>
      <c r="BW18" s="808">
        <f>BV18</f>
        <v>33750</v>
      </c>
      <c r="BX18" s="808">
        <f>BW18</f>
        <v>33750</v>
      </c>
      <c r="BY18" s="808">
        <f>BX18</f>
        <v>33750</v>
      </c>
      <c r="BZ18" s="808">
        <f>BY18</f>
        <v>33750</v>
      </c>
      <c r="CA18" s="808">
        <f>BZ18</f>
        <v>33750</v>
      </c>
      <c r="CB18" s="808">
        <f t="shared" si="7"/>
        <v>33750</v>
      </c>
      <c r="CC18" s="808">
        <f t="shared" si="7"/>
        <v>33750</v>
      </c>
      <c r="CD18" s="808">
        <f t="shared" si="7"/>
        <v>33750</v>
      </c>
      <c r="CE18" s="808">
        <f t="shared" si="7"/>
        <v>33750</v>
      </c>
      <c r="CF18" s="808">
        <f t="shared" si="7"/>
        <v>33750</v>
      </c>
      <c r="CG18" s="808">
        <f t="shared" si="7"/>
        <v>33750</v>
      </c>
      <c r="CH18" s="808">
        <f t="shared" si="7"/>
        <v>33750</v>
      </c>
      <c r="CI18" s="808">
        <f t="shared" si="7"/>
        <v>33750</v>
      </c>
      <c r="CJ18" s="808">
        <f t="shared" si="6"/>
        <v>33750</v>
      </c>
      <c r="CK18" s="808">
        <f t="shared" si="6"/>
        <v>33750</v>
      </c>
      <c r="CL18" s="808">
        <f t="shared" si="6"/>
        <v>33750</v>
      </c>
      <c r="CM18" s="808">
        <f t="shared" si="6"/>
        <v>33750</v>
      </c>
      <c r="CN18" s="808">
        <f t="shared" si="6"/>
        <v>33750</v>
      </c>
      <c r="CO18" s="808">
        <f t="shared" si="6"/>
        <v>33750</v>
      </c>
      <c r="CP18" s="808">
        <f t="shared" si="6"/>
        <v>33750</v>
      </c>
      <c r="CQ18" s="808">
        <f t="shared" si="6"/>
        <v>33750</v>
      </c>
      <c r="CR18" s="110"/>
    </row>
    <row r="19" spans="1:98">
      <c r="A19" s="951" t="s">
        <v>1107</v>
      </c>
      <c r="B19" s="951"/>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8"/>
      <c r="AI19" s="117"/>
      <c r="AJ19" s="117"/>
      <c r="AK19" s="117"/>
      <c r="AL19" s="650"/>
      <c r="AM19" s="650"/>
      <c r="AN19" s="650"/>
      <c r="AO19" s="650"/>
      <c r="AP19" s="650"/>
      <c r="AQ19" s="650"/>
      <c r="AR19" s="650"/>
      <c r="AS19" s="650"/>
      <c r="AT19" s="650"/>
      <c r="AU19" s="650"/>
      <c r="AV19" s="650"/>
      <c r="AW19" s="650"/>
      <c r="AX19" s="650"/>
      <c r="AY19" s="650"/>
      <c r="AZ19" s="650"/>
      <c r="BA19" s="650"/>
      <c r="BB19" s="650"/>
      <c r="BC19" s="650"/>
      <c r="BD19" s="650"/>
      <c r="BE19" s="650"/>
      <c r="BF19" s="650"/>
      <c r="BG19" s="650"/>
      <c r="BH19" s="650"/>
      <c r="BI19" s="650"/>
      <c r="BJ19" s="651"/>
      <c r="BK19" s="651"/>
      <c r="BL19" s="650"/>
      <c r="BM19" s="650"/>
      <c r="BN19" s="650"/>
      <c r="BO19" s="650"/>
      <c r="BP19" s="650"/>
      <c r="BQ19" s="650"/>
      <c r="BR19" s="650"/>
      <c r="BS19" s="650"/>
      <c r="BT19" s="650"/>
      <c r="BU19" s="950"/>
      <c r="BV19" s="950"/>
      <c r="BW19" s="950"/>
      <c r="BX19" s="950"/>
      <c r="BY19" s="950"/>
      <c r="BZ19" s="950"/>
      <c r="CA19" s="950"/>
      <c r="CB19" s="950"/>
      <c r="CC19" s="950"/>
      <c r="CD19" s="950"/>
      <c r="CE19" s="950"/>
      <c r="CF19" s="950"/>
      <c r="CG19" s="952">
        <f>6*2.25*1000</f>
        <v>13500</v>
      </c>
      <c r="CH19" s="952">
        <f>CG19+3*2.25*1000</f>
        <v>20250</v>
      </c>
      <c r="CI19" s="952">
        <f>CH19+3*2.25*1000</f>
        <v>27000</v>
      </c>
      <c r="CJ19" s="1036">
        <f>CI19+6*2.25*1000</f>
        <v>40500</v>
      </c>
      <c r="CK19" s="1036">
        <f>CJ19+12*2.25*1000</f>
        <v>67500</v>
      </c>
      <c r="CL19" s="1036">
        <f>CK19+15*2.25*1000</f>
        <v>101250</v>
      </c>
      <c r="CM19" s="1036">
        <f>CL19+5*2.25*1000</f>
        <v>112500</v>
      </c>
      <c r="CN19" s="1036">
        <f>CM19+3*2.25*1000</f>
        <v>119250</v>
      </c>
      <c r="CO19" s="1036">
        <f>CN19+5*2.25*1000</f>
        <v>130500</v>
      </c>
      <c r="CP19" s="1036">
        <f>CO19+1*2.25*1000</f>
        <v>132750</v>
      </c>
      <c r="CQ19" s="1036">
        <f>CP19+1*2.25*1000</f>
        <v>135000</v>
      </c>
      <c r="CR19" s="110"/>
      <c r="CS19" s="110"/>
      <c r="CT19" s="110"/>
    </row>
    <row r="20" spans="1:98">
      <c r="A20" s="951" t="s">
        <v>1115</v>
      </c>
      <c r="B20" s="951"/>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8"/>
      <c r="AI20" s="117"/>
      <c r="AJ20" s="117"/>
      <c r="AK20" s="117"/>
      <c r="AL20" s="650"/>
      <c r="AM20" s="650"/>
      <c r="AN20" s="650"/>
      <c r="AO20" s="650"/>
      <c r="AP20" s="650"/>
      <c r="AQ20" s="650"/>
      <c r="AR20" s="650"/>
      <c r="AS20" s="650"/>
      <c r="AT20" s="650"/>
      <c r="AU20" s="650"/>
      <c r="AV20" s="650"/>
      <c r="AW20" s="650"/>
      <c r="AX20" s="650"/>
      <c r="AY20" s="650"/>
      <c r="AZ20" s="650"/>
      <c r="BA20" s="650"/>
      <c r="BB20" s="650"/>
      <c r="BC20" s="650"/>
      <c r="BD20" s="650"/>
      <c r="BE20" s="650"/>
      <c r="BF20" s="650"/>
      <c r="BG20" s="650"/>
      <c r="BH20" s="650"/>
      <c r="BI20" s="650"/>
      <c r="BJ20" s="651"/>
      <c r="BK20" s="651"/>
      <c r="BL20" s="650"/>
      <c r="BM20" s="650"/>
      <c r="BN20" s="650"/>
      <c r="BO20" s="650"/>
      <c r="BP20" s="650"/>
      <c r="BQ20" s="650"/>
      <c r="BR20" s="650"/>
      <c r="BS20" s="650"/>
      <c r="BT20" s="650"/>
      <c r="BU20" s="950"/>
      <c r="BV20" s="950"/>
      <c r="BW20" s="950"/>
      <c r="BX20" s="950"/>
      <c r="BY20" s="950"/>
      <c r="BZ20" s="950"/>
      <c r="CA20" s="950"/>
      <c r="CB20" s="950"/>
      <c r="CC20" s="950"/>
      <c r="CD20" s="950"/>
      <c r="CE20" s="950"/>
      <c r="CF20" s="950"/>
      <c r="CG20" s="952"/>
      <c r="CH20" s="952"/>
      <c r="CI20" s="952">
        <f>CI23-SUM(CI11:CI19)</f>
        <v>2250</v>
      </c>
      <c r="CJ20" s="1036">
        <f>CI20+4*2.25*1000</f>
        <v>11250</v>
      </c>
      <c r="CK20" s="1036">
        <f>CJ20+9*2.25*1000</f>
        <v>31500</v>
      </c>
      <c r="CL20" s="1036">
        <f>CL23-SUM(CL11:CL19)</f>
        <v>61125</v>
      </c>
      <c r="CM20" s="1036">
        <f>CM23-SUM(CM11:CM19)-CM21</f>
        <v>71250</v>
      </c>
      <c r="CN20" s="1036">
        <f>CN23-SUM(CN11:CN19)-CN21</f>
        <v>78000</v>
      </c>
      <c r="CO20" s="1036">
        <f>CO23-SUM(CO11:CO19)-CO21</f>
        <v>87000</v>
      </c>
      <c r="CP20" s="1036">
        <f>CP23-SUM(CP11:CP19)-CP21</f>
        <v>118500</v>
      </c>
      <c r="CQ20" s="1036">
        <f>CQ23-SUM(CQ11:CQ19)-CQ21</f>
        <v>133500</v>
      </c>
      <c r="CR20" s="110"/>
      <c r="CS20" s="110"/>
      <c r="CT20" s="110"/>
    </row>
    <row r="21" spans="1:98">
      <c r="A21" s="951" t="s">
        <v>1125</v>
      </c>
      <c r="B21" s="951"/>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8"/>
      <c r="AI21" s="117"/>
      <c r="AJ21" s="117"/>
      <c r="AK21" s="117"/>
      <c r="AL21" s="650"/>
      <c r="AM21" s="650"/>
      <c r="AN21" s="650"/>
      <c r="AO21" s="650"/>
      <c r="AP21" s="650"/>
      <c r="AQ21" s="650"/>
      <c r="AR21" s="650"/>
      <c r="AS21" s="650"/>
      <c r="AT21" s="650"/>
      <c r="AU21" s="650"/>
      <c r="AV21" s="650"/>
      <c r="AW21" s="650"/>
      <c r="AX21" s="650"/>
      <c r="AY21" s="650"/>
      <c r="AZ21" s="650"/>
      <c r="BA21" s="650"/>
      <c r="BB21" s="650"/>
      <c r="BC21" s="650"/>
      <c r="BD21" s="650"/>
      <c r="BE21" s="650"/>
      <c r="BF21" s="650"/>
      <c r="BG21" s="650"/>
      <c r="BH21" s="650"/>
      <c r="BI21" s="650"/>
      <c r="BJ21" s="651"/>
      <c r="BK21" s="651"/>
      <c r="BL21" s="650"/>
      <c r="BM21" s="650"/>
      <c r="BN21" s="650"/>
      <c r="BO21" s="650"/>
      <c r="BP21" s="650"/>
      <c r="BQ21" s="650"/>
      <c r="BR21" s="650"/>
      <c r="BS21" s="650"/>
      <c r="BT21" s="650"/>
      <c r="BU21" s="950"/>
      <c r="BV21" s="950"/>
      <c r="BW21" s="950"/>
      <c r="BX21" s="950"/>
      <c r="BY21" s="950"/>
      <c r="BZ21" s="950"/>
      <c r="CA21" s="950"/>
      <c r="CB21" s="950"/>
      <c r="CC21" s="950"/>
      <c r="CD21" s="950"/>
      <c r="CE21" s="950"/>
      <c r="CF21" s="950"/>
      <c r="CG21" s="952"/>
      <c r="CH21" s="952"/>
      <c r="CI21" s="952"/>
      <c r="CJ21" s="1036"/>
      <c r="CK21" s="1036"/>
      <c r="CL21" s="1036"/>
      <c r="CM21" s="1046">
        <f>1*4.25*1000</f>
        <v>4250</v>
      </c>
      <c r="CN21" s="1046">
        <f>1*4.25*1000+2*2.25*1000</f>
        <v>8750</v>
      </c>
      <c r="CO21" s="1036">
        <f>CN21+5*2.25*1000</f>
        <v>20000</v>
      </c>
      <c r="CP21" s="1036">
        <f>CO21+1*2.25*1000</f>
        <v>22250</v>
      </c>
      <c r="CQ21" s="1036">
        <f>CP21+1*2.25*1000</f>
        <v>24500</v>
      </c>
      <c r="CR21" s="110"/>
      <c r="CS21" s="110"/>
      <c r="CT21" s="110"/>
    </row>
    <row r="22" spans="1:98" ht="12" thickBot="1">
      <c r="A22" s="652" t="s">
        <v>810</v>
      </c>
      <c r="B22" s="652" t="s">
        <v>1128</v>
      </c>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653"/>
      <c r="AD22" s="653"/>
      <c r="AE22" s="653"/>
      <c r="AF22" s="653"/>
      <c r="AG22" s="653"/>
      <c r="AH22" s="654"/>
      <c r="AI22" s="653"/>
      <c r="AJ22" s="653"/>
      <c r="AK22" s="653"/>
      <c r="AL22" s="655"/>
      <c r="AM22" s="655"/>
      <c r="AN22" s="655"/>
      <c r="AO22" s="655"/>
      <c r="AP22" s="655"/>
      <c r="AQ22" s="655"/>
      <c r="AR22" s="655"/>
      <c r="AS22" s="655"/>
      <c r="AT22" s="655"/>
      <c r="AU22" s="655"/>
      <c r="AV22" s="655"/>
      <c r="AW22" s="655"/>
      <c r="AX22" s="655"/>
      <c r="AY22" s="655"/>
      <c r="AZ22" s="655"/>
      <c r="BA22" s="655"/>
      <c r="BB22" s="655"/>
      <c r="BC22" s="655"/>
      <c r="BD22" s="655"/>
      <c r="BE22" s="655">
        <v>40000</v>
      </c>
      <c r="BF22" s="655">
        <v>40000</v>
      </c>
      <c r="BG22" s="655">
        <v>40000</v>
      </c>
      <c r="BH22" s="655">
        <v>40000</v>
      </c>
      <c r="BI22" s="655">
        <v>40000</v>
      </c>
      <c r="BJ22" s="656">
        <v>40000</v>
      </c>
      <c r="BK22" s="656">
        <v>40000</v>
      </c>
      <c r="BL22" s="655">
        <v>42325</v>
      </c>
      <c r="BM22" s="655">
        <v>42325</v>
      </c>
      <c r="BN22" s="655">
        <v>42325</v>
      </c>
      <c r="BO22" s="655">
        <v>42325</v>
      </c>
      <c r="BP22" s="655">
        <v>42325</v>
      </c>
      <c r="BQ22" s="655">
        <v>0</v>
      </c>
      <c r="BR22" s="655">
        <v>0</v>
      </c>
      <c r="BS22" s="655">
        <v>0</v>
      </c>
      <c r="BT22" s="655">
        <v>0</v>
      </c>
      <c r="BU22" s="809">
        <v>0</v>
      </c>
      <c r="BV22" s="809">
        <v>0</v>
      </c>
      <c r="BW22" s="809">
        <v>0</v>
      </c>
      <c r="BX22" s="809">
        <v>0</v>
      </c>
      <c r="BY22" s="809">
        <v>0</v>
      </c>
      <c r="BZ22" s="809"/>
      <c r="CA22" s="809"/>
      <c r="CB22" s="809"/>
      <c r="CC22" s="809"/>
      <c r="CD22" s="809"/>
      <c r="CE22" s="809"/>
      <c r="CF22" s="809"/>
      <c r="CG22" s="809"/>
      <c r="CH22" s="809"/>
      <c r="CI22" s="809"/>
      <c r="CJ22" s="1037"/>
      <c r="CK22" s="1037"/>
      <c r="CL22" s="1037"/>
      <c r="CM22" s="1037"/>
      <c r="CN22" s="1050"/>
      <c r="CO22" s="1050"/>
      <c r="CP22" s="1050"/>
      <c r="CQ22" s="1050"/>
    </row>
    <row r="23" spans="1:98" s="785" customFormat="1" ht="13.5" thickTop="1">
      <c r="A23" s="780" t="s">
        <v>811</v>
      </c>
      <c r="B23" s="780"/>
      <c r="C23" s="781">
        <v>30100</v>
      </c>
      <c r="D23" s="781">
        <v>40000</v>
      </c>
      <c r="E23" s="781">
        <v>48500</v>
      </c>
      <c r="F23" s="781">
        <v>58000</v>
      </c>
      <c r="G23" s="781">
        <v>65420</v>
      </c>
      <c r="H23" s="781">
        <v>80872</v>
      </c>
      <c r="I23" s="781">
        <v>99043</v>
      </c>
      <c r="J23" s="781">
        <v>120417</v>
      </c>
      <c r="K23" s="781">
        <v>131172</v>
      </c>
      <c r="L23" s="781">
        <v>139025</v>
      </c>
      <c r="M23" s="781">
        <v>143188</v>
      </c>
      <c r="N23" s="782">
        <v>152219</v>
      </c>
      <c r="O23" s="781">
        <v>157330</v>
      </c>
      <c r="P23" s="781">
        <v>167251</v>
      </c>
      <c r="Q23" s="781">
        <v>176625</v>
      </c>
      <c r="R23" s="782">
        <v>182250</v>
      </c>
      <c r="S23" s="781">
        <v>177150</v>
      </c>
      <c r="T23" s="781">
        <v>169000</v>
      </c>
      <c r="U23" s="781">
        <v>180200</v>
      </c>
      <c r="V23" s="782">
        <v>185250</v>
      </c>
      <c r="W23" s="781">
        <v>167396</v>
      </c>
      <c r="X23" s="781">
        <v>154500</v>
      </c>
      <c r="Y23" s="781">
        <v>154000</v>
      </c>
      <c r="Z23" s="781">
        <v>160500</v>
      </c>
      <c r="AA23" s="781">
        <v>150750</v>
      </c>
      <c r="AB23" s="781">
        <v>162800</v>
      </c>
      <c r="AC23" s="781">
        <v>165050</v>
      </c>
      <c r="AD23" s="781">
        <v>162050</v>
      </c>
      <c r="AE23" s="781">
        <v>165100</v>
      </c>
      <c r="AF23" s="781">
        <v>163125</v>
      </c>
      <c r="AG23" s="781">
        <v>169925</v>
      </c>
      <c r="AH23" s="783">
        <v>171725</v>
      </c>
      <c r="AI23" s="781">
        <v>185750</v>
      </c>
      <c r="AJ23" s="781">
        <v>189790</v>
      </c>
      <c r="AK23" s="781">
        <v>193290</v>
      </c>
      <c r="AL23" s="781">
        <v>193290</v>
      </c>
      <c r="AM23" s="781">
        <v>184549</v>
      </c>
      <c r="AN23" s="781">
        <v>198100</v>
      </c>
      <c r="AO23" s="781">
        <v>205750</v>
      </c>
      <c r="AP23" s="781">
        <v>219250</v>
      </c>
      <c r="AQ23" s="781">
        <v>219600</v>
      </c>
      <c r="AR23" s="781">
        <v>223500</v>
      </c>
      <c r="AS23" s="781">
        <v>231750</v>
      </c>
      <c r="AT23" s="781">
        <v>234000</v>
      </c>
      <c r="AU23" s="781">
        <v>243500</v>
      </c>
      <c r="AV23" s="781">
        <v>247500</v>
      </c>
      <c r="AW23" s="781">
        <v>247500</v>
      </c>
      <c r="AX23" s="781">
        <v>247500</v>
      </c>
      <c r="AY23" s="781">
        <v>251500</v>
      </c>
      <c r="AZ23" s="781">
        <v>255750</v>
      </c>
      <c r="BA23" s="781">
        <v>268750</v>
      </c>
      <c r="BB23" s="781">
        <v>284250</v>
      </c>
      <c r="BC23" s="781">
        <v>302625</v>
      </c>
      <c r="BD23" s="781">
        <v>339000</v>
      </c>
      <c r="BE23" s="781">
        <v>390625</v>
      </c>
      <c r="BF23" s="781">
        <v>406250</v>
      </c>
      <c r="BG23" s="781">
        <v>421750</v>
      </c>
      <c r="BH23" s="781">
        <v>438250</v>
      </c>
      <c r="BI23" s="781">
        <v>447950</v>
      </c>
      <c r="BJ23" s="784">
        <v>442750</v>
      </c>
      <c r="BK23" s="784">
        <v>447750</v>
      </c>
      <c r="BL23" s="781">
        <v>449075</v>
      </c>
      <c r="BM23" s="781">
        <v>450875</v>
      </c>
      <c r="BN23" s="781">
        <v>451325</v>
      </c>
      <c r="BO23" s="781">
        <f t="shared" ref="BO23:BT23" si="8">SUM(BO11:BO22)</f>
        <v>466575</v>
      </c>
      <c r="BP23" s="781">
        <f t="shared" si="8"/>
        <v>482575</v>
      </c>
      <c r="BQ23" s="781">
        <f t="shared" si="8"/>
        <v>443850</v>
      </c>
      <c r="BR23" s="781">
        <f t="shared" si="8"/>
        <v>448500</v>
      </c>
      <c r="BS23" s="781">
        <f t="shared" si="8"/>
        <v>476000</v>
      </c>
      <c r="BT23" s="781">
        <f t="shared" si="8"/>
        <v>480150</v>
      </c>
      <c r="BU23" s="781">
        <v>510150</v>
      </c>
      <c r="BV23" s="781">
        <v>520750</v>
      </c>
      <c r="BW23" s="781">
        <v>540750</v>
      </c>
      <c r="BX23" s="781">
        <v>561500</v>
      </c>
      <c r="BY23" s="781">
        <v>593875</v>
      </c>
      <c r="BZ23" s="781">
        <v>621000</v>
      </c>
      <c r="CA23" s="781">
        <v>649125</v>
      </c>
      <c r="CB23" s="781">
        <v>673750</v>
      </c>
      <c r="CC23" s="781">
        <v>706000</v>
      </c>
      <c r="CD23" s="781">
        <v>714000</v>
      </c>
      <c r="CE23" s="781">
        <v>732250</v>
      </c>
      <c r="CF23" s="781">
        <v>754250</v>
      </c>
      <c r="CG23" s="781">
        <v>795750</v>
      </c>
      <c r="CH23" s="781">
        <v>805500</v>
      </c>
      <c r="CI23" s="781">
        <v>814500</v>
      </c>
      <c r="CJ23" s="781">
        <v>837000</v>
      </c>
      <c r="CK23" s="781">
        <v>884250</v>
      </c>
      <c r="CL23" s="781">
        <v>947625</v>
      </c>
      <c r="CM23" s="781">
        <v>973250</v>
      </c>
      <c r="CN23" s="781">
        <v>991250</v>
      </c>
      <c r="CO23" s="781">
        <v>1022750</v>
      </c>
      <c r="CP23" s="781">
        <v>1058750</v>
      </c>
      <c r="CQ23" s="781">
        <v>1078250</v>
      </c>
      <c r="CS23" s="1148"/>
    </row>
    <row r="24" spans="1:98">
      <c r="A24" s="120" t="s">
        <v>812</v>
      </c>
      <c r="B24" s="120"/>
      <c r="C24" s="110"/>
      <c r="D24" s="110"/>
      <c r="E24" s="110"/>
      <c r="F24" s="110"/>
      <c r="G24" s="110"/>
      <c r="H24" s="110"/>
      <c r="I24" s="110"/>
      <c r="J24" s="110"/>
      <c r="K24" s="110"/>
      <c r="L24" s="110"/>
      <c r="M24" s="110"/>
      <c r="N24" s="121"/>
      <c r="O24" s="110"/>
      <c r="P24" s="110"/>
      <c r="Q24" s="110"/>
      <c r="R24" s="121"/>
      <c r="S24" s="110"/>
      <c r="T24" s="110"/>
      <c r="U24" s="110"/>
      <c r="V24" s="121"/>
      <c r="W24" s="110"/>
      <c r="X24" s="110"/>
      <c r="Y24" s="110"/>
      <c r="Z24" s="110"/>
      <c r="AA24" s="110"/>
      <c r="AB24" s="110"/>
      <c r="AC24" s="110"/>
      <c r="AD24" s="110"/>
      <c r="AE24" s="110"/>
      <c r="AF24" s="110"/>
      <c r="AG24" s="110"/>
      <c r="AH24" s="110"/>
      <c r="AI24" s="110"/>
      <c r="AJ24" s="110"/>
      <c r="AK24" s="110"/>
      <c r="AL24" s="110"/>
      <c r="AM24" s="110"/>
      <c r="AN24" s="110"/>
      <c r="AO24" s="110"/>
      <c r="BJ24" s="122"/>
      <c r="BQ24" s="110"/>
      <c r="BR24" s="110"/>
      <c r="BS24" s="110">
        <f t="shared" ref="BS24:CQ24" si="9">BS23-BR23</f>
        <v>27500</v>
      </c>
      <c r="BT24" s="110">
        <f t="shared" si="9"/>
        <v>4150</v>
      </c>
      <c r="BU24" s="110">
        <f t="shared" si="9"/>
        <v>30000</v>
      </c>
      <c r="BV24" s="110">
        <f t="shared" si="9"/>
        <v>10600</v>
      </c>
      <c r="BW24" s="110">
        <f t="shared" si="9"/>
        <v>20000</v>
      </c>
      <c r="BX24" s="110">
        <f t="shared" si="9"/>
        <v>20750</v>
      </c>
      <c r="BY24" s="110">
        <f t="shared" si="9"/>
        <v>32375</v>
      </c>
      <c r="BZ24" s="110">
        <f t="shared" si="9"/>
        <v>27125</v>
      </c>
      <c r="CA24" s="110">
        <f t="shared" si="9"/>
        <v>28125</v>
      </c>
      <c r="CB24" s="110">
        <f t="shared" si="9"/>
        <v>24625</v>
      </c>
      <c r="CC24" s="110">
        <f t="shared" si="9"/>
        <v>32250</v>
      </c>
      <c r="CD24" s="110">
        <f t="shared" si="9"/>
        <v>8000</v>
      </c>
      <c r="CE24" s="110">
        <f t="shared" si="9"/>
        <v>18250</v>
      </c>
      <c r="CF24" s="110">
        <f t="shared" si="9"/>
        <v>22000</v>
      </c>
      <c r="CG24" s="110">
        <f t="shared" si="9"/>
        <v>41500</v>
      </c>
      <c r="CH24" s="110">
        <f t="shared" si="9"/>
        <v>9750</v>
      </c>
      <c r="CI24" s="110">
        <f t="shared" si="9"/>
        <v>9000</v>
      </c>
      <c r="CJ24" s="110">
        <f t="shared" si="9"/>
        <v>22500</v>
      </c>
      <c r="CK24" s="110">
        <f t="shared" si="9"/>
        <v>47250</v>
      </c>
      <c r="CL24" s="110">
        <f t="shared" si="9"/>
        <v>63375</v>
      </c>
      <c r="CM24" s="110">
        <f t="shared" si="9"/>
        <v>25625</v>
      </c>
      <c r="CN24" s="110">
        <f t="shared" si="9"/>
        <v>18000</v>
      </c>
      <c r="CO24" s="110">
        <f t="shared" si="9"/>
        <v>31500</v>
      </c>
      <c r="CP24" s="110">
        <f t="shared" si="9"/>
        <v>36000</v>
      </c>
      <c r="CQ24" s="110">
        <f t="shared" si="9"/>
        <v>19500</v>
      </c>
      <c r="CS24" s="850"/>
    </row>
    <row r="25" spans="1:98" s="1070" customFormat="1">
      <c r="A25" s="1067" t="s">
        <v>6</v>
      </c>
      <c r="B25" s="1067"/>
      <c r="C25" s="1068"/>
      <c r="D25" s="1068"/>
      <c r="E25" s="1068"/>
      <c r="F25" s="1068"/>
      <c r="G25" s="1068"/>
      <c r="H25" s="1068"/>
      <c r="I25" s="1068"/>
      <c r="J25" s="1068"/>
      <c r="K25" s="1068"/>
      <c r="L25" s="1068"/>
      <c r="M25" s="1068"/>
      <c r="N25" s="1069"/>
      <c r="O25" s="1068"/>
      <c r="P25" s="1068"/>
      <c r="Q25" s="1068"/>
      <c r="R25" s="1069"/>
      <c r="S25" s="1068"/>
      <c r="T25" s="1068"/>
      <c r="U25" s="1068"/>
      <c r="V25" s="1069"/>
      <c r="W25" s="1068"/>
      <c r="X25" s="1068"/>
      <c r="Y25" s="1068"/>
      <c r="Z25" s="1068"/>
      <c r="AA25" s="1068"/>
      <c r="AB25" s="1068"/>
      <c r="AC25" s="1068"/>
      <c r="AD25" s="1068"/>
      <c r="AE25" s="1068"/>
      <c r="AF25" s="1068"/>
      <c r="AG25" s="1068"/>
      <c r="AH25" s="1068"/>
      <c r="AI25" s="1068"/>
      <c r="AJ25" s="1068"/>
      <c r="AK25" s="1068"/>
      <c r="AL25" s="1068"/>
      <c r="AM25" s="1068"/>
      <c r="AN25" s="1068"/>
      <c r="AO25" s="1068"/>
      <c r="BJ25" s="1071"/>
      <c r="BQ25" s="1068"/>
      <c r="BR25" s="1068"/>
      <c r="BS25" s="1068"/>
      <c r="BT25" s="1068"/>
      <c r="BU25" s="1068"/>
      <c r="BV25" s="1068"/>
      <c r="BW25" s="1068"/>
      <c r="BX25" s="1068"/>
      <c r="BY25" s="1068"/>
      <c r="BZ25" s="1068"/>
      <c r="CA25" s="1068"/>
      <c r="CB25" s="1068"/>
      <c r="CC25" s="1068"/>
      <c r="CD25" s="1068"/>
      <c r="CE25" s="1068"/>
      <c r="CF25" s="1068"/>
      <c r="CG25" s="1068"/>
      <c r="CH25" s="1068"/>
      <c r="CI25" s="1073">
        <f t="shared" ref="CI25:CQ25" si="10">CI23-SUM(CI11:CI22)</f>
        <v>0</v>
      </c>
      <c r="CJ25" s="1073">
        <f t="shared" si="10"/>
        <v>0</v>
      </c>
      <c r="CK25" s="1073">
        <f t="shared" si="10"/>
        <v>0</v>
      </c>
      <c r="CL25" s="1073">
        <f t="shared" si="10"/>
        <v>0</v>
      </c>
      <c r="CM25" s="1073">
        <f t="shared" si="10"/>
        <v>0</v>
      </c>
      <c r="CN25" s="1073">
        <f t="shared" si="10"/>
        <v>0</v>
      </c>
      <c r="CO25" s="1073">
        <f t="shared" si="10"/>
        <v>0</v>
      </c>
      <c r="CP25" s="1073">
        <f t="shared" si="10"/>
        <v>0</v>
      </c>
      <c r="CQ25" s="1073">
        <f t="shared" si="10"/>
        <v>0</v>
      </c>
      <c r="CS25" s="1072"/>
    </row>
    <row r="26" spans="1:98">
      <c r="C26" s="110"/>
      <c r="D26" s="110"/>
      <c r="E26" s="110"/>
      <c r="F26" s="110"/>
      <c r="G26" s="110"/>
      <c r="H26" s="110"/>
      <c r="I26" s="110"/>
      <c r="J26" s="110"/>
      <c r="K26" s="110"/>
      <c r="L26" s="110"/>
      <c r="M26" s="110"/>
      <c r="N26" s="121"/>
      <c r="O26" s="110"/>
      <c r="P26" s="110"/>
      <c r="Q26" s="110"/>
      <c r="R26" s="121"/>
      <c r="S26" s="110"/>
      <c r="T26" s="110"/>
      <c r="U26" s="110"/>
      <c r="V26" s="121"/>
      <c r="W26" s="110"/>
      <c r="X26" s="110"/>
      <c r="Y26" s="110"/>
      <c r="Z26" s="110"/>
      <c r="AA26" s="110"/>
      <c r="AB26" s="110"/>
      <c r="AC26" s="110"/>
      <c r="AD26" s="110"/>
      <c r="AE26" s="110"/>
      <c r="AF26" s="110"/>
      <c r="AG26" s="110"/>
      <c r="AH26" s="110"/>
      <c r="AI26" s="110"/>
      <c r="AJ26" s="110"/>
      <c r="AK26" s="110"/>
      <c r="AL26" s="110"/>
      <c r="AM26" s="110"/>
      <c r="AN26" s="110"/>
      <c r="AO26" s="110"/>
      <c r="BJ26" s="122"/>
      <c r="BW26" s="110"/>
      <c r="BX26" s="110"/>
      <c r="BY26" s="110"/>
      <c r="BZ26" s="850"/>
      <c r="CA26" s="850"/>
      <c r="CB26" s="850"/>
      <c r="CC26" s="850"/>
      <c r="CD26" s="850"/>
      <c r="CE26" s="850"/>
      <c r="CF26" s="850"/>
      <c r="CG26" s="850"/>
      <c r="CH26" s="850"/>
      <c r="CI26" s="850"/>
      <c r="CJ26" s="850"/>
      <c r="CK26" s="850"/>
      <c r="CL26" s="850" t="s">
        <v>1209</v>
      </c>
      <c r="CM26" s="850">
        <f>CM24/2.25/1000</f>
        <v>11.388888888888889</v>
      </c>
      <c r="CN26" s="850">
        <f>CN24/2.25/1000</f>
        <v>8</v>
      </c>
      <c r="CO26" s="850">
        <f>CO24/2.25/1000</f>
        <v>14</v>
      </c>
      <c r="CP26" s="850">
        <f>CP24/2.25/1000</f>
        <v>16</v>
      </c>
      <c r="CQ26" s="850">
        <f>CQ24/2.25/1000</f>
        <v>8.6666666666666661</v>
      </c>
    </row>
    <row r="27" spans="1:98">
      <c r="A27" s="114" t="s">
        <v>813</v>
      </c>
      <c r="B27" s="114"/>
      <c r="C27" s="115">
        <v>74596</v>
      </c>
      <c r="D27" s="115">
        <v>117950</v>
      </c>
      <c r="E27" s="115">
        <v>130780</v>
      </c>
      <c r="F27" s="123">
        <v>153125</v>
      </c>
      <c r="G27" s="115">
        <v>174325</v>
      </c>
      <c r="H27" s="115">
        <v>201534</v>
      </c>
      <c r="I27" s="115">
        <v>263808</v>
      </c>
      <c r="J27" s="123">
        <v>303796</v>
      </c>
      <c r="K27" s="115">
        <v>284912</v>
      </c>
      <c r="L27" s="115">
        <v>330499</v>
      </c>
      <c r="M27" s="115">
        <v>355664</v>
      </c>
      <c r="N27" s="123">
        <v>376227</v>
      </c>
      <c r="O27" s="115">
        <v>388010</v>
      </c>
      <c r="P27" s="115">
        <v>388498</v>
      </c>
      <c r="Q27" s="115">
        <v>413985</v>
      </c>
      <c r="R27" s="115">
        <v>424395</v>
      </c>
      <c r="S27" s="115">
        <v>450592</v>
      </c>
      <c r="T27" s="115">
        <v>443445</v>
      </c>
      <c r="U27" s="115">
        <v>458466</v>
      </c>
      <c r="V27" s="115">
        <v>497454</v>
      </c>
      <c r="W27" s="115">
        <v>454259</v>
      </c>
      <c r="X27" s="115">
        <v>402114</v>
      </c>
      <c r="Y27" s="115">
        <v>431660</v>
      </c>
      <c r="Z27" s="115">
        <v>323175</v>
      </c>
      <c r="AA27" s="115">
        <v>168682</v>
      </c>
      <c r="AB27" s="115">
        <v>341261</v>
      </c>
      <c r="AC27" s="115">
        <v>429843</v>
      </c>
      <c r="AD27" s="115">
        <v>436816</v>
      </c>
      <c r="AE27" s="115">
        <v>455010</v>
      </c>
      <c r="AF27" s="115">
        <v>496766</v>
      </c>
      <c r="AG27" s="115">
        <v>516792</v>
      </c>
      <c r="AH27" s="115">
        <v>517404</v>
      </c>
      <c r="AI27" s="115">
        <v>471231</v>
      </c>
      <c r="AJ27" s="115">
        <v>451552</v>
      </c>
      <c r="AK27" s="115">
        <v>406715</v>
      </c>
      <c r="AL27" s="115">
        <v>374116</v>
      </c>
      <c r="AM27" s="115">
        <v>445689</v>
      </c>
      <c r="AN27" s="115">
        <v>557683</v>
      </c>
      <c r="AO27" s="115">
        <v>605543</v>
      </c>
      <c r="AP27" s="115">
        <v>608372</v>
      </c>
      <c r="AQ27" s="115">
        <v>631776</v>
      </c>
      <c r="AR27" s="115">
        <v>687651</v>
      </c>
      <c r="AS27" s="115">
        <v>653090</v>
      </c>
      <c r="AT27" s="115">
        <v>601602</v>
      </c>
      <c r="AU27" s="115">
        <v>581621</v>
      </c>
      <c r="AV27" s="115">
        <v>648764</v>
      </c>
      <c r="AW27" s="115">
        <v>668811</v>
      </c>
      <c r="AX27" s="115">
        <v>660049</v>
      </c>
      <c r="AY27" s="115">
        <v>692131</v>
      </c>
      <c r="AZ27" s="115">
        <v>731730</v>
      </c>
      <c r="BA27" s="115">
        <v>771201</v>
      </c>
      <c r="BB27" s="115">
        <v>820904</v>
      </c>
      <c r="BC27" s="115">
        <v>868309</v>
      </c>
      <c r="BD27" s="115">
        <v>934861</v>
      </c>
      <c r="BE27" s="115">
        <v>1058504</v>
      </c>
      <c r="BF27" s="115">
        <v>1096011</v>
      </c>
      <c r="BG27" s="115">
        <v>1095761</v>
      </c>
      <c r="BH27" s="115">
        <v>1014158</v>
      </c>
      <c r="BI27" s="115">
        <v>1076039</v>
      </c>
      <c r="BJ27" s="116">
        <v>1124821</v>
      </c>
      <c r="BK27" s="116">
        <v>1083630</v>
      </c>
      <c r="BL27" s="115">
        <v>1258336</v>
      </c>
      <c r="BM27" s="114">
        <v>1315007</v>
      </c>
      <c r="BN27" s="115">
        <v>1217690</v>
      </c>
      <c r="BO27" s="115">
        <v>1089502</v>
      </c>
      <c r="BP27" s="115">
        <v>1284451</v>
      </c>
      <c r="BQ27" s="115">
        <v>1315443</v>
      </c>
      <c r="BR27" s="115">
        <v>1339400</v>
      </c>
      <c r="BS27" s="115">
        <v>1406714</v>
      </c>
      <c r="BT27" s="115">
        <v>1435591</v>
      </c>
      <c r="BU27" s="115">
        <v>1440531</v>
      </c>
      <c r="BV27" s="115">
        <v>1415788</v>
      </c>
      <c r="BW27" s="115">
        <v>1558893</v>
      </c>
      <c r="BX27" s="115">
        <v>1745194</v>
      </c>
      <c r="BY27" s="115">
        <v>1719743</v>
      </c>
      <c r="BZ27" s="115">
        <v>1723360</v>
      </c>
      <c r="CA27" s="115">
        <v>1840189</v>
      </c>
      <c r="CB27" s="115">
        <v>1886530</v>
      </c>
      <c r="CC27" s="115">
        <v>1797671</v>
      </c>
      <c r="CD27" s="115">
        <v>1574068</v>
      </c>
      <c r="CE27" s="115">
        <v>1251716</v>
      </c>
      <c r="CF27" s="115">
        <v>1403121</v>
      </c>
      <c r="CG27" s="115">
        <v>1536845</v>
      </c>
      <c r="CH27" s="115">
        <v>1675002</v>
      </c>
      <c r="CI27" s="115">
        <v>1794891</v>
      </c>
      <c r="CJ27" s="115">
        <v>2111880</v>
      </c>
      <c r="CK27" s="115"/>
      <c r="CL27" s="115"/>
      <c r="CM27" s="110"/>
      <c r="CN27" s="110"/>
      <c r="CO27" s="110"/>
      <c r="CP27" s="110"/>
      <c r="CQ27" s="110"/>
    </row>
    <row r="28" spans="1:98">
      <c r="A28" s="119" t="s">
        <v>814</v>
      </c>
      <c r="B28" s="119"/>
      <c r="C28" s="124">
        <v>0.88</v>
      </c>
      <c r="D28" s="124">
        <v>0.97</v>
      </c>
      <c r="E28" s="124">
        <v>0.93</v>
      </c>
      <c r="F28" s="124">
        <v>0.97</v>
      </c>
      <c r="G28" s="124">
        <v>0.99</v>
      </c>
      <c r="H28" s="124">
        <v>0.99</v>
      </c>
      <c r="I28" s="124">
        <v>0.99</v>
      </c>
      <c r="J28" s="124">
        <v>0.95</v>
      </c>
      <c r="K28" s="124">
        <v>0.85</v>
      </c>
      <c r="L28" s="124">
        <v>0.87</v>
      </c>
      <c r="M28" s="124">
        <v>0.92</v>
      </c>
      <c r="N28" s="125">
        <v>0.93</v>
      </c>
      <c r="O28" s="126">
        <v>0.94899999999999995</v>
      </c>
      <c r="P28" s="126">
        <v>0.93500000000000005</v>
      </c>
      <c r="Q28" s="126">
        <v>0.84299999999999997</v>
      </c>
      <c r="R28" s="126">
        <v>0.86599999999999999</v>
      </c>
      <c r="S28" s="126">
        <v>0.86199999999999999</v>
      </c>
      <c r="T28" s="126">
        <v>0.88900000000000001</v>
      </c>
      <c r="U28" s="126">
        <v>0.94099999999999995</v>
      </c>
      <c r="V28" s="126">
        <v>0.94399999999999995</v>
      </c>
      <c r="W28" s="126">
        <v>0.92100000000000004</v>
      </c>
      <c r="X28" s="126">
        <v>0.92200000000000004</v>
      </c>
      <c r="Y28" s="126">
        <v>0.90500000000000003</v>
      </c>
      <c r="Z28" s="126">
        <v>0.67700000000000005</v>
      </c>
      <c r="AA28" s="126">
        <v>0.34899999999999998</v>
      </c>
      <c r="AB28" s="126">
        <v>0.754</v>
      </c>
      <c r="AC28" s="126">
        <v>0.873</v>
      </c>
      <c r="AD28" s="126">
        <v>0.91500000000000004</v>
      </c>
      <c r="AE28" s="127">
        <v>0.93919938839543793</v>
      </c>
      <c r="AF28" s="127">
        <v>0.97367761655328855</v>
      </c>
      <c r="AG28" s="127">
        <v>1.0119886889911978</v>
      </c>
      <c r="AH28" s="127">
        <v>0.92097104320839651</v>
      </c>
      <c r="AI28" s="127">
        <v>0.76304921135984949</v>
      </c>
      <c r="AJ28" s="127">
        <v>0.73251946767612297</v>
      </c>
      <c r="AK28" s="127">
        <v>0.61003377869331021</v>
      </c>
      <c r="AL28" s="127">
        <v>0.65600000000000003</v>
      </c>
      <c r="AM28" s="127">
        <v>0.74099999999999999</v>
      </c>
      <c r="AN28" s="127">
        <v>0.95199999999999996</v>
      </c>
      <c r="AO28" s="127">
        <v>0.92</v>
      </c>
      <c r="AP28" s="127">
        <v>0.90500000000000003</v>
      </c>
      <c r="AQ28" s="127">
        <v>0.89</v>
      </c>
      <c r="AR28" s="127">
        <v>0.98499999999999999</v>
      </c>
      <c r="AS28" s="127">
        <v>0.88200000000000001</v>
      </c>
      <c r="AT28" s="127">
        <v>0.874</v>
      </c>
      <c r="AU28" s="127">
        <v>0.84199999999999997</v>
      </c>
      <c r="AV28" s="127">
        <v>0.94599999999999995</v>
      </c>
      <c r="AW28" s="127">
        <v>0.91900000000000004</v>
      </c>
      <c r="AX28" s="127">
        <v>0.93</v>
      </c>
      <c r="AY28" s="127">
        <v>0.997</v>
      </c>
      <c r="AZ28" s="127">
        <v>1.0209999999999999</v>
      </c>
      <c r="BA28" s="127">
        <v>1.0049999999999999</v>
      </c>
      <c r="BB28" s="127">
        <v>1.004</v>
      </c>
      <c r="BC28" s="127">
        <v>0.98799999999999999</v>
      </c>
      <c r="BD28" s="127">
        <v>0.97899999999999998</v>
      </c>
      <c r="BE28" s="127">
        <v>0.97199999999999998</v>
      </c>
      <c r="BF28" s="127">
        <v>0.96499999999999997</v>
      </c>
      <c r="BG28" s="127">
        <v>0.91800000000000004</v>
      </c>
      <c r="BH28" s="127">
        <v>0.85699999999999998</v>
      </c>
      <c r="BI28" s="127">
        <v>0.83899999999999997</v>
      </c>
      <c r="BJ28" s="127">
        <v>0.85799999999999998</v>
      </c>
      <c r="BK28" s="127">
        <v>0.88300000000000001</v>
      </c>
      <c r="BL28" s="127">
        <v>0.94099999999999995</v>
      </c>
      <c r="BM28" s="127">
        <v>0.94699999999999995</v>
      </c>
      <c r="BN28" s="127">
        <v>0.89900000000000002</v>
      </c>
      <c r="BO28" s="127">
        <v>0.89200000000000002</v>
      </c>
      <c r="BP28" s="127">
        <v>0.91100000000000003</v>
      </c>
      <c r="BQ28" s="127">
        <v>0.97</v>
      </c>
      <c r="BR28" s="127">
        <v>0.98799999999999999</v>
      </c>
      <c r="BS28" s="127">
        <v>0.98499999999999999</v>
      </c>
      <c r="BT28" s="127">
        <v>0.98599999999999999</v>
      </c>
      <c r="BU28" s="810">
        <v>0.97799999999999998</v>
      </c>
      <c r="BV28" s="810">
        <v>0.95499999999999996</v>
      </c>
      <c r="BW28" s="810">
        <v>0.98699999999999999</v>
      </c>
      <c r="BX28" s="810">
        <v>1.004</v>
      </c>
      <c r="BY28" s="810">
        <v>1.0029999999999999</v>
      </c>
      <c r="BZ28" s="810">
        <v>0.99399999999999999</v>
      </c>
      <c r="CA28" s="954">
        <v>1.004</v>
      </c>
      <c r="CB28" s="954">
        <v>0.97099999999999997</v>
      </c>
      <c r="CC28" s="954">
        <v>0.92100000000000004</v>
      </c>
      <c r="CD28" s="954">
        <v>0.79500000000000004</v>
      </c>
      <c r="CE28" s="954">
        <v>0.68100000000000005</v>
      </c>
      <c r="CF28" s="954">
        <v>0.78300000000000003</v>
      </c>
      <c r="CG28" s="954">
        <v>0.77100000000000002</v>
      </c>
      <c r="CH28" s="954">
        <v>0.76800000000000002</v>
      </c>
      <c r="CI28" s="954">
        <v>0.80800000000000005</v>
      </c>
      <c r="CJ28" s="954">
        <v>0.85199999999999998</v>
      </c>
      <c r="CK28" s="954"/>
      <c r="CL28" s="954"/>
      <c r="CM28" s="111"/>
      <c r="CN28" s="111"/>
      <c r="CO28" s="111"/>
      <c r="CP28" s="111"/>
      <c r="CQ28" s="111"/>
    </row>
    <row r="29" spans="1:98">
      <c r="C29" s="111"/>
      <c r="D29" s="111"/>
      <c r="E29" s="111"/>
      <c r="F29" s="111"/>
      <c r="J29" s="513"/>
      <c r="AE29" s="108" t="s">
        <v>815</v>
      </c>
      <c r="BJ29" s="122"/>
      <c r="BK29" s="122"/>
      <c r="BZ29" s="516"/>
      <c r="CA29" s="516"/>
      <c r="CB29" s="516"/>
      <c r="CC29" s="516"/>
      <c r="CD29" s="516"/>
      <c r="CE29" s="516"/>
      <c r="CF29" s="516"/>
      <c r="CG29" s="516"/>
      <c r="CH29" s="516"/>
      <c r="CI29" s="516"/>
      <c r="CJ29" s="516"/>
      <c r="CK29" s="516"/>
      <c r="CL29" s="516"/>
      <c r="CM29" s="516"/>
      <c r="CN29" s="516"/>
      <c r="CO29" s="516"/>
      <c r="CP29" s="516"/>
      <c r="CQ29" s="516"/>
    </row>
    <row r="30" spans="1:98">
      <c r="A30" s="120" t="s">
        <v>816</v>
      </c>
      <c r="B30" s="120"/>
      <c r="C30" s="111"/>
      <c r="D30" s="111"/>
      <c r="E30" s="111"/>
      <c r="F30" s="111"/>
      <c r="K30" s="513"/>
      <c r="O30" s="513"/>
      <c r="S30" s="513"/>
      <c r="W30" s="513"/>
      <c r="AA30" s="513"/>
      <c r="AE30" s="513"/>
      <c r="AI30" s="513"/>
      <c r="AM30" s="513"/>
      <c r="AQ30" s="513"/>
      <c r="AU30" s="513"/>
      <c r="AY30" s="513"/>
      <c r="BC30" s="513"/>
      <c r="BG30" s="513"/>
      <c r="BJ30" s="122"/>
      <c r="BK30" s="513"/>
      <c r="BO30" s="513"/>
      <c r="BU30" s="110"/>
      <c r="BV30" s="110"/>
      <c r="BZ30" s="513">
        <f t="shared" ref="BZ30:CE30" si="11">BZ27/(BZ23*3)</f>
        <v>0.9250456253354804</v>
      </c>
      <c r="CA30" s="513">
        <f t="shared" si="11"/>
        <v>0.94495872649078894</v>
      </c>
      <c r="CB30" s="513">
        <f t="shared" si="11"/>
        <v>0.93334817563388994</v>
      </c>
      <c r="CC30" s="513">
        <f t="shared" si="11"/>
        <v>0.84875873465533525</v>
      </c>
      <c r="CD30" s="513">
        <f t="shared" si="11"/>
        <v>0.73485901027077494</v>
      </c>
      <c r="CE30" s="513">
        <f t="shared" si="11"/>
        <v>0.56980357346079435</v>
      </c>
      <c r="CF30" s="513">
        <f>CF27/(CF23*3)</f>
        <v>0.62009545906529662</v>
      </c>
      <c r="CG30" s="513">
        <f>CG27/(CG23*3)</f>
        <v>0.64377212273536499</v>
      </c>
      <c r="CH30" s="513">
        <f>CH27/(CH23*3)</f>
        <v>0.69315207945375545</v>
      </c>
      <c r="CI30" s="513">
        <f>CI27/(CI23*3)</f>
        <v>0.73455739717618174</v>
      </c>
      <c r="CJ30" s="513">
        <f>CJ27/(CJ23*3)</f>
        <v>0.84105137395459972</v>
      </c>
      <c r="CK30" s="513"/>
      <c r="CL30" s="513"/>
      <c r="CM30" s="513"/>
      <c r="CN30" s="513"/>
      <c r="CO30" s="513"/>
      <c r="CP30" s="513"/>
      <c r="CQ30" s="513"/>
    </row>
    <row r="31" spans="1:98">
      <c r="A31" s="120" t="s">
        <v>817</v>
      </c>
      <c r="B31" s="120"/>
      <c r="BJ31" s="122"/>
      <c r="BN31" s="110"/>
      <c r="BO31" s="110"/>
      <c r="BP31" s="110"/>
      <c r="BQ31" s="110"/>
      <c r="BR31" s="110"/>
      <c r="BS31" s="110"/>
      <c r="BT31" s="110"/>
      <c r="BU31" s="110"/>
      <c r="CJ31" s="1007"/>
      <c r="CK31" s="1007"/>
      <c r="CL31" s="1007"/>
      <c r="CM31" s="1007"/>
      <c r="CN31" s="1007"/>
      <c r="CO31" s="1007"/>
      <c r="CP31" s="1007"/>
      <c r="CQ31" s="1007"/>
    </row>
    <row r="32" spans="1:98">
      <c r="BV32" s="110">
        <f t="shared" ref="BV32:CB32" si="12">SUM(BV11:BV22)-BV23</f>
        <v>0</v>
      </c>
      <c r="BW32" s="110">
        <f t="shared" si="12"/>
        <v>0</v>
      </c>
      <c r="BX32" s="110">
        <f t="shared" si="12"/>
        <v>0</v>
      </c>
      <c r="BY32" s="110">
        <f t="shared" si="12"/>
        <v>0</v>
      </c>
      <c r="BZ32" s="110">
        <f t="shared" si="12"/>
        <v>-1</v>
      </c>
      <c r="CA32" s="110">
        <f t="shared" si="12"/>
        <v>-1</v>
      </c>
      <c r="CB32" s="110">
        <f t="shared" si="12"/>
        <v>0</v>
      </c>
      <c r="CC32" s="110">
        <f>SUM(CC11:CC22)-CC23</f>
        <v>0</v>
      </c>
      <c r="CD32" s="110">
        <f>SUM(CD11:CD22)-CD23</f>
        <v>0</v>
      </c>
      <c r="CE32" s="110">
        <f>SUM(CE11:CE22)-CE23</f>
        <v>0</v>
      </c>
      <c r="CF32" s="110">
        <f>SUM(CF11:CF22)-CF23</f>
        <v>0</v>
      </c>
      <c r="CG32" s="110">
        <f>SUM(CG11:CG22)-CG23</f>
        <v>0</v>
      </c>
      <c r="CH32" s="110"/>
      <c r="CI32" s="110"/>
      <c r="CJ32" s="110"/>
      <c r="CK32" s="110"/>
      <c r="CL32" s="110"/>
      <c r="CM32" s="110"/>
      <c r="CN32" s="110"/>
      <c r="CO32" s="110"/>
      <c r="CP32" s="110"/>
      <c r="CQ32" s="110"/>
    </row>
    <row r="33" spans="1:98">
      <c r="AQ33" s="122"/>
      <c r="AR33" s="122"/>
      <c r="AS33" s="122"/>
      <c r="AT33" s="122"/>
      <c r="BK33" s="122"/>
      <c r="BL33" s="122"/>
      <c r="BM33" s="122"/>
      <c r="BN33" s="122"/>
    </row>
    <row r="34" spans="1:98">
      <c r="AQ34" s="647"/>
      <c r="AR34" s="647"/>
      <c r="AS34" s="647"/>
      <c r="AT34" s="647"/>
      <c r="BK34" s="647"/>
      <c r="BL34" s="647"/>
      <c r="BM34" s="647"/>
      <c r="BN34" s="647"/>
      <c r="BS34" s="110"/>
      <c r="BT34" s="110"/>
      <c r="BU34" s="110"/>
      <c r="BV34" s="110"/>
      <c r="BW34" s="110"/>
      <c r="BX34" s="110"/>
      <c r="BY34" s="110"/>
      <c r="BZ34" s="853"/>
      <c r="CA34" s="853"/>
      <c r="CB34" s="853"/>
      <c r="CC34" s="853"/>
      <c r="CD34" s="853"/>
      <c r="CE34" s="853"/>
      <c r="CF34" s="853"/>
      <c r="CG34" s="853"/>
      <c r="CH34" s="853"/>
      <c r="CI34" s="853"/>
      <c r="CJ34" s="853"/>
      <c r="CK34" s="853"/>
      <c r="CL34" s="853"/>
      <c r="CM34" s="853"/>
      <c r="CN34" s="853"/>
      <c r="CO34" s="853"/>
      <c r="CP34" s="853"/>
      <c r="CQ34" s="853"/>
      <c r="CT34" s="853"/>
    </row>
    <row r="35" spans="1:98">
      <c r="BJ35" s="513"/>
      <c r="BN35" s="513"/>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row>
    <row r="36" spans="1:98">
      <c r="BK36" s="122"/>
      <c r="BL36" s="122"/>
      <c r="BM36" s="122"/>
      <c r="BN36" s="122"/>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row>
    <row r="37" spans="1:98">
      <c r="BS37" s="110"/>
      <c r="BT37" s="110"/>
      <c r="BU37" s="110"/>
      <c r="BV37" s="110"/>
      <c r="BW37" s="110"/>
      <c r="BX37" s="110"/>
      <c r="BY37" s="110"/>
      <c r="BZ37" s="853"/>
      <c r="CA37" s="853"/>
      <c r="CB37" s="853"/>
      <c r="CC37" s="853"/>
      <c r="CD37" s="853"/>
      <c r="CE37" s="853"/>
      <c r="CF37" s="853"/>
      <c r="CG37" s="853"/>
      <c r="CH37" s="853"/>
      <c r="CI37" s="853"/>
      <c r="CJ37" s="853"/>
      <c r="CK37" s="853"/>
      <c r="CL37" s="853"/>
      <c r="CM37" s="853"/>
      <c r="CN37" s="853"/>
      <c r="CO37" s="853"/>
      <c r="CP37" s="853"/>
      <c r="CQ37" s="853"/>
      <c r="CT37" s="853"/>
    </row>
    <row r="39" spans="1:98">
      <c r="CG39" s="513"/>
      <c r="CH39" s="513"/>
      <c r="CI39" s="513"/>
      <c r="CJ39" s="513"/>
      <c r="CK39" s="513"/>
      <c r="CL39" s="513"/>
      <c r="CM39" s="513"/>
      <c r="CN39" s="513"/>
      <c r="CO39" s="513"/>
      <c r="CP39" s="513"/>
      <c r="CQ39" s="513"/>
    </row>
    <row r="40" spans="1:98">
      <c r="BX40" s="110"/>
    </row>
    <row r="41" spans="1:98">
      <c r="A41" s="1010" t="s">
        <v>6</v>
      </c>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c r="AS41" s="1010"/>
      <c r="AT41" s="1010"/>
      <c r="AU41" s="1010"/>
      <c r="AV41" s="1010"/>
      <c r="AW41" s="1010"/>
      <c r="AX41" s="1010"/>
      <c r="AY41" s="1010"/>
      <c r="AZ41" s="1010"/>
      <c r="BA41" s="1010"/>
      <c r="BB41" s="1010"/>
      <c r="BC41" s="1010"/>
      <c r="BD41" s="1010"/>
      <c r="BE41" s="1010"/>
      <c r="BF41" s="1010"/>
      <c r="BG41" s="1010"/>
      <c r="BH41" s="1010"/>
      <c r="BI41" s="1010"/>
      <c r="BJ41" s="1010"/>
      <c r="BK41" s="1010"/>
      <c r="BL41" s="1010"/>
      <c r="BM41" s="1010"/>
      <c r="BN41" s="1010"/>
      <c r="BO41" s="1010"/>
      <c r="BP41" s="1010"/>
      <c r="BQ41" s="1010"/>
      <c r="BR41" s="1010"/>
      <c r="BS41" s="1010"/>
      <c r="BT41" s="1010"/>
      <c r="BU41" s="1010"/>
      <c r="BV41" s="1010"/>
      <c r="BW41" s="1010"/>
      <c r="BX41" s="1010"/>
      <c r="BY41" s="1010"/>
      <c r="BZ41" s="1010"/>
      <c r="CA41" s="1010"/>
      <c r="CB41" s="1010"/>
      <c r="CC41" s="1010"/>
      <c r="CD41" s="1010"/>
      <c r="CE41" s="1010"/>
      <c r="CF41" s="1011">
        <f>SUM(CF11:CF22)-CF23</f>
        <v>0</v>
      </c>
      <c r="CG41" s="1011">
        <f t="shared" ref="CG41:CL41" si="13">SUM(CG11:CG22)-CG23</f>
        <v>0</v>
      </c>
      <c r="CH41" s="1011">
        <f t="shared" si="13"/>
        <v>0</v>
      </c>
      <c r="CI41" s="1011">
        <f t="shared" si="13"/>
        <v>0</v>
      </c>
      <c r="CJ41" s="1011">
        <f t="shared" si="13"/>
        <v>0</v>
      </c>
      <c r="CK41" s="1011">
        <f t="shared" si="13"/>
        <v>0</v>
      </c>
      <c r="CL41" s="1011">
        <f t="shared" si="13"/>
        <v>0</v>
      </c>
      <c r="CM41" s="1011"/>
      <c r="CN41" s="1011"/>
      <c r="CO41" s="1011"/>
      <c r="CP41" s="1011"/>
      <c r="CQ41" s="1011"/>
    </row>
    <row r="63" spans="1:90">
      <c r="A63" s="1277"/>
      <c r="B63" s="1277"/>
      <c r="C63" s="1277"/>
      <c r="D63" s="1277"/>
      <c r="E63" s="1277"/>
      <c r="F63" s="1277"/>
      <c r="G63" s="1277"/>
      <c r="H63" s="1277"/>
      <c r="I63" s="1277"/>
      <c r="J63" s="1277"/>
      <c r="K63" s="1277"/>
      <c r="L63" s="1277"/>
      <c r="M63" s="1277"/>
      <c r="N63" s="1277"/>
      <c r="O63" s="1277"/>
      <c r="P63" s="1277"/>
      <c r="Q63" s="1277"/>
      <c r="R63" s="1277"/>
      <c r="S63" s="1277"/>
      <c r="T63" s="1277"/>
      <c r="U63" s="1277"/>
      <c r="V63" s="1277"/>
      <c r="W63" s="1277"/>
      <c r="X63" s="1277"/>
      <c r="Y63" s="1277"/>
      <c r="Z63" s="1277"/>
      <c r="AA63" s="1277"/>
      <c r="AB63" s="1277"/>
      <c r="AC63" s="1277"/>
      <c r="AD63" s="1277"/>
      <c r="AE63" s="1277"/>
      <c r="AF63" s="1277"/>
      <c r="AG63" s="1277"/>
      <c r="AH63" s="1277"/>
      <c r="AI63" s="1277"/>
      <c r="AJ63" s="1277"/>
      <c r="AK63" s="1277"/>
      <c r="AL63" s="1277"/>
      <c r="AM63" s="1277"/>
      <c r="AN63" s="1277"/>
      <c r="AO63" s="1277"/>
      <c r="AP63" s="1277"/>
      <c r="AQ63" s="1277"/>
      <c r="AR63" s="1277"/>
      <c r="AS63" s="1277"/>
      <c r="AT63" s="1277"/>
      <c r="AU63" s="1277"/>
      <c r="AV63" s="1277"/>
      <c r="AW63" s="1277"/>
      <c r="AX63" s="1277"/>
      <c r="AY63" s="1277"/>
      <c r="AZ63" s="1277"/>
      <c r="BA63" s="1277"/>
      <c r="BB63" s="1277"/>
      <c r="BC63" s="1277"/>
      <c r="BD63" s="1277"/>
      <c r="BE63" s="1277"/>
      <c r="BF63" s="1277"/>
      <c r="BG63" s="1277"/>
      <c r="BH63" s="1277"/>
      <c r="BI63" s="1277"/>
      <c r="BJ63" s="1277"/>
      <c r="BK63" s="1277"/>
      <c r="BL63" s="1277"/>
      <c r="BM63" s="1277"/>
      <c r="BN63" s="1277"/>
      <c r="BO63" s="1277"/>
      <c r="BP63" s="1277"/>
      <c r="BQ63" s="1277"/>
      <c r="BR63" s="1277"/>
      <c r="BS63" s="1277"/>
      <c r="BT63" s="1277"/>
      <c r="BU63" s="1277"/>
      <c r="BV63" s="1277"/>
      <c r="BW63" s="1277"/>
      <c r="BX63" s="1277"/>
      <c r="BY63" s="1277"/>
      <c r="BZ63" s="1277"/>
      <c r="CA63" s="1277"/>
      <c r="CB63" s="1277"/>
      <c r="CC63" s="1277"/>
      <c r="CD63" s="1277"/>
      <c r="CE63" s="1277"/>
      <c r="CF63" s="1277"/>
      <c r="CG63" s="1277"/>
      <c r="CH63" s="1277"/>
      <c r="CI63" s="1277"/>
      <c r="CJ63" s="1277"/>
      <c r="CK63" s="1277"/>
      <c r="CL63" s="1277"/>
    </row>
    <row r="64" spans="1:90">
      <c r="A64" s="1277"/>
      <c r="B64" s="1277"/>
      <c r="C64" s="1277"/>
      <c r="D64" s="1277"/>
      <c r="E64" s="1277"/>
      <c r="F64" s="1277"/>
      <c r="G64" s="1277"/>
      <c r="H64" s="1277"/>
      <c r="I64" s="1277"/>
      <c r="J64" s="1277"/>
      <c r="K64" s="1277"/>
      <c r="L64" s="1277"/>
      <c r="M64" s="1277"/>
      <c r="N64" s="1277"/>
      <c r="O64" s="1277"/>
      <c r="P64" s="1277"/>
      <c r="Q64" s="1277"/>
      <c r="R64" s="1277"/>
      <c r="S64" s="1277"/>
      <c r="T64" s="1277"/>
      <c r="U64" s="1277"/>
      <c r="V64" s="1277"/>
      <c r="W64" s="1277"/>
      <c r="X64" s="1277"/>
      <c r="Y64" s="1277"/>
      <c r="Z64" s="1277"/>
      <c r="AA64" s="1277"/>
      <c r="AB64" s="1277"/>
      <c r="AC64" s="1277"/>
      <c r="AD64" s="1277"/>
      <c r="AE64" s="1277"/>
      <c r="AF64" s="1277"/>
      <c r="AG64" s="1277"/>
      <c r="AH64" s="1277"/>
      <c r="AI64" s="1277"/>
      <c r="AJ64" s="1277"/>
      <c r="AK64" s="1277"/>
      <c r="AL64" s="1277"/>
      <c r="AM64" s="1277"/>
      <c r="AN64" s="1277"/>
      <c r="AO64" s="1277"/>
      <c r="AP64" s="1277"/>
      <c r="AQ64" s="1277"/>
      <c r="AR64" s="1277"/>
      <c r="AS64" s="1277"/>
      <c r="AT64" s="1277"/>
      <c r="AU64" s="1277"/>
      <c r="AV64" s="1277"/>
      <c r="AW64" s="1277"/>
      <c r="AX64" s="1277"/>
      <c r="AY64" s="1277"/>
      <c r="AZ64" s="1277"/>
      <c r="BA64" s="1277"/>
      <c r="BB64" s="1277"/>
      <c r="BC64" s="1277"/>
      <c r="BD64" s="1277"/>
      <c r="BE64" s="1277"/>
      <c r="BF64" s="1277"/>
      <c r="BG64" s="1277"/>
      <c r="BH64" s="1277"/>
      <c r="BI64" s="1277"/>
      <c r="BJ64" s="1277"/>
      <c r="BK64" s="1277"/>
      <c r="BL64" s="1277"/>
      <c r="BM64" s="1277"/>
      <c r="BN64" s="1277"/>
      <c r="BO64" s="1277"/>
      <c r="BP64" s="1277"/>
      <c r="BQ64" s="1277"/>
      <c r="BR64" s="1277"/>
      <c r="BS64" s="1277"/>
      <c r="BT64" s="1277"/>
      <c r="BU64" s="1277"/>
      <c r="BV64" s="1277"/>
      <c r="BW64" s="1277"/>
      <c r="BX64" s="1277"/>
      <c r="BY64" s="1277"/>
      <c r="BZ64" s="1277"/>
      <c r="CA64" s="1277"/>
      <c r="CB64" s="1277"/>
      <c r="CC64" s="1277"/>
      <c r="CD64" s="1277"/>
      <c r="CE64" s="1277"/>
      <c r="CF64" s="1277"/>
      <c r="CG64" s="1277"/>
      <c r="CH64" s="1277"/>
      <c r="CI64" s="1277"/>
      <c r="CJ64" s="1277"/>
      <c r="CK64" s="1277"/>
      <c r="CL64" s="1277"/>
    </row>
    <row r="65" spans="1:90">
      <c r="A65" s="1277"/>
      <c r="B65" s="1277"/>
      <c r="C65" s="1277"/>
      <c r="D65" s="1277"/>
      <c r="E65" s="1277"/>
      <c r="F65" s="1277"/>
      <c r="G65" s="1277"/>
      <c r="H65" s="1277"/>
      <c r="I65" s="1277"/>
      <c r="J65" s="1277"/>
      <c r="K65" s="1277"/>
      <c r="L65" s="1277"/>
      <c r="M65" s="1277"/>
      <c r="N65" s="1277"/>
      <c r="O65" s="1277"/>
      <c r="P65" s="1277"/>
      <c r="Q65" s="1277"/>
      <c r="R65" s="1277"/>
      <c r="S65" s="1277"/>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c r="BB65" s="1277"/>
      <c r="BC65" s="1277"/>
      <c r="BD65" s="1277"/>
      <c r="BE65" s="1277"/>
      <c r="BF65" s="1277"/>
      <c r="BG65" s="1277"/>
      <c r="BH65" s="1277"/>
      <c r="BI65" s="1277"/>
      <c r="BJ65" s="1277"/>
      <c r="BK65" s="1277"/>
      <c r="BL65" s="1277"/>
      <c r="BM65" s="1277"/>
      <c r="BN65" s="1277"/>
      <c r="BO65" s="1277"/>
      <c r="BP65" s="1277"/>
      <c r="BQ65" s="1277"/>
      <c r="BR65" s="1277"/>
      <c r="BS65" s="1277"/>
      <c r="BT65" s="1277"/>
      <c r="BU65" s="1277"/>
      <c r="BV65" s="1277"/>
      <c r="BW65" s="1277"/>
      <c r="BX65" s="1277"/>
      <c r="BY65" s="1277"/>
      <c r="BZ65" s="1277"/>
      <c r="CA65" s="1277"/>
      <c r="CB65" s="1277"/>
      <c r="CC65" s="1277"/>
      <c r="CD65" s="1277"/>
      <c r="CE65" s="1277"/>
      <c r="CF65" s="1277"/>
      <c r="CG65" s="1277"/>
      <c r="CH65" s="1277"/>
      <c r="CI65" s="1277"/>
      <c r="CJ65" s="1277"/>
      <c r="CK65" s="1277"/>
      <c r="CL65" s="1277"/>
    </row>
    <row r="66" spans="1:90">
      <c r="A66" s="1277"/>
      <c r="B66" s="1277"/>
      <c r="C66" s="1277"/>
      <c r="D66" s="1277"/>
      <c r="E66" s="1277"/>
      <c r="F66" s="1277"/>
      <c r="G66" s="1277"/>
      <c r="H66" s="1277"/>
      <c r="I66" s="1277"/>
      <c r="J66" s="1277"/>
      <c r="K66" s="1277"/>
      <c r="L66" s="1277"/>
      <c r="M66" s="1277"/>
      <c r="N66" s="1277"/>
      <c r="O66" s="1277"/>
      <c r="P66" s="1277"/>
      <c r="Q66" s="1277"/>
      <c r="R66" s="1277"/>
      <c r="S66" s="1277"/>
      <c r="T66" s="1277"/>
      <c r="U66" s="1277"/>
      <c r="V66" s="1277"/>
      <c r="W66" s="1277"/>
      <c r="X66" s="1277"/>
      <c r="Y66" s="1277"/>
      <c r="Z66" s="1277"/>
      <c r="AA66" s="1277"/>
      <c r="AB66" s="1277"/>
      <c r="AC66" s="1277"/>
      <c r="AD66" s="1277"/>
      <c r="AE66" s="1277"/>
      <c r="AF66" s="1277"/>
      <c r="AG66" s="1277"/>
      <c r="AH66" s="1277"/>
      <c r="AI66" s="1277"/>
      <c r="AJ66" s="1277"/>
      <c r="AK66" s="1277"/>
      <c r="AL66" s="1277"/>
      <c r="AM66" s="1277"/>
      <c r="AN66" s="1277"/>
      <c r="AO66" s="1277"/>
      <c r="AP66" s="1277"/>
      <c r="AQ66" s="1277"/>
      <c r="AR66" s="1277"/>
      <c r="AS66" s="1277"/>
      <c r="AT66" s="1277"/>
      <c r="AU66" s="1277"/>
      <c r="AV66" s="1277"/>
      <c r="AW66" s="1277"/>
      <c r="AX66" s="1277"/>
      <c r="AY66" s="1277"/>
      <c r="AZ66" s="1277"/>
      <c r="BA66" s="1277"/>
      <c r="BB66" s="1277"/>
      <c r="BC66" s="1277"/>
      <c r="BD66" s="1277"/>
      <c r="BE66" s="1277"/>
      <c r="BF66" s="1277"/>
      <c r="BG66" s="1277"/>
      <c r="BH66" s="1277"/>
      <c r="BI66" s="1277"/>
      <c r="BJ66" s="1277"/>
      <c r="BK66" s="1277"/>
      <c r="BL66" s="1277"/>
      <c r="BM66" s="1277"/>
      <c r="BN66" s="1277"/>
      <c r="BO66" s="1277"/>
      <c r="BP66" s="1277"/>
      <c r="BQ66" s="1277"/>
      <c r="BR66" s="1277"/>
      <c r="BS66" s="1277"/>
      <c r="BT66" s="1277"/>
      <c r="BU66" s="1277"/>
      <c r="BV66" s="1277"/>
      <c r="BW66" s="1277"/>
      <c r="BX66" s="1277"/>
      <c r="BY66" s="1277"/>
      <c r="BZ66" s="1277"/>
      <c r="CA66" s="1277"/>
      <c r="CB66" s="1277"/>
      <c r="CC66" s="1277"/>
      <c r="CD66" s="1277"/>
      <c r="CE66" s="1277"/>
      <c r="CF66" s="1277"/>
      <c r="CG66" s="1277"/>
      <c r="CH66" s="1277"/>
      <c r="CI66" s="1277"/>
      <c r="CJ66" s="1277"/>
      <c r="CK66" s="1277"/>
      <c r="CL66" s="1277"/>
    </row>
    <row r="67" spans="1:90">
      <c r="A67" s="1277"/>
      <c r="B67" s="1277"/>
      <c r="C67" s="1277"/>
      <c r="D67" s="1277"/>
      <c r="E67" s="1277"/>
      <c r="F67" s="1277"/>
      <c r="G67" s="1277"/>
      <c r="H67" s="1277"/>
      <c r="I67" s="1277"/>
      <c r="J67" s="1277"/>
      <c r="K67" s="1277"/>
      <c r="L67" s="1277"/>
      <c r="M67" s="1277"/>
      <c r="N67" s="1277"/>
      <c r="O67" s="1277"/>
      <c r="P67" s="1277"/>
      <c r="Q67" s="1277"/>
      <c r="R67" s="1277"/>
      <c r="S67" s="1277"/>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c r="BB67" s="1277"/>
      <c r="BC67" s="1277"/>
      <c r="BD67" s="1277"/>
      <c r="BE67" s="1277"/>
      <c r="BF67" s="1277"/>
      <c r="BG67" s="1277"/>
      <c r="BH67" s="1277"/>
      <c r="BI67" s="1277"/>
      <c r="BJ67" s="1277"/>
      <c r="BK67" s="1277"/>
      <c r="BL67" s="1277"/>
      <c r="BM67" s="1277"/>
      <c r="BN67" s="1277"/>
      <c r="BO67" s="1277"/>
      <c r="BP67" s="1277"/>
      <c r="BQ67" s="1277"/>
      <c r="BR67" s="1277"/>
      <c r="BS67" s="1277"/>
      <c r="BT67" s="1277"/>
      <c r="BU67" s="1277"/>
      <c r="BV67" s="1277"/>
      <c r="BW67" s="1277"/>
      <c r="BX67" s="1277"/>
      <c r="BY67" s="1277"/>
      <c r="BZ67" s="1277"/>
      <c r="CA67" s="1277"/>
      <c r="CB67" s="1277"/>
      <c r="CC67" s="1277"/>
      <c r="CD67" s="1277"/>
      <c r="CE67" s="1277"/>
      <c r="CF67" s="1277"/>
      <c r="CG67" s="1277"/>
      <c r="CH67" s="1277"/>
      <c r="CI67" s="1277"/>
      <c r="CJ67" s="1277"/>
      <c r="CK67" s="1277"/>
      <c r="CL67" s="1277"/>
    </row>
    <row r="68" spans="1:90">
      <c r="A68" s="1277"/>
      <c r="B68" s="1277"/>
      <c r="C68" s="1277"/>
      <c r="D68" s="1277"/>
      <c r="E68" s="1277"/>
      <c r="F68" s="1277"/>
      <c r="G68" s="1277"/>
      <c r="H68" s="1277"/>
      <c r="I68" s="1277"/>
      <c r="J68" s="1277"/>
      <c r="K68" s="1277"/>
      <c r="L68" s="1277"/>
      <c r="M68" s="1277"/>
      <c r="N68" s="1277"/>
      <c r="O68" s="1277"/>
      <c r="P68" s="1277"/>
      <c r="Q68" s="1277"/>
      <c r="R68" s="1277"/>
      <c r="S68" s="1277"/>
      <c r="T68" s="1277"/>
      <c r="U68" s="1277"/>
      <c r="V68" s="1277"/>
      <c r="W68" s="1277"/>
      <c r="X68" s="1277"/>
      <c r="Y68" s="1277"/>
      <c r="Z68" s="1277"/>
      <c r="AA68" s="1277"/>
      <c r="AB68" s="1277"/>
      <c r="AC68" s="1277"/>
      <c r="AD68" s="1277"/>
      <c r="AE68" s="1277"/>
      <c r="AF68" s="1277"/>
      <c r="AG68" s="1277"/>
      <c r="AH68" s="1277"/>
      <c r="AI68" s="1277"/>
      <c r="AJ68" s="1277"/>
      <c r="AK68" s="1277"/>
      <c r="AL68" s="1277"/>
      <c r="AM68" s="1277"/>
      <c r="AN68" s="1277"/>
      <c r="AO68" s="1277"/>
      <c r="AP68" s="1277"/>
      <c r="AQ68" s="1277"/>
      <c r="AR68" s="1277"/>
      <c r="AS68" s="1277"/>
      <c r="AT68" s="1277"/>
      <c r="AU68" s="1277"/>
      <c r="AV68" s="1277"/>
      <c r="AW68" s="1277"/>
      <c r="AX68" s="1277"/>
      <c r="AY68" s="1277"/>
      <c r="AZ68" s="1277"/>
      <c r="BA68" s="1277"/>
      <c r="BB68" s="1277"/>
      <c r="BC68" s="1277"/>
      <c r="BD68" s="1277"/>
      <c r="BE68" s="1277"/>
      <c r="BF68" s="1277"/>
      <c r="BG68" s="1277"/>
      <c r="BH68" s="1277"/>
      <c r="BI68" s="1277"/>
      <c r="BJ68" s="1277"/>
      <c r="BK68" s="1277"/>
      <c r="BL68" s="1277"/>
      <c r="BM68" s="1277"/>
      <c r="BN68" s="1277"/>
      <c r="BO68" s="1277"/>
      <c r="BP68" s="1277"/>
      <c r="BQ68" s="1277"/>
      <c r="BR68" s="1277"/>
      <c r="BS68" s="1277"/>
      <c r="BT68" s="1277"/>
      <c r="BU68" s="1277"/>
      <c r="BV68" s="1277"/>
      <c r="BW68" s="1277"/>
      <c r="BX68" s="1277"/>
      <c r="BY68" s="1277"/>
      <c r="BZ68" s="1277"/>
      <c r="CA68" s="1277"/>
      <c r="CB68" s="1277"/>
      <c r="CC68" s="1277"/>
      <c r="CD68" s="1277"/>
      <c r="CE68" s="1277"/>
      <c r="CF68" s="1277"/>
      <c r="CG68" s="1277"/>
      <c r="CH68" s="1277"/>
      <c r="CI68" s="1277"/>
      <c r="CJ68" s="1277"/>
      <c r="CK68" s="1277"/>
      <c r="CL68" s="1277"/>
    </row>
    <row r="69" spans="1:90">
      <c r="A69" s="1277"/>
      <c r="B69" s="1277"/>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c r="AG69" s="1277"/>
      <c r="AH69" s="1277"/>
      <c r="AI69" s="1277"/>
      <c r="AJ69" s="1277"/>
      <c r="AK69" s="1277"/>
      <c r="AL69" s="1277"/>
      <c r="AM69" s="1277"/>
      <c r="AN69" s="1277"/>
      <c r="AO69" s="1277"/>
      <c r="AP69" s="1277"/>
      <c r="AQ69" s="1277"/>
      <c r="AR69" s="1277"/>
      <c r="AS69" s="1277"/>
      <c r="AT69" s="1277"/>
      <c r="AU69" s="1277"/>
      <c r="AV69" s="1277"/>
      <c r="AW69" s="1277"/>
      <c r="AX69" s="1277"/>
      <c r="AY69" s="1277"/>
      <c r="AZ69" s="1277"/>
      <c r="BA69" s="1277"/>
      <c r="BB69" s="1277"/>
      <c r="BC69" s="1277"/>
      <c r="BD69" s="1277"/>
      <c r="BE69" s="1277"/>
      <c r="BF69" s="1277"/>
      <c r="BG69" s="1277"/>
      <c r="BH69" s="1277"/>
      <c r="BI69" s="1277"/>
      <c r="BJ69" s="1277"/>
      <c r="BK69" s="1277"/>
      <c r="BL69" s="1277"/>
      <c r="BM69" s="1277"/>
      <c r="BN69" s="1277"/>
      <c r="BO69" s="1277"/>
      <c r="BP69" s="1277"/>
      <c r="BQ69" s="1277"/>
      <c r="BR69" s="1277"/>
      <c r="BS69" s="1277"/>
      <c r="BT69" s="1277"/>
      <c r="BU69" s="1277"/>
      <c r="BV69" s="1277"/>
      <c r="BW69" s="1277"/>
      <c r="BX69" s="1277"/>
      <c r="BY69" s="1277"/>
      <c r="BZ69" s="1277"/>
      <c r="CA69" s="1277"/>
      <c r="CB69" s="1277"/>
      <c r="CC69" s="1277"/>
      <c r="CD69" s="1277"/>
      <c r="CE69" s="1277"/>
      <c r="CF69" s="1277"/>
      <c r="CG69" s="1277"/>
      <c r="CH69" s="1277"/>
      <c r="CI69" s="1277"/>
      <c r="CJ69" s="1277"/>
      <c r="CK69" s="1277"/>
      <c r="CL69" s="1277"/>
    </row>
    <row r="70" spans="1:90">
      <c r="A70" s="1277"/>
      <c r="B70" s="1277"/>
      <c r="C70" s="1277"/>
      <c r="D70" s="1277"/>
      <c r="E70" s="1277"/>
      <c r="F70" s="1277"/>
      <c r="G70" s="1277"/>
      <c r="H70" s="1277"/>
      <c r="I70" s="1277"/>
      <c r="J70" s="1277"/>
      <c r="K70" s="1277"/>
      <c r="L70" s="1277"/>
      <c r="M70" s="1277"/>
      <c r="N70" s="1277"/>
      <c r="O70" s="1277"/>
      <c r="P70" s="1277"/>
      <c r="Q70" s="1277"/>
      <c r="R70" s="1277"/>
      <c r="S70" s="1277"/>
      <c r="T70" s="1277"/>
      <c r="U70" s="1277"/>
      <c r="V70" s="1277"/>
      <c r="W70" s="1277"/>
      <c r="X70" s="1277"/>
      <c r="Y70" s="1277"/>
      <c r="Z70" s="1277"/>
      <c r="AA70" s="1277"/>
      <c r="AB70" s="1277"/>
      <c r="AC70" s="1277"/>
      <c r="AD70" s="1277"/>
      <c r="AE70" s="1277"/>
      <c r="AF70" s="1277"/>
      <c r="AG70" s="1277"/>
      <c r="AH70" s="1277"/>
      <c r="AI70" s="1277"/>
      <c r="AJ70" s="1277"/>
      <c r="AK70" s="1277"/>
      <c r="AL70" s="1277"/>
      <c r="AM70" s="1277"/>
      <c r="AN70" s="1277"/>
      <c r="AO70" s="1277"/>
      <c r="AP70" s="1277"/>
      <c r="AQ70" s="1277"/>
      <c r="AR70" s="1277"/>
      <c r="AS70" s="1277"/>
      <c r="AT70" s="1277"/>
      <c r="AU70" s="1277"/>
      <c r="AV70" s="1277"/>
      <c r="AW70" s="1277"/>
      <c r="AX70" s="1277"/>
      <c r="AY70" s="1277"/>
      <c r="AZ70" s="1277"/>
      <c r="BA70" s="1277"/>
      <c r="BB70" s="1277"/>
      <c r="BC70" s="1277"/>
      <c r="BD70" s="1277"/>
      <c r="BE70" s="1277"/>
      <c r="BF70" s="1277"/>
      <c r="BG70" s="1277"/>
      <c r="BH70" s="1277"/>
      <c r="BI70" s="1277"/>
      <c r="BJ70" s="1277"/>
      <c r="BK70" s="1277"/>
      <c r="BL70" s="1277"/>
      <c r="BM70" s="1277"/>
      <c r="BN70" s="1277"/>
      <c r="BO70" s="1277"/>
      <c r="BP70" s="1277"/>
      <c r="BQ70" s="1277"/>
      <c r="BR70" s="1277"/>
      <c r="BS70" s="1277"/>
      <c r="BT70" s="1277"/>
      <c r="BU70" s="1277"/>
      <c r="BV70" s="1277"/>
      <c r="BW70" s="1277"/>
      <c r="BX70" s="1277"/>
      <c r="BY70" s="1277"/>
      <c r="BZ70" s="1277"/>
      <c r="CA70" s="1277"/>
      <c r="CB70" s="1277"/>
      <c r="CC70" s="1277"/>
      <c r="CD70" s="1277"/>
      <c r="CE70" s="1277"/>
      <c r="CF70" s="1277"/>
      <c r="CG70" s="1277"/>
      <c r="CH70" s="1277"/>
      <c r="CI70" s="1277"/>
      <c r="CJ70" s="1277"/>
      <c r="CK70" s="1277"/>
      <c r="CL70" s="1277"/>
    </row>
    <row r="71" spans="1:90">
      <c r="A71" s="1277"/>
      <c r="B71" s="1277"/>
      <c r="C71" s="1277"/>
      <c r="D71" s="1277"/>
      <c r="E71" s="1277"/>
      <c r="F71" s="1277"/>
      <c r="G71" s="1277"/>
      <c r="H71" s="1277"/>
      <c r="I71" s="1277"/>
      <c r="J71" s="1277"/>
      <c r="K71" s="1277"/>
      <c r="L71" s="1277"/>
      <c r="M71" s="1277"/>
      <c r="N71" s="1277"/>
      <c r="O71" s="1277"/>
      <c r="P71" s="1277"/>
      <c r="Q71" s="1277"/>
      <c r="R71" s="1277"/>
      <c r="S71" s="1277"/>
      <c r="T71" s="1277"/>
      <c r="U71" s="1277"/>
      <c r="V71" s="1277"/>
      <c r="W71" s="1277"/>
      <c r="X71" s="1277"/>
      <c r="Y71" s="1277"/>
      <c r="Z71" s="1277"/>
      <c r="AA71" s="1277"/>
      <c r="AB71" s="1277"/>
      <c r="AC71" s="1277"/>
      <c r="AD71" s="1277"/>
      <c r="AE71" s="1277"/>
      <c r="AF71" s="1277"/>
      <c r="AG71" s="1277"/>
      <c r="AH71" s="1277"/>
      <c r="AI71" s="1277"/>
      <c r="AJ71" s="1277"/>
      <c r="AK71" s="1277"/>
      <c r="AL71" s="1277"/>
      <c r="AM71" s="1277"/>
      <c r="AN71" s="1277"/>
      <c r="AO71" s="1277"/>
      <c r="AP71" s="1277"/>
      <c r="AQ71" s="1277"/>
      <c r="AR71" s="1277"/>
      <c r="AS71" s="1277"/>
      <c r="AT71" s="1278"/>
      <c r="AU71" s="1277"/>
      <c r="AV71" s="1277"/>
      <c r="AW71" s="1277"/>
      <c r="AX71" s="1277"/>
      <c r="AY71" s="1277"/>
      <c r="AZ71" s="1277"/>
      <c r="BA71" s="1277"/>
      <c r="BB71" s="1277"/>
      <c r="BC71" s="1277"/>
      <c r="BD71" s="1277"/>
      <c r="BE71" s="1277"/>
      <c r="BF71" s="1277"/>
      <c r="BG71" s="1277"/>
      <c r="BH71" s="1277"/>
      <c r="BI71" s="1277"/>
      <c r="BJ71" s="1277"/>
      <c r="BK71" s="1277"/>
      <c r="BL71" s="1277"/>
      <c r="BM71" s="1277"/>
      <c r="BN71" s="1277"/>
      <c r="BO71" s="1277"/>
      <c r="BP71" s="1277"/>
      <c r="BQ71" s="1277"/>
      <c r="BR71" s="1277"/>
      <c r="BS71" s="1277"/>
      <c r="BT71" s="1277"/>
      <c r="BU71" s="1277"/>
      <c r="BV71" s="1277"/>
      <c r="BW71" s="1277"/>
      <c r="BX71" s="1277"/>
      <c r="BY71" s="1277"/>
      <c r="BZ71" s="1277"/>
      <c r="CA71" s="1277"/>
      <c r="CB71" s="1277"/>
      <c r="CC71" s="1277"/>
      <c r="CD71" s="1277"/>
      <c r="CE71" s="1277"/>
      <c r="CF71" s="1277"/>
      <c r="CG71" s="1277"/>
      <c r="CH71" s="1277"/>
      <c r="CI71" s="1277"/>
      <c r="CJ71" s="1277"/>
      <c r="CK71" s="1277"/>
      <c r="CL71" s="1277"/>
    </row>
    <row r="72" spans="1:90">
      <c r="A72" s="1277"/>
      <c r="B72" s="1277"/>
      <c r="C72" s="1277"/>
      <c r="D72" s="1277"/>
      <c r="E72" s="1277"/>
      <c r="F72" s="1277"/>
      <c r="G72" s="1277"/>
      <c r="H72" s="1277"/>
      <c r="I72" s="1277"/>
      <c r="J72" s="1277"/>
      <c r="K72" s="1277"/>
      <c r="L72" s="1277"/>
      <c r="M72" s="1277"/>
      <c r="N72" s="1277"/>
      <c r="O72" s="1277"/>
      <c r="P72" s="1277"/>
      <c r="Q72" s="1277"/>
      <c r="R72" s="1277"/>
      <c r="S72" s="1277"/>
      <c r="T72" s="1277"/>
      <c r="U72" s="1277"/>
      <c r="V72" s="1277"/>
      <c r="W72" s="1277"/>
      <c r="X72" s="1277"/>
      <c r="Y72" s="1277"/>
      <c r="Z72" s="1277"/>
      <c r="AA72" s="1277"/>
      <c r="AB72" s="1277"/>
      <c r="AC72" s="1277"/>
      <c r="AD72" s="1277"/>
      <c r="AE72" s="1277"/>
      <c r="AF72" s="1277"/>
      <c r="AG72" s="1277"/>
      <c r="AH72" s="1277"/>
      <c r="AI72" s="1277"/>
      <c r="AJ72" s="1277"/>
      <c r="AK72" s="1277"/>
      <c r="AL72" s="1277"/>
      <c r="AM72" s="1277"/>
      <c r="AN72" s="1277"/>
      <c r="AO72" s="1277"/>
      <c r="AP72" s="1277"/>
      <c r="AQ72" s="1277"/>
      <c r="AR72" s="1277"/>
      <c r="AS72" s="1277"/>
      <c r="AT72" s="1278"/>
      <c r="AU72" s="1277"/>
      <c r="AV72" s="1277"/>
      <c r="AW72" s="1277"/>
      <c r="AX72" s="1277"/>
      <c r="AY72" s="1277"/>
      <c r="AZ72" s="1277"/>
      <c r="BA72" s="1277"/>
      <c r="BB72" s="1277"/>
      <c r="BC72" s="1277"/>
      <c r="BD72" s="1277"/>
      <c r="BE72" s="1277"/>
      <c r="BF72" s="1277"/>
      <c r="BG72" s="1277"/>
      <c r="BH72" s="1277"/>
      <c r="BI72" s="1277"/>
      <c r="BJ72" s="1277"/>
      <c r="BK72" s="1277"/>
      <c r="BL72" s="1277"/>
      <c r="BM72" s="1277"/>
      <c r="BN72" s="1277"/>
      <c r="BO72" s="1277"/>
      <c r="BP72" s="1277"/>
      <c r="BQ72" s="1277"/>
      <c r="BR72" s="1277"/>
      <c r="BS72" s="1277"/>
      <c r="BT72" s="1277"/>
      <c r="BU72" s="1277"/>
      <c r="BV72" s="1277"/>
      <c r="BW72" s="1277"/>
      <c r="BX72" s="1277"/>
      <c r="BY72" s="1277"/>
      <c r="BZ72" s="1277"/>
      <c r="CA72" s="1277"/>
      <c r="CB72" s="1277"/>
      <c r="CC72" s="1277"/>
      <c r="CD72" s="1277"/>
      <c r="CE72" s="1277"/>
      <c r="CF72" s="1277"/>
      <c r="CG72" s="1277"/>
      <c r="CH72" s="1277"/>
      <c r="CI72" s="1277"/>
      <c r="CJ72" s="1277"/>
      <c r="CK72" s="1277"/>
      <c r="CL72" s="1277"/>
    </row>
    <row r="73" spans="1:90">
      <c r="A73" s="1277"/>
      <c r="B73" s="1277"/>
      <c r="C73" s="1277"/>
      <c r="D73" s="1277"/>
      <c r="E73" s="1277"/>
      <c r="F73" s="1277"/>
      <c r="G73" s="1277"/>
      <c r="H73" s="1277"/>
      <c r="I73" s="1277"/>
      <c r="J73" s="1277"/>
      <c r="K73" s="1277"/>
      <c r="L73" s="1277"/>
      <c r="M73" s="1277"/>
      <c r="N73" s="1277"/>
      <c r="O73" s="1277"/>
      <c r="P73" s="1277"/>
      <c r="Q73" s="1277"/>
      <c r="R73" s="1277"/>
      <c r="S73" s="1277"/>
      <c r="T73" s="1277"/>
      <c r="U73" s="1277"/>
      <c r="V73" s="1277"/>
      <c r="W73" s="1277"/>
      <c r="X73" s="1277"/>
      <c r="Y73" s="1277"/>
      <c r="Z73" s="1277"/>
      <c r="AA73" s="1277"/>
      <c r="AB73" s="1277"/>
      <c r="AC73" s="1277"/>
      <c r="AD73" s="1277"/>
      <c r="AE73" s="1277"/>
      <c r="AF73" s="1277"/>
      <c r="AG73" s="1277"/>
      <c r="AH73" s="1277"/>
      <c r="AI73" s="1277"/>
      <c r="AJ73" s="1277"/>
      <c r="AK73" s="1277"/>
      <c r="AL73" s="1277"/>
      <c r="AM73" s="1277"/>
      <c r="AN73" s="1277"/>
      <c r="AO73" s="1277"/>
      <c r="AP73" s="1277"/>
      <c r="AQ73" s="1277"/>
      <c r="AR73" s="1277"/>
      <c r="AS73" s="1277"/>
      <c r="AT73" s="1278"/>
      <c r="AU73" s="1277"/>
      <c r="AV73" s="1277"/>
      <c r="AW73" s="1277"/>
      <c r="AX73" s="1277"/>
      <c r="AY73" s="1277"/>
      <c r="AZ73" s="1277"/>
      <c r="BA73" s="1277"/>
      <c r="BB73" s="1277"/>
      <c r="BC73" s="1277"/>
      <c r="BD73" s="1277"/>
      <c r="BE73" s="1277"/>
      <c r="BF73" s="1277"/>
      <c r="BG73" s="1277"/>
      <c r="BH73" s="1277"/>
      <c r="BI73" s="1277"/>
      <c r="BJ73" s="1277"/>
      <c r="BK73" s="1277"/>
      <c r="BL73" s="1277"/>
      <c r="BM73" s="1277"/>
      <c r="BN73" s="1277"/>
      <c r="BO73" s="1277"/>
      <c r="BP73" s="1277"/>
      <c r="BQ73" s="1277"/>
      <c r="BR73" s="1277"/>
      <c r="BS73" s="1277"/>
      <c r="BT73" s="1277"/>
      <c r="BU73" s="1277"/>
      <c r="BV73" s="1277"/>
      <c r="BW73" s="1277"/>
      <c r="BX73" s="1277"/>
      <c r="BY73" s="1277"/>
      <c r="BZ73" s="1277"/>
      <c r="CA73" s="1277"/>
      <c r="CB73" s="1277"/>
      <c r="CC73" s="1277"/>
      <c r="CD73" s="1277"/>
      <c r="CE73" s="1277"/>
      <c r="CF73" s="1277"/>
      <c r="CG73" s="1277"/>
      <c r="CH73" s="1277"/>
      <c r="CI73" s="1277"/>
      <c r="CJ73" s="1277"/>
      <c r="CK73" s="1277"/>
      <c r="CL73" s="1277"/>
    </row>
    <row r="74" spans="1:90">
      <c r="A74" s="1277"/>
      <c r="B74" s="1277"/>
      <c r="C74" s="1277"/>
      <c r="D74" s="1277"/>
      <c r="E74" s="1277"/>
      <c r="F74" s="1277"/>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7"/>
      <c r="AQ74" s="1277"/>
      <c r="AR74" s="1277"/>
      <c r="AS74" s="1277"/>
      <c r="AT74" s="1278"/>
      <c r="AU74" s="1277"/>
      <c r="AV74" s="1277"/>
      <c r="AW74" s="1277"/>
      <c r="AX74" s="1277"/>
      <c r="AY74" s="1277"/>
      <c r="AZ74" s="1277"/>
      <c r="BA74" s="1277"/>
      <c r="BB74" s="1277"/>
      <c r="BC74" s="1277"/>
      <c r="BD74" s="1277"/>
      <c r="BE74" s="1277"/>
      <c r="BF74" s="1277"/>
      <c r="BG74" s="1277"/>
      <c r="BH74" s="1277"/>
      <c r="BI74" s="1277"/>
      <c r="BJ74" s="1277"/>
      <c r="BK74" s="1277"/>
      <c r="BL74" s="1277"/>
      <c r="BM74" s="1277"/>
      <c r="BN74" s="1277"/>
      <c r="BO74" s="1277"/>
      <c r="BP74" s="1277"/>
      <c r="BQ74" s="1277"/>
      <c r="BR74" s="1277"/>
      <c r="BS74" s="1277"/>
      <c r="BT74" s="1277"/>
      <c r="BU74" s="1277"/>
      <c r="BV74" s="1277"/>
      <c r="BW74" s="1277"/>
      <c r="BX74" s="1277"/>
      <c r="BY74" s="1277"/>
      <c r="BZ74" s="1277"/>
      <c r="CA74" s="1277"/>
      <c r="CB74" s="1277"/>
      <c r="CC74" s="1277"/>
      <c r="CD74" s="1277"/>
      <c r="CE74" s="1277"/>
      <c r="CF74" s="1277"/>
      <c r="CG74" s="1277"/>
      <c r="CH74" s="1277"/>
      <c r="CI74" s="1277"/>
      <c r="CJ74" s="1277"/>
      <c r="CK74" s="1277"/>
      <c r="CL74" s="1277"/>
    </row>
    <row r="75" spans="1:90">
      <c r="A75" s="1277"/>
      <c r="B75" s="1277"/>
      <c r="C75" s="1277"/>
      <c r="D75" s="1277"/>
      <c r="E75" s="1277"/>
      <c r="F75" s="1277"/>
      <c r="G75" s="1277"/>
      <c r="H75" s="1277"/>
      <c r="I75" s="1277"/>
      <c r="J75" s="1277"/>
      <c r="K75" s="1277"/>
      <c r="L75" s="1277"/>
      <c r="M75" s="1277"/>
      <c r="N75" s="1277"/>
      <c r="O75" s="1277"/>
      <c r="P75" s="1277"/>
      <c r="Q75" s="1277"/>
      <c r="R75" s="1277"/>
      <c r="S75" s="1277"/>
      <c r="T75" s="1277"/>
      <c r="U75" s="1277"/>
      <c r="V75" s="1277"/>
      <c r="W75" s="1277"/>
      <c r="X75" s="1277"/>
      <c r="Y75" s="1277"/>
      <c r="Z75" s="1277"/>
      <c r="AA75" s="1277"/>
      <c r="AB75" s="1277"/>
      <c r="AC75" s="1277"/>
      <c r="AD75" s="1277"/>
      <c r="AE75" s="1277"/>
      <c r="AF75" s="1277"/>
      <c r="AG75" s="1277"/>
      <c r="AH75" s="1277"/>
      <c r="AI75" s="1277"/>
      <c r="AJ75" s="1277"/>
      <c r="AK75" s="1277"/>
      <c r="AL75" s="1277"/>
      <c r="AM75" s="1277"/>
      <c r="AN75" s="1277"/>
      <c r="AO75" s="1277"/>
      <c r="AP75" s="1277"/>
      <c r="AQ75" s="1277"/>
      <c r="AR75" s="1277"/>
      <c r="AS75" s="1277"/>
      <c r="AT75" s="1278"/>
      <c r="AU75" s="1277"/>
      <c r="AV75" s="1277"/>
      <c r="AW75" s="1277"/>
      <c r="AX75" s="1277"/>
      <c r="AY75" s="1277"/>
      <c r="AZ75" s="1277"/>
      <c r="BA75" s="1277"/>
      <c r="BB75" s="1277"/>
      <c r="BC75" s="1277"/>
      <c r="BD75" s="1277"/>
      <c r="BE75" s="1277"/>
      <c r="BF75" s="1277"/>
      <c r="BG75" s="1277"/>
      <c r="BH75" s="1277"/>
      <c r="BI75" s="1277"/>
      <c r="BJ75" s="1277"/>
      <c r="BK75" s="1277"/>
      <c r="BL75" s="1277"/>
      <c r="BM75" s="1277"/>
      <c r="BN75" s="1277"/>
      <c r="BO75" s="1277"/>
      <c r="BP75" s="1277"/>
      <c r="BQ75" s="1277"/>
      <c r="BR75" s="1277"/>
      <c r="BS75" s="1277"/>
      <c r="BT75" s="1277"/>
      <c r="BU75" s="1277"/>
      <c r="BV75" s="1277"/>
      <c r="BW75" s="1277"/>
      <c r="BX75" s="1277"/>
      <c r="BY75" s="1277"/>
      <c r="BZ75" s="1277"/>
      <c r="CA75" s="1277"/>
      <c r="CB75" s="1277"/>
      <c r="CC75" s="1277"/>
      <c r="CD75" s="1277"/>
      <c r="CE75" s="1277"/>
      <c r="CF75" s="1277"/>
      <c r="CG75" s="1277"/>
      <c r="CH75" s="1277"/>
      <c r="CI75" s="1277"/>
      <c r="CJ75" s="1277"/>
      <c r="CK75" s="1277"/>
      <c r="CL75" s="1277"/>
    </row>
    <row r="76" spans="1:90">
      <c r="A76" s="1279"/>
      <c r="B76" s="1279"/>
      <c r="C76" s="1277"/>
      <c r="D76" s="1277"/>
      <c r="E76" s="1277"/>
      <c r="F76" s="1277"/>
      <c r="G76" s="1277"/>
      <c r="H76" s="1277"/>
      <c r="I76" s="1277"/>
      <c r="J76" s="1277"/>
      <c r="K76" s="1277"/>
      <c r="L76" s="1277"/>
      <c r="M76" s="1277"/>
      <c r="N76" s="1277"/>
      <c r="O76" s="1277"/>
      <c r="P76" s="1277"/>
      <c r="Q76" s="1277"/>
      <c r="R76" s="1277"/>
      <c r="S76" s="1277"/>
      <c r="T76" s="1277"/>
      <c r="U76" s="1277"/>
      <c r="V76" s="1277"/>
      <c r="W76" s="1277"/>
      <c r="X76" s="1277"/>
      <c r="Y76" s="1277"/>
      <c r="Z76" s="1277"/>
      <c r="AA76" s="1277"/>
      <c r="AB76" s="1277"/>
      <c r="AC76" s="1277"/>
      <c r="AD76" s="1277"/>
      <c r="AE76" s="1277"/>
      <c r="AF76" s="1277"/>
      <c r="AG76" s="1277"/>
      <c r="AH76" s="1277"/>
      <c r="AI76" s="1277"/>
      <c r="AJ76" s="1277"/>
      <c r="AK76" s="1277"/>
      <c r="AL76" s="1277"/>
      <c r="AM76" s="1277"/>
      <c r="AN76" s="1277"/>
      <c r="AO76" s="1277"/>
      <c r="AP76" s="1277"/>
      <c r="AQ76" s="1277"/>
      <c r="AR76" s="1277"/>
      <c r="AS76" s="1277"/>
      <c r="AT76" s="1278"/>
      <c r="AU76" s="1277"/>
      <c r="AV76" s="1277"/>
      <c r="AW76" s="1277"/>
      <c r="AX76" s="1277"/>
      <c r="AY76" s="1277"/>
      <c r="AZ76" s="1277"/>
      <c r="BA76" s="1277"/>
      <c r="BB76" s="1277"/>
      <c r="BC76" s="1277"/>
      <c r="BD76" s="1277"/>
      <c r="BE76" s="1277"/>
      <c r="BF76" s="1277"/>
      <c r="BG76" s="1277"/>
      <c r="BH76" s="1277"/>
      <c r="BI76" s="1277"/>
      <c r="BJ76" s="1277"/>
      <c r="BK76" s="1277"/>
      <c r="BL76" s="1277"/>
      <c r="BM76" s="1277"/>
      <c r="BN76" s="1277"/>
      <c r="BO76" s="1277"/>
      <c r="BP76" s="1277"/>
      <c r="BQ76" s="1277"/>
      <c r="BR76" s="1277"/>
      <c r="BS76" s="1277"/>
      <c r="BT76" s="1277"/>
      <c r="BU76" s="1277"/>
      <c r="BV76" s="1277"/>
      <c r="BW76" s="1277"/>
      <c r="BX76" s="1277"/>
      <c r="BY76" s="1277"/>
      <c r="BZ76" s="1277"/>
      <c r="CA76" s="1277"/>
      <c r="CB76" s="1277"/>
      <c r="CC76" s="1277"/>
      <c r="CD76" s="1277"/>
      <c r="CE76" s="1277"/>
      <c r="CF76" s="1277"/>
      <c r="CG76" s="1277"/>
      <c r="CH76" s="1277"/>
      <c r="CI76" s="1277"/>
      <c r="CJ76" s="1277"/>
      <c r="CK76" s="1277"/>
      <c r="CL76" s="1277"/>
    </row>
    <row r="77" spans="1:90">
      <c r="A77" s="1277"/>
      <c r="B77" s="1277"/>
      <c r="C77" s="1277"/>
      <c r="D77" s="1277"/>
      <c r="E77" s="1277"/>
      <c r="F77" s="1277"/>
      <c r="G77" s="1277"/>
      <c r="H77" s="1277"/>
      <c r="I77" s="1277"/>
      <c r="J77" s="1277"/>
      <c r="K77" s="1277"/>
      <c r="L77" s="1277"/>
      <c r="M77" s="1277"/>
      <c r="N77" s="1277"/>
      <c r="O77" s="1277"/>
      <c r="P77" s="1277"/>
      <c r="Q77" s="1277"/>
      <c r="R77" s="1277"/>
      <c r="S77" s="1277"/>
      <c r="T77" s="1277"/>
      <c r="U77" s="1277"/>
      <c r="V77" s="1277"/>
      <c r="W77" s="1277"/>
      <c r="X77" s="1277"/>
      <c r="Y77" s="1277"/>
      <c r="Z77" s="1277"/>
      <c r="AA77" s="1277"/>
      <c r="AB77" s="1277"/>
      <c r="AC77" s="1277"/>
      <c r="AD77" s="1277"/>
      <c r="AE77" s="1277"/>
      <c r="AF77" s="1277"/>
      <c r="AG77" s="1277"/>
      <c r="AH77" s="1277"/>
      <c r="AI77" s="1277"/>
      <c r="AJ77" s="1277"/>
      <c r="AK77" s="1277"/>
      <c r="AL77" s="1277"/>
      <c r="AM77" s="1277"/>
      <c r="AN77" s="1277"/>
      <c r="AO77" s="1277"/>
      <c r="AP77" s="1277"/>
      <c r="AQ77" s="1277"/>
      <c r="AR77" s="1277"/>
      <c r="AS77" s="1277"/>
      <c r="AT77" s="1278"/>
      <c r="AU77" s="1277"/>
      <c r="AV77" s="1277"/>
      <c r="AW77" s="1277"/>
      <c r="AX77" s="1277"/>
      <c r="AY77" s="1277"/>
      <c r="AZ77" s="1277"/>
      <c r="BA77" s="1277"/>
      <c r="BB77" s="1277"/>
      <c r="BC77" s="1277"/>
      <c r="BD77" s="1277"/>
      <c r="BE77" s="1277"/>
      <c r="BF77" s="1277"/>
      <c r="BG77" s="1277"/>
      <c r="BH77" s="1277"/>
      <c r="BI77" s="1277"/>
      <c r="BJ77" s="1277"/>
      <c r="BK77" s="1277"/>
      <c r="BL77" s="1277"/>
      <c r="BM77" s="1277"/>
      <c r="BN77" s="1277"/>
      <c r="BO77" s="1277"/>
      <c r="BP77" s="1277"/>
      <c r="BQ77" s="1277"/>
      <c r="BR77" s="1277"/>
      <c r="BS77" s="1277"/>
      <c r="BT77" s="1277"/>
      <c r="BU77" s="1277"/>
      <c r="BV77" s="1277"/>
      <c r="BW77" s="1277"/>
      <c r="BX77" s="1277"/>
      <c r="BY77" s="1277"/>
      <c r="BZ77" s="1277"/>
      <c r="CA77" s="1277"/>
      <c r="CB77" s="1277"/>
      <c r="CC77" s="1277"/>
      <c r="CD77" s="1277"/>
      <c r="CE77" s="1277"/>
      <c r="CF77" s="1277"/>
      <c r="CG77" s="1277"/>
      <c r="CH77" s="1277"/>
      <c r="CI77" s="1277"/>
      <c r="CJ77" s="1277"/>
      <c r="CK77" s="1277"/>
      <c r="CL77" s="1277"/>
    </row>
    <row r="78" spans="1:90">
      <c r="A78" s="1277"/>
      <c r="B78" s="1277"/>
      <c r="C78" s="1277"/>
      <c r="D78" s="1277"/>
      <c r="E78" s="1277"/>
      <c r="F78" s="1277"/>
      <c r="G78" s="1277"/>
      <c r="H78" s="1277"/>
      <c r="I78" s="1277"/>
      <c r="J78" s="1277"/>
      <c r="K78" s="1277"/>
      <c r="L78" s="1277"/>
      <c r="M78" s="1277"/>
      <c r="N78" s="1277"/>
      <c r="O78" s="1277"/>
      <c r="P78" s="1277"/>
      <c r="Q78" s="1277"/>
      <c r="R78" s="1277"/>
      <c r="S78" s="1277"/>
      <c r="T78" s="1277"/>
      <c r="U78" s="1277"/>
      <c r="V78" s="1277"/>
      <c r="W78" s="1277"/>
      <c r="X78" s="1277"/>
      <c r="Y78" s="1277"/>
      <c r="Z78" s="1277"/>
      <c r="AA78" s="1277"/>
      <c r="AB78" s="1277"/>
      <c r="AC78" s="1277"/>
      <c r="AD78" s="1277"/>
      <c r="AE78" s="1277"/>
      <c r="AF78" s="1277"/>
      <c r="AG78" s="1277"/>
      <c r="AH78" s="1277"/>
      <c r="AI78" s="1277"/>
      <c r="AJ78" s="1277"/>
      <c r="AK78" s="1277"/>
      <c r="AL78" s="1277"/>
      <c r="AM78" s="1277"/>
      <c r="AN78" s="1277"/>
      <c r="AO78" s="1277"/>
      <c r="AP78" s="1277"/>
      <c r="AQ78" s="1277"/>
      <c r="AR78" s="1277"/>
      <c r="AS78" s="1277"/>
      <c r="AT78" s="1278"/>
      <c r="AU78" s="1277"/>
      <c r="AV78" s="1277"/>
      <c r="AW78" s="1277"/>
      <c r="AX78" s="1277"/>
      <c r="AY78" s="1277"/>
      <c r="AZ78" s="1277"/>
      <c r="BA78" s="1277"/>
      <c r="BB78" s="1277"/>
      <c r="BC78" s="1277"/>
      <c r="BD78" s="1277"/>
      <c r="BE78" s="1277"/>
      <c r="BF78" s="1277"/>
      <c r="BG78" s="1277"/>
      <c r="BH78" s="1277"/>
      <c r="BI78" s="1277"/>
      <c r="BJ78" s="1277"/>
      <c r="BK78" s="1277"/>
      <c r="BL78" s="1277"/>
      <c r="BM78" s="1277"/>
      <c r="BN78" s="1277"/>
      <c r="BO78" s="1277"/>
      <c r="BP78" s="1277"/>
      <c r="BQ78" s="1277"/>
      <c r="BR78" s="1277"/>
      <c r="BS78" s="1277"/>
      <c r="BT78" s="1277"/>
      <c r="BU78" s="1277"/>
      <c r="BV78" s="1277"/>
      <c r="BW78" s="1277"/>
      <c r="BX78" s="1277"/>
      <c r="BY78" s="1277"/>
      <c r="BZ78" s="1277"/>
      <c r="CA78" s="1277"/>
      <c r="CB78" s="1277"/>
      <c r="CC78" s="1277"/>
      <c r="CD78" s="1277"/>
      <c r="CE78" s="1277"/>
      <c r="CF78" s="1277"/>
      <c r="CG78" s="1277"/>
      <c r="CH78" s="1277"/>
      <c r="CI78" s="1277"/>
      <c r="CJ78" s="1277"/>
      <c r="CK78" s="1277"/>
      <c r="CL78" s="1277"/>
    </row>
    <row r="79" spans="1:90">
      <c r="A79" s="1280"/>
      <c r="B79" s="1280"/>
      <c r="C79" s="1277"/>
      <c r="D79" s="1277"/>
      <c r="E79" s="1277"/>
      <c r="F79" s="1277"/>
      <c r="G79" s="1277"/>
      <c r="H79" s="1277"/>
      <c r="I79" s="1277"/>
      <c r="J79" s="1277"/>
      <c r="K79" s="1277"/>
      <c r="L79" s="1277"/>
      <c r="M79" s="1277"/>
      <c r="N79" s="1277"/>
      <c r="O79" s="1277"/>
      <c r="P79" s="1277"/>
      <c r="Q79" s="1277"/>
      <c r="R79" s="1277"/>
      <c r="S79" s="1277"/>
      <c r="T79" s="1277"/>
      <c r="U79" s="1277"/>
      <c r="V79" s="1277"/>
      <c r="W79" s="1277"/>
      <c r="X79" s="1277"/>
      <c r="Y79" s="1277"/>
      <c r="Z79" s="1277"/>
      <c r="AA79" s="1277"/>
      <c r="AB79" s="1277"/>
      <c r="AC79" s="1277"/>
      <c r="AD79" s="1277"/>
      <c r="AE79" s="1277"/>
      <c r="AF79" s="1277"/>
      <c r="AG79" s="1277"/>
      <c r="AH79" s="1277"/>
      <c r="AI79" s="1277"/>
      <c r="AJ79" s="1277"/>
      <c r="AK79" s="1277"/>
      <c r="AL79" s="1277"/>
      <c r="AM79" s="1277"/>
      <c r="AN79" s="1277"/>
      <c r="AO79" s="1277"/>
      <c r="AP79" s="1277"/>
      <c r="AQ79" s="1277"/>
      <c r="AR79" s="1277"/>
      <c r="AS79" s="1277"/>
      <c r="AT79" s="1278"/>
      <c r="AU79" s="1277"/>
      <c r="AV79" s="1277"/>
      <c r="AW79" s="1277"/>
      <c r="AX79" s="1277"/>
      <c r="AY79" s="1277"/>
      <c r="AZ79" s="1277"/>
      <c r="BA79" s="1277"/>
      <c r="BB79" s="1277"/>
      <c r="BC79" s="1277"/>
      <c r="BD79" s="1277"/>
      <c r="BE79" s="1277"/>
      <c r="BF79" s="1277"/>
      <c r="BG79" s="1277"/>
      <c r="BH79" s="1277"/>
      <c r="BI79" s="1277"/>
      <c r="BJ79" s="1277"/>
      <c r="BK79" s="1277"/>
      <c r="BL79" s="1277"/>
      <c r="BM79" s="1277"/>
      <c r="BN79" s="1277"/>
      <c r="BO79" s="1277"/>
      <c r="BP79" s="1277"/>
      <c r="BQ79" s="1277"/>
      <c r="BR79" s="1277"/>
      <c r="BS79" s="1277"/>
      <c r="BT79" s="1277"/>
      <c r="BU79" s="1277"/>
      <c r="BV79" s="1277"/>
      <c r="BW79" s="1277"/>
      <c r="BX79" s="1277"/>
      <c r="BY79" s="1277"/>
      <c r="BZ79" s="1277"/>
      <c r="CA79" s="1277"/>
      <c r="CB79" s="1277"/>
      <c r="CC79" s="1277"/>
      <c r="CD79" s="1277"/>
      <c r="CE79" s="1277"/>
      <c r="CF79" s="1277"/>
      <c r="CG79" s="1277"/>
      <c r="CH79" s="1277"/>
      <c r="CI79" s="1277"/>
      <c r="CJ79" s="1277"/>
      <c r="CK79" s="1277"/>
      <c r="CL79" s="1277"/>
    </row>
    <row r="80" spans="1:90">
      <c r="A80" s="1277"/>
      <c r="B80" s="1277"/>
      <c r="C80" s="1277"/>
      <c r="D80" s="1277"/>
      <c r="E80" s="1277"/>
      <c r="F80" s="1277"/>
      <c r="G80" s="1277"/>
      <c r="H80" s="1277"/>
      <c r="I80" s="1277"/>
      <c r="J80" s="1277"/>
      <c r="K80" s="1277"/>
      <c r="L80" s="1277"/>
      <c r="M80" s="1277"/>
      <c r="N80" s="1277"/>
      <c r="O80" s="1277"/>
      <c r="P80" s="1277"/>
      <c r="Q80" s="1277"/>
      <c r="R80" s="1277"/>
      <c r="S80" s="1277"/>
      <c r="T80" s="1277"/>
      <c r="U80" s="1277"/>
      <c r="V80" s="1277"/>
      <c r="W80" s="1277"/>
      <c r="X80" s="1277"/>
      <c r="Y80" s="1277"/>
      <c r="Z80" s="1277"/>
      <c r="AA80" s="1277"/>
      <c r="AB80" s="1277"/>
      <c r="AC80" s="1277"/>
      <c r="AD80" s="1277"/>
      <c r="AE80" s="1277"/>
      <c r="AF80" s="1277"/>
      <c r="AG80" s="1277"/>
      <c r="AH80" s="1277"/>
      <c r="AI80" s="1277"/>
      <c r="AJ80" s="1277"/>
      <c r="AK80" s="1277"/>
      <c r="AL80" s="1277"/>
      <c r="AM80" s="1277"/>
      <c r="AN80" s="1277"/>
      <c r="AO80" s="1277"/>
      <c r="AP80" s="1277"/>
      <c r="AQ80" s="1277"/>
      <c r="AR80" s="1277"/>
      <c r="AS80" s="1277"/>
      <c r="AT80" s="1277"/>
      <c r="AU80" s="1277"/>
      <c r="AV80" s="1277"/>
      <c r="AW80" s="1277"/>
      <c r="AX80" s="1277"/>
      <c r="AY80" s="1277"/>
      <c r="AZ80" s="1277"/>
      <c r="BA80" s="1277"/>
      <c r="BB80" s="1277"/>
      <c r="BC80" s="1277"/>
      <c r="BD80" s="1277"/>
      <c r="BE80" s="1277"/>
      <c r="BF80" s="1277"/>
      <c r="BG80" s="1277"/>
      <c r="BH80" s="1277"/>
      <c r="BI80" s="1277"/>
      <c r="BJ80" s="1277"/>
      <c r="BK80" s="1277"/>
      <c r="BL80" s="1277"/>
      <c r="BM80" s="1277"/>
      <c r="BN80" s="1277"/>
      <c r="BO80" s="1277"/>
      <c r="BP80" s="1277"/>
      <c r="BQ80" s="1277"/>
      <c r="BR80" s="1277"/>
      <c r="BS80" s="1277"/>
      <c r="BT80" s="1277"/>
      <c r="BU80" s="1277"/>
      <c r="BV80" s="1277"/>
      <c r="BW80" s="1277"/>
      <c r="BX80" s="1277"/>
      <c r="BY80" s="1277"/>
      <c r="BZ80" s="1277"/>
      <c r="CA80" s="1277"/>
      <c r="CB80" s="1277"/>
      <c r="CC80" s="1277"/>
      <c r="CD80" s="1277"/>
      <c r="CE80" s="1277"/>
      <c r="CF80" s="1277"/>
      <c r="CG80" s="1277"/>
      <c r="CH80" s="1277"/>
      <c r="CI80" s="1277"/>
      <c r="CJ80" s="1277"/>
      <c r="CK80" s="1277"/>
      <c r="CL80" s="1277"/>
    </row>
    <row r="81" spans="1:90">
      <c r="A81" s="1277"/>
      <c r="B81" s="1277"/>
      <c r="C81" s="1277"/>
      <c r="D81" s="1277"/>
      <c r="E81" s="1277"/>
      <c r="F81" s="1277"/>
      <c r="G81" s="1277"/>
      <c r="H81" s="1277"/>
      <c r="I81" s="1277"/>
      <c r="J81" s="1277"/>
      <c r="K81" s="1277"/>
      <c r="L81" s="1277"/>
      <c r="M81" s="1277"/>
      <c r="N81" s="1277"/>
      <c r="O81" s="1277"/>
      <c r="P81" s="1277"/>
      <c r="Q81" s="1277"/>
      <c r="R81" s="1277"/>
      <c r="S81" s="1277"/>
      <c r="T81" s="1277"/>
      <c r="U81" s="1277"/>
      <c r="V81" s="1277"/>
      <c r="W81" s="1277"/>
      <c r="X81" s="1277"/>
      <c r="Y81" s="1277"/>
      <c r="Z81" s="1277"/>
      <c r="AA81" s="1277"/>
      <c r="AB81" s="1277"/>
      <c r="AC81" s="1277"/>
      <c r="AD81" s="1277"/>
      <c r="AE81" s="1277"/>
      <c r="AF81" s="1277"/>
      <c r="AG81" s="1277"/>
      <c r="AH81" s="1277"/>
      <c r="AI81" s="1277"/>
      <c r="AJ81" s="1277"/>
      <c r="AK81" s="1277"/>
      <c r="AL81" s="1277"/>
      <c r="AM81" s="1277"/>
      <c r="AN81" s="1277"/>
      <c r="AO81" s="1277"/>
      <c r="AP81" s="1277"/>
      <c r="AQ81" s="1277"/>
      <c r="AR81" s="1277"/>
      <c r="AS81" s="1277"/>
      <c r="AT81" s="1277"/>
      <c r="AU81" s="1277"/>
      <c r="AV81" s="1277"/>
      <c r="AW81" s="1277"/>
      <c r="AX81" s="1277"/>
      <c r="AY81" s="1277"/>
      <c r="AZ81" s="1277"/>
      <c r="BA81" s="1277"/>
      <c r="BB81" s="1277"/>
      <c r="BC81" s="1277"/>
      <c r="BD81" s="1277"/>
      <c r="BE81" s="1277"/>
      <c r="BF81" s="1277"/>
      <c r="BG81" s="1277"/>
      <c r="BH81" s="1277"/>
      <c r="BI81" s="1277"/>
      <c r="BJ81" s="1277"/>
      <c r="BK81" s="1277"/>
      <c r="BL81" s="1277"/>
      <c r="BM81" s="1277"/>
      <c r="BN81" s="1277"/>
      <c r="BO81" s="1277"/>
      <c r="BP81" s="1277"/>
      <c r="BQ81" s="1277"/>
      <c r="BR81" s="1277"/>
      <c r="BS81" s="1277"/>
      <c r="BT81" s="1277"/>
      <c r="BU81" s="1277"/>
      <c r="BV81" s="1277"/>
      <c r="BW81" s="1277"/>
      <c r="BX81" s="1277"/>
      <c r="BY81" s="1277"/>
      <c r="BZ81" s="1277"/>
      <c r="CA81" s="1277"/>
      <c r="CB81" s="1277"/>
      <c r="CC81" s="1277"/>
      <c r="CD81" s="1277"/>
      <c r="CE81" s="1277"/>
      <c r="CF81" s="1277"/>
      <c r="CG81" s="1277"/>
      <c r="CH81" s="1277"/>
      <c r="CI81" s="1277"/>
      <c r="CJ81" s="1277"/>
      <c r="CK81" s="1277"/>
      <c r="CL81" s="1277"/>
    </row>
    <row r="82" spans="1:90">
      <c r="A82" s="1277"/>
      <c r="B82" s="1277"/>
      <c r="C82" s="1277"/>
      <c r="D82" s="1277"/>
      <c r="E82" s="1277"/>
      <c r="F82" s="1277"/>
      <c r="G82" s="1277"/>
      <c r="H82" s="1277"/>
      <c r="I82" s="1277"/>
      <c r="J82" s="1277"/>
      <c r="K82" s="1277"/>
      <c r="L82" s="1277"/>
      <c r="M82" s="1277"/>
      <c r="N82" s="1277"/>
      <c r="O82" s="1277"/>
      <c r="P82" s="1277"/>
      <c r="Q82" s="1277"/>
      <c r="R82" s="1277"/>
      <c r="S82" s="1277"/>
      <c r="T82" s="1277"/>
      <c r="U82" s="1277"/>
      <c r="V82" s="1277"/>
      <c r="W82" s="1277"/>
      <c r="X82" s="1277"/>
      <c r="Y82" s="1277"/>
      <c r="Z82" s="1277"/>
      <c r="AA82" s="1277"/>
      <c r="AB82" s="1277"/>
      <c r="AC82" s="1277"/>
      <c r="AD82" s="1277"/>
      <c r="AE82" s="1277"/>
      <c r="AF82" s="1277"/>
      <c r="AG82" s="1277"/>
      <c r="AH82" s="1277"/>
      <c r="AI82" s="1277"/>
      <c r="AJ82" s="1277"/>
      <c r="AK82" s="1277"/>
      <c r="AL82" s="1277"/>
      <c r="AM82" s="1277"/>
      <c r="AN82" s="1277"/>
      <c r="AO82" s="1277"/>
      <c r="AP82" s="1277"/>
      <c r="AQ82" s="1277"/>
      <c r="AR82" s="1277"/>
      <c r="AS82" s="1277"/>
      <c r="AT82" s="1277"/>
      <c r="AU82" s="1277"/>
      <c r="AV82" s="1277"/>
      <c r="AW82" s="1277"/>
      <c r="AX82" s="1277"/>
      <c r="AY82" s="1277"/>
      <c r="AZ82" s="1277"/>
      <c r="BA82" s="1277"/>
      <c r="BB82" s="1277"/>
      <c r="BC82" s="1277"/>
      <c r="BD82" s="1277"/>
      <c r="BE82" s="1277"/>
      <c r="BF82" s="1277"/>
      <c r="BG82" s="1277"/>
      <c r="BH82" s="1277"/>
      <c r="BI82" s="1277"/>
      <c r="BJ82" s="1277"/>
      <c r="BK82" s="1277"/>
      <c r="BL82" s="1277"/>
      <c r="BM82" s="1277"/>
      <c r="BN82" s="1277"/>
      <c r="BO82" s="1277"/>
      <c r="BP82" s="1277"/>
      <c r="BQ82" s="1277"/>
      <c r="BR82" s="1277"/>
      <c r="BS82" s="1277"/>
      <c r="BT82" s="1277"/>
      <c r="BU82" s="1277"/>
      <c r="BV82" s="1277"/>
      <c r="BW82" s="1277"/>
      <c r="BX82" s="1277"/>
      <c r="BY82" s="1277"/>
      <c r="BZ82" s="1277"/>
      <c r="CA82" s="1277"/>
      <c r="CB82" s="1277"/>
      <c r="CC82" s="1277"/>
      <c r="CD82" s="1277"/>
      <c r="CE82" s="1277"/>
      <c r="CF82" s="1277"/>
      <c r="CG82" s="1277"/>
      <c r="CH82" s="1277"/>
      <c r="CI82" s="1277"/>
      <c r="CJ82" s="1277"/>
      <c r="CK82" s="1277"/>
      <c r="CL82" s="1277"/>
    </row>
    <row r="83" spans="1:90">
      <c r="A83" s="1277"/>
      <c r="B83" s="1277"/>
      <c r="C83" s="1277"/>
      <c r="D83" s="1277"/>
      <c r="E83" s="1277"/>
      <c r="F83" s="1277"/>
      <c r="G83" s="1277"/>
      <c r="H83" s="1277"/>
      <c r="I83" s="1277"/>
      <c r="J83" s="1277"/>
      <c r="K83" s="1277"/>
      <c r="L83" s="1277"/>
      <c r="M83" s="1277"/>
      <c r="N83" s="1277"/>
      <c r="O83" s="1277"/>
      <c r="P83" s="1277"/>
      <c r="Q83" s="1277"/>
      <c r="R83" s="1277"/>
      <c r="S83" s="1277"/>
      <c r="T83" s="1277"/>
      <c r="U83" s="1277"/>
      <c r="V83" s="1277"/>
      <c r="W83" s="1277"/>
      <c r="X83" s="1277"/>
      <c r="Y83" s="1277"/>
      <c r="Z83" s="1277"/>
      <c r="AA83" s="1277"/>
      <c r="AB83" s="1277"/>
      <c r="AC83" s="1277"/>
      <c r="AD83" s="1277"/>
      <c r="AE83" s="1277"/>
      <c r="AF83" s="1277"/>
      <c r="AG83" s="1277"/>
      <c r="AH83" s="1277"/>
      <c r="AI83" s="1277"/>
      <c r="AJ83" s="1277"/>
      <c r="AK83" s="1277"/>
      <c r="AL83" s="1277"/>
      <c r="AM83" s="1277"/>
      <c r="AN83" s="1277"/>
      <c r="AO83" s="1277"/>
      <c r="AP83" s="1277"/>
      <c r="AQ83" s="1277"/>
      <c r="AR83" s="1277"/>
      <c r="AS83" s="1277"/>
      <c r="AT83" s="1277"/>
      <c r="AU83" s="1277"/>
      <c r="AV83" s="1277"/>
      <c r="AW83" s="1277"/>
      <c r="AX83" s="1277"/>
      <c r="AY83" s="1277"/>
      <c r="AZ83" s="1277"/>
      <c r="BA83" s="1277"/>
      <c r="BB83" s="1277"/>
      <c r="BC83" s="1277"/>
      <c r="BD83" s="1277"/>
      <c r="BE83" s="1277"/>
      <c r="BF83" s="1277"/>
      <c r="BG83" s="1277"/>
      <c r="BH83" s="1277"/>
      <c r="BI83" s="1277"/>
      <c r="BJ83" s="1277"/>
      <c r="BK83" s="1277"/>
      <c r="BL83" s="1277"/>
      <c r="BM83" s="1277"/>
      <c r="BN83" s="1277"/>
      <c r="BO83" s="1277"/>
      <c r="BP83" s="1277"/>
      <c r="BQ83" s="1277"/>
      <c r="BR83" s="1277"/>
      <c r="BS83" s="1277"/>
      <c r="BT83" s="1277"/>
      <c r="BU83" s="1277"/>
      <c r="BV83" s="1277"/>
      <c r="BW83" s="1277"/>
      <c r="BX83" s="1277"/>
      <c r="BY83" s="1277"/>
      <c r="BZ83" s="1277"/>
      <c r="CA83" s="1277"/>
      <c r="CB83" s="1277"/>
      <c r="CC83" s="1277"/>
      <c r="CD83" s="1277"/>
      <c r="CE83" s="1277"/>
      <c r="CF83" s="1277"/>
      <c r="CG83" s="1277"/>
      <c r="CH83" s="1277"/>
      <c r="CI83" s="1277"/>
      <c r="CJ83" s="1277"/>
      <c r="CK83" s="1277"/>
      <c r="CL83" s="1277"/>
    </row>
    <row r="84" spans="1:90">
      <c r="A84" s="1277"/>
      <c r="B84" s="1277"/>
      <c r="C84" s="1277"/>
      <c r="D84" s="1277"/>
      <c r="E84" s="1277"/>
      <c r="F84" s="1277"/>
      <c r="G84" s="1277"/>
      <c r="H84" s="1277"/>
      <c r="I84" s="1277"/>
      <c r="J84" s="1277"/>
      <c r="K84" s="1277"/>
      <c r="L84" s="1277"/>
      <c r="M84" s="1277"/>
      <c r="N84" s="1277"/>
      <c r="O84" s="1277"/>
      <c r="P84" s="1277"/>
      <c r="Q84" s="1277"/>
      <c r="R84" s="1277"/>
      <c r="S84" s="1277"/>
      <c r="T84" s="1277"/>
      <c r="U84" s="1277"/>
      <c r="V84" s="1277"/>
      <c r="W84" s="1277"/>
      <c r="X84" s="1277"/>
      <c r="Y84" s="1277"/>
      <c r="Z84" s="1277"/>
      <c r="AA84" s="1277"/>
      <c r="AB84" s="1277"/>
      <c r="AC84" s="1277"/>
      <c r="AD84" s="1277"/>
      <c r="AE84" s="1277"/>
      <c r="AF84" s="1277"/>
      <c r="AG84" s="1277"/>
      <c r="AH84" s="1277"/>
      <c r="AI84" s="1277"/>
      <c r="AJ84" s="1277"/>
      <c r="AK84" s="1277"/>
      <c r="AL84" s="1277"/>
      <c r="AM84" s="1277"/>
      <c r="AN84" s="1277"/>
      <c r="AO84" s="1277"/>
      <c r="AP84" s="1277"/>
      <c r="AQ84" s="1277"/>
      <c r="AR84" s="1277"/>
      <c r="AS84" s="1277"/>
      <c r="AT84" s="1277"/>
      <c r="AU84" s="1277"/>
      <c r="AV84" s="1277"/>
      <c r="AW84" s="1277"/>
      <c r="AX84" s="1277"/>
      <c r="AY84" s="1277"/>
      <c r="AZ84" s="1277"/>
      <c r="BA84" s="1277"/>
      <c r="BB84" s="1277"/>
      <c r="BC84" s="1277"/>
      <c r="BD84" s="1277"/>
      <c r="BE84" s="1277"/>
      <c r="BF84" s="1277"/>
      <c r="BG84" s="1277"/>
      <c r="BH84" s="1277"/>
      <c r="BI84" s="1277"/>
      <c r="BJ84" s="1277"/>
      <c r="BK84" s="1277"/>
      <c r="BL84" s="1277"/>
      <c r="BM84" s="1277"/>
      <c r="BN84" s="1277"/>
      <c r="BO84" s="1277"/>
      <c r="BP84" s="1277"/>
      <c r="BQ84" s="1277"/>
      <c r="BR84" s="1277"/>
      <c r="BS84" s="1277"/>
      <c r="BT84" s="1277"/>
      <c r="BU84" s="1277"/>
      <c r="BV84" s="1277"/>
      <c r="BW84" s="1277"/>
      <c r="BX84" s="1277"/>
      <c r="BY84" s="1277"/>
      <c r="BZ84" s="1277"/>
      <c r="CA84" s="1277"/>
      <c r="CB84" s="1277"/>
      <c r="CC84" s="1277"/>
      <c r="CD84" s="1277"/>
      <c r="CE84" s="1277"/>
      <c r="CF84" s="1277"/>
      <c r="CG84" s="1277"/>
      <c r="CH84" s="1277"/>
      <c r="CI84" s="1277"/>
      <c r="CJ84" s="1277"/>
      <c r="CK84" s="1277"/>
      <c r="CL84" s="1277"/>
    </row>
    <row r="85" spans="1:90">
      <c r="A85" s="1277"/>
      <c r="B85" s="1277"/>
      <c r="C85" s="1277"/>
      <c r="D85" s="1277"/>
      <c r="E85" s="1277"/>
      <c r="F85" s="1277"/>
      <c r="G85" s="1277"/>
      <c r="H85" s="1277"/>
      <c r="I85" s="1277"/>
      <c r="J85" s="1277"/>
      <c r="K85" s="1277"/>
      <c r="L85" s="1277"/>
      <c r="M85" s="1277"/>
      <c r="N85" s="1277"/>
      <c r="O85" s="1277"/>
      <c r="P85" s="1277"/>
      <c r="Q85" s="1277"/>
      <c r="R85" s="1277"/>
      <c r="S85" s="1277"/>
      <c r="T85" s="1277"/>
      <c r="U85" s="1277"/>
      <c r="V85" s="1277"/>
      <c r="W85" s="1277"/>
      <c r="X85" s="1277"/>
      <c r="Y85" s="1277"/>
      <c r="Z85" s="1277"/>
      <c r="AA85" s="1277"/>
      <c r="AB85" s="1277"/>
      <c r="AC85" s="1277"/>
      <c r="AD85" s="1277"/>
      <c r="AE85" s="1277"/>
      <c r="AF85" s="1277"/>
      <c r="AG85" s="1277"/>
      <c r="AH85" s="1277"/>
      <c r="AI85" s="1277"/>
      <c r="AJ85" s="1277"/>
      <c r="AK85" s="1277"/>
      <c r="AL85" s="1277"/>
      <c r="AM85" s="1277"/>
      <c r="AN85" s="1277"/>
      <c r="AO85" s="1277"/>
      <c r="AP85" s="1277"/>
      <c r="AQ85" s="1277"/>
      <c r="AR85" s="1277"/>
      <c r="AS85" s="1277"/>
      <c r="AT85" s="1277"/>
      <c r="AU85" s="1277"/>
      <c r="AV85" s="1277"/>
      <c r="AW85" s="1277"/>
      <c r="AX85" s="1277"/>
      <c r="AY85" s="1277"/>
      <c r="AZ85" s="1277"/>
      <c r="BA85" s="1277"/>
      <c r="BB85" s="1277"/>
      <c r="BC85" s="1277"/>
      <c r="BD85" s="1277"/>
      <c r="BE85" s="1277"/>
      <c r="BF85" s="1277"/>
      <c r="BG85" s="1277"/>
      <c r="BH85" s="1277"/>
      <c r="BI85" s="1277"/>
      <c r="BJ85" s="1277"/>
      <c r="BK85" s="1277"/>
      <c r="BL85" s="1277"/>
      <c r="BM85" s="1277"/>
      <c r="BN85" s="1277"/>
      <c r="BO85" s="1277"/>
      <c r="BP85" s="1277"/>
      <c r="BQ85" s="1277"/>
      <c r="BR85" s="1277"/>
      <c r="BS85" s="1277"/>
      <c r="BT85" s="1277"/>
      <c r="BU85" s="1277"/>
      <c r="BV85" s="1277"/>
      <c r="BW85" s="1277"/>
      <c r="BX85" s="1277"/>
      <c r="BY85" s="1277"/>
      <c r="BZ85" s="1277"/>
      <c r="CA85" s="1277"/>
      <c r="CB85" s="1277"/>
      <c r="CC85" s="1277"/>
      <c r="CD85" s="1277"/>
      <c r="CE85" s="1277"/>
      <c r="CF85" s="1277"/>
      <c r="CG85" s="1277"/>
      <c r="CH85" s="1277"/>
      <c r="CI85" s="1277"/>
      <c r="CJ85" s="1277"/>
      <c r="CK85" s="1277"/>
      <c r="CL85" s="1277"/>
    </row>
    <row r="86" spans="1:90">
      <c r="A86" s="1277"/>
      <c r="B86" s="1277"/>
      <c r="C86" s="1277"/>
      <c r="D86" s="1277"/>
      <c r="E86" s="1277"/>
      <c r="F86" s="1277"/>
      <c r="G86" s="1277"/>
      <c r="H86" s="1277"/>
      <c r="I86" s="1277"/>
      <c r="J86" s="1277"/>
      <c r="K86" s="1277"/>
      <c r="L86" s="1277"/>
      <c r="M86" s="1277"/>
      <c r="N86" s="1277"/>
      <c r="O86" s="1277"/>
      <c r="P86" s="1277"/>
      <c r="Q86" s="1277"/>
      <c r="R86" s="1277"/>
      <c r="S86" s="1277"/>
      <c r="T86" s="1277"/>
      <c r="U86" s="1277"/>
      <c r="V86" s="1277"/>
      <c r="W86" s="1277"/>
      <c r="X86" s="1277"/>
      <c r="Y86" s="1277"/>
      <c r="Z86" s="1277"/>
      <c r="AA86" s="1277"/>
      <c r="AB86" s="1277"/>
      <c r="AC86" s="1277"/>
      <c r="AD86" s="1277"/>
      <c r="AE86" s="1277"/>
      <c r="AF86" s="1277"/>
      <c r="AG86" s="1277"/>
      <c r="AH86" s="1277"/>
      <c r="AI86" s="1277"/>
      <c r="AJ86" s="1277"/>
      <c r="AK86" s="1277"/>
      <c r="AL86" s="1277"/>
      <c r="AM86" s="1277"/>
      <c r="AN86" s="1277"/>
      <c r="AO86" s="1277"/>
      <c r="AP86" s="1277"/>
      <c r="AQ86" s="1277"/>
      <c r="AR86" s="1277"/>
      <c r="AS86" s="1277"/>
      <c r="AT86" s="1277"/>
      <c r="AU86" s="1277"/>
      <c r="AV86" s="1277"/>
      <c r="AW86" s="1277"/>
      <c r="AX86" s="1277"/>
      <c r="AY86" s="1277"/>
      <c r="AZ86" s="1277"/>
      <c r="BA86" s="1277"/>
      <c r="BB86" s="1277"/>
      <c r="BC86" s="1277"/>
      <c r="BD86" s="1277"/>
      <c r="BE86" s="1277"/>
      <c r="BF86" s="1277"/>
      <c r="BG86" s="1277"/>
      <c r="BH86" s="1277"/>
      <c r="BI86" s="1277"/>
      <c r="BJ86" s="1277"/>
      <c r="BK86" s="1277"/>
      <c r="BL86" s="1277"/>
      <c r="BM86" s="1277"/>
      <c r="BN86" s="1277"/>
      <c r="BO86" s="1277"/>
      <c r="BP86" s="1277"/>
      <c r="BQ86" s="1277"/>
      <c r="BR86" s="1277"/>
      <c r="BS86" s="1277"/>
      <c r="BT86" s="1277"/>
      <c r="BU86" s="1277"/>
      <c r="BV86" s="1277"/>
      <c r="BW86" s="1277"/>
      <c r="BX86" s="1277"/>
      <c r="BY86" s="1277"/>
      <c r="BZ86" s="1277"/>
      <c r="CA86" s="1277"/>
      <c r="CB86" s="1277"/>
      <c r="CC86" s="1277"/>
      <c r="CD86" s="1277"/>
      <c r="CE86" s="1277"/>
      <c r="CF86" s="1277"/>
      <c r="CG86" s="1277"/>
      <c r="CH86" s="1277"/>
      <c r="CI86" s="1277"/>
      <c r="CJ86" s="1277"/>
      <c r="CK86" s="1277"/>
      <c r="CL86" s="1277"/>
    </row>
    <row r="87" spans="1:90">
      <c r="A87" s="1277"/>
      <c r="B87" s="1277"/>
      <c r="C87" s="1277"/>
      <c r="D87" s="1277"/>
      <c r="E87" s="1277"/>
      <c r="F87" s="1277"/>
      <c r="G87" s="1277"/>
      <c r="H87" s="1277"/>
      <c r="I87" s="1277"/>
      <c r="J87" s="1277"/>
      <c r="K87" s="1277"/>
      <c r="L87" s="1277"/>
      <c r="M87" s="1277"/>
      <c r="N87" s="1277"/>
      <c r="O87" s="1277"/>
      <c r="P87" s="1277"/>
      <c r="Q87" s="1277"/>
      <c r="R87" s="1277"/>
      <c r="S87" s="1277"/>
      <c r="T87" s="1277"/>
      <c r="U87" s="1277"/>
      <c r="V87" s="1277"/>
      <c r="W87" s="1277"/>
      <c r="X87" s="1277"/>
      <c r="Y87" s="1277"/>
      <c r="Z87" s="1277"/>
      <c r="AA87" s="1277"/>
      <c r="AB87" s="1277"/>
      <c r="AC87" s="1277"/>
      <c r="AD87" s="1277"/>
      <c r="AE87" s="1277"/>
      <c r="AF87" s="1277"/>
      <c r="AG87" s="1277"/>
      <c r="AH87" s="1277"/>
      <c r="AI87" s="1277"/>
      <c r="AJ87" s="1277"/>
      <c r="AK87" s="1277"/>
      <c r="AL87" s="1277"/>
      <c r="AM87" s="1277"/>
      <c r="AN87" s="1277"/>
      <c r="AO87" s="1277"/>
      <c r="AP87" s="1277"/>
      <c r="AQ87" s="1277"/>
      <c r="AR87" s="1277"/>
      <c r="AS87" s="1277"/>
      <c r="AT87" s="1277"/>
      <c r="AU87" s="1277"/>
      <c r="AV87" s="1277"/>
      <c r="AW87" s="1277"/>
      <c r="AX87" s="1277"/>
      <c r="AY87" s="1277"/>
      <c r="AZ87" s="1277"/>
      <c r="BA87" s="1277"/>
      <c r="BB87" s="1277"/>
      <c r="BC87" s="1277"/>
      <c r="BD87" s="1277"/>
      <c r="BE87" s="1277"/>
      <c r="BF87" s="1277"/>
      <c r="BG87" s="1277"/>
      <c r="BH87" s="1277"/>
      <c r="BI87" s="1277"/>
      <c r="BJ87" s="1277"/>
      <c r="BK87" s="1277"/>
      <c r="BL87" s="1277"/>
      <c r="BM87" s="1277"/>
      <c r="BN87" s="1277"/>
      <c r="BO87" s="1277"/>
      <c r="BP87" s="1277"/>
      <c r="BQ87" s="1277"/>
      <c r="BR87" s="1277"/>
      <c r="BS87" s="1277"/>
      <c r="BT87" s="1277"/>
      <c r="BU87" s="1277"/>
      <c r="BV87" s="1277"/>
      <c r="BW87" s="1277"/>
      <c r="BX87" s="1277"/>
      <c r="BY87" s="1277"/>
      <c r="BZ87" s="1277"/>
      <c r="CA87" s="1277"/>
      <c r="CB87" s="1277"/>
      <c r="CC87" s="1277"/>
      <c r="CD87" s="1277"/>
      <c r="CE87" s="1277"/>
      <c r="CF87" s="1277"/>
      <c r="CG87" s="1277"/>
      <c r="CH87" s="1277"/>
      <c r="CI87" s="1277"/>
      <c r="CJ87" s="1277"/>
      <c r="CK87" s="1277"/>
      <c r="CL87" s="1277"/>
    </row>
    <row r="88" spans="1:90">
      <c r="A88" s="1277"/>
      <c r="B88" s="1277"/>
      <c r="C88" s="1277"/>
      <c r="D88" s="1277"/>
      <c r="E88" s="1277"/>
      <c r="F88" s="1277"/>
      <c r="G88" s="1277"/>
      <c r="H88" s="1277"/>
      <c r="I88" s="1277"/>
      <c r="J88" s="1277"/>
      <c r="K88" s="1277"/>
      <c r="L88" s="1277"/>
      <c r="M88" s="1277"/>
      <c r="N88" s="1277"/>
      <c r="O88" s="1277"/>
      <c r="P88" s="1277"/>
      <c r="Q88" s="1277"/>
      <c r="R88" s="1277"/>
      <c r="S88" s="1277"/>
      <c r="T88" s="1277"/>
      <c r="U88" s="1277"/>
      <c r="V88" s="1277"/>
      <c r="W88" s="1277"/>
      <c r="X88" s="1277"/>
      <c r="Y88" s="1277"/>
      <c r="Z88" s="1277"/>
      <c r="AA88" s="1277"/>
      <c r="AB88" s="1277"/>
      <c r="AC88" s="1277"/>
      <c r="AD88" s="1277"/>
      <c r="AE88" s="1277"/>
      <c r="AF88" s="1277"/>
      <c r="AG88" s="1277"/>
      <c r="AH88" s="1277"/>
      <c r="AI88" s="1277"/>
      <c r="AJ88" s="1277"/>
      <c r="AK88" s="1277"/>
      <c r="AL88" s="1277"/>
      <c r="AM88" s="1277"/>
      <c r="AN88" s="1277"/>
      <c r="AO88" s="1277"/>
      <c r="AP88" s="1277"/>
      <c r="AQ88" s="1277"/>
      <c r="AR88" s="1277"/>
      <c r="AS88" s="1277"/>
      <c r="AT88" s="1277"/>
      <c r="AU88" s="1277"/>
      <c r="AV88" s="1277"/>
      <c r="AW88" s="1277"/>
      <c r="AX88" s="1277"/>
      <c r="AY88" s="1277"/>
      <c r="AZ88" s="1277"/>
      <c r="BA88" s="1277"/>
      <c r="BB88" s="1277"/>
      <c r="BC88" s="1277"/>
      <c r="BD88" s="1277"/>
      <c r="BE88" s="1277"/>
      <c r="BF88" s="1277"/>
      <c r="BG88" s="1277"/>
      <c r="BH88" s="1277"/>
      <c r="BI88" s="1277"/>
      <c r="BJ88" s="1277"/>
      <c r="BK88" s="1277"/>
      <c r="BL88" s="1277"/>
      <c r="BM88" s="1277"/>
      <c r="BN88" s="1277"/>
      <c r="BO88" s="1277"/>
      <c r="BP88" s="1277"/>
      <c r="BQ88" s="1277"/>
      <c r="BR88" s="1277"/>
      <c r="BS88" s="1277"/>
      <c r="BT88" s="1277"/>
      <c r="BU88" s="1277"/>
      <c r="BV88" s="1277"/>
      <c r="BW88" s="1277"/>
      <c r="BX88" s="1277"/>
      <c r="BY88" s="1277"/>
      <c r="BZ88" s="1277"/>
      <c r="CA88" s="1277"/>
      <c r="CB88" s="1277"/>
      <c r="CC88" s="1277"/>
      <c r="CD88" s="1277"/>
      <c r="CE88" s="1277"/>
      <c r="CF88" s="1277"/>
      <c r="CG88" s="1277"/>
      <c r="CH88" s="1277"/>
      <c r="CI88" s="1277"/>
      <c r="CJ88" s="1277"/>
      <c r="CK88" s="1277"/>
      <c r="CL88" s="1277"/>
    </row>
  </sheetData>
  <pageMargins left="0.7" right="0.7" top="0.75" bottom="0.75" header="0.3" footer="0.3"/>
  <pageSetup paperSize="9" orientation="portrait" r:id="rId1"/>
  <customProperties>
    <customPr name="Qube.Worksheet.Visibility" r:id="rId2"/>
    <customPr name="SHEET_UNIQUE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B2:AC208"/>
  <sheetViews>
    <sheetView showGridLines="0" showOutlineSymbols="0" showWhiteSpace="0" topLeftCell="B1" workbookViewId="0">
      <selection activeCell="M73" sqref="M73"/>
    </sheetView>
  </sheetViews>
  <sheetFormatPr defaultRowHeight="12.75" outlineLevelRow="1"/>
  <cols>
    <col min="1" max="1" width="2.85546875" style="1165" customWidth="1"/>
    <col min="2" max="2" width="18.28515625" style="1166" bestFit="1" customWidth="1"/>
    <col min="3" max="9" width="8" style="1166" customWidth="1"/>
    <col min="10" max="10" width="9" style="1166" bestFit="1" customWidth="1"/>
    <col min="11" max="14" width="8" style="1166" customWidth="1"/>
    <col min="15" max="16" width="8.85546875" style="1166"/>
    <col min="17" max="17" width="24.85546875" style="1166" bestFit="1" customWidth="1"/>
    <col min="18" max="23" width="7.5703125" style="1166" customWidth="1"/>
    <col min="24" max="24" width="9.140625" style="1166" customWidth="1"/>
    <col min="25" max="29" width="7.5703125" style="1166" customWidth="1"/>
    <col min="30" max="16384" width="9.140625" style="1165"/>
  </cols>
  <sheetData>
    <row r="2" spans="2:29">
      <c r="B2" s="1166" t="s">
        <v>918</v>
      </c>
      <c r="C2" s="1167" t="s">
        <v>873</v>
      </c>
      <c r="D2" s="1167" t="s">
        <v>1025</v>
      </c>
      <c r="E2" s="1167" t="s">
        <v>836</v>
      </c>
      <c r="F2" s="1167" t="s">
        <v>225</v>
      </c>
      <c r="G2" s="1168">
        <v>2022</v>
      </c>
      <c r="H2" s="1168" t="s">
        <v>1033</v>
      </c>
      <c r="I2" s="1169" t="s">
        <v>1034</v>
      </c>
      <c r="J2" s="1169" t="s">
        <v>1035</v>
      </c>
      <c r="K2" s="1167" t="s">
        <v>894</v>
      </c>
      <c r="L2" s="1167" t="s">
        <v>895</v>
      </c>
      <c r="M2" s="1167" t="s">
        <v>896</v>
      </c>
      <c r="N2" s="1167" t="s">
        <v>945</v>
      </c>
      <c r="Q2" s="1166" t="s">
        <v>918</v>
      </c>
      <c r="R2" s="1167" t="s">
        <v>873</v>
      </c>
      <c r="S2" s="1167" t="s">
        <v>1025</v>
      </c>
      <c r="T2" s="1167" t="s">
        <v>836</v>
      </c>
      <c r="U2" s="1167" t="s">
        <v>225</v>
      </c>
      <c r="V2" s="1167">
        <v>2022</v>
      </c>
      <c r="W2" s="1167">
        <v>2023</v>
      </c>
      <c r="X2" s="1167">
        <v>2024</v>
      </c>
      <c r="Y2" s="1167" t="s">
        <v>893</v>
      </c>
      <c r="Z2" s="1167" t="s">
        <v>894</v>
      </c>
      <c r="AA2" s="1167" t="s">
        <v>895</v>
      </c>
      <c r="AB2" s="1167" t="s">
        <v>896</v>
      </c>
      <c r="AC2" s="1167" t="s">
        <v>945</v>
      </c>
    </row>
    <row r="3" spans="2:29" hidden="1">
      <c r="B3" s="1170" t="s">
        <v>917</v>
      </c>
      <c r="C3" s="1167" t="s">
        <v>712</v>
      </c>
      <c r="D3" s="1167" t="s">
        <v>713</v>
      </c>
      <c r="E3" s="1167" t="s">
        <v>963</v>
      </c>
      <c r="F3" s="1167"/>
      <c r="G3" s="1167" t="s">
        <v>1026</v>
      </c>
      <c r="H3" s="1171" t="s">
        <v>915</v>
      </c>
      <c r="I3" s="1167" t="s">
        <v>916</v>
      </c>
      <c r="J3" s="1167"/>
      <c r="K3" s="1167" t="s">
        <v>953</v>
      </c>
      <c r="L3" s="1167"/>
      <c r="M3" s="1167" t="s">
        <v>973</v>
      </c>
      <c r="N3" s="1167"/>
      <c r="Q3" s="1170" t="s">
        <v>917</v>
      </c>
      <c r="R3" s="1167" t="s">
        <v>712</v>
      </c>
      <c r="S3" s="1167" t="s">
        <v>713</v>
      </c>
      <c r="T3" s="1167" t="s">
        <v>963</v>
      </c>
      <c r="U3" s="1167"/>
      <c r="V3" s="1167" t="s">
        <v>952</v>
      </c>
      <c r="W3" s="1171"/>
      <c r="X3" s="1167" t="s">
        <v>916</v>
      </c>
      <c r="Y3" s="1167"/>
      <c r="Z3" s="1167" t="s">
        <v>953</v>
      </c>
      <c r="AA3" s="1167"/>
      <c r="AB3" s="1167" t="s">
        <v>973</v>
      </c>
      <c r="AC3" s="1167"/>
    </row>
    <row r="4" spans="2:29">
      <c r="B4" s="1170" t="s">
        <v>195</v>
      </c>
      <c r="C4" s="1149">
        <f ca="1">Assumption!BA11</f>
        <v>3359.9839999999999</v>
      </c>
      <c r="D4" s="1149">
        <f>Assumption!BB11</f>
        <v>3115.672</v>
      </c>
      <c r="E4" s="1149">
        <f>Assumption!BC11</f>
        <v>3906.9750000000004</v>
      </c>
      <c r="F4" s="1149">
        <f>Assumption!BD11</f>
        <v>5443.1120000000001</v>
      </c>
      <c r="G4" s="1149">
        <f>Assumption!BE11</f>
        <v>7273.2839999999997</v>
      </c>
      <c r="H4" s="1149">
        <f>Assumption!BF11</f>
        <v>6321.56</v>
      </c>
      <c r="I4" s="1149">
        <f>Assumption!BG11</f>
        <v>8029.9210000000003</v>
      </c>
      <c r="J4" s="1149">
        <f>Assumption!BH11</f>
        <v>9326.7989999999991</v>
      </c>
      <c r="K4" s="1149">
        <f>Assumption!BI11</f>
        <v>11578.49117131698</v>
      </c>
      <c r="L4" s="1149">
        <f>Assumption!BJ11</f>
        <v>13869.187434829972</v>
      </c>
      <c r="M4" s="1149">
        <f>Assumption!BK11</f>
        <v>16753.01980557973</v>
      </c>
      <c r="N4" s="1149">
        <f>SUM(N5:N11)</f>
        <v>19966.587880026273</v>
      </c>
      <c r="Q4" s="1172" t="s">
        <v>818</v>
      </c>
      <c r="R4" s="1170">
        <f>'10y capex'!C62</f>
        <v>1808.2529999999999</v>
      </c>
      <c r="S4" s="1170">
        <f>'10y capex'!D62</f>
        <v>2029.3000000000002</v>
      </c>
      <c r="T4" s="1170">
        <f>'10y capex'!E62</f>
        <v>5732.7999999999993</v>
      </c>
      <c r="U4" s="1170">
        <f>'10y capex'!F62</f>
        <v>4515.8</v>
      </c>
      <c r="V4" s="1170">
        <f>'10y capex'!G62</f>
        <v>6350.7000000000007</v>
      </c>
      <c r="W4" s="1170">
        <f>'10y capex'!H62</f>
        <v>7465.6999999999989</v>
      </c>
      <c r="X4" s="1170">
        <f>'10y capex'!I62</f>
        <v>7325.7999999999993</v>
      </c>
      <c r="Y4" s="1170">
        <f>'10y capex'!J62</f>
        <v>8102.2999999999993</v>
      </c>
      <c r="Z4" s="1170">
        <f>'10y capex'!K62</f>
        <v>8991.7458499999993</v>
      </c>
      <c r="AA4" s="1170">
        <f>'10y capex'!L62</f>
        <v>9597.9599089500007</v>
      </c>
      <c r="AB4" s="1170">
        <f>'10y capex'!M62</f>
        <v>9597.9599089500007</v>
      </c>
      <c r="AC4" s="1170">
        <f>'10y capex'!N62</f>
        <v>9642.9953082694301</v>
      </c>
    </row>
    <row r="5" spans="2:29">
      <c r="B5" s="1166" t="s">
        <v>973</v>
      </c>
      <c r="C5" s="1150">
        <v>0</v>
      </c>
      <c r="D5" s="1150">
        <v>0</v>
      </c>
      <c r="E5" s="1150">
        <v>0</v>
      </c>
      <c r="F5" s="1150">
        <v>0</v>
      </c>
      <c r="G5" s="1150">
        <v>0</v>
      </c>
      <c r="H5" s="1150">
        <v>0</v>
      </c>
      <c r="I5" s="1150">
        <v>0</v>
      </c>
      <c r="J5" s="1150">
        <v>0</v>
      </c>
      <c r="K5" s="1150">
        <v>0</v>
      </c>
      <c r="L5" s="1150">
        <v>0</v>
      </c>
      <c r="M5" s="1150">
        <v>0</v>
      </c>
      <c r="N5" s="1150">
        <f>'10y capex'!M5*(1+N13)</f>
        <v>0</v>
      </c>
      <c r="Q5" s="1173" t="s">
        <v>858</v>
      </c>
      <c r="R5" s="1173"/>
      <c r="S5" s="1174">
        <f t="shared" ref="S5:AC5" si="0">S4/R4-1</f>
        <v>0.1222434028866537</v>
      </c>
      <c r="T5" s="1174">
        <f t="shared" si="0"/>
        <v>1.82501355147095</v>
      </c>
      <c r="U5" s="1174">
        <f t="shared" si="0"/>
        <v>-0.21228718950600045</v>
      </c>
      <c r="V5" s="1174">
        <f t="shared" si="0"/>
        <v>0.40632888967624803</v>
      </c>
      <c r="W5" s="1174">
        <f t="shared" si="0"/>
        <v>0.17557119687593459</v>
      </c>
      <c r="X5" s="1174">
        <f t="shared" si="0"/>
        <v>-1.8739033178402531E-2</v>
      </c>
      <c r="Y5" s="1174">
        <f t="shared" si="0"/>
        <v>0.10599524966556562</v>
      </c>
      <c r="Z5" s="1174">
        <f t="shared" si="0"/>
        <v>0.10977695839453006</v>
      </c>
      <c r="AA5" s="1174">
        <f t="shared" si="0"/>
        <v>6.7418949452402677E-2</v>
      </c>
      <c r="AB5" s="1174">
        <f t="shared" si="0"/>
        <v>0</v>
      </c>
      <c r="AC5" s="1174">
        <f t="shared" si="0"/>
        <v>4.6921845628291603E-3</v>
      </c>
    </row>
    <row r="6" spans="2:29">
      <c r="B6" s="1166" t="s">
        <v>953</v>
      </c>
      <c r="C6" s="1150">
        <v>0</v>
      </c>
      <c r="D6" s="1150">
        <v>0</v>
      </c>
      <c r="E6" s="1150">
        <v>0</v>
      </c>
      <c r="F6" s="1150">
        <v>0</v>
      </c>
      <c r="G6" s="1150">
        <v>0</v>
      </c>
      <c r="H6" s="1150">
        <v>0</v>
      </c>
      <c r="I6" s="1150">
        <v>0</v>
      </c>
      <c r="J6" s="1150">
        <v>0</v>
      </c>
      <c r="K6" s="1150">
        <v>0</v>
      </c>
      <c r="L6" s="1150">
        <v>0</v>
      </c>
      <c r="M6" s="1150">
        <v>0</v>
      </c>
      <c r="N6" s="1150">
        <f>'10y capex'!M6*(1+N14)</f>
        <v>0</v>
      </c>
      <c r="Q6" s="1166" t="s">
        <v>1019</v>
      </c>
      <c r="R6" s="1166">
        <f>'10y capex'!C113</f>
        <v>1048.4100000000001</v>
      </c>
      <c r="S6" s="1166">
        <f>'10y capex'!D113</f>
        <v>1127.7560000000001</v>
      </c>
      <c r="T6" s="1166">
        <f>'10y capex'!E113</f>
        <v>1312.691</v>
      </c>
      <c r="U6" s="1166">
        <f>'10y capex'!F113</f>
        <v>1869.3020000000001</v>
      </c>
      <c r="V6" s="1166">
        <f>'10y capex'!G113</f>
        <v>2271.3609999999999</v>
      </c>
      <c r="W6" s="1166">
        <f>'10y capex'!H113</f>
        <v>3033.7257142857147</v>
      </c>
      <c r="X6" s="1166">
        <f>'10y capex'!I113</f>
        <v>4010.207142857143</v>
      </c>
      <c r="Y6" s="1166">
        <f>'10y capex'!J113</f>
        <v>4688.4971428571425</v>
      </c>
      <c r="Z6" s="1166">
        <f>'10y capex'!K113</f>
        <v>5734.3731935583583</v>
      </c>
      <c r="AA6" s="1166">
        <f>'10y capex'!L113</f>
        <v>6560.8994329691204</v>
      </c>
      <c r="AB6" s="1166">
        <f>'10y capex'!M113</f>
        <v>7217.8718597233437</v>
      </c>
      <c r="AC6" s="1166">
        <f>'10y capex'!N113</f>
        <v>7927.3872108813475</v>
      </c>
    </row>
    <row r="7" spans="2:29">
      <c r="B7" s="1166" t="s">
        <v>916</v>
      </c>
      <c r="C7" s="1150">
        <v>0</v>
      </c>
      <c r="D7" s="1150">
        <v>0</v>
      </c>
      <c r="E7" s="1150">
        <v>0</v>
      </c>
      <c r="F7" s="1150">
        <v>0</v>
      </c>
      <c r="G7" s="1150">
        <v>0</v>
      </c>
      <c r="H7" s="1150">
        <v>0</v>
      </c>
      <c r="I7" s="1150">
        <v>0</v>
      </c>
      <c r="J7" s="1150">
        <v>0</v>
      </c>
      <c r="K7" s="1150">
        <v>0</v>
      </c>
      <c r="L7" s="1150">
        <v>0</v>
      </c>
      <c r="M7" s="1150">
        <v>0</v>
      </c>
      <c r="N7" s="1150">
        <f>'10y capex'!M7*(1+N15)</f>
        <v>0</v>
      </c>
      <c r="Q7" s="1166" t="s">
        <v>1018</v>
      </c>
      <c r="R7" s="1166">
        <f>Model!I179</f>
        <v>799.42600000000004</v>
      </c>
      <c r="S7" s="1166">
        <f>Model!J179</f>
        <v>1019.0099999999999</v>
      </c>
      <c r="T7" s="1166">
        <f>Model!K179</f>
        <v>1660.41</v>
      </c>
      <c r="U7" s="1166">
        <f>Model!L179</f>
        <v>3011.895</v>
      </c>
      <c r="V7" s="1166">
        <f>Model!M179</f>
        <v>5347.9160000000002</v>
      </c>
      <c r="W7" s="1166">
        <f>Model!N179</f>
        <v>3358.2939999999999</v>
      </c>
      <c r="X7" s="1166">
        <f>Model!O179</f>
        <v>3175.5549999999998</v>
      </c>
      <c r="Y7" s="1166">
        <f>Model!P179</f>
        <v>3194.3029999999999</v>
      </c>
      <c r="Z7" s="1166">
        <f>Model!Q179</f>
        <v>6636.1230710553646</v>
      </c>
      <c r="AA7" s="1166">
        <f>Model!R179</f>
        <v>6469.2084242657384</v>
      </c>
      <c r="AB7" s="1166">
        <f>Model!S179</f>
        <v>8643.3170397818376</v>
      </c>
      <c r="AC7" s="1166">
        <f>Model!T179</f>
        <v>10261.39335448201</v>
      </c>
    </row>
    <row r="8" spans="2:29">
      <c r="B8" s="1166" t="s">
        <v>952</v>
      </c>
      <c r="C8" s="1150">
        <v>0</v>
      </c>
      <c r="D8" s="1150">
        <v>0</v>
      </c>
      <c r="E8" s="1150">
        <v>0</v>
      </c>
      <c r="F8" s="1150">
        <v>0</v>
      </c>
      <c r="G8" s="1150">
        <f>Assumption!BE48</f>
        <v>269.42162175999999</v>
      </c>
      <c r="H8" s="1150">
        <f>Assumption!BF48</f>
        <v>241.91709570300003</v>
      </c>
      <c r="I8" s="1150">
        <f>Assumption!BG48</f>
        <v>387.40268469</v>
      </c>
      <c r="J8" s="1150">
        <f>Assumption!BH48</f>
        <v>530.810078944</v>
      </c>
      <c r="K8" s="1150">
        <f>Assumption!BI48</f>
        <v>884.37229523282485</v>
      </c>
      <c r="L8" s="1150">
        <f>Assumption!BJ48</f>
        <v>1590.5556557236173</v>
      </c>
      <c r="M8" s="1150">
        <f>Assumption!BK48</f>
        <v>2569.9538483276651</v>
      </c>
      <c r="N8" s="1150">
        <f>'10y capex'!M8*(1+N16)</f>
        <v>4111.9261573242648</v>
      </c>
      <c r="Q8" s="1170" t="s">
        <v>428</v>
      </c>
      <c r="R8" s="1170">
        <f>Model!I228</f>
        <v>-1008.8269999999999</v>
      </c>
      <c r="S8" s="1170">
        <f>Model!J228</f>
        <v>-1010.2900000000003</v>
      </c>
      <c r="T8" s="1170">
        <f>Model!K228</f>
        <v>-4072.3899999999994</v>
      </c>
      <c r="U8" s="1170">
        <f>Model!L228</f>
        <v>-1503.9050000000002</v>
      </c>
      <c r="V8" s="1170">
        <f>Model!M228</f>
        <v>-1002.7840000000006</v>
      </c>
      <c r="W8" s="1170">
        <f>Model!N228</f>
        <v>-4107.405999999999</v>
      </c>
      <c r="X8" s="1170">
        <f>Model!O228</f>
        <v>-4150.244999999999</v>
      </c>
      <c r="Y8" s="1170">
        <f>Model!P228</f>
        <v>-4907.9969999999994</v>
      </c>
      <c r="Z8" s="1170">
        <f>Model!Q228</f>
        <v>-2355.6227789446348</v>
      </c>
      <c r="AA8" s="1170">
        <f>Model!R228</f>
        <v>-3128.7514846842623</v>
      </c>
      <c r="AB8" s="1170">
        <f>Model!S228</f>
        <v>-954.64286916816309</v>
      </c>
      <c r="AC8" s="1170">
        <f>Model!T228</f>
        <v>618.39804621258008</v>
      </c>
    </row>
    <row r="9" spans="2:29">
      <c r="B9" s="1166" t="s">
        <v>951</v>
      </c>
      <c r="C9" s="1150">
        <f>Assumption!BA49</f>
        <v>0</v>
      </c>
      <c r="D9" s="1150">
        <f>Assumption!BB49</f>
        <v>7.6892612399999996</v>
      </c>
      <c r="E9" s="1150">
        <f>Assumption!BC49</f>
        <v>119.95086720799999</v>
      </c>
      <c r="F9" s="1150">
        <f>Assumption!BD49</f>
        <v>543.24095883400003</v>
      </c>
      <c r="G9" s="1150">
        <f>Assumption!BE49</f>
        <v>875.62027072000001</v>
      </c>
      <c r="H9" s="1150">
        <f>Assumption!BF49</f>
        <v>740.66467638200004</v>
      </c>
      <c r="I9" s="1150">
        <f>Assumption!BG49</f>
        <v>753.12548554250793</v>
      </c>
      <c r="J9" s="1150">
        <f>Assumption!BH49</f>
        <v>699.4207858534013</v>
      </c>
      <c r="K9" s="1150">
        <f>Assumption!BI49</f>
        <v>703.1469444105295</v>
      </c>
      <c r="L9" s="1150">
        <f>Assumption!BJ49</f>
        <v>700.09526240562241</v>
      </c>
      <c r="M9" s="1150">
        <f>Assumption!BK49</f>
        <v>749.63630556965632</v>
      </c>
      <c r="N9" s="1150">
        <f>'10y capex'!M9*(1+N17)</f>
        <v>824.59993612662197</v>
      </c>
    </row>
    <row r="10" spans="2:29">
      <c r="B10" s="1166" t="s">
        <v>950</v>
      </c>
      <c r="C10" s="1150">
        <f>SUM(Assumption!BA50:BA53)</f>
        <v>1514.0300061560001</v>
      </c>
      <c r="D10" s="1150">
        <f>SUM(Assumption!BB50:BB53)</f>
        <v>1460.7361457039999</v>
      </c>
      <c r="E10" s="1150">
        <f>SUM(Assumption!BC50:BC53)</f>
        <v>1902.1726068409998</v>
      </c>
      <c r="F10" s="1150">
        <f>SUM(Assumption!BD50:BD53)</f>
        <v>2512.9053856699993</v>
      </c>
      <c r="G10" s="1150">
        <f>SUM(Assumption!BE50:BE53)</f>
        <v>3872.9358127999999</v>
      </c>
      <c r="H10" s="1150">
        <f>SUM(Assumption!BF50:BF53)</f>
        <v>3543.9163211685755</v>
      </c>
      <c r="I10" s="1150">
        <f>SUM(Assumption!BG50:BG53)</f>
        <v>4533.9501551336543</v>
      </c>
      <c r="J10" s="1150">
        <f>SUM(Assumption!BH50:BH53)</f>
        <v>5917.7051189481917</v>
      </c>
      <c r="K10" s="1150">
        <f>SUM(Assumption!BI50:BI53)</f>
        <v>7307.1723670189285</v>
      </c>
      <c r="L10" s="1150">
        <f>SUM(Assumption!BJ50:BJ53)</f>
        <v>8629.2781395954007</v>
      </c>
      <c r="M10" s="1150">
        <f>SUM(Assumption!BK50:BK53)</f>
        <v>10342.285068886744</v>
      </c>
      <c r="N10" s="1150">
        <f>'10y capex'!M10*(1+N18)</f>
        <v>11790.20497853089</v>
      </c>
    </row>
    <row r="11" spans="2:29">
      <c r="B11" s="1166" t="s">
        <v>954</v>
      </c>
      <c r="C11" s="1150">
        <f>Assumption!BA58+Assumption!BA18+Assumption!BA19</f>
        <v>1845.9539938440003</v>
      </c>
      <c r="D11" s="1150">
        <f>Assumption!BB58+Assumption!BB18+Assumption!BB19</f>
        <v>1647.2465930560002</v>
      </c>
      <c r="E11" s="1150">
        <f>Assumption!BC58+Assumption!BC18+Assumption!BC19</f>
        <v>1884.851525951</v>
      </c>
      <c r="F11" s="1150">
        <f>Assumption!BD58+Assumption!BD18+Assumption!BD19</f>
        <v>2327.5527236160001</v>
      </c>
      <c r="G11" s="1150">
        <f>Assumption!BE58+Assumption!BE18+Assumption!BE19</f>
        <v>2255.3062947200001</v>
      </c>
      <c r="H11" s="1150">
        <f>Assumption!BF58+Assumption!BF18+Assumption!BF19</f>
        <v>1795.0619067464243</v>
      </c>
      <c r="I11" s="1150">
        <f>Assumption!BG58+Assumption!BG18+Assumption!BG19</f>
        <v>2355.4426746338372</v>
      </c>
      <c r="J11" s="1150">
        <f>Assumption!BH58+Assumption!BH18+Assumption!BH19</f>
        <v>2178.8630162544073</v>
      </c>
      <c r="K11" s="1150">
        <f>Assumption!BI58+Assumption!BI18+Assumption!BI19</f>
        <v>2683.7995646546979</v>
      </c>
      <c r="L11" s="1150">
        <f>Assumption!BJ58+Assumption!BJ18+Assumption!BJ19</f>
        <v>2949.2583771053323</v>
      </c>
      <c r="M11" s="1150">
        <f>Assumption!BK58+Assumption!BK18+Assumption!BK19</f>
        <v>3091.1445827956622</v>
      </c>
      <c r="N11" s="1150">
        <f>'10y capex'!M11*(1+N19)</f>
        <v>3239.8568080444948</v>
      </c>
      <c r="Q11" s="1166" t="s">
        <v>1111</v>
      </c>
      <c r="R11" s="1166">
        <v>1808.2529999999999</v>
      </c>
      <c r="S11" s="1166">
        <v>2029.3000000000002</v>
      </c>
      <c r="T11" s="1166">
        <v>5732.7999999999993</v>
      </c>
      <c r="U11" s="1166">
        <v>4515.8</v>
      </c>
      <c r="V11" s="1166">
        <v>6350.7000000000007</v>
      </c>
      <c r="W11" s="1166">
        <v>7465.6999999999989</v>
      </c>
      <c r="X11" s="1166">
        <v>7325.7999999999993</v>
      </c>
      <c r="Y11" s="1166">
        <v>8102.2999999999993</v>
      </c>
      <c r="Z11" s="1166">
        <v>8992.1375000000007</v>
      </c>
      <c r="AA11" s="1166">
        <v>9598.3708100000003</v>
      </c>
      <c r="AB11" s="1166">
        <v>9598.3708100000003</v>
      </c>
      <c r="AC11" s="1166">
        <v>9623.0755436477812</v>
      </c>
    </row>
    <row r="12" spans="2:29">
      <c r="B12" s="1170" t="s">
        <v>920</v>
      </c>
      <c r="C12" s="1150"/>
      <c r="D12" s="1151">
        <f t="shared" ref="D12:H12" ca="1" si="1">D4/C4-1</f>
        <v>-7.2712251010719098E-2</v>
      </c>
      <c r="E12" s="1151">
        <f t="shared" si="1"/>
        <v>0.25397506541125003</v>
      </c>
      <c r="F12" s="1151">
        <f t="shared" si="1"/>
        <v>0.39317809814498417</v>
      </c>
      <c r="G12" s="1151">
        <f t="shared" si="1"/>
        <v>0.33623632951150006</v>
      </c>
      <c r="H12" s="1151">
        <f t="shared" si="1"/>
        <v>-0.13085203327685258</v>
      </c>
      <c r="I12" s="1151">
        <f>I4/H4-1</f>
        <v>0.27024357911654717</v>
      </c>
      <c r="J12" s="1151">
        <f>J4/I4-1</f>
        <v>0.16150569849939989</v>
      </c>
      <c r="K12" s="1151">
        <f t="shared" ref="K12:M12" si="2">K4/J4-1</f>
        <v>0.24142175373533648</v>
      </c>
      <c r="L12" s="1151">
        <f t="shared" si="2"/>
        <v>0.19784065381400118</v>
      </c>
      <c r="M12" s="1151">
        <f t="shared" si="2"/>
        <v>0.2079308816252301</v>
      </c>
      <c r="N12" s="1151">
        <f>N4/'10y capex'!M4-1</f>
        <v>0.19182022774044816</v>
      </c>
      <c r="Q12" s="1166" t="s">
        <v>858</v>
      </c>
      <c r="S12" s="1152">
        <f>S11/R11-1</f>
        <v>0.1222434028866537</v>
      </c>
      <c r="T12" s="1152">
        <f t="shared" ref="T12:AC12" si="3">T11/S11-1</f>
        <v>1.82501355147095</v>
      </c>
      <c r="U12" s="1152">
        <f t="shared" si="3"/>
        <v>-0.21228718950600045</v>
      </c>
      <c r="V12" s="1152">
        <f t="shared" si="3"/>
        <v>0.40632888967624803</v>
      </c>
      <c r="W12" s="1152">
        <f t="shared" si="3"/>
        <v>0.17557119687593459</v>
      </c>
      <c r="X12" s="1152">
        <f t="shared" si="3"/>
        <v>-1.8739033178402531E-2</v>
      </c>
      <c r="Y12" s="1152">
        <f t="shared" si="3"/>
        <v>0.10599524966556562</v>
      </c>
      <c r="Z12" s="1152">
        <f t="shared" si="3"/>
        <v>0.10982529652074113</v>
      </c>
      <c r="AA12" s="1152">
        <f t="shared" si="3"/>
        <v>6.7418153915017376E-2</v>
      </c>
      <c r="AB12" s="1152">
        <f t="shared" si="3"/>
        <v>0</v>
      </c>
      <c r="AC12" s="1152">
        <f t="shared" si="3"/>
        <v>2.5738465555051881E-3</v>
      </c>
    </row>
    <row r="13" spans="2:29">
      <c r="B13" s="1166" t="str">
        <f t="shared" ref="B13:B19" si="4">B5</f>
        <v>2nm</v>
      </c>
      <c r="C13" s="1150"/>
      <c r="D13" s="1152"/>
      <c r="E13" s="1152"/>
      <c r="F13" s="1152"/>
      <c r="G13" s="1152"/>
      <c r="H13" s="1152"/>
      <c r="I13" s="1153"/>
      <c r="J13" s="1153"/>
      <c r="K13" s="1153"/>
      <c r="L13" s="1153"/>
      <c r="M13" s="1153"/>
      <c r="N13" s="1153"/>
      <c r="Q13" s="1166" t="s">
        <v>1112</v>
      </c>
      <c r="R13" s="1152">
        <f t="shared" ref="R13:AC13" si="5">R4/R11-1</f>
        <v>0</v>
      </c>
      <c r="S13" s="1152">
        <f t="shared" si="5"/>
        <v>0</v>
      </c>
      <c r="T13" s="1152">
        <f t="shared" si="5"/>
        <v>0</v>
      </c>
      <c r="U13" s="1152">
        <f t="shared" si="5"/>
        <v>0</v>
      </c>
      <c r="V13" s="1152">
        <f t="shared" si="5"/>
        <v>0</v>
      </c>
      <c r="W13" s="1152">
        <f t="shared" si="5"/>
        <v>0</v>
      </c>
      <c r="X13" s="1152">
        <f t="shared" si="5"/>
        <v>0</v>
      </c>
      <c r="Y13" s="1152">
        <f t="shared" si="5"/>
        <v>0</v>
      </c>
      <c r="Z13" s="1152">
        <f t="shared" si="5"/>
        <v>-4.355471655115295E-5</v>
      </c>
      <c r="AA13" s="1152">
        <f t="shared" si="5"/>
        <v>-4.2809457785453198E-5</v>
      </c>
      <c r="AB13" s="1152">
        <f t="shared" si="5"/>
        <v>-4.2809457785453198E-5</v>
      </c>
      <c r="AC13" s="1152">
        <f t="shared" si="5"/>
        <v>2.0699998177606815E-3</v>
      </c>
    </row>
    <row r="14" spans="2:29">
      <c r="B14" s="1166" t="str">
        <f t="shared" si="4"/>
        <v>3nm</v>
      </c>
      <c r="C14" s="1150"/>
      <c r="D14" s="1152"/>
      <c r="E14" s="1152"/>
      <c r="F14" s="1152"/>
      <c r="G14" s="1152"/>
      <c r="H14" s="1152"/>
      <c r="I14" s="1153"/>
      <c r="J14" s="1153"/>
      <c r="K14" s="1153"/>
      <c r="L14" s="1153"/>
      <c r="M14" s="1153"/>
      <c r="N14" s="1153"/>
    </row>
    <row r="15" spans="2:29">
      <c r="B15" s="1166" t="str">
        <f t="shared" si="4"/>
        <v>5nm</v>
      </c>
      <c r="C15" s="1150"/>
      <c r="D15" s="1152"/>
      <c r="E15" s="1152"/>
      <c r="F15" s="1152"/>
      <c r="G15" s="1152"/>
      <c r="H15" s="1152"/>
      <c r="I15" s="1152"/>
      <c r="J15" s="1152"/>
      <c r="K15" s="1152"/>
      <c r="L15" s="1152"/>
      <c r="M15" s="1152"/>
      <c r="N15" s="1152"/>
    </row>
    <row r="16" spans="2:29">
      <c r="B16" s="1166" t="str">
        <f t="shared" si="4"/>
        <v>7/8nm</v>
      </c>
      <c r="C16" s="1150"/>
      <c r="D16" s="1152"/>
      <c r="E16" s="1152"/>
      <c r="F16" s="1152"/>
      <c r="G16" s="1152"/>
      <c r="H16" s="1152">
        <f t="shared" ref="H16" si="6">H8/G8-1</f>
        <v>-0.10208730048214509</v>
      </c>
      <c r="I16" s="1152">
        <f t="shared" ref="I16" si="7">I8/H8-1</f>
        <v>0.60138614248912625</v>
      </c>
      <c r="J16" s="1152">
        <f t="shared" ref="J16" si="8">J8/I8-1</f>
        <v>0.37017656284120681</v>
      </c>
      <c r="K16" s="1152">
        <f t="shared" ref="K16" si="9">K8/J8-1</f>
        <v>0.66608045007774863</v>
      </c>
      <c r="L16" s="1152">
        <f t="shared" ref="L16" si="10">L8/K8-1</f>
        <v>0.79851366251232303</v>
      </c>
      <c r="M16" s="1152">
        <f t="shared" ref="M16" si="11">M8/L8-1</f>
        <v>0.61575851752164823</v>
      </c>
      <c r="N16" s="1152">
        <v>0.6</v>
      </c>
    </row>
    <row r="17" spans="2:23">
      <c r="B17" s="1166" t="str">
        <f t="shared" si="4"/>
        <v>14/12nm</v>
      </c>
      <c r="C17" s="1150"/>
      <c r="D17" s="1152"/>
      <c r="E17" s="1152">
        <f t="shared" ref="E17:J19" si="12">E9/D9-1</f>
        <v>14.599790859492243</v>
      </c>
      <c r="F17" s="1152">
        <f t="shared" si="12"/>
        <v>3.5288622873563451</v>
      </c>
      <c r="G17" s="1152">
        <f t="shared" si="12"/>
        <v>0.61184508730602971</v>
      </c>
      <c r="H17" s="1152">
        <f t="shared" si="12"/>
        <v>-0.15412570819886284</v>
      </c>
      <c r="I17" s="1152">
        <f t="shared" si="12"/>
        <v>1.6823819952338503E-2</v>
      </c>
      <c r="J17" s="1152">
        <f t="shared" si="12"/>
        <v>-7.1309098842168184E-2</v>
      </c>
      <c r="K17" s="1152">
        <f t="shared" ref="K17:K19" si="13">K9/J9-1</f>
        <v>5.3274918797010518E-3</v>
      </c>
      <c r="L17" s="1152">
        <f t="shared" ref="L17:L19" si="14">L9/K9-1</f>
        <v>-4.3400345108025595E-3</v>
      </c>
      <c r="M17" s="1152">
        <f t="shared" ref="M17:M19" si="15">M9/L9-1</f>
        <v>7.0763288689890791E-2</v>
      </c>
      <c r="N17" s="1152">
        <v>0.1</v>
      </c>
    </row>
    <row r="18" spans="2:23">
      <c r="B18" s="1166" t="str">
        <f t="shared" si="4"/>
        <v>90-28nm</v>
      </c>
      <c r="C18" s="1150"/>
      <c r="D18" s="1152">
        <f>D10/C10-1</f>
        <v>-3.5200002797374563E-2</v>
      </c>
      <c r="E18" s="1152">
        <f t="shared" si="12"/>
        <v>0.30220136773862749</v>
      </c>
      <c r="F18" s="1152">
        <f t="shared" si="12"/>
        <v>0.32107116706052419</v>
      </c>
      <c r="G18" s="1152">
        <f t="shared" si="12"/>
        <v>0.54121831839975321</v>
      </c>
      <c r="H18" s="1152">
        <f t="shared" si="12"/>
        <v>-8.4953510085041817E-2</v>
      </c>
      <c r="I18" s="1152">
        <f t="shared" si="12"/>
        <v>0.27936151540920795</v>
      </c>
      <c r="J18" s="1152">
        <f t="shared" si="12"/>
        <v>0.30519853912548056</v>
      </c>
      <c r="K18" s="1152">
        <f t="shared" si="13"/>
        <v>0.23479832471235063</v>
      </c>
      <c r="L18" s="1152">
        <f t="shared" si="14"/>
        <v>0.18093261061471932</v>
      </c>
      <c r="M18" s="1152">
        <f t="shared" si="15"/>
        <v>0.19851103436233197</v>
      </c>
      <c r="N18" s="1152">
        <v>0.14000000000000001</v>
      </c>
      <c r="Q18" s="1175" t="s">
        <v>1199</v>
      </c>
      <c r="R18" s="1165"/>
      <c r="S18" s="1165"/>
      <c r="T18" s="1165"/>
      <c r="U18" s="1165"/>
      <c r="V18" s="1165"/>
      <c r="W18" s="1165"/>
    </row>
    <row r="19" spans="2:23">
      <c r="B19" s="1166" t="str">
        <f t="shared" si="4"/>
        <v>8" fabs/others</v>
      </c>
      <c r="C19" s="1150"/>
      <c r="D19" s="1152">
        <f>D11/C11-1</f>
        <v>-0.10764482833844269</v>
      </c>
      <c r="E19" s="1152">
        <f t="shared" si="12"/>
        <v>0.1442436936258531</v>
      </c>
      <c r="F19" s="1152">
        <f t="shared" si="12"/>
        <v>0.23487324681536159</v>
      </c>
      <c r="G19" s="1152">
        <f t="shared" si="12"/>
        <v>-3.1039653006768697E-2</v>
      </c>
      <c r="H19" s="1152">
        <f t="shared" si="12"/>
        <v>-0.20407178796559688</v>
      </c>
      <c r="I19" s="1152">
        <f t="shared" si="12"/>
        <v>0.31217907626545949</v>
      </c>
      <c r="J19" s="1152">
        <f t="shared" si="12"/>
        <v>-7.4966655007590033E-2</v>
      </c>
      <c r="K19" s="1152">
        <f t="shared" si="13"/>
        <v>0.23174313604547114</v>
      </c>
      <c r="L19" s="1152">
        <f t="shared" si="14"/>
        <v>9.8911564017929443E-2</v>
      </c>
      <c r="M19" s="1152">
        <f t="shared" si="15"/>
        <v>4.8109113393310032E-2</v>
      </c>
      <c r="N19" s="1152">
        <f>M19</f>
        <v>4.8109113393310032E-2</v>
      </c>
      <c r="Q19" s="1165"/>
      <c r="R19" s="1165"/>
      <c r="S19" s="1165"/>
      <c r="T19" s="1165"/>
      <c r="U19" s="1165"/>
      <c r="V19" s="1165"/>
      <c r="W19" s="1165"/>
    </row>
    <row r="20" spans="2:23">
      <c r="B20" s="1170" t="s">
        <v>966</v>
      </c>
      <c r="C20" s="1176" t="str">
        <f>'Discount PE new'!C2</f>
        <v>2018</v>
      </c>
      <c r="D20" s="1176" t="str">
        <f>'Discount PE new'!D2</f>
        <v>2019</v>
      </c>
      <c r="E20" s="1176" t="str">
        <f t="shared" ref="E20:J20" si="16">E2</f>
        <v>2020</v>
      </c>
      <c r="F20" s="1176" t="str">
        <f t="shared" si="16"/>
        <v>2021</v>
      </c>
      <c r="G20" s="1177">
        <f t="shared" si="16"/>
        <v>2022</v>
      </c>
      <c r="H20" s="1176" t="str">
        <f t="shared" si="16"/>
        <v>2023</v>
      </c>
      <c r="I20" s="1176" t="str">
        <f t="shared" si="16"/>
        <v>2024</v>
      </c>
      <c r="J20" s="1176" t="str">
        <f t="shared" si="16"/>
        <v>2025</v>
      </c>
      <c r="K20" s="1176" t="str">
        <f>'Discount PE new'!K2</f>
        <v>2026E</v>
      </c>
      <c r="L20" s="1176" t="str">
        <f>'Discount PE new'!L2</f>
        <v>2027E</v>
      </c>
      <c r="M20" s="1176" t="str">
        <f>'Discount PE new'!M2</f>
        <v>2028E</v>
      </c>
      <c r="N20" s="1176" t="str">
        <f>'Discount PE new'!N2</f>
        <v>2029E</v>
      </c>
      <c r="O20" s="1167"/>
      <c r="P20" s="1167"/>
      <c r="Q20" s="1175" t="s">
        <v>870</v>
      </c>
      <c r="R20" s="1175">
        <v>2024</v>
      </c>
      <c r="S20" s="1178" t="s">
        <v>893</v>
      </c>
      <c r="T20" s="1178" t="s">
        <v>894</v>
      </c>
      <c r="U20" s="1178" t="s">
        <v>895</v>
      </c>
      <c r="V20" s="1178" t="s">
        <v>896</v>
      </c>
      <c r="W20" s="1178" t="s">
        <v>945</v>
      </c>
    </row>
    <row r="21" spans="2:23">
      <c r="B21" s="1166" t="s">
        <v>973</v>
      </c>
      <c r="C21" s="1176"/>
      <c r="D21" s="1176"/>
      <c r="E21" s="1176"/>
      <c r="F21" s="1176"/>
      <c r="G21" s="1176"/>
      <c r="H21" s="1176"/>
      <c r="I21" s="1176"/>
      <c r="J21" s="1176"/>
      <c r="K21" s="1176"/>
      <c r="L21" s="1176"/>
      <c r="M21" s="1166">
        <v>0</v>
      </c>
      <c r="N21" s="1166">
        <v>0</v>
      </c>
      <c r="O21" s="1167"/>
      <c r="P21" s="1167"/>
      <c r="Q21" s="1175" t="s">
        <v>1200</v>
      </c>
      <c r="R21" s="1154">
        <f t="shared" ref="R21:W21" si="17">I4</f>
        <v>8029.9210000000003</v>
      </c>
      <c r="S21" s="1154">
        <f t="shared" si="17"/>
        <v>9326.7989999999991</v>
      </c>
      <c r="T21" s="1154">
        <f t="shared" si="17"/>
        <v>11578.49117131698</v>
      </c>
      <c r="U21" s="1154">
        <f t="shared" si="17"/>
        <v>13869.187434829972</v>
      </c>
      <c r="V21" s="1154">
        <f t="shared" si="17"/>
        <v>16753.01980557973</v>
      </c>
      <c r="W21" s="1154">
        <f t="shared" si="17"/>
        <v>19966.587880026273</v>
      </c>
    </row>
    <row r="22" spans="2:23">
      <c r="B22" s="1166" t="str">
        <f>'10y capex'!B6</f>
        <v>3nm</v>
      </c>
      <c r="K22" s="1166">
        <v>0</v>
      </c>
      <c r="L22" s="1166">
        <v>0</v>
      </c>
      <c r="M22" s="1166">
        <f>L22</f>
        <v>0</v>
      </c>
      <c r="N22" s="1166">
        <f>M22</f>
        <v>0</v>
      </c>
      <c r="Q22" s="1166" t="s">
        <v>951</v>
      </c>
      <c r="R22" s="1155">
        <f t="shared" ref="R22:W22" si="18">I9</f>
        <v>753.12548554250793</v>
      </c>
      <c r="S22" s="1155">
        <f t="shared" si="18"/>
        <v>699.4207858534013</v>
      </c>
      <c r="T22" s="1155">
        <f t="shared" si="18"/>
        <v>703.1469444105295</v>
      </c>
      <c r="U22" s="1155">
        <f t="shared" si="18"/>
        <v>700.09526240562241</v>
      </c>
      <c r="V22" s="1155">
        <f t="shared" si="18"/>
        <v>749.63630556965632</v>
      </c>
      <c r="W22" s="1155">
        <f t="shared" si="18"/>
        <v>824.59993612662197</v>
      </c>
    </row>
    <row r="23" spans="2:23">
      <c r="B23" s="1166" t="str">
        <f>'10y capex'!B7</f>
        <v>5nm</v>
      </c>
      <c r="I23" s="1166">
        <v>0</v>
      </c>
      <c r="J23" s="1166">
        <v>0</v>
      </c>
      <c r="K23" s="1166">
        <v>0</v>
      </c>
      <c r="L23" s="1166">
        <v>0</v>
      </c>
      <c r="M23" s="1166">
        <f>L23</f>
        <v>0</v>
      </c>
      <c r="N23" s="1166">
        <f>M23*(1+N31)</f>
        <v>0</v>
      </c>
      <c r="Q23" s="1166" t="s">
        <v>950</v>
      </c>
      <c r="R23" s="1155">
        <f t="shared" ref="R23:W23" si="19">I10</f>
        <v>4533.9501551336543</v>
      </c>
      <c r="S23" s="1155">
        <f t="shared" si="19"/>
        <v>5917.7051189481917</v>
      </c>
      <c r="T23" s="1155">
        <f t="shared" si="19"/>
        <v>7307.1723670189285</v>
      </c>
      <c r="U23" s="1155">
        <f t="shared" si="19"/>
        <v>8629.2781395954007</v>
      </c>
      <c r="V23" s="1155">
        <f t="shared" si="19"/>
        <v>10342.285068886744</v>
      </c>
      <c r="W23" s="1155">
        <f t="shared" si="19"/>
        <v>11790.20497853089</v>
      </c>
    </row>
    <row r="24" spans="2:23">
      <c r="B24" s="1166" t="str">
        <f>'10y capex'!B8</f>
        <v>7/8nm</v>
      </c>
      <c r="G24" s="1166">
        <f>Assumption!BE93</f>
        <v>10</v>
      </c>
      <c r="H24" s="1166">
        <f>Assumption!BF93</f>
        <v>20.222222222222221</v>
      </c>
      <c r="I24" s="1166">
        <f>Assumption!BG93</f>
        <v>20.222222222222221</v>
      </c>
      <c r="J24" s="1166">
        <f>Assumption!BH93</f>
        <v>20.222222222222221</v>
      </c>
      <c r="K24" s="1166">
        <f>Assumption!BI93</f>
        <v>30.222222222222221</v>
      </c>
      <c r="L24" s="1166">
        <f>Assumption!BJ93</f>
        <v>40.222222222222221</v>
      </c>
      <c r="M24" s="1166">
        <f>Assumption!BK93</f>
        <v>50.222222222222221</v>
      </c>
      <c r="N24" s="1166">
        <f>M24*(1+N32)</f>
        <v>60.266666666666666</v>
      </c>
      <c r="O24" s="1179"/>
      <c r="Q24" s="1166" t="s">
        <v>954</v>
      </c>
      <c r="R24" s="1155">
        <f t="shared" ref="R24:W24" si="20">I11</f>
        <v>2355.4426746338372</v>
      </c>
      <c r="S24" s="1155">
        <f t="shared" si="20"/>
        <v>2178.8630162544073</v>
      </c>
      <c r="T24" s="1155">
        <f t="shared" si="20"/>
        <v>2683.7995646546979</v>
      </c>
      <c r="U24" s="1155">
        <f t="shared" si="20"/>
        <v>2949.2583771053323</v>
      </c>
      <c r="V24" s="1155">
        <f t="shared" si="20"/>
        <v>3091.1445827956622</v>
      </c>
      <c r="W24" s="1155">
        <f t="shared" si="20"/>
        <v>3239.8568080444948</v>
      </c>
    </row>
    <row r="25" spans="2:23">
      <c r="B25" s="1166" t="str">
        <f>'10y capex'!B9</f>
        <v>14/12nm</v>
      </c>
      <c r="D25" s="1166">
        <f>Assumption!BB94</f>
        <v>3</v>
      </c>
      <c r="E25" s="1166">
        <f>Assumption!BC94</f>
        <v>15</v>
      </c>
      <c r="F25" s="1166">
        <f>Assumption!BD94</f>
        <v>15</v>
      </c>
      <c r="G25" s="1166">
        <f>Assumption!BE94</f>
        <v>15</v>
      </c>
      <c r="H25" s="1166">
        <f>Assumption!BF94</f>
        <v>15</v>
      </c>
      <c r="I25" s="1166">
        <f>Assumption!BG94</f>
        <v>15</v>
      </c>
      <c r="J25" s="1166">
        <f>Assumption!BH94</f>
        <v>15</v>
      </c>
      <c r="K25" s="1166">
        <f>Assumption!BI94</f>
        <v>15</v>
      </c>
      <c r="L25" s="1166">
        <f>Assumption!BJ94</f>
        <v>15</v>
      </c>
      <c r="M25" s="1166">
        <f>Assumption!BK94</f>
        <v>15</v>
      </c>
      <c r="N25" s="1166">
        <f>M25*(1+N33)</f>
        <v>15</v>
      </c>
      <c r="Q25" s="1175" t="s">
        <v>871</v>
      </c>
      <c r="R25" s="1175">
        <v>2024</v>
      </c>
      <c r="S25" s="1178" t="s">
        <v>893</v>
      </c>
      <c r="T25" s="1178" t="s">
        <v>894</v>
      </c>
      <c r="U25" s="1178" t="s">
        <v>895</v>
      </c>
      <c r="V25" s="1178" t="s">
        <v>896</v>
      </c>
      <c r="W25" s="1178" t="s">
        <v>945</v>
      </c>
    </row>
    <row r="26" spans="2:23">
      <c r="B26" s="1166" t="str">
        <f>'10y capex'!B10</f>
        <v>90-28nm</v>
      </c>
      <c r="C26" s="1166">
        <f>SUM(Assumption!BA95:BA98)</f>
        <v>88</v>
      </c>
      <c r="D26" s="1166">
        <f>SUM(Assumption!BB95:BB98)</f>
        <v>95.000000000000014</v>
      </c>
      <c r="E26" s="1166">
        <f>SUM(Assumption!BC95:BC98)</f>
        <v>103.4</v>
      </c>
      <c r="F26" s="1166">
        <f>SUM(Assumption!BD95:BD98)</f>
        <v>117.4</v>
      </c>
      <c r="G26" s="1166">
        <f>SUM(Assumption!BE95:BE98)</f>
        <v>146.4</v>
      </c>
      <c r="H26" s="1166">
        <f>SUM(Assumption!BF95:BF98)</f>
        <v>165.17777777777781</v>
      </c>
      <c r="I26" s="1166">
        <f>SUM(Assumption!BG95:BG98)</f>
        <v>228.34444444444446</v>
      </c>
      <c r="J26" s="1166">
        <f>SUM(Assumption!BH95:BH98)</f>
        <v>277.73333333333329</v>
      </c>
      <c r="K26" s="1166">
        <f>SUM(Assumption!BI95:BI98)</f>
        <v>322.39999999999998</v>
      </c>
      <c r="L26" s="1166">
        <f>SUM(Assumption!BJ95:BJ98)</f>
        <v>378.4</v>
      </c>
      <c r="M26" s="1166">
        <f>SUM(Assumption!BK95:BK98)</f>
        <v>434.4</v>
      </c>
      <c r="N26" s="1166">
        <f>M26*(1+N34)</f>
        <v>486.52800000000002</v>
      </c>
      <c r="Q26" s="1175" t="s">
        <v>1200</v>
      </c>
      <c r="R26" s="1154">
        <v>8029.9210000000003</v>
      </c>
      <c r="S26" s="1154">
        <v>9240.0750600187639</v>
      </c>
      <c r="T26" s="1154">
        <v>11215.198118057229</v>
      </c>
      <c r="U26" s="1154">
        <v>13744.985175444164</v>
      </c>
      <c r="V26" s="1154">
        <v>16690.469896356739</v>
      </c>
      <c r="W26" s="1154">
        <v>19900.556412973176</v>
      </c>
    </row>
    <row r="27" spans="2:23">
      <c r="B27" s="1166" t="str">
        <f>'10y capex'!B11</f>
        <v>8" fabs/others</v>
      </c>
      <c r="C27" s="1166">
        <f>SUM(Assumption!BA87)</f>
        <v>253.32500000000002</v>
      </c>
      <c r="D27" s="1166">
        <f>SUM(Assumption!BB87)</f>
        <v>228</v>
      </c>
      <c r="E27" s="1166">
        <f>SUM(Assumption!BC87)</f>
        <v>254.35</v>
      </c>
      <c r="F27" s="1166">
        <f>SUM(Assumption!BD87)</f>
        <v>300.59899999999999</v>
      </c>
      <c r="G27" s="1166">
        <f>SUM(Assumption!BE87)</f>
        <v>328.35</v>
      </c>
      <c r="H27" s="1166">
        <f>SUM(Assumption!BF87)</f>
        <v>354.60000000000008</v>
      </c>
      <c r="I27" s="1166">
        <f>SUM(Assumption!BG87)</f>
        <v>354.60000000000008</v>
      </c>
      <c r="J27" s="1166">
        <f>SUM(Assumption!BH87)</f>
        <v>354.60000000000008</v>
      </c>
      <c r="K27" s="1166">
        <f>SUM(Assumption!BI87)</f>
        <v>354.60000000000008</v>
      </c>
      <c r="L27" s="1166">
        <f>SUM(Assumption!BJ87)</f>
        <v>354.60000000000008</v>
      </c>
      <c r="M27" s="1166">
        <f>SUM(Assumption!BK87)</f>
        <v>354.60000000000008</v>
      </c>
      <c r="N27" s="1166">
        <f>M27*(1+N35)</f>
        <v>354.60000000000008</v>
      </c>
      <c r="Q27" s="1166" t="s">
        <v>951</v>
      </c>
      <c r="R27" s="1156">
        <v>769.91903128704121</v>
      </c>
      <c r="S27" s="1156">
        <v>704.33098597534024</v>
      </c>
      <c r="T27" s="1156">
        <v>704.57975523578807</v>
      </c>
      <c r="U27" s="1156">
        <v>739.8087429975775</v>
      </c>
      <c r="V27" s="1156">
        <v>865.57622930716559</v>
      </c>
      <c r="W27" s="1156">
        <v>1043.0193563151347</v>
      </c>
    </row>
    <row r="28" spans="2:23" outlineLevel="1">
      <c r="B28" s="1170" t="s">
        <v>967</v>
      </c>
      <c r="Q28" s="1166" t="s">
        <v>950</v>
      </c>
      <c r="R28" s="1156">
        <v>4858.0449655408192</v>
      </c>
      <c r="S28" s="1156">
        <v>6425.3452072315104</v>
      </c>
      <c r="T28" s="1156">
        <v>8019.4235185722382</v>
      </c>
      <c r="U28" s="1156">
        <v>10264.862103772464</v>
      </c>
      <c r="V28" s="1156">
        <v>12810.547905508036</v>
      </c>
      <c r="W28" s="1156">
        <v>15541.75671896235</v>
      </c>
    </row>
    <row r="29" spans="2:23" outlineLevel="1">
      <c r="B29" s="1166" t="str">
        <f t="shared" ref="B29:B35" si="21">B21</f>
        <v>2nm</v>
      </c>
      <c r="I29" s="1152"/>
      <c r="J29" s="1152"/>
      <c r="K29" s="1152"/>
      <c r="L29" s="1152"/>
      <c r="M29" s="1152"/>
      <c r="N29" s="1152"/>
      <c r="Q29" s="1166" t="s">
        <v>954</v>
      </c>
      <c r="R29" s="1156">
        <v>2401.9570031721391</v>
      </c>
      <c r="S29" s="1156">
        <v>2110.3988668119136</v>
      </c>
      <c r="T29" s="1156">
        <v>2491.194844249203</v>
      </c>
      <c r="U29" s="1156">
        <v>2740.3143286741233</v>
      </c>
      <c r="V29" s="1156">
        <v>3014.3457615415359</v>
      </c>
      <c r="W29" s="1156">
        <v>3315.7803376956899</v>
      </c>
    </row>
    <row r="30" spans="2:23" outlineLevel="1">
      <c r="B30" s="1166" t="str">
        <f t="shared" si="21"/>
        <v>3nm</v>
      </c>
      <c r="I30" s="1152"/>
      <c r="J30" s="1152"/>
      <c r="K30" s="1152"/>
      <c r="L30" s="1152"/>
      <c r="M30" s="1152"/>
      <c r="N30" s="1152"/>
      <c r="Q30" s="1175" t="s">
        <v>1201</v>
      </c>
      <c r="R30" s="1175">
        <v>2024</v>
      </c>
      <c r="S30" s="1178" t="s">
        <v>893</v>
      </c>
      <c r="T30" s="1178" t="s">
        <v>894</v>
      </c>
      <c r="U30" s="1178" t="s">
        <v>895</v>
      </c>
      <c r="V30" s="1178" t="s">
        <v>896</v>
      </c>
      <c r="W30" s="1178" t="s">
        <v>945</v>
      </c>
    </row>
    <row r="31" spans="2:23" outlineLevel="1">
      <c r="B31" s="1166" t="str">
        <f t="shared" si="21"/>
        <v>5nm</v>
      </c>
      <c r="I31" s="1152"/>
      <c r="J31" s="1152"/>
      <c r="K31" s="1152"/>
      <c r="L31" s="1152"/>
      <c r="M31" s="1152"/>
      <c r="N31" s="1152">
        <v>0</v>
      </c>
      <c r="Q31" s="1175" t="s">
        <v>1200</v>
      </c>
      <c r="R31" s="1157">
        <f t="shared" ref="R31:W31" si="22">R21/R26-1</f>
        <v>0</v>
      </c>
      <c r="S31" s="1157">
        <f t="shared" si="22"/>
        <v>9.3856315471378959E-3</v>
      </c>
      <c r="T31" s="1157">
        <f t="shared" si="22"/>
        <v>3.2392923373758764E-2</v>
      </c>
      <c r="U31" s="1157">
        <f t="shared" si="22"/>
        <v>9.0361872203179594E-3</v>
      </c>
      <c r="V31" s="1157">
        <f t="shared" si="22"/>
        <v>3.7476421941029514E-3</v>
      </c>
      <c r="W31" s="1157">
        <f t="shared" si="22"/>
        <v>3.3180713987499555E-3</v>
      </c>
    </row>
    <row r="32" spans="2:23" outlineLevel="1">
      <c r="B32" s="1166" t="str">
        <f t="shared" si="21"/>
        <v>7/8nm</v>
      </c>
      <c r="G32" s="1152"/>
      <c r="H32" s="1152"/>
      <c r="I32" s="1152"/>
      <c r="J32" s="1152"/>
      <c r="K32" s="1152"/>
      <c r="L32" s="1152"/>
      <c r="M32" s="1152"/>
      <c r="N32" s="1152">
        <v>0.2</v>
      </c>
      <c r="Q32" s="1166" t="str">
        <f>Q27</f>
        <v>14/12nm</v>
      </c>
      <c r="R32" s="1158"/>
      <c r="S32" s="1158"/>
      <c r="T32" s="1158"/>
      <c r="U32" s="1158">
        <f t="shared" ref="U32:W33" si="23">U22/U27-1</f>
        <v>-5.3680739742332451E-2</v>
      </c>
      <c r="V32" s="1158">
        <f t="shared" si="23"/>
        <v>-0.13394536473155139</v>
      </c>
      <c r="W32" s="1158">
        <f t="shared" si="23"/>
        <v>-0.20941070639394743</v>
      </c>
    </row>
    <row r="33" spans="2:29" outlineLevel="1">
      <c r="B33" s="1166" t="str">
        <f t="shared" si="21"/>
        <v>14/12nm</v>
      </c>
      <c r="D33" s="1152"/>
      <c r="E33" s="1152">
        <f t="shared" ref="E33:I35" si="24">E25/D25-1</f>
        <v>4</v>
      </c>
      <c r="F33" s="1152">
        <f t="shared" si="24"/>
        <v>0</v>
      </c>
      <c r="G33" s="1152">
        <f t="shared" si="24"/>
        <v>0</v>
      </c>
      <c r="H33" s="1152">
        <f t="shared" si="24"/>
        <v>0</v>
      </c>
      <c r="I33" s="1152">
        <f t="shared" si="24"/>
        <v>0</v>
      </c>
      <c r="J33" s="1152">
        <f t="shared" ref="J33:J35" si="25">J25/I25-1</f>
        <v>0</v>
      </c>
      <c r="K33" s="1152">
        <f t="shared" ref="K33:K35" si="26">K25/J25-1</f>
        <v>0</v>
      </c>
      <c r="L33" s="1152">
        <f t="shared" ref="L33:L35" si="27">L25/K25-1</f>
        <v>0</v>
      </c>
      <c r="M33" s="1152">
        <f t="shared" ref="M33:M35" si="28">M25/L25-1</f>
        <v>0</v>
      </c>
      <c r="N33" s="1152">
        <f>M33</f>
        <v>0</v>
      </c>
      <c r="Q33" s="1166" t="str">
        <f>Q28</f>
        <v>90-28nm</v>
      </c>
      <c r="R33" s="1158"/>
      <c r="S33" s="1158">
        <f>S23/S28-1</f>
        <v>-7.9005885584479851E-2</v>
      </c>
      <c r="T33" s="1158">
        <f>T23/T28-1</f>
        <v>-8.8815754636701993E-2</v>
      </c>
      <c r="U33" s="1158">
        <f t="shared" si="23"/>
        <v>-0.15933813310321687</v>
      </c>
      <c r="V33" s="1158">
        <f t="shared" si="23"/>
        <v>-0.19267425990109566</v>
      </c>
      <c r="W33" s="1158">
        <f t="shared" si="23"/>
        <v>-0.24138530851240436</v>
      </c>
    </row>
    <row r="34" spans="2:29" outlineLevel="1">
      <c r="B34" s="1166" t="str">
        <f t="shared" si="21"/>
        <v>90-28nm</v>
      </c>
      <c r="D34" s="1152">
        <f>D26/C26-1</f>
        <v>7.9545454545454808E-2</v>
      </c>
      <c r="E34" s="1152">
        <f t="shared" si="24"/>
        <v>8.8421052631578734E-2</v>
      </c>
      <c r="F34" s="1152">
        <f t="shared" si="24"/>
        <v>0.13539651837524169</v>
      </c>
      <c r="G34" s="1152">
        <f t="shared" si="24"/>
        <v>0.24701873935264063</v>
      </c>
      <c r="H34" s="1152">
        <f t="shared" si="24"/>
        <v>0.12826350941105047</v>
      </c>
      <c r="I34" s="1152">
        <f t="shared" si="24"/>
        <v>0.38241625184985861</v>
      </c>
      <c r="J34" s="1152">
        <f t="shared" si="25"/>
        <v>0.21629117804486375</v>
      </c>
      <c r="K34" s="1152">
        <f t="shared" si="26"/>
        <v>0.16082573211713891</v>
      </c>
      <c r="L34" s="1152">
        <f t="shared" si="27"/>
        <v>0.1736972704714641</v>
      </c>
      <c r="M34" s="1152">
        <f t="shared" si="28"/>
        <v>0.14799154334038045</v>
      </c>
      <c r="N34" s="1152">
        <v>0.12</v>
      </c>
      <c r="Q34" s="1166" t="str">
        <f>Q29</f>
        <v>8" fabs/others</v>
      </c>
      <c r="R34" s="1158">
        <f t="shared" ref="R34:W34" si="29">R24/R29-1</f>
        <v>-1.936517950857275E-2</v>
      </c>
      <c r="S34" s="1158">
        <f t="shared" si="29"/>
        <v>3.2441331598097145E-2</v>
      </c>
      <c r="T34" s="1158">
        <f t="shared" si="29"/>
        <v>7.7314193568645662E-2</v>
      </c>
      <c r="U34" s="1158">
        <f t="shared" si="29"/>
        <v>7.6248204902940708E-2</v>
      </c>
      <c r="V34" s="1158">
        <f t="shared" si="29"/>
        <v>2.5477774392693275E-2</v>
      </c>
      <c r="W34" s="1158">
        <f t="shared" si="29"/>
        <v>-2.2897635524299687E-2</v>
      </c>
    </row>
    <row r="35" spans="2:29" outlineLevel="1">
      <c r="B35" s="1166" t="str">
        <f t="shared" si="21"/>
        <v>8" fabs/others</v>
      </c>
      <c r="D35" s="1152">
        <f>D27/C27-1</f>
        <v>-9.9970393762952803E-2</v>
      </c>
      <c r="E35" s="1152">
        <f t="shared" si="24"/>
        <v>0.11557017543859649</v>
      </c>
      <c r="F35" s="1152">
        <f t="shared" si="24"/>
        <v>0.18183212109298208</v>
      </c>
      <c r="G35" s="1152">
        <f t="shared" si="24"/>
        <v>9.2319003057229176E-2</v>
      </c>
      <c r="H35" s="1152">
        <f t="shared" si="24"/>
        <v>7.9945180447693165E-2</v>
      </c>
      <c r="I35" s="1152">
        <f t="shared" si="24"/>
        <v>0</v>
      </c>
      <c r="J35" s="1152">
        <f t="shared" si="25"/>
        <v>0</v>
      </c>
      <c r="K35" s="1152">
        <f t="shared" si="26"/>
        <v>0</v>
      </c>
      <c r="L35" s="1152">
        <f t="shared" si="27"/>
        <v>0</v>
      </c>
      <c r="M35" s="1152">
        <f t="shared" si="28"/>
        <v>0</v>
      </c>
      <c r="N35" s="1152">
        <v>0</v>
      </c>
    </row>
    <row r="36" spans="2:29" outlineLevel="1" collapsed="1">
      <c r="B36" s="1170" t="s">
        <v>825</v>
      </c>
      <c r="H36" s="1170"/>
      <c r="I36" s="1170"/>
      <c r="J36" s="1170"/>
      <c r="K36" s="1170"/>
      <c r="L36" s="1170"/>
      <c r="M36" s="1170"/>
      <c r="N36" s="1170"/>
      <c r="O36" s="1170"/>
      <c r="P36" s="1170"/>
    </row>
    <row r="37" spans="2:29" outlineLevel="1">
      <c r="B37" s="1166" t="str">
        <f t="shared" ref="B37:B43" si="30">B21</f>
        <v>2nm</v>
      </c>
      <c r="D37" s="1166">
        <f t="shared" ref="D37:N37" si="31">D21-C21</f>
        <v>0</v>
      </c>
      <c r="E37" s="1166">
        <f t="shared" si="31"/>
        <v>0</v>
      </c>
      <c r="F37" s="1166">
        <f t="shared" si="31"/>
        <v>0</v>
      </c>
      <c r="G37" s="1166">
        <f t="shared" si="31"/>
        <v>0</v>
      </c>
      <c r="H37" s="1166">
        <f t="shared" si="31"/>
        <v>0</v>
      </c>
      <c r="I37" s="1166">
        <f t="shared" si="31"/>
        <v>0</v>
      </c>
      <c r="J37" s="1166">
        <f t="shared" ref="J37:J43" si="32">J21-I21</f>
        <v>0</v>
      </c>
      <c r="K37" s="1166">
        <f t="shared" ref="K37:K43" si="33">K21-J21</f>
        <v>0</v>
      </c>
      <c r="L37" s="1166">
        <f t="shared" ref="L37:L43" si="34">L21-K21</f>
        <v>0</v>
      </c>
      <c r="M37" s="1166">
        <f t="shared" ref="M37:M43" si="35">M21-L21</f>
        <v>0</v>
      </c>
      <c r="N37" s="1166">
        <f t="shared" si="31"/>
        <v>0</v>
      </c>
      <c r="O37" s="1170"/>
      <c r="X37" s="1170"/>
      <c r="Y37" s="1170"/>
      <c r="Z37" s="1170"/>
      <c r="AA37" s="1170"/>
      <c r="AB37" s="1170"/>
      <c r="AC37" s="1170"/>
    </row>
    <row r="38" spans="2:29" outlineLevel="1">
      <c r="B38" s="1166" t="str">
        <f t="shared" si="30"/>
        <v>3nm</v>
      </c>
      <c r="D38" s="1166">
        <f t="shared" ref="D38:N38" si="36">D22-C22</f>
        <v>0</v>
      </c>
      <c r="E38" s="1166">
        <f t="shared" si="36"/>
        <v>0</v>
      </c>
      <c r="F38" s="1166">
        <f t="shared" si="36"/>
        <v>0</v>
      </c>
      <c r="G38" s="1166">
        <f t="shared" si="36"/>
        <v>0</v>
      </c>
      <c r="H38" s="1166">
        <f t="shared" si="36"/>
        <v>0</v>
      </c>
      <c r="I38" s="1166">
        <f t="shared" si="36"/>
        <v>0</v>
      </c>
      <c r="J38" s="1166">
        <f t="shared" si="32"/>
        <v>0</v>
      </c>
      <c r="K38" s="1166">
        <f t="shared" si="33"/>
        <v>0</v>
      </c>
      <c r="L38" s="1166">
        <f t="shared" si="34"/>
        <v>0</v>
      </c>
      <c r="M38" s="1166">
        <f t="shared" si="35"/>
        <v>0</v>
      </c>
      <c r="N38" s="1166">
        <f t="shared" si="36"/>
        <v>0</v>
      </c>
      <c r="Q38" s="1165"/>
      <c r="R38" s="1165"/>
      <c r="S38" s="1165"/>
      <c r="T38" s="1165"/>
      <c r="U38" s="1165"/>
      <c r="V38" s="1165"/>
      <c r="W38" s="1165"/>
      <c r="X38" s="1170"/>
      <c r="Y38" s="1170"/>
      <c r="Z38" s="1170"/>
      <c r="AA38" s="1170"/>
      <c r="AB38" s="1170"/>
      <c r="AC38" s="1170"/>
    </row>
    <row r="39" spans="2:29" outlineLevel="1">
      <c r="B39" s="1166" t="str">
        <f t="shared" si="30"/>
        <v>5nm</v>
      </c>
      <c r="D39" s="1166">
        <f t="shared" ref="D39:N39" si="37">D23-C23</f>
        <v>0</v>
      </c>
      <c r="E39" s="1166">
        <f t="shared" si="37"/>
        <v>0</v>
      </c>
      <c r="F39" s="1166">
        <f t="shared" si="37"/>
        <v>0</v>
      </c>
      <c r="G39" s="1166">
        <f t="shared" si="37"/>
        <v>0</v>
      </c>
      <c r="H39" s="1166">
        <f t="shared" si="37"/>
        <v>0</v>
      </c>
      <c r="I39" s="1166">
        <f t="shared" si="37"/>
        <v>0</v>
      </c>
      <c r="J39" s="1166">
        <f t="shared" si="32"/>
        <v>0</v>
      </c>
      <c r="K39" s="1166">
        <f t="shared" si="33"/>
        <v>0</v>
      </c>
      <c r="L39" s="1166">
        <f t="shared" si="34"/>
        <v>0</v>
      </c>
      <c r="M39" s="1166">
        <f t="shared" si="35"/>
        <v>0</v>
      </c>
      <c r="N39" s="1166">
        <f t="shared" si="37"/>
        <v>0</v>
      </c>
      <c r="Q39" s="1175" t="s">
        <v>870</v>
      </c>
      <c r="R39" s="1175">
        <v>2024</v>
      </c>
      <c r="S39" s="1178" t="s">
        <v>893</v>
      </c>
      <c r="T39" s="1178" t="s">
        <v>894</v>
      </c>
      <c r="U39" s="1178" t="s">
        <v>895</v>
      </c>
      <c r="V39" s="1178" t="s">
        <v>896</v>
      </c>
      <c r="W39" s="1178" t="s">
        <v>945</v>
      </c>
    </row>
    <row r="40" spans="2:29" outlineLevel="1">
      <c r="B40" s="1166" t="str">
        <f t="shared" si="30"/>
        <v>7/8nm</v>
      </c>
      <c r="D40" s="1166">
        <f t="shared" ref="D40:H43" si="38">D24-C24</f>
        <v>0</v>
      </c>
      <c r="E40" s="1166">
        <f t="shared" si="38"/>
        <v>0</v>
      </c>
      <c r="F40" s="1166">
        <f t="shared" si="38"/>
        <v>0</v>
      </c>
      <c r="G40" s="1166">
        <f t="shared" si="38"/>
        <v>10</v>
      </c>
      <c r="H40" s="1166">
        <f t="shared" si="38"/>
        <v>10.222222222222221</v>
      </c>
      <c r="I40" s="1166">
        <f t="shared" ref="I40:I43" si="39">I24-H24</f>
        <v>0</v>
      </c>
      <c r="J40" s="1166">
        <f t="shared" si="32"/>
        <v>0</v>
      </c>
      <c r="K40" s="1166">
        <f t="shared" si="33"/>
        <v>10</v>
      </c>
      <c r="L40" s="1166">
        <f t="shared" si="34"/>
        <v>10</v>
      </c>
      <c r="M40" s="1166">
        <f t="shared" si="35"/>
        <v>10</v>
      </c>
      <c r="N40" s="1166">
        <f t="shared" ref="N40:N43" si="40">N24-M24</f>
        <v>10.044444444444444</v>
      </c>
      <c r="Q40" s="1175" t="s">
        <v>859</v>
      </c>
      <c r="R40" s="1157">
        <f t="shared" ref="R40:W40" si="41">I109</f>
        <v>0.18032157477016286</v>
      </c>
      <c r="S40" s="1157">
        <f t="shared" si="41"/>
        <v>0.20978247735369859</v>
      </c>
      <c r="T40" s="1157">
        <f t="shared" si="41"/>
        <v>0.22087583608382944</v>
      </c>
      <c r="U40" s="1157">
        <f t="shared" si="41"/>
        <v>0.24376299998838635</v>
      </c>
      <c r="V40" s="1157">
        <f t="shared" si="41"/>
        <v>0.26558862680907958</v>
      </c>
      <c r="W40" s="1157">
        <f t="shared" si="41"/>
        <v>0.28958834950082513</v>
      </c>
    </row>
    <row r="41" spans="2:29" outlineLevel="1">
      <c r="B41" s="1166" t="str">
        <f t="shared" si="30"/>
        <v>14/12nm</v>
      </c>
      <c r="D41" s="1166">
        <f t="shared" ref="D41:F42" si="42">D25-C25</f>
        <v>3</v>
      </c>
      <c r="E41" s="1166">
        <f t="shared" si="42"/>
        <v>12</v>
      </c>
      <c r="F41" s="1166">
        <f t="shared" si="42"/>
        <v>0</v>
      </c>
      <c r="G41" s="1166">
        <f t="shared" si="38"/>
        <v>0</v>
      </c>
      <c r="H41" s="1166">
        <f t="shared" si="38"/>
        <v>0</v>
      </c>
      <c r="I41" s="1166">
        <f t="shared" si="39"/>
        <v>0</v>
      </c>
      <c r="J41" s="1166">
        <f t="shared" si="32"/>
        <v>0</v>
      </c>
      <c r="K41" s="1166">
        <f t="shared" si="33"/>
        <v>0</v>
      </c>
      <c r="L41" s="1166">
        <f t="shared" si="34"/>
        <v>0</v>
      </c>
      <c r="M41" s="1166">
        <f t="shared" si="35"/>
        <v>0</v>
      </c>
      <c r="N41" s="1166">
        <f t="shared" si="40"/>
        <v>0</v>
      </c>
      <c r="Q41" s="1166" t="str">
        <f>B97</f>
        <v>14/12nm</v>
      </c>
      <c r="R41" s="1158">
        <f t="shared" ref="R41:W41" si="43">I106</f>
        <v>-3.1942372905639616E-2</v>
      </c>
      <c r="S41" s="1158">
        <f t="shared" si="43"/>
        <v>3.9999999999999925E-2</v>
      </c>
      <c r="T41" s="1158">
        <f t="shared" si="43"/>
        <v>8.0683470273800184E-2</v>
      </c>
      <c r="U41" s="1158">
        <f t="shared" si="43"/>
        <v>0.20736613824783257</v>
      </c>
      <c r="V41" s="1158">
        <f t="shared" si="43"/>
        <v>0.2940155845412743</v>
      </c>
      <c r="W41" s="1158">
        <f t="shared" si="43"/>
        <v>0.27476146411967262</v>
      </c>
    </row>
    <row r="42" spans="2:29" outlineLevel="1">
      <c r="B42" s="1166" t="str">
        <f t="shared" si="30"/>
        <v>90-28nm</v>
      </c>
      <c r="D42" s="1166">
        <f t="shared" si="42"/>
        <v>7.0000000000000142</v>
      </c>
      <c r="E42" s="1166">
        <f t="shared" si="42"/>
        <v>8.3999999999999915</v>
      </c>
      <c r="F42" s="1166">
        <f t="shared" si="42"/>
        <v>14</v>
      </c>
      <c r="G42" s="1166">
        <f t="shared" si="38"/>
        <v>29</v>
      </c>
      <c r="H42" s="1166">
        <f t="shared" si="38"/>
        <v>18.7777777777778</v>
      </c>
      <c r="I42" s="1166">
        <f t="shared" si="39"/>
        <v>63.166666666666657</v>
      </c>
      <c r="J42" s="1166">
        <f t="shared" si="32"/>
        <v>49.388888888888829</v>
      </c>
      <c r="K42" s="1166">
        <f t="shared" si="33"/>
        <v>44.666666666666686</v>
      </c>
      <c r="L42" s="1166">
        <f t="shared" si="34"/>
        <v>56</v>
      </c>
      <c r="M42" s="1166">
        <f t="shared" si="35"/>
        <v>56</v>
      </c>
      <c r="N42" s="1166">
        <f t="shared" si="40"/>
        <v>52.128000000000043</v>
      </c>
      <c r="Q42" s="1166" t="str">
        <f>B98</f>
        <v>90-28nm</v>
      </c>
      <c r="R42" s="1158">
        <f t="shared" ref="R42:W42" si="44">I107</f>
        <v>0.22933510663963241</v>
      </c>
      <c r="S42" s="1158">
        <f t="shared" si="44"/>
        <v>0.23481842848430723</v>
      </c>
      <c r="T42" s="1158">
        <f t="shared" si="44"/>
        <v>0.21163079289790165</v>
      </c>
      <c r="U42" s="1158">
        <f t="shared" si="44"/>
        <v>0.22114042399560174</v>
      </c>
      <c r="V42" s="1158">
        <f t="shared" si="44"/>
        <v>0.21872463542159892</v>
      </c>
      <c r="W42" s="1158">
        <f t="shared" si="44"/>
        <v>0.19101504938557357</v>
      </c>
    </row>
    <row r="43" spans="2:29" outlineLevel="1">
      <c r="B43" s="1166" t="str">
        <f t="shared" si="30"/>
        <v>8" fabs/others</v>
      </c>
      <c r="D43" s="1166">
        <f>D27-C27+42</f>
        <v>16.674999999999983</v>
      </c>
      <c r="E43" s="1166">
        <f>E27-D27</f>
        <v>26.349999999999994</v>
      </c>
      <c r="F43" s="1166">
        <f>F27-E27</f>
        <v>46.248999999999995</v>
      </c>
      <c r="G43" s="1166">
        <f t="shared" si="38"/>
        <v>27.751000000000033</v>
      </c>
      <c r="H43" s="1166">
        <f t="shared" si="38"/>
        <v>26.250000000000057</v>
      </c>
      <c r="I43" s="1166">
        <f t="shared" si="39"/>
        <v>0</v>
      </c>
      <c r="J43" s="1166">
        <f t="shared" si="32"/>
        <v>0</v>
      </c>
      <c r="K43" s="1166">
        <f t="shared" si="33"/>
        <v>0</v>
      </c>
      <c r="L43" s="1166">
        <f t="shared" si="34"/>
        <v>0</v>
      </c>
      <c r="M43" s="1166">
        <f t="shared" si="35"/>
        <v>0</v>
      </c>
      <c r="N43" s="1166">
        <f t="shared" si="40"/>
        <v>0</v>
      </c>
      <c r="Q43" s="1166" t="str">
        <f>B99</f>
        <v>8" fabs/others</v>
      </c>
      <c r="R43" s="1158">
        <f t="shared" ref="R43:W43" si="45">I108</f>
        <v>0.24029517750270524</v>
      </c>
      <c r="S43" s="1158">
        <f t="shared" si="45"/>
        <v>0.23886659953160616</v>
      </c>
      <c r="T43" s="1158">
        <f t="shared" si="45"/>
        <v>0.31697197563933199</v>
      </c>
      <c r="U43" s="1158">
        <f t="shared" si="45"/>
        <v>0.3105081645334653</v>
      </c>
      <c r="V43" s="1158">
        <f t="shared" si="45"/>
        <v>0.27661384649153842</v>
      </c>
      <c r="W43" s="1158">
        <f t="shared" si="45"/>
        <v>0.22942205396935056</v>
      </c>
    </row>
    <row r="44" spans="2:29" outlineLevel="1">
      <c r="B44" s="1170" t="s">
        <v>968</v>
      </c>
      <c r="C44" s="1170"/>
      <c r="D44" s="1170"/>
      <c r="E44" s="1170"/>
      <c r="F44" s="1170"/>
      <c r="G44" s="1170"/>
      <c r="H44" s="1170"/>
      <c r="I44" s="1170"/>
      <c r="J44" s="1170"/>
      <c r="K44" s="1170"/>
      <c r="L44" s="1170"/>
      <c r="M44" s="1170"/>
      <c r="N44" s="1170"/>
      <c r="O44" s="1170"/>
      <c r="Q44" s="1175" t="s">
        <v>871</v>
      </c>
      <c r="R44" s="1175">
        <v>2024</v>
      </c>
      <c r="S44" s="1178" t="s">
        <v>893</v>
      </c>
      <c r="T44" s="1178" t="s">
        <v>894</v>
      </c>
      <c r="U44" s="1178" t="s">
        <v>895</v>
      </c>
      <c r="V44" s="1178" t="s">
        <v>896</v>
      </c>
      <c r="W44" s="1178" t="s">
        <v>945</v>
      </c>
    </row>
    <row r="45" spans="2:29" outlineLevel="1">
      <c r="B45" s="1166" t="str">
        <f t="shared" ref="B45:B51" si="46">B37</f>
        <v>2nm</v>
      </c>
      <c r="M45" s="1166">
        <v>280</v>
      </c>
      <c r="N45" s="1166">
        <f t="shared" ref="N45:N51" si="47">M45</f>
        <v>280</v>
      </c>
      <c r="O45" s="1170"/>
      <c r="Q45" s="1175" t="s">
        <v>859</v>
      </c>
      <c r="R45" s="1157">
        <v>0.18032157477016286</v>
      </c>
      <c r="S45" s="1157">
        <v>0.20730683684190832</v>
      </c>
      <c r="T45" s="1157">
        <v>0.22682341507442472</v>
      </c>
      <c r="U45" s="1157">
        <v>0.24281100831080327</v>
      </c>
      <c r="V45" s="1157">
        <v>0.26541938750349592</v>
      </c>
      <c r="W45" s="1157">
        <v>0.28566829784219649</v>
      </c>
      <c r="X45" s="1170"/>
      <c r="Y45" s="1170"/>
      <c r="Z45" s="1170"/>
      <c r="AA45" s="1170"/>
      <c r="AB45" s="1170"/>
      <c r="AC45" s="1170"/>
    </row>
    <row r="46" spans="2:29" outlineLevel="1">
      <c r="B46" s="1166" t="str">
        <f t="shared" si="46"/>
        <v>3nm</v>
      </c>
      <c r="K46" s="1166">
        <v>250</v>
      </c>
      <c r="L46" s="1166">
        <f>K46</f>
        <v>250</v>
      </c>
      <c r="M46" s="1166">
        <f t="shared" ref="M46:M51" si="48">L46</f>
        <v>250</v>
      </c>
      <c r="N46" s="1166">
        <f t="shared" si="47"/>
        <v>250</v>
      </c>
      <c r="O46" s="1170"/>
      <c r="Q46" s="1166" t="str">
        <f>Q41</f>
        <v>14/12nm</v>
      </c>
      <c r="R46" s="1159">
        <v>-3.2431844636293228E-2</v>
      </c>
      <c r="S46" s="1159">
        <v>2.8293340693681057E-2</v>
      </c>
      <c r="T46" s="1159">
        <v>3.011126341817183E-2</v>
      </c>
      <c r="U46" s="1159">
        <v>0.2764274806916388</v>
      </c>
      <c r="V46" s="1159">
        <v>0.3691931882952747</v>
      </c>
      <c r="W46" s="1159">
        <v>0.40322011174822669</v>
      </c>
      <c r="X46" s="1170"/>
      <c r="Y46" s="1170"/>
      <c r="Z46" s="1170"/>
      <c r="AA46" s="1170"/>
      <c r="AB46" s="1170"/>
      <c r="AC46" s="1170"/>
    </row>
    <row r="47" spans="2:29" outlineLevel="1">
      <c r="B47" s="1166" t="str">
        <f t="shared" si="46"/>
        <v>5nm</v>
      </c>
      <c r="I47" s="1166">
        <v>200</v>
      </c>
      <c r="J47" s="1166">
        <f t="shared" ref="J47:L51" si="49">I47</f>
        <v>200</v>
      </c>
      <c r="K47" s="1166">
        <f t="shared" si="49"/>
        <v>200</v>
      </c>
      <c r="L47" s="1166">
        <f t="shared" si="49"/>
        <v>200</v>
      </c>
      <c r="M47" s="1166">
        <f t="shared" si="48"/>
        <v>200</v>
      </c>
      <c r="N47" s="1166">
        <f t="shared" si="47"/>
        <v>200</v>
      </c>
      <c r="Q47" s="1166" t="str">
        <f>Q42</f>
        <v>90-28nm</v>
      </c>
      <c r="R47" s="1159">
        <v>0.22947716870728707</v>
      </c>
      <c r="S47" s="1159">
        <v>0.25307531355197277</v>
      </c>
      <c r="T47" s="1159">
        <v>0.27007711329886641</v>
      </c>
      <c r="U47" s="1159">
        <v>0.30196232994218242</v>
      </c>
      <c r="V47" s="1159">
        <v>0.32376657463482761</v>
      </c>
      <c r="W47" s="1159">
        <v>0.34232393039431941</v>
      </c>
    </row>
    <row r="48" spans="2:29" outlineLevel="1">
      <c r="B48" s="1166" t="str">
        <f t="shared" si="46"/>
        <v>7/8nm</v>
      </c>
      <c r="G48" s="1166">
        <f>Depreciation!BA156</f>
        <v>150</v>
      </c>
      <c r="H48" s="1166">
        <f t="shared" ref="H48:I50" si="50">G48</f>
        <v>150</v>
      </c>
      <c r="I48" s="1166">
        <f>Depreciation!BF156</f>
        <v>150</v>
      </c>
      <c r="J48" s="1166">
        <f>Depreciation!BJ156</f>
        <v>180</v>
      </c>
      <c r="K48" s="1166">
        <f>Depreciation!BN156</f>
        <v>190</v>
      </c>
      <c r="L48" s="1166">
        <f>Depreciation!BR156</f>
        <v>200</v>
      </c>
      <c r="M48" s="1166">
        <f t="shared" si="48"/>
        <v>200</v>
      </c>
      <c r="N48" s="1166">
        <f t="shared" si="47"/>
        <v>200</v>
      </c>
      <c r="Q48" s="1166" t="str">
        <f>Q43</f>
        <v>8" fabs/others</v>
      </c>
      <c r="R48" s="1159">
        <v>0.14909821024575765</v>
      </c>
      <c r="S48" s="1159">
        <v>0.12770410729718196</v>
      </c>
      <c r="T48" s="1159">
        <v>0.14322083151046661</v>
      </c>
      <c r="U48" s="1159">
        <v>1.2162314704952992E-2</v>
      </c>
      <c r="V48" s="1159">
        <v>-1.2346879979900471E-2</v>
      </c>
      <c r="W48" s="1159">
        <v>-1.6865879031262576E-2</v>
      </c>
    </row>
    <row r="49" spans="2:24" outlineLevel="1">
      <c r="B49" s="1166" t="str">
        <f t="shared" si="46"/>
        <v>14/12nm</v>
      </c>
      <c r="D49" s="1166">
        <f>Depreciation!AL108</f>
        <v>130</v>
      </c>
      <c r="E49" s="1166">
        <f t="shared" ref="E49:G51" si="51">D49</f>
        <v>130</v>
      </c>
      <c r="F49" s="1166">
        <f t="shared" si="51"/>
        <v>130</v>
      </c>
      <c r="G49" s="1166">
        <f t="shared" si="51"/>
        <v>130</v>
      </c>
      <c r="H49" s="1166">
        <f t="shared" si="50"/>
        <v>130</v>
      </c>
      <c r="I49" s="1166">
        <f t="shared" si="50"/>
        <v>130</v>
      </c>
      <c r="J49" s="1166">
        <f t="shared" si="49"/>
        <v>130</v>
      </c>
      <c r="K49" s="1166">
        <f t="shared" si="49"/>
        <v>130</v>
      </c>
      <c r="L49" s="1166">
        <f t="shared" si="49"/>
        <v>130</v>
      </c>
      <c r="M49" s="1166">
        <f t="shared" si="48"/>
        <v>130</v>
      </c>
      <c r="N49" s="1166">
        <f t="shared" si="47"/>
        <v>130</v>
      </c>
      <c r="Q49" s="1175" t="s">
        <v>1201</v>
      </c>
      <c r="R49" s="1175">
        <v>2024</v>
      </c>
      <c r="S49" s="1178" t="s">
        <v>893</v>
      </c>
      <c r="T49" s="1178" t="s">
        <v>894</v>
      </c>
      <c r="U49" s="1178" t="s">
        <v>895</v>
      </c>
      <c r="V49" s="1178" t="s">
        <v>896</v>
      </c>
      <c r="W49" s="1178" t="s">
        <v>945</v>
      </c>
    </row>
    <row r="50" spans="2:24" outlineLevel="1">
      <c r="B50" s="1166" t="str">
        <f t="shared" si="46"/>
        <v>90-28nm</v>
      </c>
      <c r="D50" s="1166">
        <v>80</v>
      </c>
      <c r="E50" s="1166">
        <f>D50</f>
        <v>80</v>
      </c>
      <c r="F50" s="1166">
        <f>E50</f>
        <v>80</v>
      </c>
      <c r="G50" s="1166">
        <f t="shared" si="51"/>
        <v>80</v>
      </c>
      <c r="H50" s="1166">
        <f t="shared" si="50"/>
        <v>80</v>
      </c>
      <c r="I50" s="1166">
        <f t="shared" si="50"/>
        <v>80</v>
      </c>
      <c r="J50" s="1166">
        <v>80</v>
      </c>
      <c r="K50" s="1166">
        <f t="shared" si="49"/>
        <v>80</v>
      </c>
      <c r="L50" s="1166">
        <f t="shared" si="49"/>
        <v>80</v>
      </c>
      <c r="M50" s="1166">
        <f t="shared" si="48"/>
        <v>80</v>
      </c>
      <c r="N50" s="1166">
        <f t="shared" si="47"/>
        <v>80</v>
      </c>
      <c r="Q50" s="1175" t="s">
        <v>859</v>
      </c>
      <c r="R50" s="1160" t="str">
        <f t="shared" ref="R50:W50" si="52">ROUND((R40-R45)*100,1)&amp;"ppts"</f>
        <v>0ppts</v>
      </c>
      <c r="S50" s="1160" t="str">
        <f t="shared" si="52"/>
        <v>0.2ppts</v>
      </c>
      <c r="T50" s="1160" t="str">
        <f t="shared" si="52"/>
        <v>-0.6ppts</v>
      </c>
      <c r="U50" s="1160" t="str">
        <f t="shared" si="52"/>
        <v>0.1ppts</v>
      </c>
      <c r="V50" s="1160" t="str">
        <f t="shared" si="52"/>
        <v>0ppts</v>
      </c>
      <c r="W50" s="1160" t="str">
        <f t="shared" si="52"/>
        <v>0.4ppts</v>
      </c>
    </row>
    <row r="51" spans="2:24" outlineLevel="1">
      <c r="B51" s="1166" t="str">
        <f t="shared" si="46"/>
        <v>8" fabs/others</v>
      </c>
      <c r="D51" s="1166">
        <v>30</v>
      </c>
      <c r="E51" s="1166">
        <f t="shared" si="51"/>
        <v>30</v>
      </c>
      <c r="F51" s="1166">
        <f t="shared" si="51"/>
        <v>30</v>
      </c>
      <c r="G51" s="1166">
        <f t="shared" si="51"/>
        <v>30</v>
      </c>
      <c r="H51" s="1166">
        <v>30</v>
      </c>
      <c r="I51" s="1166">
        <v>30</v>
      </c>
      <c r="J51" s="1166">
        <v>30</v>
      </c>
      <c r="K51" s="1166">
        <f t="shared" si="49"/>
        <v>30</v>
      </c>
      <c r="L51" s="1166">
        <f t="shared" si="49"/>
        <v>30</v>
      </c>
      <c r="M51" s="1166">
        <f t="shared" si="48"/>
        <v>30</v>
      </c>
      <c r="N51" s="1166">
        <f t="shared" si="47"/>
        <v>30</v>
      </c>
      <c r="Q51" s="1166" t="str">
        <f>Q46</f>
        <v>14/12nm</v>
      </c>
      <c r="R51" s="1158"/>
      <c r="S51" s="1158"/>
      <c r="T51" s="1158"/>
      <c r="U51" s="1158" t="str">
        <f t="shared" ref="U51:W53" si="53">ROUND((U41-U46)*100,1)&amp;"ppts"</f>
        <v>-6.9ppts</v>
      </c>
      <c r="V51" s="1158" t="str">
        <f t="shared" si="53"/>
        <v>-7.5ppts</v>
      </c>
      <c r="W51" s="1158" t="str">
        <f t="shared" si="53"/>
        <v>-12.8ppts</v>
      </c>
    </row>
    <row r="52" spans="2:24">
      <c r="B52" s="1170" t="s">
        <v>818</v>
      </c>
      <c r="Q52" s="1166" t="str">
        <f>Q47</f>
        <v>90-28nm</v>
      </c>
      <c r="R52" s="1158"/>
      <c r="S52" s="1158" t="str">
        <f>ROUND((S42-S47)*100,1)&amp;"ppts"</f>
        <v>-1.8ppts</v>
      </c>
      <c r="T52" s="1158" t="str">
        <f>ROUND((T42-T47)*100,1)&amp;"ppts"</f>
        <v>-5.8ppts</v>
      </c>
      <c r="U52" s="1158" t="str">
        <f t="shared" si="53"/>
        <v>-8.1ppts</v>
      </c>
      <c r="V52" s="1158" t="str">
        <f t="shared" si="53"/>
        <v>-10.5ppts</v>
      </c>
      <c r="W52" s="1158" t="str">
        <f t="shared" si="53"/>
        <v>-15.1ppts</v>
      </c>
    </row>
    <row r="53" spans="2:24">
      <c r="B53" s="1166" t="str">
        <f t="shared" ref="B53:B59" si="54">B45</f>
        <v>2nm</v>
      </c>
      <c r="D53" s="1166">
        <f t="shared" ref="D53:N53" si="55">D37*D45</f>
        <v>0</v>
      </c>
      <c r="E53" s="1166">
        <f t="shared" si="55"/>
        <v>0</v>
      </c>
      <c r="F53" s="1166">
        <f t="shared" si="55"/>
        <v>0</v>
      </c>
      <c r="G53" s="1166">
        <f t="shared" si="55"/>
        <v>0</v>
      </c>
      <c r="H53" s="1166">
        <f t="shared" si="55"/>
        <v>0</v>
      </c>
      <c r="I53" s="1166">
        <f t="shared" ref="I53:M53" si="56">I37*I45</f>
        <v>0</v>
      </c>
      <c r="J53" s="1166">
        <f t="shared" si="56"/>
        <v>0</v>
      </c>
      <c r="K53" s="1166">
        <f t="shared" si="56"/>
        <v>0</v>
      </c>
      <c r="L53" s="1166">
        <f t="shared" si="56"/>
        <v>0</v>
      </c>
      <c r="M53" s="1166">
        <f t="shared" si="56"/>
        <v>0</v>
      </c>
      <c r="N53" s="1166">
        <f t="shared" si="55"/>
        <v>0</v>
      </c>
      <c r="Q53" s="1166" t="str">
        <f>Q48</f>
        <v>8" fabs/others</v>
      </c>
      <c r="R53" s="1158" t="str">
        <f>ROUND((R43-R48)*100,1)&amp;"ppts"</f>
        <v>9.1ppts</v>
      </c>
      <c r="S53" s="1158" t="str">
        <f>ROUND((S43-S48)*100,1)&amp;"ppts"</f>
        <v>11.1ppts</v>
      </c>
      <c r="T53" s="1158" t="str">
        <f>ROUND((T43-T48)*100,1)&amp;"ppts"</f>
        <v>17.4ppts</v>
      </c>
      <c r="U53" s="1158" t="str">
        <f t="shared" si="53"/>
        <v>29.8ppts</v>
      </c>
      <c r="V53" s="1158" t="str">
        <f t="shared" si="53"/>
        <v>28.9ppts</v>
      </c>
      <c r="W53" s="1158" t="str">
        <f t="shared" si="53"/>
        <v>24.6ppts</v>
      </c>
    </row>
    <row r="54" spans="2:24">
      <c r="B54" s="1166" t="str">
        <f t="shared" si="54"/>
        <v>3nm</v>
      </c>
      <c r="D54" s="1166">
        <f t="shared" ref="D54:N54" si="57">D38*D46</f>
        <v>0</v>
      </c>
      <c r="E54" s="1166">
        <f t="shared" si="57"/>
        <v>0</v>
      </c>
      <c r="F54" s="1166">
        <f t="shared" si="57"/>
        <v>0</v>
      </c>
      <c r="G54" s="1166">
        <f t="shared" si="57"/>
        <v>0</v>
      </c>
      <c r="H54" s="1166">
        <f t="shared" si="57"/>
        <v>0</v>
      </c>
      <c r="I54" s="1166">
        <f t="shared" ref="I54:M54" si="58">I38*I46</f>
        <v>0</v>
      </c>
      <c r="J54" s="1166">
        <f t="shared" si="58"/>
        <v>0</v>
      </c>
      <c r="K54" s="1166">
        <f t="shared" si="58"/>
        <v>0</v>
      </c>
      <c r="L54" s="1166">
        <f t="shared" si="58"/>
        <v>0</v>
      </c>
      <c r="M54" s="1166">
        <f t="shared" si="58"/>
        <v>0</v>
      </c>
      <c r="N54" s="1166">
        <f t="shared" si="57"/>
        <v>0</v>
      </c>
    </row>
    <row r="55" spans="2:24">
      <c r="B55" s="1166" t="str">
        <f t="shared" si="54"/>
        <v>5nm</v>
      </c>
      <c r="D55" s="1166">
        <f t="shared" ref="D55:E57" si="59">D39*D47</f>
        <v>0</v>
      </c>
      <c r="E55" s="1166">
        <f t="shared" si="59"/>
        <v>0</v>
      </c>
      <c r="F55" s="1166">
        <f>F39*F47</f>
        <v>0</v>
      </c>
      <c r="G55" s="1166">
        <f>G39*G47</f>
        <v>0</v>
      </c>
      <c r="H55" s="1166">
        <f>H39*H47</f>
        <v>0</v>
      </c>
      <c r="I55" s="1166">
        <f t="shared" ref="I55:M55" si="60">I39*I47</f>
        <v>0</v>
      </c>
      <c r="J55" s="1166">
        <f t="shared" si="60"/>
        <v>0</v>
      </c>
      <c r="K55" s="1166">
        <f t="shared" si="60"/>
        <v>0</v>
      </c>
      <c r="L55" s="1166">
        <f t="shared" si="60"/>
        <v>0</v>
      </c>
      <c r="M55" s="1166">
        <f t="shared" si="60"/>
        <v>0</v>
      </c>
      <c r="N55" s="1166">
        <f t="shared" ref="N55:N59" si="61">N39*N47</f>
        <v>0</v>
      </c>
    </row>
    <row r="56" spans="2:24">
      <c r="B56" s="1166" t="str">
        <f t="shared" si="54"/>
        <v>7/8nm</v>
      </c>
      <c r="D56" s="1166">
        <f t="shared" si="59"/>
        <v>0</v>
      </c>
      <c r="E56" s="1166">
        <f t="shared" si="59"/>
        <v>0</v>
      </c>
      <c r="F56" s="1166">
        <f>F40*F48</f>
        <v>0</v>
      </c>
      <c r="G56" s="1166">
        <f>G40*G48</f>
        <v>1500</v>
      </c>
      <c r="H56" s="1166">
        <f>H40*H48+I40*I48*0.35</f>
        <v>1533.3333333333333</v>
      </c>
      <c r="I56" s="1166">
        <f t="shared" ref="I56:M56" si="62">I40*I48+J40*J48*0.35</f>
        <v>0</v>
      </c>
      <c r="J56" s="1166">
        <f t="shared" si="62"/>
        <v>665</v>
      </c>
      <c r="K56" s="1166">
        <f t="shared" si="62"/>
        <v>2600</v>
      </c>
      <c r="L56" s="1166">
        <f t="shared" si="62"/>
        <v>2700</v>
      </c>
      <c r="M56" s="1166">
        <f t="shared" si="62"/>
        <v>2703.1111111111113</v>
      </c>
      <c r="N56" s="1166">
        <f t="shared" si="61"/>
        <v>2008.8888888888889</v>
      </c>
    </row>
    <row r="57" spans="2:24">
      <c r="B57" s="1166" t="str">
        <f t="shared" si="54"/>
        <v>14/12nm</v>
      </c>
      <c r="D57" s="1166">
        <f t="shared" si="59"/>
        <v>390</v>
      </c>
      <c r="E57" s="1166">
        <f t="shared" si="59"/>
        <v>1560</v>
      </c>
      <c r="F57" s="1166">
        <f>F41*F49</f>
        <v>0</v>
      </c>
      <c r="G57" s="1166">
        <f t="shared" ref="G57:H57" si="63">G41*G49</f>
        <v>0</v>
      </c>
      <c r="H57" s="1166">
        <f t="shared" si="63"/>
        <v>0</v>
      </c>
      <c r="I57" s="1166">
        <f t="shared" ref="I57:M57" si="64">I41*I49</f>
        <v>0</v>
      </c>
      <c r="J57" s="1166">
        <f t="shared" si="64"/>
        <v>0</v>
      </c>
      <c r="K57" s="1166">
        <f t="shared" si="64"/>
        <v>0</v>
      </c>
      <c r="L57" s="1166">
        <f t="shared" si="64"/>
        <v>0</v>
      </c>
      <c r="M57" s="1166">
        <f t="shared" si="64"/>
        <v>0</v>
      </c>
      <c r="N57" s="1166">
        <f t="shared" si="61"/>
        <v>0</v>
      </c>
      <c r="P57" s="1152"/>
    </row>
    <row r="58" spans="2:24">
      <c r="B58" s="1166" t="str">
        <f t="shared" si="54"/>
        <v>90-28nm</v>
      </c>
      <c r="D58" s="1166">
        <f>D42*D50</f>
        <v>560.00000000000114</v>
      </c>
      <c r="E58" s="1166">
        <f>E42*E50+F42*F50*50%</f>
        <v>1231.9999999999993</v>
      </c>
      <c r="F58" s="1166">
        <f>F42*F50*50%+G42*G50*50%</f>
        <v>1720</v>
      </c>
      <c r="G58" s="1166">
        <f>G42*G50*50%+H42*H50*40%</f>
        <v>1760.8888888888896</v>
      </c>
      <c r="H58" s="1166">
        <f>H42*H50*60%+I42*I50*20%</f>
        <v>1912.0000000000009</v>
      </c>
      <c r="I58" s="1166">
        <f t="shared" ref="I58:M58" si="65">I42*I50*60%+J42*J50*20%</f>
        <v>3822.2222222222204</v>
      </c>
      <c r="J58" s="1166">
        <f t="shared" si="65"/>
        <v>3085.3333333333308</v>
      </c>
      <c r="K58" s="1166">
        <f t="shared" si="65"/>
        <v>3040.0000000000009</v>
      </c>
      <c r="L58" s="1166">
        <f t="shared" si="65"/>
        <v>3584</v>
      </c>
      <c r="M58" s="1166">
        <f t="shared" si="65"/>
        <v>3522.0480000000007</v>
      </c>
      <c r="N58" s="1166">
        <f t="shared" si="61"/>
        <v>4170.2400000000034</v>
      </c>
    </row>
    <row r="59" spans="2:24">
      <c r="B59" s="1166" t="str">
        <f t="shared" si="54"/>
        <v>8" fabs/others</v>
      </c>
      <c r="D59" s="1166">
        <f>D43*D51</f>
        <v>500.24999999999949</v>
      </c>
      <c r="E59" s="1166">
        <f>E43*E51+F43*F51*50%</f>
        <v>1484.2349999999997</v>
      </c>
      <c r="F59" s="1166">
        <f>F43*F51*50%+G43*G51*50%</f>
        <v>1110.0000000000005</v>
      </c>
      <c r="G59" s="1166">
        <f>G43*G51*50%+H43*H51*40%</f>
        <v>731.26500000000124</v>
      </c>
      <c r="H59" s="1166">
        <f>H43*H51*60%+I43*I51*20%</f>
        <v>472.50000000000102</v>
      </c>
      <c r="I59" s="1166">
        <f t="shared" ref="I59:M59" si="66">I43*I51*60%+J43*J51*20%</f>
        <v>0</v>
      </c>
      <c r="J59" s="1166">
        <f t="shared" si="66"/>
        <v>0</v>
      </c>
      <c r="K59" s="1166">
        <f t="shared" si="66"/>
        <v>0</v>
      </c>
      <c r="L59" s="1166">
        <f t="shared" si="66"/>
        <v>0</v>
      </c>
      <c r="M59" s="1166">
        <f t="shared" si="66"/>
        <v>0</v>
      </c>
      <c r="N59" s="1166">
        <f t="shared" si="61"/>
        <v>0</v>
      </c>
    </row>
    <row r="60" spans="2:24">
      <c r="B60" s="1170" t="s">
        <v>970</v>
      </c>
      <c r="C60" s="1166">
        <v>1200</v>
      </c>
      <c r="D60" s="1170">
        <f t="shared" ref="D60:N60" si="67">SUM(D53:D59)</f>
        <v>1450.2500000000007</v>
      </c>
      <c r="E60" s="1170">
        <f t="shared" si="67"/>
        <v>4276.2349999999988</v>
      </c>
      <c r="F60" s="1170">
        <f t="shared" si="67"/>
        <v>2830.0000000000005</v>
      </c>
      <c r="G60" s="1170">
        <f t="shared" si="67"/>
        <v>3992.1538888888908</v>
      </c>
      <c r="H60" s="1170">
        <f t="shared" si="67"/>
        <v>3917.8333333333348</v>
      </c>
      <c r="I60" s="1170">
        <f t="shared" si="67"/>
        <v>3822.2222222222204</v>
      </c>
      <c r="J60" s="1170">
        <f t="shared" si="67"/>
        <v>3750.3333333333308</v>
      </c>
      <c r="K60" s="1170">
        <f t="shared" si="67"/>
        <v>5640.0000000000009</v>
      </c>
      <c r="L60" s="1170">
        <f t="shared" si="67"/>
        <v>6284</v>
      </c>
      <c r="M60" s="1170">
        <f t="shared" si="67"/>
        <v>6225.159111111112</v>
      </c>
      <c r="N60" s="1170">
        <f t="shared" si="67"/>
        <v>6179.1288888888921</v>
      </c>
      <c r="P60" s="1152"/>
    </row>
    <row r="61" spans="2:24">
      <c r="B61" s="1166" t="s">
        <v>1014</v>
      </c>
      <c r="C61" s="1166">
        <v>600</v>
      </c>
      <c r="D61" s="1166">
        <f t="shared" ref="D61:M61" si="68">D62-D60</f>
        <v>579.0499999999995</v>
      </c>
      <c r="E61" s="1166">
        <f t="shared" si="68"/>
        <v>1456.5650000000005</v>
      </c>
      <c r="F61" s="1166">
        <f t="shared" si="68"/>
        <v>1685.7999999999997</v>
      </c>
      <c r="G61" s="1166">
        <f t="shared" si="68"/>
        <v>2358.5461111111099</v>
      </c>
      <c r="H61" s="1166">
        <f t="shared" si="68"/>
        <v>3547.8666666666641</v>
      </c>
      <c r="I61" s="1166">
        <f t="shared" si="68"/>
        <v>3503.5777777777789</v>
      </c>
      <c r="J61" s="1166">
        <f t="shared" si="68"/>
        <v>4351.966666666669</v>
      </c>
      <c r="K61" s="1166">
        <f t="shared" si="68"/>
        <v>3351.7458499999984</v>
      </c>
      <c r="L61" s="1166">
        <f t="shared" si="68"/>
        <v>3313.9599089500007</v>
      </c>
      <c r="M61" s="1166">
        <f t="shared" si="68"/>
        <v>3372.8007978388887</v>
      </c>
      <c r="N61" s="1166">
        <f>M61*1.027</f>
        <v>3463.8664193805384</v>
      </c>
      <c r="O61" s="1152"/>
      <c r="P61" s="1152"/>
      <c r="Q61" s="1152"/>
      <c r="R61" s="1152"/>
      <c r="S61" s="1152"/>
      <c r="T61" s="1152"/>
      <c r="U61" s="1152"/>
    </row>
    <row r="62" spans="2:24">
      <c r="B62" s="1170" t="s">
        <v>969</v>
      </c>
      <c r="C62" s="1170">
        <f>-Model!I181</f>
        <v>1808.2529999999999</v>
      </c>
      <c r="D62" s="1170">
        <f>-Model!J181</f>
        <v>2029.3000000000002</v>
      </c>
      <c r="E62" s="1170">
        <f>-Model!K181</f>
        <v>5732.7999999999993</v>
      </c>
      <c r="F62" s="1170">
        <f>-Model!L181</f>
        <v>4515.8</v>
      </c>
      <c r="G62" s="1170">
        <f>-Model!M181</f>
        <v>6350.7000000000007</v>
      </c>
      <c r="H62" s="1170">
        <f>-Model!N181</f>
        <v>7465.6999999999989</v>
      </c>
      <c r="I62" s="1170">
        <f>-Model!O181</f>
        <v>7325.7999999999993</v>
      </c>
      <c r="J62" s="1170">
        <f>-Model!P181</f>
        <v>8102.2999999999993</v>
      </c>
      <c r="K62" s="1170">
        <f>-Model!Q181</f>
        <v>8991.7458499999993</v>
      </c>
      <c r="L62" s="1170">
        <f>-Model!R181</f>
        <v>9597.9599089500007</v>
      </c>
      <c r="M62" s="1170">
        <f>-Model!S181</f>
        <v>9597.9599089500007</v>
      </c>
      <c r="N62" s="1170">
        <f>N60+N61</f>
        <v>9642.9953082694301</v>
      </c>
      <c r="P62" s="1152"/>
      <c r="Q62" s="1152"/>
      <c r="R62" s="1152"/>
      <c r="S62" s="1152"/>
      <c r="T62" s="1152"/>
      <c r="U62" s="1152"/>
      <c r="V62" s="1152"/>
      <c r="W62" s="1152"/>
      <c r="X62" s="1152"/>
    </row>
    <row r="63" spans="2:24">
      <c r="B63" s="1166" t="s">
        <v>858</v>
      </c>
      <c r="D63" s="1152">
        <f t="shared" ref="D63:N63" si="69">D62/C62-1</f>
        <v>0.1222434028866537</v>
      </c>
      <c r="E63" s="1152">
        <f t="shared" si="69"/>
        <v>1.82501355147095</v>
      </c>
      <c r="F63" s="1152">
        <f t="shared" si="69"/>
        <v>-0.21228718950600045</v>
      </c>
      <c r="G63" s="1152">
        <f t="shared" si="69"/>
        <v>0.40632888967624803</v>
      </c>
      <c r="H63" s="1152">
        <f t="shared" si="69"/>
        <v>0.17557119687593459</v>
      </c>
      <c r="I63" s="1152">
        <f t="shared" ref="I63" si="70">I62/H62-1</f>
        <v>-1.8739033178402531E-2</v>
      </c>
      <c r="J63" s="1152">
        <f t="shared" ref="J63" si="71">J62/I62-1</f>
        <v>0.10599524966556562</v>
      </c>
      <c r="K63" s="1152">
        <f t="shared" ref="K63" si="72">K62/J62-1</f>
        <v>0.10977695839453006</v>
      </c>
      <c r="L63" s="1152">
        <f t="shared" ref="L63" si="73">L62/K62-1</f>
        <v>6.7418949452402677E-2</v>
      </c>
      <c r="M63" s="1152">
        <f t="shared" ref="M63" si="74">M62/L62-1</f>
        <v>0</v>
      </c>
      <c r="N63" s="1152">
        <f t="shared" si="69"/>
        <v>4.6921845628291603E-3</v>
      </c>
    </row>
    <row r="64" spans="2:24">
      <c r="B64" s="1170" t="s">
        <v>138</v>
      </c>
      <c r="C64" s="1176" t="str">
        <f t="shared" ref="C64:N64" si="75">C20</f>
        <v>2018</v>
      </c>
      <c r="D64" s="1176" t="str">
        <f t="shared" si="75"/>
        <v>2019</v>
      </c>
      <c r="E64" s="1176" t="str">
        <f t="shared" si="75"/>
        <v>2020</v>
      </c>
      <c r="F64" s="1176" t="str">
        <f t="shared" si="75"/>
        <v>2021</v>
      </c>
      <c r="G64" s="1176">
        <f t="shared" si="75"/>
        <v>2022</v>
      </c>
      <c r="H64" s="1176" t="str">
        <f t="shared" si="75"/>
        <v>2023</v>
      </c>
      <c r="I64" s="1176" t="str">
        <f t="shared" si="75"/>
        <v>2024</v>
      </c>
      <c r="J64" s="1176" t="str">
        <f t="shared" si="75"/>
        <v>2025</v>
      </c>
      <c r="K64" s="1176" t="str">
        <f t="shared" si="75"/>
        <v>2026E</v>
      </c>
      <c r="L64" s="1176" t="str">
        <f t="shared" si="75"/>
        <v>2027E</v>
      </c>
      <c r="M64" s="1176" t="str">
        <f t="shared" si="75"/>
        <v>2028E</v>
      </c>
      <c r="N64" s="1176" t="str">
        <f t="shared" si="75"/>
        <v>2029E</v>
      </c>
    </row>
    <row r="65" spans="2:24">
      <c r="B65" s="1166" t="str">
        <f t="shared" ref="B65:B71" si="76">B21</f>
        <v>2nm</v>
      </c>
      <c r="P65" s="1180"/>
    </row>
    <row r="66" spans="2:24">
      <c r="B66" s="1166" t="str">
        <f t="shared" si="76"/>
        <v>3nm</v>
      </c>
      <c r="O66" s="1152"/>
    </row>
    <row r="67" spans="2:24">
      <c r="B67" s="1166" t="str">
        <f t="shared" si="76"/>
        <v>5nm</v>
      </c>
      <c r="O67" s="1152"/>
    </row>
    <row r="68" spans="2:24">
      <c r="B68" s="1166" t="str">
        <f t="shared" si="76"/>
        <v>7/8nm</v>
      </c>
      <c r="C68" s="1166">
        <f>Assumption!BA229</f>
        <v>0</v>
      </c>
      <c r="D68" s="1166">
        <f>Assumption!BB229</f>
        <v>0</v>
      </c>
      <c r="E68" s="1166">
        <f>Assumption!BC229</f>
        <v>0</v>
      </c>
      <c r="F68" s="1166">
        <f>Assumption!BD229</f>
        <v>0</v>
      </c>
      <c r="G68" s="1166">
        <f>Assumption!BE229</f>
        <v>214.28571428571431</v>
      </c>
      <c r="H68" s="1166">
        <f>Assumption!BF229</f>
        <v>340.47619047619048</v>
      </c>
      <c r="I68" s="1166">
        <f>Assumption!BG229</f>
        <v>433.33333333333337</v>
      </c>
      <c r="J68" s="1166">
        <f>Assumption!BH229</f>
        <v>433.33333333333337</v>
      </c>
      <c r="K68" s="1166">
        <f>Assumption!BI229</f>
        <v>602.9761904761906</v>
      </c>
      <c r="L68" s="1166">
        <f>Assumption!BJ229</f>
        <v>883.3333333333336</v>
      </c>
      <c r="M68" s="1166">
        <f>Assumption!BK229</f>
        <v>1024.4047619047622</v>
      </c>
      <c r="N68" s="1166">
        <f>SUM($F56:N56)/7*50%</f>
        <v>979.30952380952374</v>
      </c>
      <c r="P68" s="1152"/>
    </row>
    <row r="69" spans="2:24">
      <c r="B69" s="1166" t="str">
        <f t="shared" si="76"/>
        <v>14/12nm</v>
      </c>
      <c r="C69" s="1166">
        <f>Assumption!BA230</f>
        <v>0</v>
      </c>
      <c r="D69" s="1166">
        <f>Assumption!BB230</f>
        <v>0</v>
      </c>
      <c r="E69" s="1166">
        <f>Assumption!BC230</f>
        <v>39.927234567640205</v>
      </c>
      <c r="F69" s="1166">
        <f>Assumption!BD230</f>
        <v>149.84379434389456</v>
      </c>
      <c r="G69" s="1166">
        <f>Assumption!BE230</f>
        <v>140.68718638283141</v>
      </c>
      <c r="H69" s="1166">
        <f>Assumption!BF230</f>
        <v>150.93672729867708</v>
      </c>
      <c r="I69" s="1166">
        <f>Assumption!BG230</f>
        <v>165.4421594639123</v>
      </c>
      <c r="J69" s="1166">
        <f>Assumption!BH230</f>
        <v>168.09617957155376</v>
      </c>
      <c r="K69" s="1166">
        <f>Assumption!BI230</f>
        <v>167.01278739362922</v>
      </c>
      <c r="L69" s="1166">
        <f>Assumption!BJ230</f>
        <v>78.024095398526441</v>
      </c>
      <c r="M69" s="1166">
        <f>Assumption!BK230</f>
        <v>0</v>
      </c>
      <c r="N69" s="1166">
        <f>SUM($F57:N57)/7*50%</f>
        <v>0</v>
      </c>
    </row>
    <row r="70" spans="2:24">
      <c r="B70" s="1166" t="str">
        <f t="shared" si="76"/>
        <v>90-28nm</v>
      </c>
      <c r="C70" s="1166">
        <f>SUM(Assumption!BA231:BA234)</f>
        <v>498.82679999999999</v>
      </c>
      <c r="D70" s="1166">
        <f>SUM(Assumption!BB231:BB234)</f>
        <v>468.29600000000005</v>
      </c>
      <c r="E70" s="1166">
        <f>SUM(Assumption!BC231:BC234)</f>
        <v>592.9148667570862</v>
      </c>
      <c r="F70" s="1166">
        <f>SUM(Assumption!BD231:BD234)</f>
        <v>761.52674395927363</v>
      </c>
      <c r="G70" s="1166">
        <f>SUM(Assumption!BE231:BE234)</f>
        <v>894.77296953201812</v>
      </c>
      <c r="H70" s="1166">
        <f>SUM(Assumption!BF231:BF234)</f>
        <v>1142.5365575575927</v>
      </c>
      <c r="I70" s="1166">
        <f>SUM(Assumption!BG231:BG234)</f>
        <v>1545.8586550419279</v>
      </c>
      <c r="J70" s="1166">
        <f>SUM(Assumption!BH231:BH234)</f>
        <v>1876.3629409665787</v>
      </c>
      <c r="K70" s="1166">
        <f>SUM(Assumption!BI231:BI234)</f>
        <v>2270.8505803347216</v>
      </c>
      <c r="L70" s="1166">
        <f>SUM(Assumption!BJ231:BJ234)</f>
        <v>2541.8905220425668</v>
      </c>
      <c r="M70" s="1166">
        <f>SUM(Assumption!BK231:BK234)</f>
        <v>2819.6738779311049</v>
      </c>
      <c r="N70" s="1166">
        <f>SUM(H58:N58)/7*50%+SUM(E61:N61)/10/2</f>
        <v>3172.8950138878363</v>
      </c>
      <c r="P70" s="1180"/>
    </row>
    <row r="71" spans="2:24">
      <c r="B71" s="1166" t="str">
        <f t="shared" si="76"/>
        <v>8" fabs/others</v>
      </c>
      <c r="C71" s="1166">
        <f>SUM(Assumption!BA235:BA237)</f>
        <v>332.55119999999999</v>
      </c>
      <c r="D71" s="1166">
        <f>SUM(Assumption!BB235:BB237)</f>
        <v>278.863</v>
      </c>
      <c r="E71" s="1166">
        <f>SUM(Assumption!BC235:BC237)</f>
        <v>284.14889867527347</v>
      </c>
      <c r="F71" s="1166">
        <f>SUM(Assumption!BD235:BD237)</f>
        <v>326.36860455397442</v>
      </c>
      <c r="G71" s="1166">
        <f>SUM(Assumption!BE235:BE237)</f>
        <v>383.47412979943624</v>
      </c>
      <c r="H71" s="1166">
        <f>SUM(Assumption!BF235:BF237)</f>
        <v>489.65852466753978</v>
      </c>
      <c r="I71" s="1166">
        <f>SUM(Assumption!BG235:BG237)</f>
        <v>662.51085216082618</v>
      </c>
      <c r="J71" s="1166">
        <f>SUM(Assumption!BH235:BH237)</f>
        <v>804.15554612853373</v>
      </c>
      <c r="K71" s="1166">
        <f>SUM(Assumption!BI235:BI237)</f>
        <v>973.22167728630927</v>
      </c>
      <c r="L71" s="1166">
        <f>SUM(Assumption!BJ235:BJ237)</f>
        <v>1089.3816523039573</v>
      </c>
      <c r="M71" s="1166">
        <f>SUM(Assumption!BK235:BK237)</f>
        <v>1208.4316619704737</v>
      </c>
      <c r="N71" s="1166">
        <f>SUM(H59:N59)/7*50%+SUM(G61:N61)/10/2</f>
        <v>1396.9665099195822</v>
      </c>
      <c r="Q71" s="1152"/>
    </row>
    <row r="72" spans="2:24">
      <c r="B72" s="1170" t="s">
        <v>974</v>
      </c>
      <c r="C72" s="1170">
        <f>Assumption!BA238</f>
        <v>831.37799999999993</v>
      </c>
      <c r="D72" s="1170">
        <f>Assumption!BB238</f>
        <v>747.15900000000011</v>
      </c>
      <c r="E72" s="1170">
        <f>Assumption!BC238</f>
        <v>916.99099999999999</v>
      </c>
      <c r="F72" s="1170">
        <f>Assumption!BD238</f>
        <v>1382.3820000000001</v>
      </c>
      <c r="G72" s="1170">
        <f>Assumption!BE238</f>
        <v>1633.22</v>
      </c>
      <c r="H72" s="1170">
        <f>SUM(H66:H71)</f>
        <v>2123.6080000000002</v>
      </c>
      <c r="I72" s="1170">
        <f t="shared" ref="I72:M72" si="77">SUM(I66:I71)</f>
        <v>2807.145</v>
      </c>
      <c r="J72" s="1170">
        <f t="shared" si="77"/>
        <v>3281.9479999999999</v>
      </c>
      <c r="K72" s="1170">
        <f t="shared" si="77"/>
        <v>4014.0612354908508</v>
      </c>
      <c r="L72" s="1170">
        <f t="shared" si="77"/>
        <v>4592.6296030783842</v>
      </c>
      <c r="M72" s="1170">
        <f t="shared" si="77"/>
        <v>5052.5103018063401</v>
      </c>
      <c r="N72" s="1170">
        <f>SUM(N65:N71)</f>
        <v>5549.1710476169428</v>
      </c>
      <c r="Q72" s="1152"/>
    </row>
    <row r="73" spans="2:24">
      <c r="B73" s="1166" t="s">
        <v>858</v>
      </c>
      <c r="D73" s="1152">
        <f t="shared" ref="D73:N73" si="78">D72/C72-1</f>
        <v>-0.10130049147319253</v>
      </c>
      <c r="E73" s="1152">
        <f t="shared" si="78"/>
        <v>0.22730369305596243</v>
      </c>
      <c r="F73" s="1152">
        <f t="shared" si="78"/>
        <v>0.50751970302871019</v>
      </c>
      <c r="G73" s="1152">
        <f t="shared" si="78"/>
        <v>0.18145346221232628</v>
      </c>
      <c r="H73" s="1152">
        <f t="shared" si="78"/>
        <v>0.30025838527571302</v>
      </c>
      <c r="I73" s="1152">
        <f t="shared" ref="I73" si="79">I72/H72-1</f>
        <v>0.32187531785527268</v>
      </c>
      <c r="J73" s="1152">
        <f t="shared" ref="J73" si="80">J72/I72-1</f>
        <v>0.16914088869652266</v>
      </c>
      <c r="K73" s="1152">
        <f t="shared" ref="K73" si="81">K72/J72-1</f>
        <v>0.22307277125988922</v>
      </c>
      <c r="L73" s="1152">
        <f t="shared" ref="L73" si="82">L72/K72-1</f>
        <v>0.14413541140629471</v>
      </c>
      <c r="M73" s="1152">
        <f t="shared" ref="M73" si="83">M72/L72-1</f>
        <v>0.100134506475267</v>
      </c>
      <c r="N73" s="1152">
        <f t="shared" si="78"/>
        <v>9.8299798742229161E-2</v>
      </c>
    </row>
    <row r="74" spans="2:24" outlineLevel="1">
      <c r="B74" s="1170" t="s">
        <v>971</v>
      </c>
      <c r="C74" s="1176" t="str">
        <f t="shared" ref="C74:N74" si="84">C64</f>
        <v>2018</v>
      </c>
      <c r="D74" s="1176" t="str">
        <f t="shared" si="84"/>
        <v>2019</v>
      </c>
      <c r="E74" s="1176" t="str">
        <f t="shared" si="84"/>
        <v>2020</v>
      </c>
      <c r="F74" s="1176" t="str">
        <f t="shared" si="84"/>
        <v>2021</v>
      </c>
      <c r="G74" s="1176">
        <f t="shared" si="84"/>
        <v>2022</v>
      </c>
      <c r="H74" s="1176" t="str">
        <f t="shared" si="84"/>
        <v>2023</v>
      </c>
      <c r="I74" s="1176" t="str">
        <f t="shared" si="84"/>
        <v>2024</v>
      </c>
      <c r="J74" s="1176" t="str">
        <f>J64</f>
        <v>2025</v>
      </c>
      <c r="K74" s="1176" t="str">
        <f>K64</f>
        <v>2026E</v>
      </c>
      <c r="L74" s="1176" t="str">
        <f t="shared" si="84"/>
        <v>2027E</v>
      </c>
      <c r="M74" s="1176" t="str">
        <f t="shared" si="84"/>
        <v>2028E</v>
      </c>
      <c r="N74" s="1176" t="str">
        <f t="shared" si="84"/>
        <v>2029E</v>
      </c>
    </row>
    <row r="75" spans="2:24" outlineLevel="1">
      <c r="B75" s="1166" t="str">
        <f t="shared" ref="B75:B81" si="85">B65</f>
        <v>2nm</v>
      </c>
      <c r="M75" s="1166">
        <f>'10y capex'!M5*45%</f>
        <v>0</v>
      </c>
      <c r="N75" s="1166">
        <f t="shared" ref="N75:N81" si="86">M75*(1+N84)</f>
        <v>0</v>
      </c>
    </row>
    <row r="76" spans="2:24" outlineLevel="1">
      <c r="B76" s="1166" t="str">
        <f t="shared" si="85"/>
        <v>3nm</v>
      </c>
      <c r="L76" s="1166">
        <f>K76*(1+L85)</f>
        <v>0</v>
      </c>
      <c r="M76" s="1166">
        <f t="shared" ref="L76:M77" si="87">L76*(1+M85)</f>
        <v>0</v>
      </c>
      <c r="N76" s="1166">
        <f t="shared" si="86"/>
        <v>0</v>
      </c>
      <c r="P76" s="1152"/>
    </row>
    <row r="77" spans="2:24" outlineLevel="1">
      <c r="B77" s="1166" t="str">
        <f t="shared" si="85"/>
        <v>5nm</v>
      </c>
      <c r="I77" s="1166">
        <f>'10y capex'!I7*45%</f>
        <v>0</v>
      </c>
      <c r="J77" s="1166">
        <f>'10y capex'!J7*45%</f>
        <v>0</v>
      </c>
      <c r="K77" s="1166">
        <f>'10y capex'!K7*45%</f>
        <v>0</v>
      </c>
      <c r="L77" s="1166">
        <f t="shared" si="87"/>
        <v>0</v>
      </c>
      <c r="M77" s="1166">
        <f t="shared" si="87"/>
        <v>0</v>
      </c>
      <c r="N77" s="1166">
        <f t="shared" si="86"/>
        <v>0</v>
      </c>
    </row>
    <row r="78" spans="2:24" outlineLevel="1">
      <c r="B78" s="1166" t="str">
        <f t="shared" si="85"/>
        <v>7/8nm</v>
      </c>
      <c r="C78" s="1166">
        <f>Assumption!BA240</f>
        <v>0</v>
      </c>
      <c r="D78" s="1166">
        <f>Assumption!BB240</f>
        <v>0</v>
      </c>
      <c r="E78" s="1166">
        <f>Assumption!BC240</f>
        <v>0</v>
      </c>
      <c r="F78" s="1166">
        <f>Assumption!BD240</f>
        <v>0</v>
      </c>
      <c r="G78" s="1166">
        <f>Assumption!BE240</f>
        <v>82.078069650285698</v>
      </c>
      <c r="H78" s="1166">
        <f>Assumption!BF240</f>
        <v>38.952813697609507</v>
      </c>
      <c r="I78" s="1166">
        <f>Assumption!BG240</f>
        <v>87.840194177666689</v>
      </c>
      <c r="J78" s="1166">
        <f>Assumption!BH240</f>
        <v>78.898392847626653</v>
      </c>
      <c r="K78" s="1166">
        <f>Assumption!BI240</f>
        <v>177.83145439264879</v>
      </c>
      <c r="L78" s="1166">
        <f>Assumption!BJ240</f>
        <v>295.65466882158046</v>
      </c>
      <c r="M78" s="1166">
        <f>Assumption!BK240</f>
        <v>433.70824215618262</v>
      </c>
      <c r="N78" s="1166">
        <f t="shared" si="86"/>
        <v>572.49487964616105</v>
      </c>
    </row>
    <row r="79" spans="2:24" outlineLevel="1">
      <c r="B79" s="1166" t="str">
        <f t="shared" si="85"/>
        <v>14/12nm</v>
      </c>
      <c r="C79" s="1166">
        <f>Assumption!BA241</f>
        <v>0</v>
      </c>
      <c r="D79" s="1166">
        <f>Assumption!BB241</f>
        <v>8.0737243019999987</v>
      </c>
      <c r="E79" s="1166">
        <f>Assumption!BC241</f>
        <v>107.88080544693979</v>
      </c>
      <c r="F79" s="1166">
        <f>Assumption!BD241</f>
        <v>401.87856181884774</v>
      </c>
      <c r="G79" s="1166">
        <f>Assumption!BE241</f>
        <v>606.17271690016855</v>
      </c>
      <c r="H79" s="1166">
        <f>Assumption!BF241</f>
        <v>603.93070907460299</v>
      </c>
      <c r="I79" s="1166">
        <f>Assumption!BG241</f>
        <v>611.7399411825354</v>
      </c>
      <c r="J79" s="1166">
        <f>Assumption!BH241</f>
        <v>503.34777484771155</v>
      </c>
      <c r="K79" s="1166">
        <f>Assumption!BI241</f>
        <v>479.40182142943991</v>
      </c>
      <c r="L79" s="1166">
        <f>Assumption!BJ241</f>
        <v>476.89511603643905</v>
      </c>
      <c r="M79" s="1166">
        <f>Assumption!BK241</f>
        <v>529.23154899423253</v>
      </c>
      <c r="N79" s="1166">
        <f t="shared" si="86"/>
        <v>598.03165036348275</v>
      </c>
      <c r="P79" s="1152">
        <f>D79/'10y capex'!D9</f>
        <v>1.0499999999999998</v>
      </c>
    </row>
    <row r="80" spans="2:24" outlineLevel="1">
      <c r="B80" s="1166" t="str">
        <f t="shared" si="85"/>
        <v>90-28nm</v>
      </c>
      <c r="C80" s="1166">
        <f>SUM(Assumption!BA242:BA245)</f>
        <v>773.99673453000003</v>
      </c>
      <c r="D80" s="1166">
        <f>SUM(Assumption!BB242:BB245)</f>
        <v>705.46899354158859</v>
      </c>
      <c r="E80" s="1166">
        <f>SUM(Assumption!BC242:BC245)</f>
        <v>821.99816745752878</v>
      </c>
      <c r="F80" s="1166">
        <f>SUM(Assumption!BD242:BD245)</f>
        <v>873.14351252370625</v>
      </c>
      <c r="G80" s="1166">
        <f>SUM(Assumption!BE242:BE245)</f>
        <v>1278.8567209084774</v>
      </c>
      <c r="H80" s="1166">
        <f>SUM(Assumption!BF242:BF245)</f>
        <v>1513.2838490116287</v>
      </c>
      <c r="I80" s="1166">
        <f>SUM(Assumption!BG242:BG245)</f>
        <v>1948.2975577653717</v>
      </c>
      <c r="J80" s="1166">
        <f>SUM(Assumption!BH242:BH245)</f>
        <v>2651.7559617166585</v>
      </c>
      <c r="K80" s="1166">
        <f>SUM(Assumption!BI242:BI245)</f>
        <v>3489.8991048103549</v>
      </c>
      <c r="L80" s="1166">
        <f>SUM(Assumption!BJ242:BJ245)</f>
        <v>4179.1053909867296</v>
      </c>
      <c r="M80" s="1166">
        <f>SUM(Assumption!BK242:BK245)</f>
        <v>5260.4986598371397</v>
      </c>
      <c r="N80" s="1166">
        <f t="shared" si="86"/>
        <v>6365.2033784029391</v>
      </c>
      <c r="Q80" s="1152"/>
      <c r="R80" s="1152"/>
      <c r="S80" s="1152"/>
      <c r="T80" s="1152"/>
      <c r="U80" s="1152"/>
      <c r="V80" s="1152"/>
      <c r="W80" s="1152"/>
      <c r="X80" s="1152"/>
    </row>
    <row r="81" spans="2:16" outlineLevel="1">
      <c r="B81" s="1166" t="str">
        <f t="shared" si="85"/>
        <v>8" fabs/others</v>
      </c>
      <c r="C81" s="1166">
        <f>SUM(Assumption!BA246:BA248,Assumption!BA29)</f>
        <v>1007.9322654700002</v>
      </c>
      <c r="D81" s="1166">
        <f>SUM(Assumption!BB246:BB248,Assumption!BB29)</f>
        <v>1012.5112821564112</v>
      </c>
      <c r="E81" s="1166">
        <f>SUM(Assumption!BC246:BC248,Assumption!BC29)</f>
        <v>1139.1920270955316</v>
      </c>
      <c r="F81" s="1166">
        <f>SUM(Assumption!BD246:BD248,Assumption!BD29)</f>
        <v>1096.669218700303</v>
      </c>
      <c r="G81" s="1166">
        <f>SUM(Assumption!BE246:BE248,Assumption!BE29)</f>
        <v>911.30849254106749</v>
      </c>
      <c r="H81" s="1166">
        <f>SUM(Assumption!BF246:BF248,Assumption!BF29)</f>
        <v>824.04062821615832</v>
      </c>
      <c r="I81" s="1166">
        <f>SUM(Assumption!BG246:BG248,Assumption!BG29)</f>
        <v>1126.9303068744262</v>
      </c>
      <c r="J81" s="1166">
        <f>SUM(Assumption!BH246:BH248,Assumption!BH29)</f>
        <v>854.24987058800434</v>
      </c>
      <c r="K81" s="1166">
        <f>SUM(Assumption!BI246:BI248,Assumption!BI29)</f>
        <v>859.88863713980982</v>
      </c>
      <c r="L81" s="1166">
        <f>SUM(Assumption!BJ246:BJ248,Assumption!BJ29)</f>
        <v>944.10791939145156</v>
      </c>
      <c r="M81" s="1166">
        <f>SUM(Assumption!BK246:BK248,Assumption!BK29)</f>
        <v>1027.6595277165989</v>
      </c>
      <c r="N81" s="1166">
        <f t="shared" si="86"/>
        <v>1099.5956946567608</v>
      </c>
    </row>
    <row r="82" spans="2:16" outlineLevel="1">
      <c r="B82" s="1170" t="s">
        <v>706</v>
      </c>
      <c r="C82" s="1170">
        <f>Assumption!BA30-Assumption!BA27</f>
        <v>1781.9290000000003</v>
      </c>
      <c r="D82" s="1170">
        <f>Assumption!BB30-Assumption!BB27</f>
        <v>1726.0539999999996</v>
      </c>
      <c r="E82" s="1170">
        <f>Assumption!BC30-Assumption!BC27</f>
        <v>2069.0710000000004</v>
      </c>
      <c r="F82" s="1170">
        <f>Assumption!BD30-Assumption!BD27</f>
        <v>2384.9599999999996</v>
      </c>
      <c r="G82" s="1170">
        <f>Assumption!BE30-Assumption!BE27</f>
        <v>2878.4159999999993</v>
      </c>
      <c r="H82" s="1170">
        <f>Assumption!BF30-Assumption!BF27</f>
        <v>2980.2080000000001</v>
      </c>
      <c r="I82" s="1170">
        <f>Assumption!BG30-Assumption!BG27</f>
        <v>3774.8079999999995</v>
      </c>
      <c r="J82" s="1170">
        <f>Assumption!BH30-Assumption!BH27</f>
        <v>4088.2520000000004</v>
      </c>
      <c r="K82" s="1170">
        <f>Assumption!BI30-Assumption!BI27</f>
        <v>5007.0210177722529</v>
      </c>
      <c r="L82" s="1170">
        <f>Assumption!BJ30-Assumption!BJ27</f>
        <v>5895.7630952362006</v>
      </c>
      <c r="M82" s="1170">
        <f>Assumption!BK30-Assumption!BK27</f>
        <v>7251.0979787041542</v>
      </c>
      <c r="N82" s="1170">
        <f>SUM(N76:N81)</f>
        <v>8635.3256030693428</v>
      </c>
    </row>
    <row r="83" spans="2:16" outlineLevel="1">
      <c r="B83" s="1170" t="s">
        <v>972</v>
      </c>
      <c r="C83" s="1176" t="str">
        <f t="shared" ref="C83:N83" si="88">C74</f>
        <v>2018</v>
      </c>
      <c r="D83" s="1176" t="str">
        <f t="shared" si="88"/>
        <v>2019</v>
      </c>
      <c r="E83" s="1176" t="str">
        <f t="shared" si="88"/>
        <v>2020</v>
      </c>
      <c r="F83" s="1176" t="str">
        <f t="shared" si="88"/>
        <v>2021</v>
      </c>
      <c r="G83" s="1176">
        <f t="shared" si="88"/>
        <v>2022</v>
      </c>
      <c r="H83" s="1176" t="str">
        <f>H74</f>
        <v>2023</v>
      </c>
      <c r="I83" s="1176" t="str">
        <f>I74</f>
        <v>2024</v>
      </c>
      <c r="J83" s="1176" t="str">
        <f>J74</f>
        <v>2025</v>
      </c>
      <c r="K83" s="1176" t="str">
        <f>K74</f>
        <v>2026E</v>
      </c>
      <c r="L83" s="1176" t="str">
        <f t="shared" si="88"/>
        <v>2027E</v>
      </c>
      <c r="M83" s="1176" t="str">
        <f t="shared" si="88"/>
        <v>2028E</v>
      </c>
      <c r="N83" s="1176" t="str">
        <f t="shared" si="88"/>
        <v>2029E</v>
      </c>
    </row>
    <row r="84" spans="2:16" outlineLevel="1">
      <c r="B84" s="1166" t="str">
        <f t="shared" ref="B84:B90" si="89">B75</f>
        <v>2nm</v>
      </c>
      <c r="K84" s="1152"/>
      <c r="L84" s="1152"/>
      <c r="M84" s="1152"/>
      <c r="N84" s="1152"/>
    </row>
    <row r="85" spans="2:16" outlineLevel="1">
      <c r="B85" s="1166" t="str">
        <f t="shared" si="89"/>
        <v>3nm</v>
      </c>
      <c r="K85" s="1152"/>
      <c r="L85" s="1152"/>
      <c r="M85" s="1152"/>
      <c r="N85" s="1152"/>
      <c r="P85" s="1161"/>
    </row>
    <row r="86" spans="2:16" outlineLevel="1">
      <c r="B86" s="1166" t="str">
        <f t="shared" si="89"/>
        <v>5nm</v>
      </c>
      <c r="K86" s="1152"/>
      <c r="L86" s="1152"/>
      <c r="M86" s="1152"/>
      <c r="N86" s="1152"/>
    </row>
    <row r="87" spans="2:16" outlineLevel="1">
      <c r="B87" s="1166" t="str">
        <f t="shared" si="89"/>
        <v>7/8nm</v>
      </c>
      <c r="D87" s="1152"/>
      <c r="E87" s="1152" t="e">
        <f t="shared" ref="E87" si="90">E78/D78-1</f>
        <v>#DIV/0!</v>
      </c>
      <c r="F87" s="1152" t="e">
        <f t="shared" ref="F87" si="91">F78/E78-1</f>
        <v>#DIV/0!</v>
      </c>
      <c r="G87" s="1152" t="e">
        <f t="shared" ref="G87" si="92">G78/F78-1</f>
        <v>#DIV/0!</v>
      </c>
      <c r="H87" s="1152">
        <f t="shared" ref="H87" si="93">H78/G78-1</f>
        <v>-0.52541752183527479</v>
      </c>
      <c r="I87" s="1152">
        <f t="shared" ref="I87" si="94">I78/H78-1</f>
        <v>1.255041057099743</v>
      </c>
      <c r="J87" s="1152">
        <f t="shared" ref="J87" si="95">J78/I78-1</f>
        <v>-0.10179623819995476</v>
      </c>
      <c r="K87" s="1152">
        <f t="shared" ref="K87" si="96">K78/J78-1</f>
        <v>1.2539299974853435</v>
      </c>
      <c r="L87" s="1152">
        <f t="shared" ref="L87" si="97">L78/K78-1</f>
        <v>0.66255553513485888</v>
      </c>
      <c r="M87" s="1152">
        <f t="shared" ref="M87" si="98">M78/L78-1</f>
        <v>0.46694196944311983</v>
      </c>
      <c r="N87" s="1152">
        <v>0.32</v>
      </c>
    </row>
    <row r="88" spans="2:16" outlineLevel="1">
      <c r="B88" s="1166" t="str">
        <f t="shared" si="89"/>
        <v>14/12nm</v>
      </c>
      <c r="D88" s="1152"/>
      <c r="E88" s="1152">
        <f t="shared" ref="E88:K91" si="99">E79/D79-1</f>
        <v>12.361963006368187</v>
      </c>
      <c r="F88" s="1152">
        <f t="shared" si="99"/>
        <v>2.7252091338575344</v>
      </c>
      <c r="G88" s="1152">
        <f t="shared" si="99"/>
        <v>0.50834797993879843</v>
      </c>
      <c r="H88" s="1152">
        <f t="shared" si="99"/>
        <v>-3.6986287291692621E-3</v>
      </c>
      <c r="I88" s="1152">
        <f t="shared" si="99"/>
        <v>1.2930675639757361E-2</v>
      </c>
      <c r="J88" s="1152">
        <f t="shared" si="99"/>
        <v>-0.17718667531385046</v>
      </c>
      <c r="K88" s="1152">
        <f t="shared" si="99"/>
        <v>-4.757337692714847E-2</v>
      </c>
      <c r="L88" s="1152">
        <f t="shared" ref="L88:L91" si="100">L79/K79-1</f>
        <v>-5.2288190844301807E-3</v>
      </c>
      <c r="M88" s="1152">
        <f t="shared" ref="M88:M91" si="101">M79/L79-1</f>
        <v>0.10974411604960643</v>
      </c>
      <c r="N88" s="1152">
        <v>0.13</v>
      </c>
    </row>
    <row r="89" spans="2:16" outlineLevel="1">
      <c r="B89" s="1166" t="str">
        <f t="shared" si="89"/>
        <v>90-28nm</v>
      </c>
      <c r="D89" s="1152">
        <f>D80/C80-1</f>
        <v>-8.8537506595585347E-2</v>
      </c>
      <c r="E89" s="1152">
        <f t="shared" si="99"/>
        <v>0.16517972438581818</v>
      </c>
      <c r="F89" s="1152">
        <f t="shared" si="99"/>
        <v>6.2220753148844565E-2</v>
      </c>
      <c r="G89" s="1152">
        <f t="shared" si="99"/>
        <v>0.46465810323907775</v>
      </c>
      <c r="H89" s="1152">
        <f t="shared" si="99"/>
        <v>0.18330992383307665</v>
      </c>
      <c r="I89" s="1152">
        <f t="shared" si="99"/>
        <v>0.28746339230268236</v>
      </c>
      <c r="J89" s="1152">
        <f t="shared" si="99"/>
        <v>0.3610631246482332</v>
      </c>
      <c r="K89" s="1152">
        <f t="shared" si="99"/>
        <v>0.31607099416158579</v>
      </c>
      <c r="L89" s="1152">
        <f t="shared" si="100"/>
        <v>0.19748602050597874</v>
      </c>
      <c r="M89" s="1152">
        <f t="shared" si="101"/>
        <v>0.25876190420626899</v>
      </c>
      <c r="N89" s="1152">
        <v>0.21</v>
      </c>
    </row>
    <row r="90" spans="2:16" outlineLevel="1">
      <c r="B90" s="1166" t="str">
        <f t="shared" si="89"/>
        <v>8" fabs/others</v>
      </c>
      <c r="D90" s="1152">
        <f>D81/C81-1</f>
        <v>4.5429805585952554E-3</v>
      </c>
      <c r="E90" s="1152">
        <f t="shared" si="99"/>
        <v>0.1251153909804541</v>
      </c>
      <c r="F90" s="1152">
        <f t="shared" si="99"/>
        <v>-3.7327164677972813E-2</v>
      </c>
      <c r="G90" s="1152">
        <f t="shared" si="99"/>
        <v>-0.16902154541996928</v>
      </c>
      <c r="H90" s="1152">
        <f t="shared" si="99"/>
        <v>-9.576105680917546E-2</v>
      </c>
      <c r="I90" s="1152">
        <f t="shared" si="99"/>
        <v>0.36756643821548973</v>
      </c>
      <c r="J90" s="1152">
        <f t="shared" si="99"/>
        <v>-0.24196743545100752</v>
      </c>
      <c r="K90" s="1152">
        <f t="shared" si="99"/>
        <v>6.6008398080577013E-3</v>
      </c>
      <c r="L90" s="1152">
        <f t="shared" si="100"/>
        <v>9.7942080653344421E-2</v>
      </c>
      <c r="M90" s="1152">
        <f t="shared" si="101"/>
        <v>8.8497942458741985E-2</v>
      </c>
      <c r="N90" s="1152">
        <v>7.0000000000000007E-2</v>
      </c>
    </row>
    <row r="91" spans="2:16" outlineLevel="1">
      <c r="B91" s="1170" t="s">
        <v>706</v>
      </c>
      <c r="C91" s="1170"/>
      <c r="D91" s="1151">
        <f>D82/C82-1</f>
        <v>-3.1356468187004438E-2</v>
      </c>
      <c r="E91" s="1151">
        <f t="shared" si="99"/>
        <v>0.19872900847829844</v>
      </c>
      <c r="F91" s="1151">
        <f t="shared" si="99"/>
        <v>0.15267189961098437</v>
      </c>
      <c r="G91" s="1151">
        <f t="shared" si="99"/>
        <v>0.20690326043204066</v>
      </c>
      <c r="H91" s="1151">
        <f t="shared" si="99"/>
        <v>3.5363894586467381E-2</v>
      </c>
      <c r="I91" s="1151">
        <f t="shared" si="99"/>
        <v>0.26662568518707408</v>
      </c>
      <c r="J91" s="1151">
        <f t="shared" si="99"/>
        <v>8.3035746453859582E-2</v>
      </c>
      <c r="K91" s="1151">
        <f t="shared" si="99"/>
        <v>0.22473394931923285</v>
      </c>
      <c r="L91" s="1151">
        <f t="shared" si="100"/>
        <v>0.17749917052662401</v>
      </c>
      <c r="M91" s="1151">
        <f t="shared" si="101"/>
        <v>0.2298828602124583</v>
      </c>
      <c r="N91" s="1151">
        <f>N82/M82-1</f>
        <v>0.19089903741895986</v>
      </c>
    </row>
    <row r="92" spans="2:16" outlineLevel="1">
      <c r="B92" s="1170" t="s">
        <v>149</v>
      </c>
      <c r="C92" s="1176" t="str">
        <f t="shared" ref="C92:N92" si="102">C20</f>
        <v>2018</v>
      </c>
      <c r="D92" s="1176" t="str">
        <f t="shared" si="102"/>
        <v>2019</v>
      </c>
      <c r="E92" s="1176" t="str">
        <f t="shared" si="102"/>
        <v>2020</v>
      </c>
      <c r="F92" s="1176" t="str">
        <f t="shared" si="102"/>
        <v>2021</v>
      </c>
      <c r="G92" s="1176">
        <f t="shared" si="102"/>
        <v>2022</v>
      </c>
      <c r="H92" s="1176" t="str">
        <f t="shared" si="102"/>
        <v>2023</v>
      </c>
      <c r="I92" s="1176" t="str">
        <f>I20</f>
        <v>2024</v>
      </c>
      <c r="J92" s="1176" t="str">
        <f>J20</f>
        <v>2025</v>
      </c>
      <c r="K92" s="1176" t="str">
        <f>K20</f>
        <v>2026E</v>
      </c>
      <c r="L92" s="1176" t="str">
        <f t="shared" si="102"/>
        <v>2027E</v>
      </c>
      <c r="M92" s="1176" t="str">
        <f t="shared" si="102"/>
        <v>2028E</v>
      </c>
      <c r="N92" s="1176" t="str">
        <f t="shared" si="102"/>
        <v>2029E</v>
      </c>
    </row>
    <row r="93" spans="2:16" outlineLevel="1">
      <c r="B93" s="1166" t="str">
        <f t="shared" ref="B93:B99" si="103">B84</f>
        <v>2nm</v>
      </c>
      <c r="C93" s="1166">
        <f t="shared" ref="C93:N93" si="104">C65+C75</f>
        <v>0</v>
      </c>
      <c r="D93" s="1166">
        <f t="shared" si="104"/>
        <v>0</v>
      </c>
      <c r="E93" s="1166">
        <f t="shared" si="104"/>
        <v>0</v>
      </c>
      <c r="F93" s="1166">
        <f t="shared" si="104"/>
        <v>0</v>
      </c>
      <c r="G93" s="1166">
        <f t="shared" si="104"/>
        <v>0</v>
      </c>
      <c r="H93" s="1166">
        <f t="shared" si="104"/>
        <v>0</v>
      </c>
      <c r="I93" s="1166">
        <f t="shared" ref="I93:M93" si="105">I65+I75</f>
        <v>0</v>
      </c>
      <c r="J93" s="1166">
        <f t="shared" si="105"/>
        <v>0</v>
      </c>
      <c r="K93" s="1166">
        <f t="shared" si="105"/>
        <v>0</v>
      </c>
      <c r="L93" s="1166">
        <f t="shared" si="105"/>
        <v>0</v>
      </c>
      <c r="M93" s="1166">
        <f t="shared" si="105"/>
        <v>0</v>
      </c>
      <c r="N93" s="1166">
        <f t="shared" si="104"/>
        <v>0</v>
      </c>
    </row>
    <row r="94" spans="2:16" outlineLevel="1">
      <c r="B94" s="1166" t="str">
        <f t="shared" si="103"/>
        <v>3nm</v>
      </c>
      <c r="C94" s="1166">
        <f t="shared" ref="C94:N94" si="106">C66+C76</f>
        <v>0</v>
      </c>
      <c r="D94" s="1166">
        <f t="shared" si="106"/>
        <v>0</v>
      </c>
      <c r="E94" s="1166">
        <f t="shared" si="106"/>
        <v>0</v>
      </c>
      <c r="F94" s="1166">
        <f t="shared" si="106"/>
        <v>0</v>
      </c>
      <c r="G94" s="1166">
        <f t="shared" si="106"/>
        <v>0</v>
      </c>
      <c r="H94" s="1166">
        <f t="shared" si="106"/>
        <v>0</v>
      </c>
      <c r="I94" s="1166">
        <f t="shared" ref="I94:M94" si="107">I66+I76</f>
        <v>0</v>
      </c>
      <c r="J94" s="1166">
        <f t="shared" si="107"/>
        <v>0</v>
      </c>
      <c r="K94" s="1166">
        <f t="shared" si="107"/>
        <v>0</v>
      </c>
      <c r="L94" s="1166">
        <f t="shared" si="107"/>
        <v>0</v>
      </c>
      <c r="M94" s="1166">
        <f t="shared" si="107"/>
        <v>0</v>
      </c>
      <c r="N94" s="1166">
        <f t="shared" si="106"/>
        <v>0</v>
      </c>
    </row>
    <row r="95" spans="2:16" outlineLevel="1">
      <c r="B95" s="1166" t="str">
        <f t="shared" si="103"/>
        <v>5nm</v>
      </c>
      <c r="C95" s="1166">
        <f t="shared" ref="C95:N95" si="108">C67+C77</f>
        <v>0</v>
      </c>
      <c r="D95" s="1166">
        <f t="shared" si="108"/>
        <v>0</v>
      </c>
      <c r="E95" s="1166">
        <f t="shared" si="108"/>
        <v>0</v>
      </c>
      <c r="F95" s="1166">
        <f t="shared" si="108"/>
        <v>0</v>
      </c>
      <c r="G95" s="1166">
        <f t="shared" si="108"/>
        <v>0</v>
      </c>
      <c r="H95" s="1166">
        <f t="shared" si="108"/>
        <v>0</v>
      </c>
      <c r="I95" s="1166">
        <f t="shared" ref="I95:M95" si="109">I67+I77</f>
        <v>0</v>
      </c>
      <c r="J95" s="1166">
        <f t="shared" si="109"/>
        <v>0</v>
      </c>
      <c r="K95" s="1166">
        <f t="shared" si="109"/>
        <v>0</v>
      </c>
      <c r="L95" s="1166">
        <f t="shared" si="109"/>
        <v>0</v>
      </c>
      <c r="M95" s="1166">
        <f t="shared" si="109"/>
        <v>0</v>
      </c>
      <c r="N95" s="1166">
        <f t="shared" si="108"/>
        <v>0</v>
      </c>
    </row>
    <row r="96" spans="2:16" outlineLevel="1">
      <c r="B96" s="1166" t="str">
        <f t="shared" si="103"/>
        <v>7/8nm</v>
      </c>
      <c r="C96" s="1166">
        <f t="shared" ref="C96:N96" si="110">C68+C78</f>
        <v>0</v>
      </c>
      <c r="D96" s="1166">
        <f t="shared" si="110"/>
        <v>0</v>
      </c>
      <c r="E96" s="1166">
        <f t="shared" si="110"/>
        <v>0</v>
      </c>
      <c r="F96" s="1166">
        <f t="shared" si="110"/>
        <v>0</v>
      </c>
      <c r="G96" s="1166">
        <f t="shared" si="110"/>
        <v>296.363783936</v>
      </c>
      <c r="H96" s="1166">
        <f t="shared" si="110"/>
        <v>379.42900417379997</v>
      </c>
      <c r="I96" s="1166">
        <f t="shared" ref="I96:M96" si="111">I68+I78</f>
        <v>521.17352751100009</v>
      </c>
      <c r="J96" s="1166">
        <f t="shared" si="111"/>
        <v>512.23172618095998</v>
      </c>
      <c r="K96" s="1166">
        <f t="shared" si="111"/>
        <v>780.80764486883936</v>
      </c>
      <c r="L96" s="1166">
        <f t="shared" si="111"/>
        <v>1178.9880021549141</v>
      </c>
      <c r="M96" s="1166">
        <f t="shared" si="111"/>
        <v>1458.1130040609448</v>
      </c>
      <c r="N96" s="1166">
        <f t="shared" si="110"/>
        <v>1551.8044034556847</v>
      </c>
    </row>
    <row r="97" spans="2:18" outlineLevel="1">
      <c r="B97" s="1166" t="str">
        <f t="shared" si="103"/>
        <v>14/12nm</v>
      </c>
      <c r="C97" s="1166">
        <f t="shared" ref="C97:N97" si="112">C69+C79</f>
        <v>0</v>
      </c>
      <c r="D97" s="1166">
        <f t="shared" si="112"/>
        <v>8.0737243019999987</v>
      </c>
      <c r="E97" s="1166">
        <f t="shared" si="112"/>
        <v>147.80804001458</v>
      </c>
      <c r="F97" s="1166">
        <f t="shared" si="112"/>
        <v>551.72235616274224</v>
      </c>
      <c r="G97" s="1166">
        <f t="shared" si="112"/>
        <v>746.85990328299999</v>
      </c>
      <c r="H97" s="1166">
        <f t="shared" si="112"/>
        <v>754.86743637328004</v>
      </c>
      <c r="I97" s="1166">
        <f t="shared" ref="I97:M97" si="113">I69+I79</f>
        <v>777.18210064644768</v>
      </c>
      <c r="J97" s="1166">
        <f t="shared" si="113"/>
        <v>671.44395441926531</v>
      </c>
      <c r="K97" s="1166">
        <f t="shared" si="113"/>
        <v>646.4146088230691</v>
      </c>
      <c r="L97" s="1166">
        <f t="shared" si="113"/>
        <v>554.91921143496552</v>
      </c>
      <c r="M97" s="1166">
        <f t="shared" si="113"/>
        <v>529.23154899423253</v>
      </c>
      <c r="N97" s="1166">
        <f t="shared" si="112"/>
        <v>598.03165036348275</v>
      </c>
    </row>
    <row r="98" spans="2:18" outlineLevel="1">
      <c r="B98" s="1166" t="str">
        <f t="shared" si="103"/>
        <v>90-28nm</v>
      </c>
      <c r="C98" s="1166">
        <f t="shared" ref="C98:N98" si="114">C70+C80</f>
        <v>1272.82353453</v>
      </c>
      <c r="D98" s="1166">
        <f t="shared" si="114"/>
        <v>1173.7649935415886</v>
      </c>
      <c r="E98" s="1166">
        <f t="shared" si="114"/>
        <v>1414.913034214615</v>
      </c>
      <c r="F98" s="1166">
        <f t="shared" si="114"/>
        <v>1634.6702564829798</v>
      </c>
      <c r="G98" s="1166">
        <f t="shared" si="114"/>
        <v>2173.6296904404953</v>
      </c>
      <c r="H98" s="1166">
        <f>H70+H80</f>
        <v>2655.8204065692216</v>
      </c>
      <c r="I98" s="1166">
        <f t="shared" ref="I98:M98" si="115">I70+I80</f>
        <v>3494.1562128072997</v>
      </c>
      <c r="J98" s="1166">
        <f t="shared" si="115"/>
        <v>4528.1189026832371</v>
      </c>
      <c r="K98" s="1166">
        <f t="shared" si="115"/>
        <v>5760.749685145076</v>
      </c>
      <c r="L98" s="1166">
        <f t="shared" si="115"/>
        <v>6720.9959130292964</v>
      </c>
      <c r="M98" s="1166">
        <f t="shared" si="115"/>
        <v>8080.1725377682451</v>
      </c>
      <c r="N98" s="1166">
        <f t="shared" si="114"/>
        <v>9538.0983922907762</v>
      </c>
    </row>
    <row r="99" spans="2:18" outlineLevel="1">
      <c r="B99" s="1166" t="str">
        <f t="shared" si="103"/>
        <v>8" fabs/others</v>
      </c>
      <c r="C99" s="1166">
        <f t="shared" ref="C99:N99" si="116">C71+C81</f>
        <v>1340.4834654700003</v>
      </c>
      <c r="D99" s="1166">
        <f t="shared" si="116"/>
        <v>1291.3742821564113</v>
      </c>
      <c r="E99" s="1166">
        <f t="shared" si="116"/>
        <v>1423.3409257708049</v>
      </c>
      <c r="F99" s="1166">
        <f t="shared" si="116"/>
        <v>1423.0378232542773</v>
      </c>
      <c r="G99" s="1166">
        <f t="shared" si="116"/>
        <v>1294.7826223405036</v>
      </c>
      <c r="H99" s="1166">
        <f t="shared" si="116"/>
        <v>1313.6991528836982</v>
      </c>
      <c r="I99" s="1166">
        <f t="shared" ref="I99:M99" si="117">I71+I81</f>
        <v>1789.4411590352524</v>
      </c>
      <c r="J99" s="1166">
        <f t="shared" si="117"/>
        <v>1658.4054167165382</v>
      </c>
      <c r="K99" s="1166">
        <f t="shared" si="117"/>
        <v>1833.1103144261192</v>
      </c>
      <c r="L99" s="1166">
        <f t="shared" si="117"/>
        <v>2033.4895716954088</v>
      </c>
      <c r="M99" s="1166">
        <f t="shared" si="117"/>
        <v>2236.0911896870725</v>
      </c>
      <c r="N99" s="1166">
        <f t="shared" si="116"/>
        <v>2496.562204576343</v>
      </c>
    </row>
    <row r="100" spans="2:18" outlineLevel="1">
      <c r="B100" s="1170" t="s">
        <v>706</v>
      </c>
      <c r="C100" s="1170">
        <f t="shared" ref="C100:N100" si="118">SUM(C93:C99)</f>
        <v>2613.3070000000002</v>
      </c>
      <c r="D100" s="1170">
        <f t="shared" si="118"/>
        <v>2473.2129999999997</v>
      </c>
      <c r="E100" s="1170">
        <f t="shared" si="118"/>
        <v>2986.0619999999999</v>
      </c>
      <c r="F100" s="1170">
        <f t="shared" si="118"/>
        <v>3609.4304358999989</v>
      </c>
      <c r="G100" s="1170">
        <f t="shared" si="118"/>
        <v>4511.6359999999986</v>
      </c>
      <c r="H100" s="1170">
        <f t="shared" si="118"/>
        <v>5103.8159999999998</v>
      </c>
      <c r="I100" s="1170">
        <f t="shared" ref="I100:M100" si="119">SUM(I93:I99)</f>
        <v>6581.9529999999995</v>
      </c>
      <c r="J100" s="1170">
        <f t="shared" si="119"/>
        <v>7370.2000000000007</v>
      </c>
      <c r="K100" s="1170">
        <f t="shared" si="119"/>
        <v>9021.0822532631046</v>
      </c>
      <c r="L100" s="1170">
        <f t="shared" si="119"/>
        <v>10488.392698314585</v>
      </c>
      <c r="M100" s="1170">
        <f t="shared" si="119"/>
        <v>12303.608280510496</v>
      </c>
      <c r="N100" s="1170">
        <f t="shared" si="118"/>
        <v>14184.496650686286</v>
      </c>
      <c r="Q100" s="1166">
        <f>J4-J100</f>
        <v>1956.5989999999983</v>
      </c>
      <c r="R100" s="1166">
        <f>K4-K100</f>
        <v>2557.4089180538758</v>
      </c>
    </row>
    <row r="101" spans="2:18">
      <c r="B101" s="1170" t="s">
        <v>859</v>
      </c>
      <c r="C101" s="1176" t="str">
        <f t="shared" ref="C101:N101" si="120">C92</f>
        <v>2018</v>
      </c>
      <c r="D101" s="1176" t="str">
        <f t="shared" si="120"/>
        <v>2019</v>
      </c>
      <c r="E101" s="1176" t="str">
        <f t="shared" si="120"/>
        <v>2020</v>
      </c>
      <c r="F101" s="1176" t="str">
        <f t="shared" si="120"/>
        <v>2021</v>
      </c>
      <c r="G101" s="1176">
        <f t="shared" si="120"/>
        <v>2022</v>
      </c>
      <c r="H101" s="1176" t="str">
        <f t="shared" si="120"/>
        <v>2023</v>
      </c>
      <c r="I101" s="1176" t="str">
        <f>I92</f>
        <v>2024</v>
      </c>
      <c r="J101" s="1176" t="str">
        <f>J92</f>
        <v>2025</v>
      </c>
      <c r="K101" s="1176" t="str">
        <f>K92</f>
        <v>2026E</v>
      </c>
      <c r="L101" s="1176" t="str">
        <f t="shared" si="120"/>
        <v>2027E</v>
      </c>
      <c r="M101" s="1176" t="str">
        <f t="shared" si="120"/>
        <v>2028E</v>
      </c>
      <c r="N101" s="1176" t="str">
        <f t="shared" si="120"/>
        <v>2029E</v>
      </c>
    </row>
    <row r="102" spans="2:18">
      <c r="B102" s="1166" t="str">
        <f t="shared" ref="B102:B108" si="121">B93</f>
        <v>2nm</v>
      </c>
      <c r="C102" s="1161" t="str">
        <f>IF(ISERROR(1-C93/'10y capex'!C5),"",1-C93/'10y capex'!C5)</f>
        <v/>
      </c>
      <c r="D102" s="1161" t="str">
        <f>IF(ISERROR(1-D93/'10y capex'!D5),"",1-D93/'10y capex'!D5)</f>
        <v/>
      </c>
      <c r="E102" s="1161" t="str">
        <f>IF(ISERROR(1-E93/'10y capex'!E5),"",1-E93/'10y capex'!E5)</f>
        <v/>
      </c>
      <c r="F102" s="1161" t="str">
        <f>IF(ISERROR(1-F93/'10y capex'!F5),"",1-F93/'10y capex'!F5)</f>
        <v/>
      </c>
      <c r="G102" s="1161" t="str">
        <f>IF(ISERROR(1-G93/'10y capex'!G5),"",1-G93/'10y capex'!G5)</f>
        <v/>
      </c>
      <c r="H102" s="1161" t="str">
        <f>IF(ISERROR(1-H93/'10y capex'!H5),"",1-H93/'10y capex'!H5)</f>
        <v/>
      </c>
      <c r="I102" s="1161" t="str">
        <f>IF(ISERROR(1-I93/'10y capex'!I5),"",1-I93/'10y capex'!I5)</f>
        <v/>
      </c>
      <c r="J102" s="1161" t="str">
        <f>IF(ISERROR(1-J93/'10y capex'!J5),"",1-J93/'10y capex'!J5)</f>
        <v/>
      </c>
      <c r="K102" s="1161" t="str">
        <f>IF(ISERROR(1-K93/'10y capex'!K5),"",1-K93/'10y capex'!K5)</f>
        <v/>
      </c>
      <c r="L102" s="1161" t="str">
        <f>IF(ISERROR(1-L93/'10y capex'!L5),"",1-L93/'10y capex'!L5)</f>
        <v/>
      </c>
      <c r="M102" s="1161" t="str">
        <f>IF(ISERROR(1-M93/'10y capex'!M5),"",1-M93/'10y capex'!M5)</f>
        <v/>
      </c>
      <c r="N102" s="1161" t="str">
        <f>IF(ISERROR(1-N93/'10y capex'!N5),"",1-N93/'10y capex'!N5)</f>
        <v/>
      </c>
    </row>
    <row r="103" spans="2:18">
      <c r="B103" s="1166" t="str">
        <f t="shared" si="121"/>
        <v>3nm</v>
      </c>
      <c r="C103" s="1161" t="str">
        <f>IF(ISERROR(1-C94/'10y capex'!C6),"",1-C94/'10y capex'!C6)</f>
        <v/>
      </c>
      <c r="D103" s="1161" t="str">
        <f>IF(ISERROR(1-D94/'10y capex'!D6),"",1-D94/'10y capex'!D6)</f>
        <v/>
      </c>
      <c r="E103" s="1161" t="str">
        <f>IF(ISERROR(1-E94/'10y capex'!E6),"",1-E94/'10y capex'!E6)</f>
        <v/>
      </c>
      <c r="F103" s="1161" t="str">
        <f>IF(ISERROR(1-F94/'10y capex'!F6),"",1-F94/'10y capex'!F6)</f>
        <v/>
      </c>
      <c r="G103" s="1161" t="str">
        <f>IF(ISERROR(1-G94/'10y capex'!G6),"",1-G94/'10y capex'!G6)</f>
        <v/>
      </c>
      <c r="H103" s="1161" t="str">
        <f>IF(ISERROR(1-H94/'10y capex'!H6),"",1-H94/'10y capex'!H6)</f>
        <v/>
      </c>
      <c r="I103" s="1161" t="str">
        <f>IF(ISERROR(1-I94/'10y capex'!I6),"",1-I94/'10y capex'!I6)</f>
        <v/>
      </c>
      <c r="J103" s="1161" t="str">
        <f>IF(ISERROR(1-J94/'10y capex'!J6),"",1-J94/'10y capex'!J6)</f>
        <v/>
      </c>
      <c r="K103" s="1161" t="str">
        <f>IF(ISERROR(1-K94/'10y capex'!K6),"",1-K94/'10y capex'!K6)</f>
        <v/>
      </c>
      <c r="L103" s="1161" t="str">
        <f>IF(ISERROR(1-L94/'10y capex'!L6),"",1-L94/'10y capex'!L6)</f>
        <v/>
      </c>
      <c r="M103" s="1161" t="str">
        <f>IF(ISERROR(1-M94/'10y capex'!M6),"",1-M94/'10y capex'!M6)</f>
        <v/>
      </c>
      <c r="N103" s="1161" t="str">
        <f>IF(ISERROR(1-N94/'10y capex'!N6),"",1-N94/'10y capex'!N6)</f>
        <v/>
      </c>
    </row>
    <row r="104" spans="2:18">
      <c r="B104" s="1166" t="str">
        <f t="shared" si="121"/>
        <v>5nm</v>
      </c>
      <c r="C104" s="1161" t="str">
        <f>IF(ISERROR(1-C95/'10y capex'!C7),"",1-C95/'10y capex'!C7)</f>
        <v/>
      </c>
      <c r="D104" s="1161" t="str">
        <f>IF(ISERROR(1-D95/'10y capex'!D7),"",1-D95/'10y capex'!D7)</f>
        <v/>
      </c>
      <c r="E104" s="1161" t="str">
        <f>IF(ISERROR(1-E95/'10y capex'!E7),"",1-E95/'10y capex'!E7)</f>
        <v/>
      </c>
      <c r="F104" s="1161" t="str">
        <f>IF(ISERROR(1-F95/'10y capex'!F7),"",1-F95/'10y capex'!F7)</f>
        <v/>
      </c>
      <c r="G104" s="1161" t="str">
        <f>IF(ISERROR(1-G95/'10y capex'!G7),"",1-G95/'10y capex'!G7)</f>
        <v/>
      </c>
      <c r="H104" s="1161" t="str">
        <f>IF(ISERROR(1-H95/'10y capex'!H7),"",1-H95/'10y capex'!H7)</f>
        <v/>
      </c>
      <c r="I104" s="1161" t="str">
        <f>IF(ISERROR(1-I95/'10y capex'!I7),"",1-I95/'10y capex'!I7)</f>
        <v/>
      </c>
      <c r="J104" s="1161" t="str">
        <f>IF(ISERROR(1-J95/'10y capex'!J7),"",1-J95/'10y capex'!J7)</f>
        <v/>
      </c>
      <c r="K104" s="1161" t="str">
        <f>IF(ISERROR(1-K95/'10y capex'!K7),"",1-K95/'10y capex'!K7)</f>
        <v/>
      </c>
      <c r="L104" s="1161" t="str">
        <f>IF(ISERROR(1-L95/'10y capex'!L7),"",1-L95/'10y capex'!L7)</f>
        <v/>
      </c>
      <c r="M104" s="1161" t="str">
        <f>IF(ISERROR(1-M95/'10y capex'!M7),"",1-M95/'10y capex'!M7)</f>
        <v/>
      </c>
      <c r="N104" s="1161" t="str">
        <f>IF(ISERROR(1-N95/'10y capex'!N7),"",1-N95/'10y capex'!N7)</f>
        <v/>
      </c>
    </row>
    <row r="105" spans="2:18">
      <c r="B105" s="1166" t="str">
        <f t="shared" si="121"/>
        <v>7/8nm</v>
      </c>
      <c r="C105" s="1161" t="str">
        <f>IF(ISERROR(1-C96/'10y capex'!C8),"",1-C96/'10y capex'!C8)</f>
        <v/>
      </c>
      <c r="D105" s="1161" t="str">
        <f>IF(ISERROR(1-D96/'10y capex'!D8),"",1-D96/'10y capex'!D8)</f>
        <v/>
      </c>
      <c r="E105" s="1161" t="str">
        <f>IF(ISERROR(1-E96/'10y capex'!E8),"",1-E96/'10y capex'!E8)</f>
        <v/>
      </c>
      <c r="F105" s="1161" t="str">
        <f>IF(ISERROR(1-F96/'10y capex'!F8),"",1-F96/'10y capex'!F8)</f>
        <v/>
      </c>
      <c r="G105" s="1161">
        <f>IF(ISERROR(1-G96/'10y capex'!G8),"",1-G96/'10y capex'!G8)</f>
        <v>-0.10000000000000009</v>
      </c>
      <c r="H105" s="1161">
        <f>IF(ISERROR(1-H96/'10y capex'!H8),"",1-H96/'10y capex'!H8)</f>
        <v>-0.56842575788700089</v>
      </c>
      <c r="I105" s="1161">
        <f>IF(ISERROR(1-I96/'10y capex'!I8),"",1-I96/'10y capex'!I8)</f>
        <v>-0.34530179605761813</v>
      </c>
      <c r="J105" s="1161">
        <f>IF(ISERROR(1-J96/'10y capex'!J8),"",1-J96/'10y capex'!J8)</f>
        <v>3.5000000000000031E-2</v>
      </c>
      <c r="K105" s="1161">
        <f>IF(ISERROR(1-K96/'10y capex'!K8),"",1-K96/'10y capex'!K8)</f>
        <v>0.11710526315924508</v>
      </c>
      <c r="L105" s="1161">
        <f>IF(ISERROR(1-L96/'10y capex'!L8),"",1-L96/'10y capex'!L8)</f>
        <v>0.2587571532550127</v>
      </c>
      <c r="M105" s="1161">
        <f>IF(ISERROR(1-M96/'10y capex'!M8),"",1-M96/'10y capex'!M8)</f>
        <v>0.43263066571807263</v>
      </c>
      <c r="N105" s="1161">
        <f>IF(ISERROR(1-N96/'10y capex'!N8),"",1-N96/'10y capex'!N8)</f>
        <v>0.62260888350546562</v>
      </c>
    </row>
    <row r="106" spans="2:18">
      <c r="B106" s="1166" t="str">
        <f t="shared" si="121"/>
        <v>14/12nm</v>
      </c>
      <c r="C106" s="1161" t="str">
        <f>IF(ISERROR(1-C97/'10y capex'!C9),"",1-C97/'10y capex'!C9)</f>
        <v/>
      </c>
      <c r="D106" s="1161">
        <f>IF(ISERROR(1-D97/'10y capex'!D9),"",1-D97/'10y capex'!D9)</f>
        <v>-4.9999999999999822E-2</v>
      </c>
      <c r="E106" s="1161">
        <f>IF(ISERROR(1-E97/'10y capex'!E9),"",1-E97/'10y capex'!E9)</f>
        <v>-0.23223819431229686</v>
      </c>
      <c r="F106" s="1161">
        <f>IF(ISERROR(1-F97/'10y capex'!F9),"",1-F97/'10y capex'!F9)</f>
        <v>-1.5612588098928404E-2</v>
      </c>
      <c r="G106" s="1161">
        <f>IF(ISERROR(1-G97/'10y capex'!G9),"",1-G97/'10y capex'!G9)</f>
        <v>0.14705046438808878</v>
      </c>
      <c r="H106" s="1161">
        <f>IF(ISERROR(1-H97/'10y capex'!H9),"",1-H97/'10y capex'!H9)</f>
        <v>-1.9175695080610122E-2</v>
      </c>
      <c r="I106" s="1161">
        <f>IF(ISERROR(1-I97/'10y capex'!I9),"",1-I97/'10y capex'!I9)</f>
        <v>-3.1942372905639616E-2</v>
      </c>
      <c r="J106" s="1161">
        <f>IF(ISERROR(1-J97/'10y capex'!J9),"",1-J97/'10y capex'!J9)</f>
        <v>3.9999999999999925E-2</v>
      </c>
      <c r="K106" s="1161">
        <f>IF(ISERROR(1-K97/'10y capex'!K9),"",1-K97/'10y capex'!K9)</f>
        <v>8.0683470273800184E-2</v>
      </c>
      <c r="L106" s="1161">
        <f>IF(ISERROR(1-L97/'10y capex'!L9),"",1-L97/'10y capex'!L9)</f>
        <v>0.20736613824783257</v>
      </c>
      <c r="M106" s="1161">
        <f>IF(ISERROR(1-M97/'10y capex'!M9),"",1-M97/'10y capex'!M9)</f>
        <v>0.2940155845412743</v>
      </c>
      <c r="N106" s="1161">
        <f>IF(ISERROR(1-N97/'10y capex'!N9),"",1-N97/'10y capex'!N9)</f>
        <v>0.27476146411967262</v>
      </c>
    </row>
    <row r="107" spans="2:18">
      <c r="B107" s="1166" t="str">
        <f t="shared" si="121"/>
        <v>90-28nm</v>
      </c>
      <c r="C107" s="1161">
        <f>IF(ISERROR(1-C98/'10y capex'!C10),"",1-C98/'10y capex'!C10)</f>
        <v>0.1593141949930067</v>
      </c>
      <c r="D107" s="1161">
        <f>IF(ISERROR(1-D98/'10y capex'!D10),"",1-D98/'10y capex'!D10)</f>
        <v>0.19645652844724115</v>
      </c>
      <c r="E107" s="1161">
        <f>IF(ISERROR(1-E98/'10y capex'!E10),"",1-E98/'10y capex'!E10)</f>
        <v>0.25615949408271244</v>
      </c>
      <c r="F107" s="1161">
        <f>IF(ISERROR(1-F98/'10y capex'!F10),"",1-F98/'10y capex'!F10)</f>
        <v>0.34948993073722967</v>
      </c>
      <c r="G107" s="1161">
        <f>IF(ISERROR(1-G98/'10y capex'!G10),"",1-G98/'10y capex'!G10)</f>
        <v>0.43876433912055068</v>
      </c>
      <c r="H107" s="1161">
        <f>IF(ISERROR(1-H98/'10y capex'!H10),"",1-H98/'10y capex'!H10)</f>
        <v>0.25059731498020021</v>
      </c>
      <c r="I107" s="1161">
        <f>IF(ISERROR(1-I98/'10y capex'!I10),"",1-I98/'10y capex'!I10)</f>
        <v>0.22933510663963241</v>
      </c>
      <c r="J107" s="1161">
        <f>IF(ISERROR(1-J98/'10y capex'!J10),"",1-J98/'10y capex'!J10)</f>
        <v>0.23481842848430723</v>
      </c>
      <c r="K107" s="1161">
        <f>IF(ISERROR(1-K98/'10y capex'!K10),"",1-K98/'10y capex'!K10)</f>
        <v>0.21163079289790165</v>
      </c>
      <c r="L107" s="1161">
        <f>IF(ISERROR(1-L98/'10y capex'!L10),"",1-L98/'10y capex'!L10)</f>
        <v>0.22114042399560174</v>
      </c>
      <c r="M107" s="1161">
        <f>IF(ISERROR(1-M98/'10y capex'!M10),"",1-M98/'10y capex'!M10)</f>
        <v>0.21872463542159892</v>
      </c>
      <c r="N107" s="1161">
        <f>IF(ISERROR(1-N98/'10y capex'!N10),"",1-N98/'10y capex'!N10)</f>
        <v>0.19101504938557357</v>
      </c>
    </row>
    <row r="108" spans="2:18">
      <c r="B108" s="1166" t="str">
        <f t="shared" si="121"/>
        <v>8" fabs/others</v>
      </c>
      <c r="C108" s="1161">
        <f>IF(ISERROR(1-C99/'10y capex'!C11),"",1-C99/'10y capex'!C11)</f>
        <v>0.27382617879951177</v>
      </c>
      <c r="D108" s="1161">
        <f>IF(ISERROR(1-D99/'10y capex'!D11),"",1-D99/'10y capex'!D11)</f>
        <v>0.21604070234521988</v>
      </c>
      <c r="E108" s="1161">
        <f>IF(ISERROR(1-E99/'10y capex'!E11),"",1-E99/'10y capex'!E11)</f>
        <v>0.24485249571439871</v>
      </c>
      <c r="F108" s="1161">
        <f>IF(ISERROR(1-F99/'10y capex'!F11),"",1-F99/'10y capex'!F11)</f>
        <v>0.38861199197949925</v>
      </c>
      <c r="G108" s="1161">
        <f>IF(ISERROR(1-G99/'10y capex'!G11),"",1-G99/'10y capex'!G11)</f>
        <v>0.42589499910864526</v>
      </c>
      <c r="H108" s="1161">
        <f>IF(ISERROR(1-H99/'10y capex'!H11),"",1-H99/'10y capex'!H11)</f>
        <v>0.26815941670513366</v>
      </c>
      <c r="I108" s="1161">
        <f>IF(ISERROR(1-I99/'10y capex'!I11),"",1-I99/'10y capex'!I11)</f>
        <v>0.24029517750270524</v>
      </c>
      <c r="J108" s="1161">
        <f>IF(ISERROR(1-J99/'10y capex'!J11),"",1-J99/'10y capex'!J11)</f>
        <v>0.23886659953160616</v>
      </c>
      <c r="K108" s="1161">
        <f>IF(ISERROR(1-K99/'10y capex'!K11),"",1-K99/'10y capex'!K11)</f>
        <v>0.31697197563933199</v>
      </c>
      <c r="L108" s="1161">
        <f>IF(ISERROR(1-L99/'10y capex'!L11),"",1-L99/'10y capex'!L11)</f>
        <v>0.3105081645334653</v>
      </c>
      <c r="M108" s="1161">
        <f>IF(ISERROR(1-M99/'10y capex'!M11),"",1-M99/'10y capex'!M11)</f>
        <v>0.27661384649153842</v>
      </c>
      <c r="N108" s="1161">
        <f>IF(ISERROR(1-N99/'10y capex'!N11),"",1-N99/'10y capex'!N11)</f>
        <v>0.22942205396935056</v>
      </c>
    </row>
    <row r="109" spans="2:18">
      <c r="B109" s="1170" t="s">
        <v>919</v>
      </c>
      <c r="C109" s="1181">
        <f ca="1">IF(ISERROR(1-C100/'10y capex'!C4),"",1-C100/'10y capex'!C4)</f>
        <v>0.22222635583978967</v>
      </c>
      <c r="D109" s="1181">
        <f>IF(ISERROR(1-D100/'10y capex'!D4),"",1-D100/'10y capex'!D4)</f>
        <v>0.20620238587373774</v>
      </c>
      <c r="E109" s="1181">
        <f>IF(ISERROR(1-E100/'10y capex'!E4),"",1-E100/'10y capex'!E4)</f>
        <v>0.23570998022766987</v>
      </c>
      <c r="F109" s="1181">
        <f>IF(ISERROR(1-F100/'10y capex'!F4),"",1-F100/'10y capex'!F4)</f>
        <v>0.33688110112376912</v>
      </c>
      <c r="G109" s="1181">
        <f>IF(ISERROR(1-G100/'10y capex'!G4),"",1-G100/'10y capex'!G4)</f>
        <v>0.37969753415376073</v>
      </c>
      <c r="H109" s="1181">
        <f>IF(ISERROR(1-H100/'10y capex'!H4),"",1-H100/'10y capex'!H4)</f>
        <v>0.19263346389182423</v>
      </c>
      <c r="I109" s="1181">
        <f>IF(ISERROR(1-I100/'10y capex'!I4),"",1-I100/'10y capex'!I4)</f>
        <v>0.18032157477016286</v>
      </c>
      <c r="J109" s="1181">
        <f>IF(ISERROR(1-J100/'10y capex'!J4),"",1-J100/'10y capex'!J4)</f>
        <v>0.20978247735369859</v>
      </c>
      <c r="K109" s="1181">
        <f>IF(ISERROR(1-K100/'10y capex'!K4),"",1-K100/'10y capex'!K4)</f>
        <v>0.22087583608382944</v>
      </c>
      <c r="L109" s="1181">
        <f>IF(ISERROR(1-L100/'10y capex'!L4),"",1-L100/'10y capex'!L4)</f>
        <v>0.24376299998838635</v>
      </c>
      <c r="M109" s="1181">
        <f>IF(ISERROR(1-M100/'10y capex'!M4),"",1-M100/'10y capex'!M4)</f>
        <v>0.26558862680907958</v>
      </c>
      <c r="N109" s="1181">
        <f>IF(ISERROR(1-N100/'10y capex'!N4),"",1-N100/'10y capex'!N4)</f>
        <v>0.28958834950082513</v>
      </c>
    </row>
    <row r="110" spans="2:18">
      <c r="C110" s="1161"/>
      <c r="D110" s="1161"/>
      <c r="E110" s="1161"/>
      <c r="F110" s="1162" t="e">
        <f>TP!#REF!</f>
        <v>#REF!</v>
      </c>
      <c r="G110" s="1162" t="e">
        <f>TP!#REF!</f>
        <v>#REF!</v>
      </c>
      <c r="H110" s="1162" t="e">
        <f>TP!#REF!</f>
        <v>#REF!</v>
      </c>
      <c r="I110" s="1162" t="e">
        <f>TP!#REF!</f>
        <v>#REF!</v>
      </c>
      <c r="J110" s="1162" t="e">
        <f>TP!#REF!</f>
        <v>#REF!</v>
      </c>
      <c r="K110" s="1162" t="e">
        <f>TP!#REF!</f>
        <v>#REF!</v>
      </c>
      <c r="L110" s="1162" t="e">
        <f>TP!#REF!</f>
        <v>#REF!</v>
      </c>
      <c r="M110" s="1162" t="e">
        <f>TP!#REF!</f>
        <v>#REF!</v>
      </c>
      <c r="N110" s="1162" t="e">
        <f>TP!#REF!</f>
        <v>#REF!</v>
      </c>
    </row>
    <row r="111" spans="2:18">
      <c r="C111" s="1161"/>
      <c r="D111" s="1161"/>
      <c r="E111" s="1161"/>
      <c r="F111" s="1162"/>
      <c r="G111" s="1162"/>
      <c r="H111" s="1162"/>
      <c r="I111" s="1162"/>
      <c r="J111" s="1162"/>
      <c r="K111" s="1162"/>
      <c r="L111" s="1162"/>
      <c r="M111" s="1162"/>
      <c r="N111" s="1162"/>
    </row>
    <row r="112" spans="2:18">
      <c r="C112" s="1161"/>
      <c r="D112" s="1161"/>
      <c r="E112" s="1161"/>
      <c r="F112" s="1161"/>
      <c r="G112" s="1161"/>
      <c r="H112" s="1161"/>
      <c r="I112" s="1161"/>
      <c r="J112" s="1161"/>
      <c r="K112" s="1161"/>
      <c r="L112" s="1161"/>
      <c r="M112" s="1161"/>
      <c r="N112" s="1161"/>
    </row>
    <row r="113" spans="2:16">
      <c r="B113" s="1166" t="s">
        <v>822</v>
      </c>
      <c r="C113" s="1166">
        <f>Depreciation!CK95</f>
        <v>1048.4100000000001</v>
      </c>
      <c r="D113" s="1166">
        <f>Depreciation!CL95</f>
        <v>1127.7560000000001</v>
      </c>
      <c r="E113" s="1166">
        <f>Depreciation!CM95</f>
        <v>1312.691</v>
      </c>
      <c r="F113" s="1166">
        <f>Depreciation!CN95</f>
        <v>1869.3020000000001</v>
      </c>
      <c r="G113" s="1166">
        <f>Depreciation!CO95</f>
        <v>2271.3609999999999</v>
      </c>
      <c r="H113" s="1166">
        <f t="shared" ref="H113:N113" si="122">H72/H114</f>
        <v>3033.7257142857147</v>
      </c>
      <c r="I113" s="1166">
        <f t="shared" si="122"/>
        <v>4010.207142857143</v>
      </c>
      <c r="J113" s="1166">
        <f t="shared" si="122"/>
        <v>4688.4971428571425</v>
      </c>
      <c r="K113" s="1166">
        <f t="shared" si="122"/>
        <v>5734.3731935583583</v>
      </c>
      <c r="L113" s="1166">
        <f t="shared" si="122"/>
        <v>6560.8994329691204</v>
      </c>
      <c r="M113" s="1166">
        <f t="shared" si="122"/>
        <v>7217.8718597233437</v>
      </c>
      <c r="N113" s="1166">
        <f t="shared" si="122"/>
        <v>7927.3872108813475</v>
      </c>
    </row>
    <row r="114" spans="2:16">
      <c r="C114" s="1152">
        <f>C72/C113</f>
        <v>0.79298938392422802</v>
      </c>
      <c r="D114" s="1152">
        <f>D72/D113</f>
        <v>0.66251831069841349</v>
      </c>
      <c r="E114" s="1152">
        <f>E72/E113</f>
        <v>0.69855815268025756</v>
      </c>
      <c r="F114" s="1152">
        <f>F72/F113</f>
        <v>0.73951774512625568</v>
      </c>
      <c r="G114" s="1152">
        <f>G72/G113</f>
        <v>0.71904906353503473</v>
      </c>
      <c r="H114" s="1152">
        <v>0.7</v>
      </c>
      <c r="I114" s="1152">
        <v>0.7</v>
      </c>
      <c r="J114" s="1152">
        <v>0.7</v>
      </c>
      <c r="K114" s="1152">
        <v>0.7</v>
      </c>
      <c r="L114" s="1152">
        <v>0.7</v>
      </c>
      <c r="M114" s="1152">
        <v>0.7</v>
      </c>
      <c r="N114" s="1152">
        <v>0.7</v>
      </c>
    </row>
    <row r="115" spans="2:16">
      <c r="C115" s="1161"/>
      <c r="D115" s="1161"/>
      <c r="E115" s="1161"/>
      <c r="F115" s="1161"/>
      <c r="G115" s="1161"/>
      <c r="H115" s="1161"/>
      <c r="I115" s="1161"/>
      <c r="J115" s="1161"/>
      <c r="K115" s="1161"/>
      <c r="L115" s="1161"/>
      <c r="M115" s="1161"/>
      <c r="N115" s="1161"/>
    </row>
    <row r="116" spans="2:16">
      <c r="C116" s="1161"/>
      <c r="D116" s="1161"/>
      <c r="E116" s="1161"/>
      <c r="F116" s="1161"/>
      <c r="G116" s="1161"/>
      <c r="H116" s="1161"/>
      <c r="I116" s="1161"/>
      <c r="J116" s="1161"/>
      <c r="K116" s="1161"/>
      <c r="L116" s="1161"/>
      <c r="M116" s="1161"/>
      <c r="N116" s="1161"/>
    </row>
    <row r="117" spans="2:16">
      <c r="C117" s="1161"/>
      <c r="D117" s="1161">
        <f t="shared" ref="D117:N117" si="123">D60/D62</f>
        <v>0.71465529985709386</v>
      </c>
      <c r="E117" s="1161">
        <f t="shared" si="123"/>
        <v>0.74592433017024828</v>
      </c>
      <c r="F117" s="1161">
        <f t="shared" si="123"/>
        <v>0.62668851587758545</v>
      </c>
      <c r="G117" s="1161">
        <f t="shared" si="123"/>
        <v>0.62861635550236827</v>
      </c>
      <c r="H117" s="1161">
        <f t="shared" si="123"/>
        <v>0.52477776140661092</v>
      </c>
      <c r="I117" s="1161">
        <f t="shared" si="123"/>
        <v>0.52174809880452933</v>
      </c>
      <c r="J117" s="1161">
        <f t="shared" si="123"/>
        <v>0.46287268224249056</v>
      </c>
      <c r="K117" s="1161">
        <f t="shared" si="123"/>
        <v>0.62724192766191245</v>
      </c>
      <c r="L117" s="1161">
        <f t="shared" si="123"/>
        <v>0.65472246806743106</v>
      </c>
      <c r="M117" s="1161">
        <f t="shared" si="123"/>
        <v>0.64859190600558914</v>
      </c>
      <c r="N117" s="1161">
        <f t="shared" si="123"/>
        <v>0.64078937004044056</v>
      </c>
    </row>
    <row r="118" spans="2:16">
      <c r="C118" s="1161"/>
      <c r="D118" s="1161">
        <f>D62/'[6]10y capex'!D46-1</f>
        <v>0</v>
      </c>
      <c r="E118" s="1161">
        <f>E62/'[6]10y capex'!E46-1</f>
        <v>0.33320930232558132</v>
      </c>
      <c r="F118" s="1161">
        <f>F62/'[6]10y capex'!F46-1</f>
        <v>-4.5285412262156433E-2</v>
      </c>
      <c r="G118" s="1161">
        <f>G62/'[6]10y capex'!G46-1</f>
        <v>0.22058427830098015</v>
      </c>
      <c r="H118" s="1161">
        <f>H62/'[6]10y capex'!H46-1</f>
        <v>0.39783818801735249</v>
      </c>
      <c r="I118" s="1161">
        <f>I62/'[6]10y capex'!I46-1</f>
        <v>0.39140649510177705</v>
      </c>
      <c r="J118" s="1161">
        <f>J62/'[6]10y capex'!J46-1</f>
        <v>0.56364601593765751</v>
      </c>
      <c r="K118" s="1161">
        <f>K62/'[6]10y capex'!K46-1</f>
        <v>0.56471604804493936</v>
      </c>
      <c r="L118" s="1161">
        <f>L62/'[6]10y capex'!L46-1</f>
        <v>0.45165535324776696</v>
      </c>
      <c r="M118" s="1161">
        <f>M62/'[6]10y capex'!M46-1</f>
        <v>0.52235509546478176</v>
      </c>
      <c r="N118" s="1161">
        <f>N62/'[6]10y capex'!N46-1</f>
        <v>0.40701826889691906</v>
      </c>
    </row>
    <row r="119" spans="2:16">
      <c r="C119" s="1161"/>
      <c r="D119" s="1161"/>
      <c r="E119" s="1161"/>
      <c r="F119" s="1161"/>
      <c r="G119" s="1161"/>
      <c r="H119" s="1161"/>
      <c r="I119" s="1161"/>
      <c r="J119" s="1161"/>
      <c r="K119" s="1161"/>
      <c r="L119" s="1161"/>
      <c r="M119" s="1161"/>
      <c r="N119" s="1161"/>
    </row>
    <row r="120" spans="2:16">
      <c r="C120" s="1161"/>
      <c r="D120" s="1161"/>
      <c r="E120" s="1161"/>
      <c r="F120" s="1161"/>
      <c r="G120" s="1161"/>
      <c r="H120" s="1161"/>
      <c r="I120" s="1161"/>
      <c r="J120" s="1161"/>
      <c r="K120" s="1161"/>
      <c r="L120" s="1161"/>
      <c r="M120" s="1161"/>
      <c r="N120" s="1161"/>
    </row>
    <row r="121" spans="2:16">
      <c r="C121" s="1161"/>
      <c r="D121" s="1161"/>
      <c r="E121" s="1161"/>
      <c r="F121" s="1161"/>
      <c r="G121" s="1161"/>
      <c r="H121" s="1161"/>
      <c r="I121" s="1161"/>
      <c r="J121" s="1161"/>
      <c r="K121" s="1161"/>
      <c r="L121" s="1161"/>
      <c r="M121" s="1161"/>
      <c r="N121" s="1161"/>
    </row>
    <row r="122" spans="2:16">
      <c r="C122" s="1161"/>
      <c r="D122" s="1153">
        <f t="shared" ref="D122:N122" si="124">SUM(D21:D25)</f>
        <v>3</v>
      </c>
      <c r="E122" s="1153">
        <f t="shared" si="124"/>
        <v>15</v>
      </c>
      <c r="F122" s="1153">
        <f t="shared" si="124"/>
        <v>15</v>
      </c>
      <c r="G122" s="1153">
        <f t="shared" si="124"/>
        <v>25</v>
      </c>
      <c r="H122" s="1153">
        <f t="shared" si="124"/>
        <v>35.222222222222221</v>
      </c>
      <c r="I122" s="1153">
        <f t="shared" si="124"/>
        <v>35.222222222222221</v>
      </c>
      <c r="J122" s="1153">
        <f t="shared" si="124"/>
        <v>35.222222222222221</v>
      </c>
      <c r="K122" s="1153">
        <f t="shared" si="124"/>
        <v>45.222222222222221</v>
      </c>
      <c r="L122" s="1153">
        <f t="shared" si="124"/>
        <v>55.222222222222221</v>
      </c>
      <c r="M122" s="1153">
        <f t="shared" si="124"/>
        <v>65.222222222222229</v>
      </c>
      <c r="N122" s="1153">
        <f t="shared" si="124"/>
        <v>75.266666666666666</v>
      </c>
    </row>
    <row r="124" spans="2:16">
      <c r="C124" s="1163"/>
      <c r="D124" s="1163"/>
      <c r="E124" s="1163"/>
      <c r="F124" s="1163"/>
      <c r="G124" s="1163"/>
      <c r="H124" s="1163"/>
      <c r="I124" s="1163"/>
      <c r="J124" s="1163"/>
      <c r="K124" s="1163"/>
      <c r="L124" s="1163"/>
      <c r="M124" s="1163"/>
      <c r="N124" s="1163"/>
    </row>
    <row r="125" spans="2:16">
      <c r="C125" s="1163"/>
      <c r="D125" s="1166">
        <f t="shared" ref="D125:J125" si="125">D27+SUM(D25:D26)*2.25</f>
        <v>448.5</v>
      </c>
      <c r="E125" s="1166">
        <f t="shared" si="125"/>
        <v>520.75</v>
      </c>
      <c r="F125" s="1166">
        <f t="shared" si="125"/>
        <v>598.49900000000002</v>
      </c>
      <c r="G125" s="1166">
        <f t="shared" si="125"/>
        <v>691.5</v>
      </c>
      <c r="H125" s="1166">
        <f t="shared" si="125"/>
        <v>760.00000000000023</v>
      </c>
      <c r="I125" s="1166">
        <f t="shared" si="125"/>
        <v>902.12500000000023</v>
      </c>
      <c r="J125" s="1166">
        <f t="shared" si="125"/>
        <v>1013.25</v>
      </c>
      <c r="L125" s="1163"/>
      <c r="M125" s="1163"/>
      <c r="N125" s="1163"/>
    </row>
    <row r="126" spans="2:16">
      <c r="E126" s="1152">
        <f t="shared" ref="E126:J126" si="126">E125/D125-1</f>
        <v>0.16109253065774798</v>
      </c>
      <c r="F126" s="1152">
        <f t="shared" si="126"/>
        <v>0.14930196831493037</v>
      </c>
      <c r="G126" s="1152">
        <f t="shared" si="126"/>
        <v>0.15539040165480644</v>
      </c>
      <c r="H126" s="1152">
        <f t="shared" si="126"/>
        <v>9.9060014461316293E-2</v>
      </c>
      <c r="I126" s="1152">
        <f t="shared" si="126"/>
        <v>0.18700657894736827</v>
      </c>
      <c r="J126" s="1152">
        <f t="shared" si="126"/>
        <v>0.12318137730358836</v>
      </c>
      <c r="P126" s="1166" t="s">
        <v>1030</v>
      </c>
    </row>
    <row r="127" spans="2:16">
      <c r="J127" s="1152">
        <f>(J125/F125)^(1/4)-1</f>
        <v>0.14067860498867635</v>
      </c>
      <c r="N127" s="1166">
        <f>1000/12</f>
        <v>83.333333333333329</v>
      </c>
      <c r="P127" s="1164" t="s">
        <v>1029</v>
      </c>
    </row>
    <row r="128" spans="2:16">
      <c r="J128" s="1152"/>
      <c r="N128" s="1166">
        <f>500/30</f>
        <v>16.666666666666668</v>
      </c>
      <c r="P128" s="1166" t="s">
        <v>1031</v>
      </c>
    </row>
    <row r="129" spans="3:14">
      <c r="N129" s="1166">
        <f>N128*1000/N127</f>
        <v>200.00000000000003</v>
      </c>
    </row>
    <row r="131" spans="3:14">
      <c r="C131" s="1152"/>
      <c r="D131" s="1152"/>
      <c r="E131" s="1152"/>
      <c r="F131" s="1152"/>
      <c r="G131" s="1152"/>
      <c r="H131" s="1152"/>
      <c r="I131" s="1152"/>
      <c r="J131" s="1152"/>
      <c r="K131" s="1152"/>
      <c r="L131" s="1152"/>
      <c r="M131" s="1152"/>
      <c r="N131" s="1152"/>
    </row>
    <row r="194" spans="2:5">
      <c r="B194" s="1152"/>
      <c r="C194" s="1152"/>
      <c r="D194" s="1152"/>
      <c r="E194" s="1152"/>
    </row>
    <row r="195" spans="2:5">
      <c r="B195" s="1152"/>
      <c r="C195" s="1152"/>
      <c r="D195" s="1152"/>
      <c r="E195" s="1152"/>
    </row>
    <row r="196" spans="2:5">
      <c r="B196" s="1152"/>
      <c r="C196" s="1152"/>
      <c r="D196" s="1152"/>
      <c r="E196" s="1152"/>
    </row>
    <row r="197" spans="2:5">
      <c r="B197" s="1152"/>
      <c r="C197" s="1152"/>
      <c r="D197" s="1152"/>
      <c r="E197" s="1152"/>
    </row>
    <row r="198" spans="2:5">
      <c r="B198" s="1152"/>
      <c r="C198" s="1152"/>
      <c r="D198" s="1152"/>
      <c r="E198" s="1152"/>
    </row>
    <row r="199" spans="2:5">
      <c r="B199" s="1152"/>
      <c r="C199" s="1152"/>
      <c r="D199" s="1152"/>
      <c r="E199" s="1152"/>
    </row>
    <row r="200" spans="2:5">
      <c r="B200" s="1152"/>
      <c r="C200" s="1152"/>
      <c r="D200" s="1152"/>
      <c r="E200" s="1152"/>
    </row>
    <row r="201" spans="2:5">
      <c r="B201" s="1152"/>
      <c r="C201" s="1152"/>
      <c r="D201" s="1152"/>
      <c r="E201" s="1152"/>
    </row>
    <row r="202" spans="2:5">
      <c r="B202" s="1152"/>
      <c r="C202" s="1152"/>
      <c r="D202" s="1152"/>
      <c r="E202" s="1152"/>
    </row>
    <row r="203" spans="2:5">
      <c r="B203" s="1152"/>
      <c r="C203" s="1152"/>
      <c r="D203" s="1152"/>
      <c r="E203" s="1152"/>
    </row>
    <row r="204" spans="2:5">
      <c r="B204" s="1152"/>
      <c r="C204" s="1152"/>
      <c r="D204" s="1152"/>
      <c r="E204" s="1152"/>
    </row>
    <row r="205" spans="2:5">
      <c r="B205" s="1152"/>
      <c r="C205" s="1152"/>
      <c r="D205" s="1152"/>
      <c r="E205" s="1152"/>
    </row>
    <row r="206" spans="2:5">
      <c r="B206" s="1152"/>
      <c r="C206" s="1152"/>
      <c r="D206" s="1152"/>
      <c r="E206" s="1152"/>
    </row>
    <row r="207" spans="2:5">
      <c r="B207" s="1152"/>
      <c r="C207" s="1152"/>
      <c r="D207" s="1152"/>
      <c r="E207" s="1152"/>
    </row>
    <row r="208" spans="2:5">
      <c r="B208" s="1152"/>
      <c r="C208" s="1152"/>
      <c r="D208" s="1152"/>
      <c r="E208" s="1152"/>
    </row>
  </sheetData>
  <hyperlinks>
    <hyperlink ref="P127" r:id="rId1" xr:uid="{00000000-0004-0000-0400-000000000000}"/>
  </hyperlinks>
  <pageMargins left="0.7" right="0.7" top="0.75" bottom="0.75" header="0.3" footer="0.3"/>
  <pageSetup paperSize="9" orientation="portrait" horizontalDpi="300" verticalDpi="300" r:id="rId2"/>
  <customProperties>
    <customPr name="Qube.Worksheet.Visibility" r:id="rId3"/>
    <customPr name="SHEET_UNIQUE_ID" r:id="rId4"/>
  </customProperties>
  <ignoredErrors>
    <ignoredError sqref="C2" numberStoredAsText="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CW193"/>
  <sheetViews>
    <sheetView showGridLines="0" showOutlineSymbols="0" showWhiteSpace="0" workbookViewId="0">
      <pane xSplit="37" ySplit="5" topLeftCell="AL6" activePane="bottomRight" state="frozen"/>
      <selection pane="topRight"/>
      <selection pane="bottomLeft"/>
      <selection pane="bottomRight" activeCell="AR30" sqref="AR30"/>
    </sheetView>
  </sheetViews>
  <sheetFormatPr defaultColWidth="8.5703125" defaultRowHeight="12" outlineLevelRow="1" outlineLevelCol="1"/>
  <cols>
    <col min="1" max="1" width="35" style="694" bestFit="1" customWidth="1"/>
    <col min="2" max="3" width="4.5703125" style="694" hidden="1" customWidth="1" outlineLevel="1"/>
    <col min="4" max="5" width="5.140625" style="694" hidden="1" customWidth="1" outlineLevel="1"/>
    <col min="6" max="6" width="5.5703125" style="694" hidden="1" customWidth="1" outlineLevel="1"/>
    <col min="7" max="8" width="5.140625" style="694" hidden="1" customWidth="1" outlineLevel="1"/>
    <col min="9" max="9" width="4.5703125" style="694" hidden="1" customWidth="1" outlineLevel="1"/>
    <col min="10" max="10" width="5.140625" style="694" hidden="1" customWidth="1" outlineLevel="1"/>
    <col min="11" max="11" width="4.5703125" style="694" hidden="1" customWidth="1" outlineLevel="1"/>
    <col min="12" max="12" width="5.140625" style="694" hidden="1" customWidth="1" outlineLevel="1"/>
    <col min="13" max="13" width="4.5703125" style="694" hidden="1" customWidth="1" outlineLevel="1"/>
    <col min="14" max="16" width="5.140625" style="694" hidden="1" customWidth="1" outlineLevel="1"/>
    <col min="17" max="17" width="4.5703125" style="694" hidden="1" customWidth="1" outlineLevel="1"/>
    <col min="18" max="23" width="5.140625" style="694" hidden="1" customWidth="1" outlineLevel="1"/>
    <col min="24" max="37" width="5.5703125" style="694" hidden="1" customWidth="1" outlineLevel="1"/>
    <col min="38" max="38" width="6.42578125" style="694" bestFit="1" customWidth="1" collapsed="1"/>
    <col min="39" max="42" width="6.42578125" style="694" bestFit="1" customWidth="1"/>
    <col min="43" max="43" width="7.85546875" style="694" bestFit="1" customWidth="1"/>
    <col min="44" max="44" width="8.140625" style="694" bestFit="1" customWidth="1"/>
    <col min="45" max="45" width="7.85546875" style="694" bestFit="1" customWidth="1"/>
    <col min="46" max="47" width="6.42578125" style="694" bestFit="1" customWidth="1"/>
    <col min="48" max="55" width="7.85546875" style="694" bestFit="1" customWidth="1"/>
    <col min="56" max="77" width="8.140625" style="694" bestFit="1" customWidth="1"/>
    <col min="78" max="79" width="6.5703125" style="694" customWidth="1"/>
    <col min="80" max="80" width="8.5703125" style="694"/>
    <col min="81" max="87" width="6.7109375" style="694" hidden="1" customWidth="1" outlineLevel="1"/>
    <col min="88" max="88" width="9.140625" style="694" customWidth="1" collapsed="1"/>
    <col min="89" max="95" width="9.140625" style="694" customWidth="1"/>
    <col min="96" max="96" width="9.85546875" style="694" bestFit="1" customWidth="1"/>
    <col min="97" max="100" width="9.140625" style="694" customWidth="1"/>
    <col min="101" max="16384" width="8.5703125" style="694"/>
  </cols>
  <sheetData>
    <row r="1" spans="1:101" s="688" customFormat="1">
      <c r="A1" s="687" t="s">
        <v>696</v>
      </c>
      <c r="B1" s="687"/>
      <c r="C1" s="687"/>
      <c r="D1" s="687"/>
      <c r="E1" s="687"/>
      <c r="F1" s="687"/>
      <c r="G1" s="687"/>
      <c r="H1" s="687"/>
      <c r="I1" s="687"/>
      <c r="J1" s="687"/>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7"/>
      <c r="AZ1" s="687"/>
      <c r="BA1" s="687"/>
      <c r="BB1" s="687"/>
      <c r="BC1" s="687"/>
      <c r="BD1" s="687"/>
      <c r="BE1" s="687"/>
      <c r="BF1" s="687"/>
      <c r="BG1" s="687"/>
      <c r="BH1" s="687"/>
      <c r="BI1" s="687"/>
      <c r="BJ1" s="687"/>
      <c r="BK1" s="687"/>
      <c r="BL1" s="687"/>
      <c r="BM1" s="1087">
        <f>BM3/BL3-1</f>
        <v>5.5550914710551513E-3</v>
      </c>
      <c r="BN1" s="687"/>
      <c r="BO1" s="687"/>
      <c r="BP1" s="687"/>
      <c r="BQ1" s="687"/>
      <c r="BR1" s="687"/>
      <c r="BS1" s="687"/>
      <c r="BT1" s="687"/>
      <c r="BU1" s="687"/>
      <c r="BV1" s="687"/>
      <c r="BW1" s="687"/>
      <c r="BX1" s="687"/>
      <c r="BY1" s="687"/>
      <c r="BZ1" s="687"/>
      <c r="CA1" s="687"/>
    </row>
    <row r="2" spans="1:101" s="688" customFormat="1">
      <c r="A2" s="687" t="s">
        <v>835</v>
      </c>
      <c r="B2" s="689" t="s">
        <v>247</v>
      </c>
      <c r="C2" s="689" t="s">
        <v>248</v>
      </c>
      <c r="D2" s="689" t="s">
        <v>249</v>
      </c>
      <c r="E2" s="689" t="s">
        <v>250</v>
      </c>
      <c r="F2" s="689" t="s">
        <v>251</v>
      </c>
      <c r="G2" s="689" t="s">
        <v>252</v>
      </c>
      <c r="H2" s="689" t="s">
        <v>253</v>
      </c>
      <c r="I2" s="689" t="s">
        <v>254</v>
      </c>
      <c r="J2" s="689" t="s">
        <v>255</v>
      </c>
      <c r="K2" s="689" t="s">
        <v>256</v>
      </c>
      <c r="L2" s="689" t="s">
        <v>257</v>
      </c>
      <c r="M2" s="689" t="s">
        <v>258</v>
      </c>
      <c r="N2" s="689" t="s">
        <v>259</v>
      </c>
      <c r="O2" s="689" t="s">
        <v>260</v>
      </c>
      <c r="P2" s="689" t="s">
        <v>261</v>
      </c>
      <c r="Q2" s="689" t="s">
        <v>262</v>
      </c>
      <c r="R2" s="689" t="s">
        <v>263</v>
      </c>
      <c r="S2" s="689" t="s">
        <v>264</v>
      </c>
      <c r="T2" s="689" t="s">
        <v>265</v>
      </c>
      <c r="U2" s="689" t="s">
        <v>266</v>
      </c>
      <c r="V2" s="689" t="s">
        <v>267</v>
      </c>
      <c r="W2" s="689" t="s">
        <v>268</v>
      </c>
      <c r="X2" s="689" t="s">
        <v>269</v>
      </c>
      <c r="Y2" s="689" t="s">
        <v>270</v>
      </c>
      <c r="Z2" s="689" t="s">
        <v>271</v>
      </c>
      <c r="AA2" s="689" t="s">
        <v>272</v>
      </c>
      <c r="AB2" s="689" t="s">
        <v>273</v>
      </c>
      <c r="AC2" s="689" t="s">
        <v>274</v>
      </c>
      <c r="AD2" s="689" t="s">
        <v>275</v>
      </c>
      <c r="AE2" s="689" t="s">
        <v>276</v>
      </c>
      <c r="AF2" s="689" t="s">
        <v>277</v>
      </c>
      <c r="AG2" s="689" t="s">
        <v>278</v>
      </c>
      <c r="AH2" s="689" t="s">
        <v>279</v>
      </c>
      <c r="AI2" s="689" t="s">
        <v>280</v>
      </c>
      <c r="AJ2" s="689" t="s">
        <v>281</v>
      </c>
      <c r="AK2" s="689" t="s">
        <v>282</v>
      </c>
      <c r="AL2" s="689" t="s">
        <v>283</v>
      </c>
      <c r="AM2" s="689" t="s">
        <v>284</v>
      </c>
      <c r="AN2" s="689" t="s">
        <v>285</v>
      </c>
      <c r="AO2" s="689" t="s">
        <v>286</v>
      </c>
      <c r="AP2" s="689" t="s">
        <v>417</v>
      </c>
      <c r="AQ2" s="689" t="s">
        <v>418</v>
      </c>
      <c r="AR2" s="689" t="s">
        <v>419</v>
      </c>
      <c r="AS2" s="689" t="s">
        <v>420</v>
      </c>
      <c r="AT2" s="689" t="s">
        <v>421</v>
      </c>
      <c r="AU2" s="689" t="s">
        <v>422</v>
      </c>
      <c r="AV2" s="689" t="s">
        <v>423</v>
      </c>
      <c r="AW2" s="689" t="s">
        <v>424</v>
      </c>
      <c r="AX2" s="689" t="s">
        <v>946</v>
      </c>
      <c r="AY2" s="689" t="s">
        <v>947</v>
      </c>
      <c r="AZ2" s="689" t="s">
        <v>948</v>
      </c>
      <c r="BA2" s="689" t="s">
        <v>949</v>
      </c>
      <c r="BB2" s="689" t="s">
        <v>1065</v>
      </c>
      <c r="BC2" s="689" t="s">
        <v>1066</v>
      </c>
      <c r="BD2" s="689" t="s">
        <v>1067</v>
      </c>
      <c r="BE2" s="689" t="s">
        <v>1064</v>
      </c>
      <c r="BF2" s="689" t="s">
        <v>1069</v>
      </c>
      <c r="BG2" s="689" t="s">
        <v>1070</v>
      </c>
      <c r="BH2" s="689" t="s">
        <v>1071</v>
      </c>
      <c r="BI2" s="689" t="s">
        <v>1072</v>
      </c>
      <c r="BJ2" s="689" t="s">
        <v>1073</v>
      </c>
      <c r="BK2" s="689" t="s">
        <v>1074</v>
      </c>
      <c r="BL2" s="689" t="s">
        <v>1075</v>
      </c>
      <c r="BM2" s="689" t="s">
        <v>1076</v>
      </c>
      <c r="BN2" s="689" t="s">
        <v>1077</v>
      </c>
      <c r="BO2" s="690" t="s">
        <v>1078</v>
      </c>
      <c r="BP2" s="690" t="s">
        <v>1079</v>
      </c>
      <c r="BQ2" s="690" t="s">
        <v>1080</v>
      </c>
      <c r="BR2" s="690" t="s">
        <v>1081</v>
      </c>
      <c r="BS2" s="690" t="s">
        <v>1082</v>
      </c>
      <c r="BT2" s="690" t="s">
        <v>1083</v>
      </c>
      <c r="BU2" s="690" t="s">
        <v>1084</v>
      </c>
      <c r="BV2" s="690" t="s">
        <v>1085</v>
      </c>
      <c r="BW2" s="690" t="s">
        <v>1086</v>
      </c>
      <c r="BX2" s="690" t="s">
        <v>1087</v>
      </c>
      <c r="BY2" s="690" t="s">
        <v>1088</v>
      </c>
      <c r="BZ2" s="690"/>
      <c r="CA2" s="690"/>
      <c r="CB2" s="689"/>
      <c r="CC2" s="689">
        <v>2010</v>
      </c>
      <c r="CD2" s="689">
        <v>2011</v>
      </c>
      <c r="CE2" s="689">
        <v>2012</v>
      </c>
      <c r="CF2" s="689">
        <v>2013</v>
      </c>
      <c r="CG2" s="689">
        <v>2014</v>
      </c>
      <c r="CH2" s="689">
        <v>2015</v>
      </c>
      <c r="CI2" s="689">
        <v>2016</v>
      </c>
      <c r="CJ2" s="689">
        <v>2017</v>
      </c>
      <c r="CK2" s="689">
        <v>2018</v>
      </c>
      <c r="CL2" s="689">
        <v>2019</v>
      </c>
      <c r="CM2" s="689">
        <v>2020</v>
      </c>
      <c r="CN2" s="689">
        <v>2021</v>
      </c>
      <c r="CO2" s="689">
        <v>2022</v>
      </c>
      <c r="CP2" s="689" t="s">
        <v>1033</v>
      </c>
      <c r="CQ2" s="689">
        <v>2024</v>
      </c>
      <c r="CR2" s="689">
        <v>2025</v>
      </c>
      <c r="CS2" s="690" t="s">
        <v>1056</v>
      </c>
      <c r="CT2" s="690" t="s">
        <v>1057</v>
      </c>
      <c r="CU2" s="690" t="s">
        <v>1058</v>
      </c>
      <c r="CV2" s="690" t="s">
        <v>1110</v>
      </c>
      <c r="CW2" s="690"/>
    </row>
    <row r="3" spans="1:101">
      <c r="A3" s="691" t="s">
        <v>818</v>
      </c>
      <c r="B3" s="692">
        <v>73.172437000000002</v>
      </c>
      <c r="C3" s="692">
        <v>87.494464999999991</v>
      </c>
      <c r="D3" s="692">
        <v>157.53075099999998</v>
      </c>
      <c r="E3" s="692">
        <v>173.34094699999997</v>
      </c>
      <c r="F3" s="692">
        <v>392.57600000000002</v>
      </c>
      <c r="G3" s="692">
        <v>284.92500000000001</v>
      </c>
      <c r="H3" s="692">
        <v>183.26599999999999</v>
      </c>
      <c r="I3" s="692">
        <v>89.12</v>
      </c>
      <c r="J3" s="692">
        <v>116.366</v>
      </c>
      <c r="K3" s="692">
        <v>82.054000000000002</v>
      </c>
      <c r="L3" s="692">
        <v>117.369</v>
      </c>
      <c r="M3" s="692">
        <v>97.391999999999996</v>
      </c>
      <c r="N3" s="692">
        <v>123.13200000000001</v>
      </c>
      <c r="O3" s="692">
        <v>188.00800000000001</v>
      </c>
      <c r="P3" s="692">
        <v>255.56100000000001</v>
      </c>
      <c r="Q3" s="692">
        <v>83.459000000000003</v>
      </c>
      <c r="R3" s="692">
        <v>118.563</v>
      </c>
      <c r="S3" s="692">
        <v>108.68300000000001</v>
      </c>
      <c r="T3" s="692">
        <v>212.31700000000001</v>
      </c>
      <c r="U3" s="692">
        <v>213.571</v>
      </c>
      <c r="V3" s="692">
        <v>224.43600000000001</v>
      </c>
      <c r="W3" s="692">
        <v>235.51499999999999</v>
      </c>
      <c r="X3" s="692">
        <v>289.04899999999998</v>
      </c>
      <c r="Y3" s="692">
        <v>481.81200000000001</v>
      </c>
      <c r="Z3" s="692">
        <v>578.18499999999995</v>
      </c>
      <c r="AA3" s="692">
        <v>933.13800000000003</v>
      </c>
      <c r="AB3" s="692">
        <v>756.31700000000001</v>
      </c>
      <c r="AC3" s="692">
        <v>489.56200000000001</v>
      </c>
      <c r="AD3" s="692">
        <v>613.45899999999995</v>
      </c>
      <c r="AE3" s="692">
        <v>626.32500000000005</v>
      </c>
      <c r="AF3" s="692">
        <v>691.17</v>
      </c>
      <c r="AG3" s="692">
        <v>410.94499999999999</v>
      </c>
      <c r="AH3" s="692">
        <v>370.92399999999998</v>
      </c>
      <c r="AI3" s="692">
        <v>534.45399999999995</v>
      </c>
      <c r="AJ3" s="692">
        <v>477.78199999999998</v>
      </c>
      <c r="AK3" s="692">
        <v>425.09300000000002</v>
      </c>
      <c r="AL3" s="1094">
        <v>439.6</v>
      </c>
      <c r="AM3" s="1094">
        <v>908.1</v>
      </c>
      <c r="AN3" s="1094">
        <v>189.7</v>
      </c>
      <c r="AO3" s="1094">
        <v>491.9</v>
      </c>
      <c r="AP3" s="1095">
        <v>777.2</v>
      </c>
      <c r="AQ3" s="1095">
        <v>1342.5</v>
      </c>
      <c r="AR3" s="1095">
        <v>2279.6999999999998</v>
      </c>
      <c r="AS3" s="1095">
        <v>1333.4</v>
      </c>
      <c r="AT3" s="1095">
        <v>534.1</v>
      </c>
      <c r="AU3" s="1095">
        <v>770.8</v>
      </c>
      <c r="AV3" s="1095">
        <v>1080.9000000000001</v>
      </c>
      <c r="AW3" s="1095">
        <v>2130</v>
      </c>
      <c r="AX3" s="1095">
        <v>869</v>
      </c>
      <c r="AY3" s="1095">
        <v>1672.3</v>
      </c>
      <c r="AZ3" s="1095">
        <v>1822.3</v>
      </c>
      <c r="BA3" s="1095">
        <v>1987.1</v>
      </c>
      <c r="BB3" s="1095">
        <v>1258.5999999999999</v>
      </c>
      <c r="BC3" s="1095">
        <v>1731.5</v>
      </c>
      <c r="BD3" s="1095">
        <v>2134.6999999999998</v>
      </c>
      <c r="BE3" s="1095">
        <v>2340.9</v>
      </c>
      <c r="BF3" s="1095">
        <v>2235.4</v>
      </c>
      <c r="BG3" s="1095">
        <v>2251.5</v>
      </c>
      <c r="BH3" s="1138">
        <v>1178.8</v>
      </c>
      <c r="BI3" s="1138">
        <v>1660.1</v>
      </c>
      <c r="BJ3" s="1138">
        <v>1415.5</v>
      </c>
      <c r="BK3" s="1138">
        <v>1885.1</v>
      </c>
      <c r="BL3" s="1095">
        <v>2394.1999999999998</v>
      </c>
      <c r="BM3" s="1095">
        <v>2407.5</v>
      </c>
      <c r="BN3" s="1095">
        <v>1562.8</v>
      </c>
      <c r="BO3" s="1096">
        <f>BK3*1.1135</f>
        <v>2099.0588499999999</v>
      </c>
      <c r="BP3" s="1096">
        <f>BL3*1.11</f>
        <v>2657.5619999999999</v>
      </c>
      <c r="BQ3" s="1096">
        <f>BM3*1.11</f>
        <v>2672.3250000000003</v>
      </c>
      <c r="BR3" s="1096">
        <f>BN3*1.066</f>
        <v>1665.9448</v>
      </c>
      <c r="BS3" s="1096">
        <f>BO3*1.067</f>
        <v>2239.6957929499999</v>
      </c>
      <c r="BT3" s="1096">
        <f>BP3*1.068</f>
        <v>2838.2762160000002</v>
      </c>
      <c r="BU3" s="1096">
        <f>BQ3*1.068</f>
        <v>2854.0431000000003</v>
      </c>
      <c r="BV3" s="1096">
        <f>BR3*1</f>
        <v>1665.9448</v>
      </c>
      <c r="BW3" s="1096">
        <f>BS3*1</f>
        <v>2239.6957929499999</v>
      </c>
      <c r="BX3" s="1096">
        <f>BT3*1</f>
        <v>2838.2762160000002</v>
      </c>
      <c r="BY3" s="1096">
        <f>BU3*1</f>
        <v>2854.0431000000003</v>
      </c>
      <c r="BZ3" s="1083"/>
      <c r="CA3" s="1083"/>
      <c r="CB3" s="693"/>
      <c r="CC3" s="693">
        <f>SUM(B3:E3)</f>
        <v>491.53859999999992</v>
      </c>
      <c r="CD3" s="693">
        <f>SUM(F3:I3)</f>
        <v>949.88699999999994</v>
      </c>
      <c r="CE3" s="693">
        <f>SUM(J3:M3)</f>
        <v>413.18099999999998</v>
      </c>
      <c r="CF3" s="693">
        <f>SUM(N3:Q3)</f>
        <v>650.16000000000008</v>
      </c>
      <c r="CG3" s="693">
        <f>SUM(R3:U3)</f>
        <v>653.13400000000001</v>
      </c>
      <c r="CH3" s="693">
        <f>SUM(V3:Y3)</f>
        <v>1230.8119999999999</v>
      </c>
      <c r="CI3" s="693">
        <f>SUM(Z3:AC3)</f>
        <v>2757.2019999999998</v>
      </c>
      <c r="CJ3" s="693">
        <f>SUM(AD3:AG3)</f>
        <v>2341.8990000000003</v>
      </c>
      <c r="CK3" s="693">
        <f>SUM(AH3:AK3)</f>
        <v>1808.2529999999999</v>
      </c>
      <c r="CL3" s="693">
        <f>SUM(AL3:AO3)</f>
        <v>2029.3000000000002</v>
      </c>
      <c r="CM3" s="693">
        <f>SUM(AP3:AS3)</f>
        <v>5732.7999999999993</v>
      </c>
      <c r="CN3" s="693">
        <f>SUM(AT3:AW3)</f>
        <v>4515.8</v>
      </c>
      <c r="CO3" s="693">
        <f>SUM(AX3:BA3)</f>
        <v>6350.7000000000007</v>
      </c>
      <c r="CP3" s="693">
        <f>SUM(BB3:BE3)</f>
        <v>7465.6999999999989</v>
      </c>
      <c r="CQ3" s="693">
        <f>SUM(BF3:BI3)</f>
        <v>7325.7999999999993</v>
      </c>
      <c r="CR3" s="693">
        <f>SUM(BJ3:BM3)</f>
        <v>8102.2999999999993</v>
      </c>
      <c r="CS3" s="693">
        <f>SUM(BN3:BQ3)</f>
        <v>8991.7458499999993</v>
      </c>
      <c r="CT3" s="693">
        <f>SUM(BR3:BU3)</f>
        <v>9597.9599089500007</v>
      </c>
      <c r="CU3" s="693">
        <f>SUM(BV3:BY3)</f>
        <v>9597.9599089500007</v>
      </c>
      <c r="CV3" s="693">
        <f>'10y capex'!N62</f>
        <v>9642.9953082694301</v>
      </c>
      <c r="CW3" s="693"/>
    </row>
    <row r="4" spans="1:101">
      <c r="A4" s="694" t="s">
        <v>819</v>
      </c>
      <c r="B4" s="695">
        <f>B3*90%</f>
        <v>65.85519330000001</v>
      </c>
      <c r="C4" s="695">
        <f t="shared" ref="C4:AW4" si="0">C3*90%</f>
        <v>78.7450185</v>
      </c>
      <c r="D4" s="695">
        <f t="shared" si="0"/>
        <v>141.77767589999999</v>
      </c>
      <c r="E4" s="695">
        <f t="shared" si="0"/>
        <v>156.00685229999999</v>
      </c>
      <c r="F4" s="695">
        <f t="shared" si="0"/>
        <v>353.31840000000005</v>
      </c>
      <c r="G4" s="695">
        <f t="shared" si="0"/>
        <v>256.4325</v>
      </c>
      <c r="H4" s="695">
        <f t="shared" si="0"/>
        <v>164.93940000000001</v>
      </c>
      <c r="I4" s="695">
        <f t="shared" si="0"/>
        <v>80.208000000000013</v>
      </c>
      <c r="J4" s="695">
        <f t="shared" si="0"/>
        <v>104.7294</v>
      </c>
      <c r="K4" s="695">
        <f t="shared" si="0"/>
        <v>73.848600000000005</v>
      </c>
      <c r="L4" s="695">
        <f t="shared" si="0"/>
        <v>105.63210000000001</v>
      </c>
      <c r="M4" s="695">
        <f t="shared" si="0"/>
        <v>87.652799999999999</v>
      </c>
      <c r="N4" s="695">
        <f t="shared" si="0"/>
        <v>110.81880000000001</v>
      </c>
      <c r="O4" s="695">
        <f t="shared" si="0"/>
        <v>169.2072</v>
      </c>
      <c r="P4" s="695">
        <f t="shared" si="0"/>
        <v>230.00490000000002</v>
      </c>
      <c r="Q4" s="695">
        <f t="shared" si="0"/>
        <v>75.113100000000003</v>
      </c>
      <c r="R4" s="695">
        <f t="shared" si="0"/>
        <v>106.7067</v>
      </c>
      <c r="S4" s="695">
        <f t="shared" si="0"/>
        <v>97.814700000000002</v>
      </c>
      <c r="T4" s="695">
        <f t="shared" si="0"/>
        <v>191.08530000000002</v>
      </c>
      <c r="U4" s="695">
        <f t="shared" si="0"/>
        <v>192.2139</v>
      </c>
      <c r="V4" s="695">
        <f t="shared" si="0"/>
        <v>201.9924</v>
      </c>
      <c r="W4" s="695">
        <f t="shared" si="0"/>
        <v>211.96349999999998</v>
      </c>
      <c r="X4" s="695">
        <f t="shared" si="0"/>
        <v>260.14409999999998</v>
      </c>
      <c r="Y4" s="695">
        <f t="shared" si="0"/>
        <v>433.63080000000002</v>
      </c>
      <c r="Z4" s="695">
        <f t="shared" si="0"/>
        <v>520.36649999999997</v>
      </c>
      <c r="AA4" s="695">
        <f t="shared" si="0"/>
        <v>839.82420000000002</v>
      </c>
      <c r="AB4" s="695">
        <f t="shared" si="0"/>
        <v>680.68529999999998</v>
      </c>
      <c r="AC4" s="695">
        <f t="shared" si="0"/>
        <v>440.60580000000004</v>
      </c>
      <c r="AD4" s="695">
        <f t="shared" si="0"/>
        <v>552.11309999999992</v>
      </c>
      <c r="AE4" s="695">
        <f t="shared" si="0"/>
        <v>563.69250000000011</v>
      </c>
      <c r="AF4" s="695">
        <f t="shared" si="0"/>
        <v>622.053</v>
      </c>
      <c r="AG4" s="695">
        <f t="shared" si="0"/>
        <v>369.85050000000001</v>
      </c>
      <c r="AH4" s="695">
        <f t="shared" si="0"/>
        <v>333.83159999999998</v>
      </c>
      <c r="AI4" s="695">
        <f t="shared" si="0"/>
        <v>481.00859999999994</v>
      </c>
      <c r="AJ4" s="695">
        <f t="shared" si="0"/>
        <v>430.00380000000001</v>
      </c>
      <c r="AK4" s="695">
        <f t="shared" si="0"/>
        <v>382.58370000000002</v>
      </c>
      <c r="AL4" s="695">
        <f t="shared" si="0"/>
        <v>395.64000000000004</v>
      </c>
      <c r="AM4" s="695">
        <f t="shared" si="0"/>
        <v>817.29000000000008</v>
      </c>
      <c r="AN4" s="695">
        <f t="shared" si="0"/>
        <v>170.73</v>
      </c>
      <c r="AO4" s="695">
        <f t="shared" si="0"/>
        <v>442.71</v>
      </c>
      <c r="AP4" s="695">
        <f t="shared" si="0"/>
        <v>699.48</v>
      </c>
      <c r="AQ4" s="695">
        <f t="shared" si="0"/>
        <v>1208.25</v>
      </c>
      <c r="AR4" s="695">
        <f t="shared" si="0"/>
        <v>2051.73</v>
      </c>
      <c r="AS4" s="695">
        <f>AS3*90%</f>
        <v>1200.0600000000002</v>
      </c>
      <c r="AT4" s="695">
        <f>AT3*90%</f>
        <v>480.69000000000005</v>
      </c>
      <c r="AU4" s="695">
        <f>AU3*90%</f>
        <v>693.72</v>
      </c>
      <c r="AV4" s="695">
        <f>AV3*90%</f>
        <v>972.81000000000006</v>
      </c>
      <c r="AW4" s="695">
        <f t="shared" si="0"/>
        <v>1917</v>
      </c>
      <c r="AX4" s="695">
        <f t="shared" ref="AX4:BJ4" si="1">AX3*90%</f>
        <v>782.1</v>
      </c>
      <c r="AY4" s="695">
        <f t="shared" si="1"/>
        <v>1505.07</v>
      </c>
      <c r="AZ4" s="695">
        <f t="shared" si="1"/>
        <v>1640.07</v>
      </c>
      <c r="BA4" s="695">
        <f t="shared" si="1"/>
        <v>1788.3899999999999</v>
      </c>
      <c r="BB4" s="695">
        <f t="shared" si="1"/>
        <v>1132.74</v>
      </c>
      <c r="BC4" s="695">
        <f t="shared" si="1"/>
        <v>1558.3500000000001</v>
      </c>
      <c r="BD4" s="695">
        <f t="shared" si="1"/>
        <v>1921.2299999999998</v>
      </c>
      <c r="BE4" s="695">
        <f t="shared" si="1"/>
        <v>2106.81</v>
      </c>
      <c r="BF4" s="695">
        <f>BF3*90%</f>
        <v>2011.8600000000001</v>
      </c>
      <c r="BG4" s="695">
        <f t="shared" si="1"/>
        <v>2026.3500000000001</v>
      </c>
      <c r="BH4" s="695">
        <f t="shared" si="1"/>
        <v>1060.92</v>
      </c>
      <c r="BI4" s="695">
        <f t="shared" si="1"/>
        <v>1494.09</v>
      </c>
      <c r="BJ4" s="695">
        <f t="shared" si="1"/>
        <v>1273.95</v>
      </c>
      <c r="BK4" s="695">
        <f t="shared" ref="BK4:BQ4" si="2">BK3*90%</f>
        <v>1696.59</v>
      </c>
      <c r="BL4" s="695">
        <f t="shared" si="2"/>
        <v>2154.7799999999997</v>
      </c>
      <c r="BM4" s="695">
        <f t="shared" si="2"/>
        <v>2166.75</v>
      </c>
      <c r="BN4" s="695">
        <f t="shared" si="2"/>
        <v>1406.52</v>
      </c>
      <c r="BO4" s="695">
        <f t="shared" si="2"/>
        <v>1889.152965</v>
      </c>
      <c r="BP4" s="695">
        <f t="shared" si="2"/>
        <v>2391.8058000000001</v>
      </c>
      <c r="BQ4" s="695">
        <f t="shared" si="2"/>
        <v>2405.0925000000002</v>
      </c>
      <c r="BR4" s="695">
        <f t="shared" ref="BR4:BU4" si="3">BR3*90%</f>
        <v>1499.35032</v>
      </c>
      <c r="BS4" s="695">
        <f t="shared" si="3"/>
        <v>2015.726213655</v>
      </c>
      <c r="BT4" s="695">
        <f t="shared" si="3"/>
        <v>2554.4485944000003</v>
      </c>
      <c r="BU4" s="695">
        <f t="shared" si="3"/>
        <v>2568.6387900000004</v>
      </c>
      <c r="BV4" s="695">
        <f t="shared" ref="BV4:BY4" si="4">BV3*90%</f>
        <v>1499.35032</v>
      </c>
      <c r="BW4" s="695">
        <f t="shared" si="4"/>
        <v>2015.726213655</v>
      </c>
      <c r="BX4" s="695">
        <f t="shared" si="4"/>
        <v>2554.4485944000003</v>
      </c>
      <c r="BY4" s="695">
        <f t="shared" si="4"/>
        <v>2568.6387900000004</v>
      </c>
      <c r="BZ4" s="1083"/>
      <c r="CA4" s="1083"/>
      <c r="CD4" s="696">
        <f t="shared" ref="CD4:CJ4" si="5">CD3/CC3-1</f>
        <v>0.93247692042903663</v>
      </c>
      <c r="CE4" s="696">
        <f t="shared" si="5"/>
        <v>-0.56502089195872773</v>
      </c>
      <c r="CF4" s="696">
        <f t="shared" si="5"/>
        <v>0.57354767039142684</v>
      </c>
      <c r="CG4" s="696">
        <f t="shared" si="5"/>
        <v>4.5742586440260524E-3</v>
      </c>
      <c r="CH4" s="696">
        <f t="shared" si="5"/>
        <v>0.88447087427694759</v>
      </c>
      <c r="CI4" s="696">
        <f t="shared" si="5"/>
        <v>1.2401487798299011</v>
      </c>
      <c r="CJ4" s="696">
        <f t="shared" si="5"/>
        <v>-0.15062480006905532</v>
      </c>
      <c r="CK4" s="696">
        <f>CK3/CJ3-1</f>
        <v>-0.22786892175964901</v>
      </c>
      <c r="CL4" s="696">
        <f t="shared" ref="CL4:CS4" si="6">CL3/CK3-1</f>
        <v>0.1222434028866537</v>
      </c>
      <c r="CM4" s="696">
        <f t="shared" si="6"/>
        <v>1.82501355147095</v>
      </c>
      <c r="CN4" s="696">
        <f t="shared" si="6"/>
        <v>-0.21228718950600045</v>
      </c>
      <c r="CO4" s="696">
        <f t="shared" si="6"/>
        <v>0.40632888967624803</v>
      </c>
      <c r="CP4" s="696">
        <f t="shared" si="6"/>
        <v>0.17557119687593459</v>
      </c>
      <c r="CQ4" s="696">
        <f t="shared" si="6"/>
        <v>-1.8739033178402531E-2</v>
      </c>
      <c r="CR4" s="696">
        <f t="shared" si="6"/>
        <v>0.10599524966556562</v>
      </c>
      <c r="CS4" s="696">
        <f t="shared" si="6"/>
        <v>0.10977695839453006</v>
      </c>
      <c r="CT4" s="696">
        <f>CT3/CS3-1</f>
        <v>6.7418949452402677E-2</v>
      </c>
      <c r="CU4" s="1137">
        <f>CU3/CT3-1</f>
        <v>0</v>
      </c>
      <c r="CV4" s="1137">
        <f>CV3/CU3-1</f>
        <v>4.6921845628291603E-3</v>
      </c>
    </row>
    <row r="5" spans="1:101">
      <c r="A5" s="694" t="s">
        <v>820</v>
      </c>
      <c r="B5" s="698">
        <f>B3-B4</f>
        <v>7.3172436999999917</v>
      </c>
      <c r="C5" s="698">
        <f t="shared" ref="C5:AW5" si="7">C3-C4</f>
        <v>8.7494464999999906</v>
      </c>
      <c r="D5" s="698">
        <f t="shared" si="7"/>
        <v>15.75307509999999</v>
      </c>
      <c r="E5" s="698">
        <f t="shared" si="7"/>
        <v>17.33409469999998</v>
      </c>
      <c r="F5" s="698">
        <f t="shared" si="7"/>
        <v>39.257599999999968</v>
      </c>
      <c r="G5" s="698">
        <f t="shared" si="7"/>
        <v>28.492500000000007</v>
      </c>
      <c r="H5" s="698">
        <f t="shared" si="7"/>
        <v>18.326599999999985</v>
      </c>
      <c r="I5" s="698">
        <f t="shared" si="7"/>
        <v>8.9119999999999919</v>
      </c>
      <c r="J5" s="698">
        <f t="shared" si="7"/>
        <v>11.636600000000001</v>
      </c>
      <c r="K5" s="698">
        <f t="shared" si="7"/>
        <v>8.2053999999999974</v>
      </c>
      <c r="L5" s="698">
        <f t="shared" si="7"/>
        <v>11.736899999999991</v>
      </c>
      <c r="M5" s="698">
        <f t="shared" si="7"/>
        <v>9.7391999999999967</v>
      </c>
      <c r="N5" s="698">
        <f t="shared" si="7"/>
        <v>12.313199999999995</v>
      </c>
      <c r="O5" s="698">
        <f t="shared" si="7"/>
        <v>18.80080000000001</v>
      </c>
      <c r="P5" s="698">
        <f t="shared" si="7"/>
        <v>25.556099999999986</v>
      </c>
      <c r="Q5" s="698">
        <f t="shared" si="7"/>
        <v>8.3459000000000003</v>
      </c>
      <c r="R5" s="698">
        <f t="shared" si="7"/>
        <v>11.856300000000005</v>
      </c>
      <c r="S5" s="698">
        <f t="shared" si="7"/>
        <v>10.868300000000005</v>
      </c>
      <c r="T5" s="698">
        <f t="shared" si="7"/>
        <v>21.231699999999989</v>
      </c>
      <c r="U5" s="698">
        <f t="shared" si="7"/>
        <v>21.357100000000003</v>
      </c>
      <c r="V5" s="698">
        <f t="shared" si="7"/>
        <v>22.443600000000004</v>
      </c>
      <c r="W5" s="698">
        <f t="shared" si="7"/>
        <v>23.551500000000004</v>
      </c>
      <c r="X5" s="698">
        <f t="shared" si="7"/>
        <v>28.904899999999998</v>
      </c>
      <c r="Y5" s="698">
        <f t="shared" si="7"/>
        <v>48.18119999999999</v>
      </c>
      <c r="Z5" s="698">
        <f t="shared" si="7"/>
        <v>57.818499999999972</v>
      </c>
      <c r="AA5" s="698">
        <f t="shared" si="7"/>
        <v>93.313800000000015</v>
      </c>
      <c r="AB5" s="698">
        <f t="shared" si="7"/>
        <v>75.631700000000023</v>
      </c>
      <c r="AC5" s="698">
        <f t="shared" si="7"/>
        <v>48.956199999999967</v>
      </c>
      <c r="AD5" s="698">
        <f t="shared" si="7"/>
        <v>61.345900000000029</v>
      </c>
      <c r="AE5" s="698">
        <f t="shared" si="7"/>
        <v>62.632499999999936</v>
      </c>
      <c r="AF5" s="698">
        <f t="shared" si="7"/>
        <v>69.116999999999962</v>
      </c>
      <c r="AG5" s="698">
        <f t="shared" si="7"/>
        <v>41.094499999999982</v>
      </c>
      <c r="AH5" s="698">
        <f t="shared" si="7"/>
        <v>37.092399999999998</v>
      </c>
      <c r="AI5" s="698">
        <f t="shared" si="7"/>
        <v>53.445400000000006</v>
      </c>
      <c r="AJ5" s="698">
        <f t="shared" si="7"/>
        <v>47.77819999999997</v>
      </c>
      <c r="AK5" s="698">
        <f t="shared" si="7"/>
        <v>42.509299999999996</v>
      </c>
      <c r="AL5" s="698">
        <f t="shared" si="7"/>
        <v>43.95999999999998</v>
      </c>
      <c r="AM5" s="698">
        <f t="shared" si="7"/>
        <v>90.809999999999945</v>
      </c>
      <c r="AN5" s="698">
        <f t="shared" si="7"/>
        <v>18.97</v>
      </c>
      <c r="AO5" s="698">
        <f t="shared" si="7"/>
        <v>49.19</v>
      </c>
      <c r="AP5" s="698">
        <f t="shared" si="7"/>
        <v>77.720000000000027</v>
      </c>
      <c r="AQ5" s="698">
        <f t="shared" si="7"/>
        <v>134.25</v>
      </c>
      <c r="AR5" s="698">
        <f t="shared" si="7"/>
        <v>227.9699999999998</v>
      </c>
      <c r="AS5" s="698">
        <f>AS3-AS4</f>
        <v>133.33999999999992</v>
      </c>
      <c r="AT5" s="698">
        <f>AT3-AT4</f>
        <v>53.409999999999968</v>
      </c>
      <c r="AU5" s="698">
        <f>AU3-AU4</f>
        <v>77.079999999999927</v>
      </c>
      <c r="AV5" s="698">
        <f t="shared" si="7"/>
        <v>108.09000000000003</v>
      </c>
      <c r="AW5" s="698">
        <f t="shared" si="7"/>
        <v>213</v>
      </c>
      <c r="AX5" s="698">
        <f t="shared" ref="AX5:BJ5" si="8">AX3-AX4</f>
        <v>86.899999999999977</v>
      </c>
      <c r="AY5" s="698">
        <f t="shared" si="8"/>
        <v>167.23000000000002</v>
      </c>
      <c r="AZ5" s="698">
        <f t="shared" si="8"/>
        <v>182.23000000000002</v>
      </c>
      <c r="BA5" s="698">
        <f t="shared" si="8"/>
        <v>198.71000000000004</v>
      </c>
      <c r="BB5" s="698">
        <f t="shared" si="8"/>
        <v>125.8599999999999</v>
      </c>
      <c r="BC5" s="698">
        <f t="shared" si="8"/>
        <v>173.14999999999986</v>
      </c>
      <c r="BD5" s="698">
        <f t="shared" si="8"/>
        <v>213.47000000000003</v>
      </c>
      <c r="BE5" s="698">
        <f t="shared" si="8"/>
        <v>234.09000000000015</v>
      </c>
      <c r="BF5" s="698">
        <f>BF3-BF4</f>
        <v>223.53999999999996</v>
      </c>
      <c r="BG5" s="698">
        <f t="shared" si="8"/>
        <v>225.14999999999986</v>
      </c>
      <c r="BH5" s="698">
        <f t="shared" si="8"/>
        <v>117.87999999999988</v>
      </c>
      <c r="BI5" s="698">
        <f t="shared" si="8"/>
        <v>166.01</v>
      </c>
      <c r="BJ5" s="698">
        <f t="shared" si="8"/>
        <v>141.54999999999995</v>
      </c>
      <c r="BK5" s="698">
        <f t="shared" ref="BK5:BQ5" si="9">BK3-BK4</f>
        <v>188.51</v>
      </c>
      <c r="BL5" s="698">
        <f t="shared" si="9"/>
        <v>239.42000000000007</v>
      </c>
      <c r="BM5" s="698">
        <f t="shared" si="9"/>
        <v>240.75</v>
      </c>
      <c r="BN5" s="698">
        <f t="shared" si="9"/>
        <v>156.27999999999997</v>
      </c>
      <c r="BO5" s="698">
        <f t="shared" si="9"/>
        <v>209.9058849999999</v>
      </c>
      <c r="BP5" s="698">
        <f t="shared" si="9"/>
        <v>265.75619999999981</v>
      </c>
      <c r="BQ5" s="698">
        <f t="shared" si="9"/>
        <v>267.23250000000007</v>
      </c>
      <c r="BR5" s="698">
        <f t="shared" ref="BR5:BU5" si="10">BR3-BR4</f>
        <v>166.59447999999998</v>
      </c>
      <c r="BS5" s="698">
        <f t="shared" si="10"/>
        <v>223.9695792949999</v>
      </c>
      <c r="BT5" s="698">
        <f t="shared" si="10"/>
        <v>283.82762159999993</v>
      </c>
      <c r="BU5" s="698">
        <f t="shared" si="10"/>
        <v>285.4043099999999</v>
      </c>
      <c r="BV5" s="698">
        <f t="shared" ref="BV5:BY5" si="11">BV3-BV4</f>
        <v>166.59447999999998</v>
      </c>
      <c r="BW5" s="698">
        <f t="shared" si="11"/>
        <v>223.9695792949999</v>
      </c>
      <c r="BX5" s="698">
        <f t="shared" si="11"/>
        <v>283.82762159999993</v>
      </c>
      <c r="BY5" s="698">
        <f t="shared" si="11"/>
        <v>285.4043099999999</v>
      </c>
      <c r="BZ5" s="1083"/>
      <c r="CA5" s="1083"/>
      <c r="CB5" s="699"/>
      <c r="CQ5" s="1027"/>
      <c r="CR5" s="1027"/>
      <c r="CS5" s="1027"/>
    </row>
    <row r="6" spans="1:101">
      <c r="A6" s="701"/>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955"/>
      <c r="AM6" s="698"/>
      <c r="AN6" s="698"/>
      <c r="AO6" s="698"/>
      <c r="AP6" s="698"/>
      <c r="AQ6" s="698"/>
      <c r="AR6" s="698"/>
      <c r="AS6" s="698"/>
      <c r="AT6" s="698"/>
      <c r="AU6" s="698"/>
      <c r="AV6" s="698"/>
      <c r="AW6" s="698"/>
      <c r="AX6" s="698"/>
      <c r="AY6" s="698"/>
      <c r="AZ6" s="698"/>
      <c r="BA6" s="698"/>
      <c r="BB6" s="698"/>
      <c r="BC6" s="698"/>
      <c r="BD6" s="698"/>
      <c r="BE6" s="698"/>
      <c r="BF6" s="699"/>
      <c r="BG6" s="699"/>
      <c r="BH6" s="699"/>
      <c r="BI6" s="699"/>
      <c r="BJ6" s="698"/>
      <c r="BK6" s="698"/>
      <c r="BL6" s="698"/>
      <c r="BM6" s="698"/>
      <c r="BN6" s="699">
        <f>BN3/BJ3-1</f>
        <v>0.10406216884493102</v>
      </c>
      <c r="BO6" s="698"/>
      <c r="BP6" s="698"/>
      <c r="BQ6" s="698"/>
      <c r="BR6" s="698"/>
      <c r="BS6" s="698"/>
      <c r="BT6" s="698"/>
      <c r="BU6" s="698"/>
      <c r="BV6" s="698"/>
      <c r="BW6" s="698"/>
      <c r="BX6" s="698"/>
      <c r="BY6" s="698"/>
      <c r="BZ6" s="1083"/>
      <c r="CA6" s="1083"/>
      <c r="CB6" s="699"/>
    </row>
    <row r="7" spans="1:101">
      <c r="A7" s="694" t="str">
        <f>A4</f>
        <v xml:space="preserve"> Equipment (7yr)</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9">
        <f>AL4/AL$3</f>
        <v>0.9</v>
      </c>
      <c r="AM7" s="699">
        <f t="shared" ref="AM7:BG7" si="12">AM4/AM$3</f>
        <v>0.9</v>
      </c>
      <c r="AN7" s="699">
        <f t="shared" si="12"/>
        <v>0.9</v>
      </c>
      <c r="AO7" s="699">
        <f t="shared" si="12"/>
        <v>0.9</v>
      </c>
      <c r="AP7" s="699">
        <f t="shared" si="12"/>
        <v>0.9</v>
      </c>
      <c r="AQ7" s="699">
        <f t="shared" si="12"/>
        <v>0.9</v>
      </c>
      <c r="AR7" s="699">
        <f t="shared" si="12"/>
        <v>0.90000000000000013</v>
      </c>
      <c r="AS7" s="699">
        <f t="shared" si="12"/>
        <v>0.9</v>
      </c>
      <c r="AT7" s="699">
        <f t="shared" si="12"/>
        <v>0.9</v>
      </c>
      <c r="AU7" s="699">
        <f t="shared" si="12"/>
        <v>0.90000000000000013</v>
      </c>
      <c r="AV7" s="699">
        <f t="shared" si="12"/>
        <v>0.9</v>
      </c>
      <c r="AW7" s="699">
        <f t="shared" si="12"/>
        <v>0.9</v>
      </c>
      <c r="AX7" s="699">
        <f t="shared" si="12"/>
        <v>0.9</v>
      </c>
      <c r="AY7" s="699">
        <f t="shared" si="12"/>
        <v>0.9</v>
      </c>
      <c r="AZ7" s="699">
        <f t="shared" si="12"/>
        <v>0.9</v>
      </c>
      <c r="BA7" s="699">
        <f t="shared" si="12"/>
        <v>0.9</v>
      </c>
      <c r="BB7" s="699">
        <f t="shared" si="12"/>
        <v>0.9</v>
      </c>
      <c r="BC7" s="699">
        <f t="shared" si="12"/>
        <v>0.90000000000000013</v>
      </c>
      <c r="BD7" s="699">
        <f t="shared" si="12"/>
        <v>0.9</v>
      </c>
      <c r="BE7" s="699">
        <f t="shared" si="12"/>
        <v>0.89999999999999991</v>
      </c>
      <c r="BF7" s="699">
        <f t="shared" si="12"/>
        <v>0.9</v>
      </c>
      <c r="BG7" s="699">
        <f t="shared" si="12"/>
        <v>0.9</v>
      </c>
      <c r="BH7" s="699">
        <f t="shared" ref="BH7:BJ8" si="13">BH4/BH$3</f>
        <v>0.90000000000000013</v>
      </c>
      <c r="BI7" s="699">
        <f t="shared" si="13"/>
        <v>0.9</v>
      </c>
      <c r="BJ7" s="699">
        <f t="shared" si="13"/>
        <v>0.9</v>
      </c>
      <c r="BK7" s="699">
        <f t="shared" ref="BK7:BL7" si="14">BK4/BK$3</f>
        <v>0.9</v>
      </c>
      <c r="BL7" s="699">
        <f t="shared" si="14"/>
        <v>0.89999999999999991</v>
      </c>
      <c r="BM7" s="699">
        <f t="shared" ref="BM7:BY7" si="15">BM4/BM$3</f>
        <v>0.9</v>
      </c>
      <c r="BN7" s="699">
        <f t="shared" si="15"/>
        <v>0.9</v>
      </c>
      <c r="BO7" s="699">
        <f t="shared" si="15"/>
        <v>0.9</v>
      </c>
      <c r="BP7" s="699">
        <f t="shared" si="15"/>
        <v>0.9</v>
      </c>
      <c r="BQ7" s="699">
        <f t="shared" si="15"/>
        <v>0.9</v>
      </c>
      <c r="BR7" s="699">
        <f t="shared" si="15"/>
        <v>0.9</v>
      </c>
      <c r="BS7" s="699">
        <f t="shared" si="15"/>
        <v>0.9</v>
      </c>
      <c r="BT7" s="699">
        <f t="shared" si="15"/>
        <v>0.9</v>
      </c>
      <c r="BU7" s="699">
        <f t="shared" si="15"/>
        <v>0.9</v>
      </c>
      <c r="BV7" s="699">
        <f t="shared" si="15"/>
        <v>0.9</v>
      </c>
      <c r="BW7" s="699">
        <f t="shared" si="15"/>
        <v>0.9</v>
      </c>
      <c r="BX7" s="699">
        <f t="shared" si="15"/>
        <v>0.9</v>
      </c>
      <c r="BY7" s="699">
        <f t="shared" si="15"/>
        <v>0.9</v>
      </c>
      <c r="CA7" s="1083"/>
      <c r="CB7" s="697" t="s">
        <v>1116</v>
      </c>
      <c r="CI7" s="697"/>
      <c r="CK7" s="697"/>
      <c r="CL7" s="697"/>
      <c r="CM7" s="697"/>
      <c r="CN7" s="697"/>
      <c r="CO7" s="697"/>
      <c r="CP7" s="697"/>
      <c r="CQ7" s="697">
        <f>CQ9-CQ27</f>
        <v>0</v>
      </c>
      <c r="CR7" s="1012">
        <f>CQ7*1.08</f>
        <v>0</v>
      </c>
      <c r="CS7" s="697"/>
      <c r="CT7" s="697"/>
      <c r="CU7" s="697"/>
    </row>
    <row r="8" spans="1:101">
      <c r="A8" s="694" t="str">
        <f>A5</f>
        <v xml:space="preserve"> Facility (10yr)</v>
      </c>
      <c r="D8" s="698"/>
      <c r="G8" s="698"/>
      <c r="J8" s="698"/>
      <c r="L8" s="698"/>
      <c r="N8" s="698"/>
      <c r="P8" s="698"/>
      <c r="R8" s="698"/>
      <c r="T8" s="698"/>
      <c r="V8" s="698"/>
      <c r="X8" s="698"/>
      <c r="Z8" s="698"/>
      <c r="AL8" s="699">
        <f>AL5/AL$3</f>
        <v>9.999999999999995E-2</v>
      </c>
      <c r="AM8" s="699">
        <f t="shared" ref="AM8:BG8" si="16">AM5/AM$3</f>
        <v>9.9999999999999936E-2</v>
      </c>
      <c r="AN8" s="699">
        <f t="shared" si="16"/>
        <v>0.1</v>
      </c>
      <c r="AO8" s="699">
        <f t="shared" si="16"/>
        <v>0.1</v>
      </c>
      <c r="AP8" s="699">
        <f t="shared" si="16"/>
        <v>0.10000000000000003</v>
      </c>
      <c r="AQ8" s="699">
        <f t="shared" si="16"/>
        <v>0.1</v>
      </c>
      <c r="AR8" s="699">
        <f t="shared" si="16"/>
        <v>9.9999999999999922E-2</v>
      </c>
      <c r="AS8" s="699">
        <f t="shared" si="16"/>
        <v>9.9999999999999936E-2</v>
      </c>
      <c r="AT8" s="699">
        <f t="shared" si="16"/>
        <v>9.9999999999999936E-2</v>
      </c>
      <c r="AU8" s="699">
        <f t="shared" si="16"/>
        <v>9.9999999999999908E-2</v>
      </c>
      <c r="AV8" s="699">
        <f t="shared" si="16"/>
        <v>0.10000000000000002</v>
      </c>
      <c r="AW8" s="699">
        <f t="shared" si="16"/>
        <v>0.1</v>
      </c>
      <c r="AX8" s="699">
        <f t="shared" si="16"/>
        <v>9.9999999999999978E-2</v>
      </c>
      <c r="AY8" s="699">
        <f t="shared" si="16"/>
        <v>0.10000000000000002</v>
      </c>
      <c r="AZ8" s="699">
        <f t="shared" si="16"/>
        <v>0.1</v>
      </c>
      <c r="BA8" s="699">
        <f t="shared" si="16"/>
        <v>0.10000000000000002</v>
      </c>
      <c r="BB8" s="699">
        <f t="shared" si="16"/>
        <v>9.9999999999999922E-2</v>
      </c>
      <c r="BC8" s="699">
        <f t="shared" si="16"/>
        <v>9.9999999999999922E-2</v>
      </c>
      <c r="BD8" s="699">
        <f t="shared" si="16"/>
        <v>0.10000000000000002</v>
      </c>
      <c r="BE8" s="699">
        <f t="shared" si="16"/>
        <v>0.10000000000000006</v>
      </c>
      <c r="BF8" s="699">
        <f t="shared" si="16"/>
        <v>9.9999999999999978E-2</v>
      </c>
      <c r="BG8" s="699">
        <f t="shared" si="16"/>
        <v>9.9999999999999936E-2</v>
      </c>
      <c r="BH8" s="699">
        <f t="shared" si="13"/>
        <v>9.9999999999999908E-2</v>
      </c>
      <c r="BI8" s="699">
        <f t="shared" si="13"/>
        <v>0.1</v>
      </c>
      <c r="BJ8" s="699">
        <f t="shared" si="13"/>
        <v>9.9999999999999964E-2</v>
      </c>
      <c r="BK8" s="699">
        <f t="shared" ref="BK8:BL8" si="17">BK5/BK$3</f>
        <v>0.1</v>
      </c>
      <c r="BL8" s="699">
        <f t="shared" si="17"/>
        <v>0.10000000000000003</v>
      </c>
      <c r="BM8" s="699">
        <f t="shared" ref="BM8:BY8" si="18">BM5/BM$3</f>
        <v>0.1</v>
      </c>
      <c r="BN8" s="699">
        <f t="shared" si="18"/>
        <v>9.9999999999999992E-2</v>
      </c>
      <c r="BO8" s="699">
        <f t="shared" si="18"/>
        <v>9.999999999999995E-2</v>
      </c>
      <c r="BP8" s="699">
        <f t="shared" si="18"/>
        <v>9.9999999999999936E-2</v>
      </c>
      <c r="BQ8" s="699">
        <f t="shared" si="18"/>
        <v>0.10000000000000002</v>
      </c>
      <c r="BR8" s="699">
        <f t="shared" si="18"/>
        <v>9.9999999999999992E-2</v>
      </c>
      <c r="BS8" s="699">
        <f t="shared" si="18"/>
        <v>9.9999999999999964E-2</v>
      </c>
      <c r="BT8" s="699">
        <f t="shared" si="18"/>
        <v>9.9999999999999964E-2</v>
      </c>
      <c r="BU8" s="699">
        <f t="shared" si="18"/>
        <v>9.999999999999995E-2</v>
      </c>
      <c r="BV8" s="699">
        <f t="shared" si="18"/>
        <v>9.9999999999999992E-2</v>
      </c>
      <c r="BW8" s="699">
        <f t="shared" si="18"/>
        <v>9.9999999999999964E-2</v>
      </c>
      <c r="BX8" s="699">
        <f t="shared" si="18"/>
        <v>9.9999999999999964E-2</v>
      </c>
      <c r="BY8" s="699">
        <f t="shared" si="18"/>
        <v>9.999999999999995E-2</v>
      </c>
      <c r="BZ8" s="1083"/>
      <c r="CA8" s="1083"/>
      <c r="CJ8" s="689">
        <v>2017</v>
      </c>
      <c r="CK8" s="689">
        <v>2018</v>
      </c>
      <c r="CL8" s="689">
        <v>2019</v>
      </c>
      <c r="CM8" s="689">
        <v>2020</v>
      </c>
      <c r="CN8" s="689">
        <v>2021</v>
      </c>
      <c r="CO8" s="689">
        <v>2022</v>
      </c>
      <c r="CP8" s="689" t="s">
        <v>1033</v>
      </c>
      <c r="CQ8" s="689">
        <v>2024</v>
      </c>
      <c r="CR8" s="689">
        <v>2025</v>
      </c>
      <c r="CS8" s="690" t="s">
        <v>1056</v>
      </c>
      <c r="CT8" s="690" t="s">
        <v>1057</v>
      </c>
      <c r="CU8" s="690" t="s">
        <v>1058</v>
      </c>
      <c r="CV8" s="690" t="s">
        <v>1110</v>
      </c>
    </row>
    <row r="9" spans="1:101">
      <c r="A9" s="701" t="s">
        <v>1207</v>
      </c>
      <c r="D9" s="698"/>
      <c r="G9" s="698"/>
      <c r="J9" s="698"/>
      <c r="L9" s="698"/>
      <c r="N9" s="698"/>
      <c r="P9" s="698"/>
      <c r="R9" s="698"/>
      <c r="T9" s="698"/>
      <c r="V9" s="698"/>
      <c r="X9" s="698"/>
      <c r="Z9" s="698"/>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c r="BV9" s="699"/>
      <c r="BW9" s="699"/>
      <c r="BX9" s="699"/>
      <c r="BY9" s="699"/>
      <c r="BZ9" s="1083"/>
      <c r="CA9" s="1083"/>
      <c r="CB9" s="694" t="s">
        <v>122</v>
      </c>
      <c r="CI9" s="694" t="e">
        <f>SUM(#REF!)/7</f>
        <v>#REF!</v>
      </c>
      <c r="CJ9" s="997">
        <v>2341.8990000000003</v>
      </c>
      <c r="CK9" s="997">
        <v>1808.2529999999999</v>
      </c>
      <c r="CL9" s="997">
        <v>2029.3000000000002</v>
      </c>
      <c r="CM9" s="997">
        <v>5732.7999999999993</v>
      </c>
      <c r="CN9" s="997">
        <v>4515.8</v>
      </c>
      <c r="CO9" s="997">
        <v>6350.7000000000007</v>
      </c>
      <c r="CP9" s="997">
        <v>7465.6999999999989</v>
      </c>
      <c r="CQ9" s="997">
        <v>7325.7999999999993</v>
      </c>
      <c r="CR9" s="997">
        <v>8102.2999999999993</v>
      </c>
      <c r="CS9" s="997">
        <v>8992.1375000000007</v>
      </c>
      <c r="CT9" s="997">
        <v>9598.3708100000003</v>
      </c>
      <c r="CU9" s="997">
        <v>9598.3708100000003</v>
      </c>
      <c r="CV9" s="997">
        <v>9623.0755436477812</v>
      </c>
    </row>
    <row r="10" spans="1:101">
      <c r="A10" s="694" t="s">
        <v>952</v>
      </c>
      <c r="D10" s="698"/>
      <c r="G10" s="698"/>
      <c r="J10" s="698"/>
      <c r="L10" s="698"/>
      <c r="N10" s="698"/>
      <c r="P10" s="698"/>
      <c r="R10" s="698"/>
      <c r="T10" s="698"/>
      <c r="V10" s="698"/>
      <c r="X10" s="698"/>
      <c r="Z10" s="698"/>
      <c r="AL10" s="1092">
        <f>AL157</f>
        <v>0</v>
      </c>
      <c r="AM10" s="1092">
        <f t="shared" ref="AM10:BY10" si="19">AM157</f>
        <v>0</v>
      </c>
      <c r="AN10" s="1092">
        <f t="shared" si="19"/>
        <v>0</v>
      </c>
      <c r="AO10" s="1092">
        <f t="shared" si="19"/>
        <v>0</v>
      </c>
      <c r="AP10" s="1092">
        <f t="shared" si="19"/>
        <v>0</v>
      </c>
      <c r="AQ10" s="1092">
        <f t="shared" si="19"/>
        <v>0</v>
      </c>
      <c r="AR10" s="1092">
        <f t="shared" si="19"/>
        <v>0</v>
      </c>
      <c r="AS10" s="1092">
        <f t="shared" si="19"/>
        <v>0</v>
      </c>
      <c r="AT10" s="1092">
        <f t="shared" si="19"/>
        <v>450</v>
      </c>
      <c r="AU10" s="1092">
        <f t="shared" si="19"/>
        <v>450</v>
      </c>
      <c r="AV10" s="1092">
        <f t="shared" si="19"/>
        <v>300</v>
      </c>
      <c r="AW10" s="1092">
        <f t="shared" si="19"/>
        <v>300</v>
      </c>
      <c r="AX10" s="1092">
        <f t="shared" si="19"/>
        <v>0</v>
      </c>
      <c r="AY10" s="1092">
        <f t="shared" si="19"/>
        <v>0</v>
      </c>
      <c r="AZ10" s="1092">
        <f t="shared" si="19"/>
        <v>0</v>
      </c>
      <c r="BA10" s="1092">
        <f t="shared" si="19"/>
        <v>0</v>
      </c>
      <c r="BB10" s="1092">
        <f t="shared" si="19"/>
        <v>0</v>
      </c>
      <c r="BC10" s="1092">
        <f t="shared" si="19"/>
        <v>666.66666666666674</v>
      </c>
      <c r="BD10" s="1092">
        <f t="shared" si="19"/>
        <v>666.66666666666674</v>
      </c>
      <c r="BE10" s="1092">
        <f t="shared" si="19"/>
        <v>199.99999999999983</v>
      </c>
      <c r="BF10" s="1092">
        <f t="shared" si="19"/>
        <v>0</v>
      </c>
      <c r="BG10" s="1092">
        <f t="shared" si="19"/>
        <v>0</v>
      </c>
      <c r="BH10" s="1092">
        <f t="shared" si="19"/>
        <v>0</v>
      </c>
      <c r="BI10" s="1092">
        <f t="shared" si="19"/>
        <v>0</v>
      </c>
      <c r="BJ10" s="1092">
        <f t="shared" si="19"/>
        <v>0</v>
      </c>
      <c r="BK10" s="1092">
        <f t="shared" si="19"/>
        <v>0</v>
      </c>
      <c r="BL10" s="1092">
        <f t="shared" si="19"/>
        <v>0</v>
      </c>
      <c r="BM10" s="1092">
        <f t="shared" si="19"/>
        <v>0</v>
      </c>
      <c r="BN10" s="1092">
        <f t="shared" si="19"/>
        <v>475</v>
      </c>
      <c r="BO10" s="1136">
        <f t="shared" si="19"/>
        <v>475</v>
      </c>
      <c r="BP10" s="1136">
        <f t="shared" si="19"/>
        <v>475</v>
      </c>
      <c r="BQ10" s="1136">
        <f t="shared" si="19"/>
        <v>475</v>
      </c>
      <c r="BR10" s="1136">
        <f t="shared" si="19"/>
        <v>500</v>
      </c>
      <c r="BS10" s="1136">
        <f t="shared" si="19"/>
        <v>500</v>
      </c>
      <c r="BT10" s="1136">
        <f t="shared" si="19"/>
        <v>500</v>
      </c>
      <c r="BU10" s="1136">
        <f t="shared" si="19"/>
        <v>500</v>
      </c>
      <c r="BV10" s="1136">
        <f t="shared" si="19"/>
        <v>500</v>
      </c>
      <c r="BW10" s="1136">
        <f t="shared" si="19"/>
        <v>500</v>
      </c>
      <c r="BX10" s="1136">
        <f t="shared" si="19"/>
        <v>500</v>
      </c>
      <c r="BY10" s="1136">
        <f t="shared" si="19"/>
        <v>500</v>
      </c>
      <c r="BZ10" s="1083"/>
      <c r="CA10" s="1083"/>
      <c r="CB10" s="694" t="s">
        <v>858</v>
      </c>
      <c r="CJ10" s="997"/>
      <c r="CK10" s="997"/>
      <c r="CL10" s="997"/>
      <c r="CM10" s="997"/>
      <c r="CN10" s="997"/>
      <c r="CO10" s="997"/>
      <c r="CP10" s="997"/>
      <c r="CQ10" s="696">
        <f t="shared" ref="CQ10:CV10" si="20">CQ9/CP9-1</f>
        <v>-1.8739033178402531E-2</v>
      </c>
      <c r="CR10" s="851">
        <f t="shared" si="20"/>
        <v>0.10599524966556562</v>
      </c>
      <c r="CS10" s="851">
        <f t="shared" si="20"/>
        <v>0.10982529652074113</v>
      </c>
      <c r="CT10" s="851">
        <f t="shared" si="20"/>
        <v>6.7418153915017376E-2</v>
      </c>
      <c r="CU10" s="851">
        <f t="shared" si="20"/>
        <v>0</v>
      </c>
      <c r="CV10" s="851">
        <f t="shared" si="20"/>
        <v>2.5738465555051881E-3</v>
      </c>
    </row>
    <row r="11" spans="1:101">
      <c r="A11" s="694" t="s">
        <v>935</v>
      </c>
      <c r="D11" s="698"/>
      <c r="G11" s="698"/>
      <c r="J11" s="698"/>
      <c r="L11" s="698"/>
      <c r="N11" s="698"/>
      <c r="P11" s="698"/>
      <c r="R11" s="698"/>
      <c r="T11" s="698"/>
      <c r="V11" s="698"/>
      <c r="X11" s="698"/>
      <c r="Z11" s="698"/>
      <c r="AL11" s="1092">
        <f>AL109</f>
        <v>0</v>
      </c>
      <c r="AM11" s="1092">
        <f t="shared" ref="AM11:BY11" si="21">AM109</f>
        <v>0</v>
      </c>
      <c r="AN11" s="1092">
        <f t="shared" si="21"/>
        <v>0</v>
      </c>
      <c r="AO11" s="1092">
        <f t="shared" si="21"/>
        <v>390</v>
      </c>
      <c r="AP11" s="1092">
        <f t="shared" si="21"/>
        <v>130</v>
      </c>
      <c r="AQ11" s="1092">
        <f t="shared" si="21"/>
        <v>260</v>
      </c>
      <c r="AR11" s="1092">
        <f t="shared" si="21"/>
        <v>390</v>
      </c>
      <c r="AS11" s="1092">
        <f t="shared" si="21"/>
        <v>780</v>
      </c>
      <c r="AT11" s="1092">
        <f t="shared" si="21"/>
        <v>0</v>
      </c>
      <c r="AU11" s="1092">
        <f t="shared" si="21"/>
        <v>0</v>
      </c>
      <c r="AV11" s="1092">
        <f t="shared" si="21"/>
        <v>0</v>
      </c>
      <c r="AW11" s="1092">
        <f t="shared" si="21"/>
        <v>0</v>
      </c>
      <c r="AX11" s="1092">
        <f t="shared" si="21"/>
        <v>0</v>
      </c>
      <c r="AY11" s="1092">
        <f t="shared" si="21"/>
        <v>0</v>
      </c>
      <c r="AZ11" s="1092">
        <f t="shared" si="21"/>
        <v>0</v>
      </c>
      <c r="BA11" s="1092">
        <f t="shared" si="21"/>
        <v>0</v>
      </c>
      <c r="BB11" s="1092">
        <f t="shared" si="21"/>
        <v>0</v>
      </c>
      <c r="BC11" s="1092">
        <f t="shared" si="21"/>
        <v>0</v>
      </c>
      <c r="BD11" s="1092">
        <f t="shared" si="21"/>
        <v>0</v>
      </c>
      <c r="BE11" s="1092">
        <f t="shared" si="21"/>
        <v>0</v>
      </c>
      <c r="BF11" s="1092">
        <f t="shared" si="21"/>
        <v>0</v>
      </c>
      <c r="BG11" s="1092">
        <f t="shared" si="21"/>
        <v>0</v>
      </c>
      <c r="BH11" s="1092">
        <f t="shared" si="21"/>
        <v>0</v>
      </c>
      <c r="BI11" s="1092">
        <f t="shared" si="21"/>
        <v>0</v>
      </c>
      <c r="BJ11" s="1092">
        <f t="shared" si="21"/>
        <v>0</v>
      </c>
      <c r="BK11" s="1092">
        <f t="shared" si="21"/>
        <v>0</v>
      </c>
      <c r="BL11" s="1092">
        <f t="shared" si="21"/>
        <v>0</v>
      </c>
      <c r="BM11" s="1092">
        <f t="shared" si="21"/>
        <v>0</v>
      </c>
      <c r="BN11" s="1092">
        <f t="shared" si="21"/>
        <v>0</v>
      </c>
      <c r="BO11" s="1092">
        <f t="shared" si="21"/>
        <v>0</v>
      </c>
      <c r="BP11" s="1092">
        <f t="shared" si="21"/>
        <v>0</v>
      </c>
      <c r="BQ11" s="1092">
        <f t="shared" si="21"/>
        <v>0</v>
      </c>
      <c r="BR11" s="1092">
        <f t="shared" si="21"/>
        <v>0</v>
      </c>
      <c r="BS11" s="1092">
        <f t="shared" si="21"/>
        <v>0</v>
      </c>
      <c r="BT11" s="1092">
        <f t="shared" si="21"/>
        <v>0</v>
      </c>
      <c r="BU11" s="1092">
        <f t="shared" si="21"/>
        <v>0</v>
      </c>
      <c r="BV11" s="1092">
        <f t="shared" si="21"/>
        <v>0</v>
      </c>
      <c r="BW11" s="1092">
        <f t="shared" si="21"/>
        <v>0</v>
      </c>
      <c r="BX11" s="1092">
        <f t="shared" si="21"/>
        <v>0</v>
      </c>
      <c r="BY11" s="1092">
        <f t="shared" si="21"/>
        <v>0</v>
      </c>
      <c r="BZ11" s="1083"/>
      <c r="CA11" s="1083"/>
      <c r="CB11" s="694" t="s">
        <v>1117</v>
      </c>
      <c r="CJ11" s="699">
        <f t="shared" ref="CJ11:CV11" si="22">CJ3/CJ9-1</f>
        <v>0</v>
      </c>
      <c r="CK11" s="699">
        <f t="shared" si="22"/>
        <v>0</v>
      </c>
      <c r="CL11" s="699">
        <f t="shared" si="22"/>
        <v>0</v>
      </c>
      <c r="CM11" s="699">
        <f t="shared" si="22"/>
        <v>0</v>
      </c>
      <c r="CN11" s="699">
        <f t="shared" si="22"/>
        <v>0</v>
      </c>
      <c r="CO11" s="699">
        <f t="shared" si="22"/>
        <v>0</v>
      </c>
      <c r="CP11" s="699">
        <f t="shared" si="22"/>
        <v>0</v>
      </c>
      <c r="CQ11" s="699">
        <f t="shared" si="22"/>
        <v>0</v>
      </c>
      <c r="CR11" s="1013">
        <f t="shared" si="22"/>
        <v>0</v>
      </c>
      <c r="CS11" s="1013">
        <f t="shared" si="22"/>
        <v>-4.355471655115295E-5</v>
      </c>
      <c r="CT11" s="1013">
        <f t="shared" si="22"/>
        <v>-4.2809457785453198E-5</v>
      </c>
      <c r="CU11" s="1013">
        <f t="shared" si="22"/>
        <v>-4.2809457785453198E-5</v>
      </c>
      <c r="CV11" s="1013">
        <f t="shared" si="22"/>
        <v>2.0699998177606815E-3</v>
      </c>
    </row>
    <row r="12" spans="1:101">
      <c r="A12" s="694" t="s">
        <v>1208</v>
      </c>
      <c r="D12" s="698"/>
      <c r="G12" s="698"/>
      <c r="J12" s="698"/>
      <c r="L12" s="698"/>
      <c r="N12" s="698"/>
      <c r="P12" s="698"/>
      <c r="R12" s="698"/>
      <c r="T12" s="698"/>
      <c r="V12" s="698"/>
      <c r="X12" s="698"/>
      <c r="Z12" s="698"/>
      <c r="AL12" s="1092">
        <f>AL3-AL11-AL10</f>
        <v>439.6</v>
      </c>
      <c r="AM12" s="1092">
        <f t="shared" ref="AM12:BY12" si="23">AM3-AM11-AM10</f>
        <v>908.1</v>
      </c>
      <c r="AN12" s="1092">
        <f t="shared" si="23"/>
        <v>189.7</v>
      </c>
      <c r="AO12" s="1092">
        <f t="shared" si="23"/>
        <v>101.89999999999998</v>
      </c>
      <c r="AP12" s="1092">
        <f t="shared" si="23"/>
        <v>647.20000000000005</v>
      </c>
      <c r="AQ12" s="1092">
        <f t="shared" si="23"/>
        <v>1082.5</v>
      </c>
      <c r="AR12" s="1092">
        <f t="shared" si="23"/>
        <v>1889.6999999999998</v>
      </c>
      <c r="AS12" s="1092">
        <f t="shared" si="23"/>
        <v>553.40000000000009</v>
      </c>
      <c r="AT12" s="1092">
        <f t="shared" si="23"/>
        <v>84.100000000000023</v>
      </c>
      <c r="AU12" s="1092">
        <f t="shared" si="23"/>
        <v>320.79999999999995</v>
      </c>
      <c r="AV12" s="1092">
        <f t="shared" si="23"/>
        <v>780.90000000000009</v>
      </c>
      <c r="AW12" s="1092">
        <f t="shared" si="23"/>
        <v>1830</v>
      </c>
      <c r="AX12" s="1092">
        <f t="shared" si="23"/>
        <v>869</v>
      </c>
      <c r="AY12" s="1092">
        <f t="shared" si="23"/>
        <v>1672.3</v>
      </c>
      <c r="AZ12" s="1092">
        <f t="shared" si="23"/>
        <v>1822.3</v>
      </c>
      <c r="BA12" s="1092">
        <f t="shared" si="23"/>
        <v>1987.1</v>
      </c>
      <c r="BB12" s="1092">
        <f t="shared" si="23"/>
        <v>1258.5999999999999</v>
      </c>
      <c r="BC12" s="1092">
        <f t="shared" si="23"/>
        <v>1064.8333333333333</v>
      </c>
      <c r="BD12" s="1092">
        <f t="shared" si="23"/>
        <v>1468.0333333333331</v>
      </c>
      <c r="BE12" s="1092">
        <f t="shared" si="23"/>
        <v>2140.9</v>
      </c>
      <c r="BF12" s="1092">
        <f t="shared" si="23"/>
        <v>2235.4</v>
      </c>
      <c r="BG12" s="1092">
        <f t="shared" si="23"/>
        <v>2251.5</v>
      </c>
      <c r="BH12" s="1092">
        <f t="shared" si="23"/>
        <v>1178.8</v>
      </c>
      <c r="BI12" s="1092">
        <f t="shared" si="23"/>
        <v>1660.1</v>
      </c>
      <c r="BJ12" s="1092">
        <f t="shared" si="23"/>
        <v>1415.5</v>
      </c>
      <c r="BK12" s="1092">
        <f t="shared" si="23"/>
        <v>1885.1</v>
      </c>
      <c r="BL12" s="1092">
        <f t="shared" si="23"/>
        <v>2394.1999999999998</v>
      </c>
      <c r="BM12" s="1092">
        <f t="shared" si="23"/>
        <v>2407.5</v>
      </c>
      <c r="BN12" s="1092">
        <f t="shared" si="23"/>
        <v>1087.8</v>
      </c>
      <c r="BO12" s="1092">
        <f t="shared" si="23"/>
        <v>1624.0588499999999</v>
      </c>
      <c r="BP12" s="1092">
        <f t="shared" si="23"/>
        <v>2182.5619999999999</v>
      </c>
      <c r="BQ12" s="1092">
        <f t="shared" si="23"/>
        <v>2197.3250000000003</v>
      </c>
      <c r="BR12" s="1092">
        <f t="shared" si="23"/>
        <v>1165.9448</v>
      </c>
      <c r="BS12" s="1092">
        <f t="shared" si="23"/>
        <v>1739.6957929499999</v>
      </c>
      <c r="BT12" s="1092">
        <f t="shared" si="23"/>
        <v>2338.2762160000002</v>
      </c>
      <c r="BU12" s="1092">
        <f t="shared" si="23"/>
        <v>2354.0431000000003</v>
      </c>
      <c r="BV12" s="1092">
        <f t="shared" si="23"/>
        <v>1165.9448</v>
      </c>
      <c r="BW12" s="1092">
        <f t="shared" si="23"/>
        <v>1739.6957929499999</v>
      </c>
      <c r="BX12" s="1092">
        <f t="shared" si="23"/>
        <v>2338.2762160000002</v>
      </c>
      <c r="BY12" s="1092">
        <f t="shared" si="23"/>
        <v>2354.0431000000003</v>
      </c>
      <c r="BZ12" s="1083"/>
      <c r="CA12" s="1083"/>
      <c r="CB12" s="699"/>
      <c r="CI12" s="697"/>
      <c r="CJ12" s="697"/>
      <c r="CK12" s="697"/>
      <c r="CL12" s="697"/>
      <c r="CM12" s="697"/>
      <c r="CN12" s="697"/>
      <c r="CO12" s="697"/>
      <c r="CP12" s="697"/>
      <c r="CQ12" s="697"/>
      <c r="CR12" s="697"/>
      <c r="CS12" s="699"/>
      <c r="CT12" s="697"/>
      <c r="CU12" s="697"/>
    </row>
    <row r="13" spans="1:101">
      <c r="D13" s="698"/>
      <c r="G13" s="698"/>
      <c r="J13" s="698"/>
      <c r="L13" s="698"/>
      <c r="N13" s="698"/>
      <c r="P13" s="698"/>
      <c r="R13" s="698"/>
      <c r="T13" s="698"/>
      <c r="V13" s="698"/>
      <c r="X13" s="698"/>
      <c r="Z13" s="698"/>
      <c r="AL13" s="699"/>
      <c r="AM13" s="699"/>
      <c r="AN13" s="699"/>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c r="BV13" s="699"/>
      <c r="BW13" s="699"/>
      <c r="BX13" s="699"/>
      <c r="BY13" s="699"/>
      <c r="BZ13" s="1083"/>
      <c r="CA13" s="1083"/>
      <c r="CB13" s="699"/>
      <c r="CI13" s="697"/>
      <c r="CJ13" s="697"/>
      <c r="CK13" s="697"/>
      <c r="CL13" s="697"/>
      <c r="CM13" s="697"/>
      <c r="CN13" s="697"/>
      <c r="CO13" s="697"/>
      <c r="CP13" s="697"/>
      <c r="CQ13" s="697"/>
      <c r="CR13" s="697"/>
      <c r="CS13" s="699"/>
      <c r="CT13" s="697"/>
      <c r="CU13" s="697"/>
    </row>
    <row r="14" spans="1:101">
      <c r="D14" s="698"/>
      <c r="G14" s="698"/>
      <c r="J14" s="698"/>
      <c r="L14" s="698"/>
      <c r="N14" s="698"/>
      <c r="P14" s="698"/>
      <c r="R14" s="698"/>
      <c r="T14" s="698"/>
      <c r="V14" s="698"/>
      <c r="X14" s="698"/>
      <c r="Z14" s="698"/>
      <c r="BZ14" s="1083"/>
      <c r="CA14" s="1083"/>
    </row>
    <row r="15" spans="1:101">
      <c r="A15" s="691" t="s">
        <v>821</v>
      </c>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BE15" s="699"/>
      <c r="BZ15" s="1083"/>
      <c r="CA15" s="1083"/>
    </row>
    <row r="16" spans="1:101" outlineLevel="1">
      <c r="A16" s="694" t="s">
        <v>247</v>
      </c>
      <c r="B16" s="700">
        <f>B$4/28+B$5/40</f>
        <v>2.5349022817857141</v>
      </c>
      <c r="C16" s="698">
        <f>B16</f>
        <v>2.5349022817857141</v>
      </c>
      <c r="D16" s="698">
        <f t="shared" ref="D16:S31" si="24">C16</f>
        <v>2.5349022817857141</v>
      </c>
      <c r="E16" s="698">
        <f t="shared" si="24"/>
        <v>2.5349022817857141</v>
      </c>
      <c r="F16" s="698">
        <f t="shared" si="24"/>
        <v>2.5349022817857141</v>
      </c>
      <c r="G16" s="698">
        <f t="shared" si="24"/>
        <v>2.5349022817857141</v>
      </c>
      <c r="H16" s="698">
        <f t="shared" si="24"/>
        <v>2.5349022817857141</v>
      </c>
      <c r="I16" s="698">
        <f t="shared" si="24"/>
        <v>2.5349022817857141</v>
      </c>
      <c r="J16" s="698">
        <f t="shared" si="24"/>
        <v>2.5349022817857141</v>
      </c>
      <c r="K16" s="698">
        <f t="shared" si="24"/>
        <v>2.5349022817857141</v>
      </c>
      <c r="L16" s="698">
        <f t="shared" si="24"/>
        <v>2.5349022817857141</v>
      </c>
      <c r="M16" s="698">
        <f t="shared" si="24"/>
        <v>2.5349022817857141</v>
      </c>
      <c r="N16" s="698">
        <f t="shared" si="24"/>
        <v>2.5349022817857141</v>
      </c>
      <c r="O16" s="698">
        <f t="shared" si="24"/>
        <v>2.5349022817857141</v>
      </c>
      <c r="P16" s="698">
        <f t="shared" si="24"/>
        <v>2.5349022817857141</v>
      </c>
      <c r="Q16" s="698">
        <f t="shared" si="24"/>
        <v>2.5349022817857141</v>
      </c>
      <c r="R16" s="698">
        <f t="shared" si="24"/>
        <v>2.5349022817857141</v>
      </c>
      <c r="S16" s="698">
        <f t="shared" si="24"/>
        <v>2.5349022817857141</v>
      </c>
      <c r="T16" s="698">
        <f t="shared" ref="T16:AI31" si="25">S16</f>
        <v>2.5349022817857141</v>
      </c>
      <c r="U16" s="698">
        <f t="shared" si="25"/>
        <v>2.5349022817857141</v>
      </c>
      <c r="V16" s="698">
        <f t="shared" si="25"/>
        <v>2.5349022817857141</v>
      </c>
      <c r="W16" s="698">
        <f t="shared" si="25"/>
        <v>2.5349022817857141</v>
      </c>
      <c r="X16" s="698">
        <f t="shared" si="25"/>
        <v>2.5349022817857141</v>
      </c>
      <c r="Y16" s="698">
        <f t="shared" si="25"/>
        <v>2.5349022817857141</v>
      </c>
      <c r="Z16" s="698">
        <f t="shared" si="25"/>
        <v>2.5349022817857141</v>
      </c>
      <c r="AA16" s="698">
        <f t="shared" si="25"/>
        <v>2.5349022817857141</v>
      </c>
      <c r="AB16" s="698">
        <f t="shared" si="25"/>
        <v>2.5349022817857141</v>
      </c>
      <c r="AC16" s="698">
        <f t="shared" si="25"/>
        <v>2.5349022817857141</v>
      </c>
      <c r="AD16" s="700">
        <f>B$5/40</f>
        <v>0.18293109249999978</v>
      </c>
      <c r="AE16" s="698">
        <f>AD16</f>
        <v>0.18293109249999978</v>
      </c>
      <c r="AF16" s="698">
        <f t="shared" si="25"/>
        <v>0.18293109249999978</v>
      </c>
      <c r="AG16" s="698">
        <f t="shared" si="25"/>
        <v>0.18293109249999978</v>
      </c>
      <c r="AH16" s="698">
        <f t="shared" si="25"/>
        <v>0.18293109249999978</v>
      </c>
      <c r="AI16" s="698">
        <f t="shared" si="25"/>
        <v>0.18293109249999978</v>
      </c>
      <c r="AJ16" s="698">
        <f t="shared" ref="AJ16:AW31" si="26">AI16</f>
        <v>0.18293109249999978</v>
      </c>
      <c r="AK16" s="698">
        <f t="shared" si="26"/>
        <v>0.18293109249999978</v>
      </c>
      <c r="AL16" s="698">
        <f t="shared" si="26"/>
        <v>0.18293109249999978</v>
      </c>
      <c r="AM16" s="698">
        <f t="shared" si="26"/>
        <v>0.18293109249999978</v>
      </c>
      <c r="AN16" s="698">
        <f t="shared" si="26"/>
        <v>0.18293109249999978</v>
      </c>
      <c r="AO16" s="698">
        <f t="shared" si="26"/>
        <v>0.18293109249999978</v>
      </c>
      <c r="AP16" s="698"/>
      <c r="AQ16" s="698"/>
      <c r="AR16" s="698"/>
      <c r="AS16" s="698"/>
      <c r="AT16" s="698"/>
      <c r="AU16" s="698"/>
      <c r="AV16" s="698"/>
      <c r="AW16" s="698"/>
      <c r="AX16" s="698"/>
      <c r="AY16" s="698"/>
      <c r="AZ16" s="698"/>
      <c r="BA16" s="698"/>
      <c r="BB16" s="698"/>
      <c r="BC16" s="698"/>
      <c r="BD16" s="698"/>
      <c r="BE16" s="698"/>
      <c r="BF16" s="698"/>
      <c r="BG16" s="698"/>
      <c r="BH16" s="698"/>
      <c r="BI16" s="698"/>
      <c r="BJ16" s="698"/>
      <c r="BK16" s="698"/>
      <c r="BL16" s="698"/>
      <c r="BM16" s="698"/>
      <c r="BN16" s="698"/>
      <c r="BO16" s="698"/>
      <c r="BP16" s="698"/>
      <c r="BQ16" s="698"/>
      <c r="BR16" s="698"/>
      <c r="BS16" s="698"/>
      <c r="BT16" s="698"/>
      <c r="BU16" s="698"/>
      <c r="BV16" s="698"/>
      <c r="BW16" s="698"/>
      <c r="BX16" s="698"/>
      <c r="BY16" s="698"/>
      <c r="BZ16" s="1083"/>
      <c r="CA16" s="1083"/>
    </row>
    <row r="17" spans="1:101" outlineLevel="1">
      <c r="A17" s="694" t="s">
        <v>248</v>
      </c>
      <c r="C17" s="700">
        <f>C$4/28+C$5/40</f>
        <v>3.0310582517857143</v>
      </c>
      <c r="D17" s="698">
        <f t="shared" si="24"/>
        <v>3.0310582517857143</v>
      </c>
      <c r="E17" s="698">
        <f t="shared" si="24"/>
        <v>3.0310582517857143</v>
      </c>
      <c r="F17" s="698">
        <f t="shared" si="24"/>
        <v>3.0310582517857143</v>
      </c>
      <c r="G17" s="698">
        <f t="shared" si="24"/>
        <v>3.0310582517857143</v>
      </c>
      <c r="H17" s="698">
        <f t="shared" si="24"/>
        <v>3.0310582517857143</v>
      </c>
      <c r="I17" s="698">
        <f t="shared" si="24"/>
        <v>3.0310582517857143</v>
      </c>
      <c r="J17" s="698">
        <f t="shared" si="24"/>
        <v>3.0310582517857143</v>
      </c>
      <c r="K17" s="698">
        <f t="shared" si="24"/>
        <v>3.0310582517857143</v>
      </c>
      <c r="L17" s="698">
        <f t="shared" si="24"/>
        <v>3.0310582517857143</v>
      </c>
      <c r="M17" s="698">
        <f t="shared" si="24"/>
        <v>3.0310582517857143</v>
      </c>
      <c r="N17" s="698">
        <f t="shared" si="24"/>
        <v>3.0310582517857143</v>
      </c>
      <c r="O17" s="698">
        <f t="shared" si="24"/>
        <v>3.0310582517857143</v>
      </c>
      <c r="P17" s="698">
        <f t="shared" si="24"/>
        <v>3.0310582517857143</v>
      </c>
      <c r="Q17" s="698">
        <f t="shared" si="24"/>
        <v>3.0310582517857143</v>
      </c>
      <c r="R17" s="698">
        <f t="shared" si="24"/>
        <v>3.0310582517857143</v>
      </c>
      <c r="S17" s="698">
        <f t="shared" si="24"/>
        <v>3.0310582517857143</v>
      </c>
      <c r="T17" s="698">
        <f t="shared" si="25"/>
        <v>3.0310582517857143</v>
      </c>
      <c r="U17" s="698">
        <f t="shared" si="25"/>
        <v>3.0310582517857143</v>
      </c>
      <c r="V17" s="698">
        <f t="shared" si="25"/>
        <v>3.0310582517857143</v>
      </c>
      <c r="W17" s="698">
        <f t="shared" si="25"/>
        <v>3.0310582517857143</v>
      </c>
      <c r="X17" s="698">
        <f t="shared" si="25"/>
        <v>3.0310582517857143</v>
      </c>
      <c r="Y17" s="698">
        <f t="shared" si="25"/>
        <v>3.0310582517857143</v>
      </c>
      <c r="Z17" s="698">
        <f t="shared" si="25"/>
        <v>3.0310582517857143</v>
      </c>
      <c r="AA17" s="698">
        <f t="shared" si="25"/>
        <v>3.0310582517857143</v>
      </c>
      <c r="AB17" s="698">
        <f t="shared" si="25"/>
        <v>3.0310582517857143</v>
      </c>
      <c r="AC17" s="698">
        <f t="shared" si="25"/>
        <v>3.0310582517857143</v>
      </c>
      <c r="AD17" s="698">
        <f t="shared" si="25"/>
        <v>3.0310582517857143</v>
      </c>
      <c r="AE17" s="700">
        <f>C$5/40</f>
        <v>0.21873616249999978</v>
      </c>
      <c r="AF17" s="698">
        <f>AE17</f>
        <v>0.21873616249999978</v>
      </c>
      <c r="AG17" s="698">
        <f t="shared" si="25"/>
        <v>0.21873616249999978</v>
      </c>
      <c r="AH17" s="698">
        <f t="shared" si="25"/>
        <v>0.21873616249999978</v>
      </c>
      <c r="AI17" s="698">
        <f t="shared" si="25"/>
        <v>0.21873616249999978</v>
      </c>
      <c r="AJ17" s="698">
        <f t="shared" si="26"/>
        <v>0.21873616249999978</v>
      </c>
      <c r="AK17" s="698">
        <f t="shared" si="26"/>
        <v>0.21873616249999978</v>
      </c>
      <c r="AL17" s="698">
        <f t="shared" si="26"/>
        <v>0.21873616249999978</v>
      </c>
      <c r="AM17" s="698">
        <f t="shared" si="26"/>
        <v>0.21873616249999978</v>
      </c>
      <c r="AN17" s="698">
        <f t="shared" si="26"/>
        <v>0.21873616249999978</v>
      </c>
      <c r="AO17" s="698">
        <f t="shared" si="26"/>
        <v>0.21873616249999978</v>
      </c>
      <c r="AP17" s="698">
        <f t="shared" si="26"/>
        <v>0.21873616249999978</v>
      </c>
      <c r="AQ17" s="698"/>
      <c r="AR17" s="698"/>
      <c r="AS17" s="698"/>
      <c r="AT17" s="698"/>
      <c r="AU17" s="698"/>
      <c r="AV17" s="698"/>
      <c r="AW17" s="698"/>
      <c r="AX17" s="698"/>
      <c r="AY17" s="698"/>
      <c r="AZ17" s="698"/>
      <c r="BA17" s="698"/>
      <c r="BB17" s="698"/>
      <c r="BC17" s="698"/>
      <c r="BD17" s="698"/>
      <c r="BE17" s="698"/>
      <c r="BF17" s="698"/>
      <c r="BG17" s="698"/>
      <c r="BH17" s="698"/>
      <c r="BI17" s="698"/>
      <c r="BJ17" s="698"/>
      <c r="BK17" s="698"/>
      <c r="BL17" s="698"/>
      <c r="BM17" s="698"/>
      <c r="BN17" s="698"/>
      <c r="BO17" s="698"/>
      <c r="BP17" s="698"/>
      <c r="BQ17" s="698"/>
      <c r="BR17" s="698"/>
      <c r="BS17" s="698"/>
      <c r="BT17" s="698"/>
      <c r="BU17" s="698"/>
      <c r="BV17" s="698"/>
      <c r="BW17" s="698"/>
      <c r="BX17" s="698"/>
      <c r="BY17" s="698"/>
      <c r="BZ17" s="1083"/>
      <c r="CA17" s="1083"/>
    </row>
    <row r="18" spans="1:101" outlineLevel="1">
      <c r="A18" s="694" t="s">
        <v>249</v>
      </c>
      <c r="D18" s="700">
        <f>D$4/28+D$5/40</f>
        <v>5.4573153024999996</v>
      </c>
      <c r="E18" s="698">
        <f t="shared" si="24"/>
        <v>5.4573153024999996</v>
      </c>
      <c r="F18" s="698">
        <f t="shared" si="24"/>
        <v>5.4573153024999996</v>
      </c>
      <c r="G18" s="698">
        <f t="shared" si="24"/>
        <v>5.4573153024999996</v>
      </c>
      <c r="H18" s="698">
        <f t="shared" si="24"/>
        <v>5.4573153024999996</v>
      </c>
      <c r="I18" s="698">
        <f t="shared" si="24"/>
        <v>5.4573153024999996</v>
      </c>
      <c r="J18" s="698">
        <f t="shared" si="24"/>
        <v>5.4573153024999996</v>
      </c>
      <c r="K18" s="698">
        <f t="shared" si="24"/>
        <v>5.4573153024999996</v>
      </c>
      <c r="L18" s="698">
        <f t="shared" si="24"/>
        <v>5.4573153024999996</v>
      </c>
      <c r="M18" s="698">
        <f t="shared" si="24"/>
        <v>5.4573153024999996</v>
      </c>
      <c r="N18" s="698">
        <f t="shared" si="24"/>
        <v>5.4573153024999996</v>
      </c>
      <c r="O18" s="698">
        <f t="shared" si="24"/>
        <v>5.4573153024999996</v>
      </c>
      <c r="P18" s="698">
        <f t="shared" si="24"/>
        <v>5.4573153024999996</v>
      </c>
      <c r="Q18" s="698">
        <f t="shared" si="24"/>
        <v>5.4573153024999996</v>
      </c>
      <c r="R18" s="698">
        <f t="shared" si="24"/>
        <v>5.4573153024999996</v>
      </c>
      <c r="S18" s="698">
        <f t="shared" si="24"/>
        <v>5.4573153024999996</v>
      </c>
      <c r="T18" s="698">
        <f t="shared" si="25"/>
        <v>5.4573153024999996</v>
      </c>
      <c r="U18" s="698">
        <f t="shared" si="25"/>
        <v>5.4573153024999996</v>
      </c>
      <c r="V18" s="698">
        <f t="shared" si="25"/>
        <v>5.4573153024999996</v>
      </c>
      <c r="W18" s="698">
        <f t="shared" si="25"/>
        <v>5.4573153024999996</v>
      </c>
      <c r="X18" s="698">
        <f t="shared" si="25"/>
        <v>5.4573153024999996</v>
      </c>
      <c r="Y18" s="698">
        <f t="shared" si="25"/>
        <v>5.4573153024999996</v>
      </c>
      <c r="Z18" s="698">
        <f t="shared" si="25"/>
        <v>5.4573153024999996</v>
      </c>
      <c r="AA18" s="698">
        <f t="shared" si="25"/>
        <v>5.4573153024999996</v>
      </c>
      <c r="AB18" s="698">
        <f t="shared" si="25"/>
        <v>5.4573153024999996</v>
      </c>
      <c r="AC18" s="698">
        <f t="shared" si="25"/>
        <v>5.4573153024999996</v>
      </c>
      <c r="AD18" s="698">
        <f t="shared" si="25"/>
        <v>5.4573153024999996</v>
      </c>
      <c r="AE18" s="698">
        <f t="shared" si="25"/>
        <v>5.4573153024999996</v>
      </c>
      <c r="AF18" s="700">
        <f>D$5/40</f>
        <v>0.39382687749999973</v>
      </c>
      <c r="AG18" s="698">
        <f>AF18</f>
        <v>0.39382687749999973</v>
      </c>
      <c r="AH18" s="698">
        <f t="shared" si="25"/>
        <v>0.39382687749999973</v>
      </c>
      <c r="AI18" s="698">
        <f t="shared" si="25"/>
        <v>0.39382687749999973</v>
      </c>
      <c r="AJ18" s="698">
        <f t="shared" si="26"/>
        <v>0.39382687749999973</v>
      </c>
      <c r="AK18" s="698">
        <f t="shared" si="26"/>
        <v>0.39382687749999973</v>
      </c>
      <c r="AL18" s="698">
        <f t="shared" si="26"/>
        <v>0.39382687749999973</v>
      </c>
      <c r="AM18" s="698">
        <f t="shared" si="26"/>
        <v>0.39382687749999973</v>
      </c>
      <c r="AN18" s="698">
        <f t="shared" si="26"/>
        <v>0.39382687749999973</v>
      </c>
      <c r="AO18" s="698">
        <f t="shared" si="26"/>
        <v>0.39382687749999973</v>
      </c>
      <c r="AP18" s="698">
        <f t="shared" si="26"/>
        <v>0.39382687749999973</v>
      </c>
      <c r="AQ18" s="698">
        <f t="shared" si="26"/>
        <v>0.39382687749999973</v>
      </c>
      <c r="AR18" s="698"/>
      <c r="AS18" s="698"/>
      <c r="AT18" s="698"/>
      <c r="AU18" s="698"/>
      <c r="AV18" s="698"/>
      <c r="AW18" s="698"/>
      <c r="AX18" s="698"/>
      <c r="AY18" s="698"/>
      <c r="AZ18" s="698"/>
      <c r="BA18" s="698"/>
      <c r="BB18" s="698"/>
      <c r="BC18" s="698"/>
      <c r="BD18" s="698"/>
      <c r="BE18" s="698"/>
      <c r="BF18" s="698"/>
      <c r="BG18" s="698"/>
      <c r="BH18" s="698"/>
      <c r="BI18" s="698"/>
      <c r="BJ18" s="698"/>
      <c r="BK18" s="698"/>
      <c r="BL18" s="698"/>
      <c r="BM18" s="698"/>
      <c r="BN18" s="698"/>
      <c r="BO18" s="698"/>
      <c r="BP18" s="698"/>
      <c r="BQ18" s="698"/>
      <c r="BR18" s="698"/>
      <c r="BS18" s="698"/>
      <c r="BT18" s="698"/>
      <c r="BU18" s="698"/>
      <c r="BV18" s="698"/>
      <c r="BW18" s="698"/>
      <c r="BX18" s="698"/>
      <c r="BY18" s="698"/>
      <c r="BZ18" s="1083"/>
      <c r="CA18" s="1083"/>
      <c r="CW18" s="697"/>
    </row>
    <row r="19" spans="1:101" outlineLevel="1">
      <c r="A19" s="694" t="s">
        <v>250</v>
      </c>
      <c r="E19" s="700">
        <f>E$4/28+E$5/40</f>
        <v>6.0050256639285706</v>
      </c>
      <c r="F19" s="698">
        <f t="shared" si="24"/>
        <v>6.0050256639285706</v>
      </c>
      <c r="G19" s="698">
        <f t="shared" si="24"/>
        <v>6.0050256639285706</v>
      </c>
      <c r="H19" s="698">
        <f t="shared" si="24"/>
        <v>6.0050256639285706</v>
      </c>
      <c r="I19" s="698">
        <f t="shared" si="24"/>
        <v>6.0050256639285706</v>
      </c>
      <c r="J19" s="698">
        <f t="shared" si="24"/>
        <v>6.0050256639285706</v>
      </c>
      <c r="K19" s="698">
        <f t="shared" si="24"/>
        <v>6.0050256639285706</v>
      </c>
      <c r="L19" s="698">
        <f t="shared" si="24"/>
        <v>6.0050256639285706</v>
      </c>
      <c r="M19" s="698">
        <f t="shared" si="24"/>
        <v>6.0050256639285706</v>
      </c>
      <c r="N19" s="698">
        <f t="shared" si="24"/>
        <v>6.0050256639285706</v>
      </c>
      <c r="O19" s="698">
        <f t="shared" si="24"/>
        <v>6.0050256639285706</v>
      </c>
      <c r="P19" s="698">
        <f t="shared" si="24"/>
        <v>6.0050256639285706</v>
      </c>
      <c r="Q19" s="698">
        <f t="shared" si="24"/>
        <v>6.0050256639285706</v>
      </c>
      <c r="R19" s="698">
        <f t="shared" si="24"/>
        <v>6.0050256639285706</v>
      </c>
      <c r="S19" s="698">
        <f t="shared" si="24"/>
        <v>6.0050256639285706</v>
      </c>
      <c r="T19" s="698">
        <f t="shared" si="25"/>
        <v>6.0050256639285706</v>
      </c>
      <c r="U19" s="698">
        <f t="shared" si="25"/>
        <v>6.0050256639285706</v>
      </c>
      <c r="V19" s="698">
        <f t="shared" si="25"/>
        <v>6.0050256639285706</v>
      </c>
      <c r="W19" s="698">
        <f t="shared" si="25"/>
        <v>6.0050256639285706</v>
      </c>
      <c r="X19" s="698">
        <f t="shared" si="25"/>
        <v>6.0050256639285706</v>
      </c>
      <c r="Y19" s="698">
        <f t="shared" si="25"/>
        <v>6.0050256639285706</v>
      </c>
      <c r="Z19" s="698">
        <f t="shared" si="25"/>
        <v>6.0050256639285706</v>
      </c>
      <c r="AA19" s="698">
        <f t="shared" si="25"/>
        <v>6.0050256639285706</v>
      </c>
      <c r="AB19" s="698">
        <f t="shared" si="25"/>
        <v>6.0050256639285706</v>
      </c>
      <c r="AC19" s="698">
        <f t="shared" si="25"/>
        <v>6.0050256639285706</v>
      </c>
      <c r="AD19" s="698">
        <f t="shared" si="25"/>
        <v>6.0050256639285706</v>
      </c>
      <c r="AE19" s="698">
        <f t="shared" si="25"/>
        <v>6.0050256639285706</v>
      </c>
      <c r="AF19" s="698">
        <f t="shared" si="25"/>
        <v>6.0050256639285706</v>
      </c>
      <c r="AG19" s="700">
        <f>E$5/40</f>
        <v>0.4333523674999995</v>
      </c>
      <c r="AH19" s="698">
        <f>AG19</f>
        <v>0.4333523674999995</v>
      </c>
      <c r="AI19" s="698">
        <f t="shared" si="25"/>
        <v>0.4333523674999995</v>
      </c>
      <c r="AJ19" s="698">
        <f t="shared" si="26"/>
        <v>0.4333523674999995</v>
      </c>
      <c r="AK19" s="698">
        <f t="shared" si="26"/>
        <v>0.4333523674999995</v>
      </c>
      <c r="AL19" s="698">
        <f t="shared" si="26"/>
        <v>0.4333523674999995</v>
      </c>
      <c r="AM19" s="698">
        <f t="shared" si="26"/>
        <v>0.4333523674999995</v>
      </c>
      <c r="AN19" s="698">
        <f t="shared" si="26"/>
        <v>0.4333523674999995</v>
      </c>
      <c r="AO19" s="698">
        <f t="shared" si="26"/>
        <v>0.4333523674999995</v>
      </c>
      <c r="AP19" s="698">
        <f t="shared" si="26"/>
        <v>0.4333523674999995</v>
      </c>
      <c r="AQ19" s="698">
        <f t="shared" si="26"/>
        <v>0.4333523674999995</v>
      </c>
      <c r="AR19" s="698">
        <f t="shared" si="26"/>
        <v>0.4333523674999995</v>
      </c>
      <c r="AS19" s="698"/>
      <c r="AT19" s="698"/>
      <c r="AU19" s="698"/>
      <c r="AV19" s="698"/>
      <c r="AW19" s="698"/>
      <c r="AX19" s="698"/>
      <c r="AY19" s="698"/>
      <c r="AZ19" s="698"/>
      <c r="BA19" s="698"/>
      <c r="BB19" s="698"/>
      <c r="BC19" s="698"/>
      <c r="BD19" s="698"/>
      <c r="BE19" s="698"/>
      <c r="BF19" s="698"/>
      <c r="BG19" s="698"/>
      <c r="BH19" s="698"/>
      <c r="BI19" s="698"/>
      <c r="BJ19" s="698"/>
      <c r="BK19" s="698"/>
      <c r="BL19" s="698"/>
      <c r="BM19" s="698"/>
      <c r="BN19" s="698"/>
      <c r="BO19" s="698"/>
      <c r="BP19" s="698"/>
      <c r="BQ19" s="698"/>
      <c r="BR19" s="698"/>
      <c r="BS19" s="698"/>
      <c r="BT19" s="698"/>
      <c r="BU19" s="698"/>
      <c r="BV19" s="698"/>
      <c r="BW19" s="698"/>
      <c r="BX19" s="698"/>
      <c r="BY19" s="698"/>
      <c r="BZ19" s="1083"/>
      <c r="CA19" s="1083"/>
      <c r="CI19" s="697"/>
      <c r="CJ19" s="697"/>
      <c r="CK19" s="697"/>
      <c r="CL19" s="697"/>
      <c r="CM19" s="697"/>
      <c r="CN19" s="697"/>
      <c r="CO19" s="697"/>
      <c r="CP19" s="697"/>
      <c r="CQ19" s="697"/>
      <c r="CR19" s="697"/>
      <c r="CS19" s="697"/>
      <c r="CT19" s="697"/>
      <c r="CU19" s="697"/>
      <c r="CV19" s="697"/>
      <c r="CW19" s="699"/>
    </row>
    <row r="20" spans="1:101" outlineLevel="1">
      <c r="A20" s="694" t="s">
        <v>251</v>
      </c>
      <c r="F20" s="700">
        <f>F$4/28+F$5/40</f>
        <v>13.599954285714286</v>
      </c>
      <c r="G20" s="698">
        <f t="shared" si="24"/>
        <v>13.599954285714286</v>
      </c>
      <c r="H20" s="698">
        <f t="shared" si="24"/>
        <v>13.599954285714286</v>
      </c>
      <c r="I20" s="698">
        <f t="shared" si="24"/>
        <v>13.599954285714286</v>
      </c>
      <c r="J20" s="698">
        <f t="shared" si="24"/>
        <v>13.599954285714286</v>
      </c>
      <c r="K20" s="698">
        <f t="shared" si="24"/>
        <v>13.599954285714286</v>
      </c>
      <c r="L20" s="698">
        <f t="shared" si="24"/>
        <v>13.599954285714286</v>
      </c>
      <c r="M20" s="698">
        <f t="shared" si="24"/>
        <v>13.599954285714286</v>
      </c>
      <c r="N20" s="698">
        <f t="shared" si="24"/>
        <v>13.599954285714286</v>
      </c>
      <c r="O20" s="698">
        <f t="shared" si="24"/>
        <v>13.599954285714286</v>
      </c>
      <c r="P20" s="698">
        <f t="shared" si="24"/>
        <v>13.599954285714286</v>
      </c>
      <c r="Q20" s="698">
        <f t="shared" si="24"/>
        <v>13.599954285714286</v>
      </c>
      <c r="R20" s="698">
        <f t="shared" si="24"/>
        <v>13.599954285714286</v>
      </c>
      <c r="S20" s="698">
        <f t="shared" si="24"/>
        <v>13.599954285714286</v>
      </c>
      <c r="T20" s="698">
        <f t="shared" si="25"/>
        <v>13.599954285714286</v>
      </c>
      <c r="U20" s="698">
        <f t="shared" si="25"/>
        <v>13.599954285714286</v>
      </c>
      <c r="V20" s="698">
        <f t="shared" si="25"/>
        <v>13.599954285714286</v>
      </c>
      <c r="W20" s="698">
        <f t="shared" si="25"/>
        <v>13.599954285714286</v>
      </c>
      <c r="X20" s="698">
        <f t="shared" si="25"/>
        <v>13.599954285714286</v>
      </c>
      <c r="Y20" s="698">
        <f t="shared" si="25"/>
        <v>13.599954285714286</v>
      </c>
      <c r="Z20" s="698">
        <f t="shared" si="25"/>
        <v>13.599954285714286</v>
      </c>
      <c r="AA20" s="698">
        <f t="shared" si="25"/>
        <v>13.599954285714286</v>
      </c>
      <c r="AB20" s="698">
        <f t="shared" si="25"/>
        <v>13.599954285714286</v>
      </c>
      <c r="AC20" s="698">
        <f t="shared" si="25"/>
        <v>13.599954285714286</v>
      </c>
      <c r="AD20" s="698">
        <f t="shared" si="25"/>
        <v>13.599954285714286</v>
      </c>
      <c r="AE20" s="698">
        <f t="shared" si="25"/>
        <v>13.599954285714286</v>
      </c>
      <c r="AF20" s="698">
        <f t="shared" si="25"/>
        <v>13.599954285714286</v>
      </c>
      <c r="AG20" s="698">
        <f t="shared" si="25"/>
        <v>13.599954285714286</v>
      </c>
      <c r="AH20" s="700">
        <f>F$5/40</f>
        <v>0.9814399999999992</v>
      </c>
      <c r="AI20" s="698">
        <f>AH20</f>
        <v>0.9814399999999992</v>
      </c>
      <c r="AJ20" s="698">
        <f t="shared" si="26"/>
        <v>0.9814399999999992</v>
      </c>
      <c r="AK20" s="698">
        <f t="shared" si="26"/>
        <v>0.9814399999999992</v>
      </c>
      <c r="AL20" s="698">
        <f t="shared" si="26"/>
        <v>0.9814399999999992</v>
      </c>
      <c r="AM20" s="698">
        <f t="shared" si="26"/>
        <v>0.9814399999999992</v>
      </c>
      <c r="AN20" s="698">
        <f t="shared" si="26"/>
        <v>0.9814399999999992</v>
      </c>
      <c r="AO20" s="698">
        <f t="shared" si="26"/>
        <v>0.9814399999999992</v>
      </c>
      <c r="AP20" s="698">
        <f t="shared" si="26"/>
        <v>0.9814399999999992</v>
      </c>
      <c r="AQ20" s="698">
        <f t="shared" si="26"/>
        <v>0.9814399999999992</v>
      </c>
      <c r="AR20" s="698">
        <f t="shared" si="26"/>
        <v>0.9814399999999992</v>
      </c>
      <c r="AS20" s="698">
        <f t="shared" si="26"/>
        <v>0.9814399999999992</v>
      </c>
      <c r="AT20" s="698"/>
      <c r="AU20" s="698"/>
      <c r="AV20" s="698"/>
      <c r="AW20" s="698"/>
      <c r="AX20" s="698"/>
      <c r="AY20" s="698"/>
      <c r="AZ20" s="698"/>
      <c r="BA20" s="698"/>
      <c r="BB20" s="698"/>
      <c r="BC20" s="698"/>
      <c r="BD20" s="698"/>
      <c r="BE20" s="698"/>
      <c r="BF20" s="698"/>
      <c r="BG20" s="698"/>
      <c r="BH20" s="698"/>
      <c r="BI20" s="698"/>
      <c r="BJ20" s="698"/>
      <c r="BK20" s="698"/>
      <c r="BL20" s="698"/>
      <c r="BM20" s="698"/>
      <c r="BN20" s="698"/>
      <c r="BO20" s="698"/>
      <c r="BP20" s="698"/>
      <c r="BQ20" s="698"/>
      <c r="BR20" s="698"/>
      <c r="BS20" s="698"/>
      <c r="BT20" s="698"/>
      <c r="BU20" s="698"/>
      <c r="BV20" s="698"/>
      <c r="BW20" s="698"/>
      <c r="BX20" s="698"/>
      <c r="BY20" s="698"/>
      <c r="BZ20" s="1083"/>
      <c r="CA20" s="1083"/>
      <c r="CB20" s="698"/>
      <c r="CC20" s="698"/>
      <c r="CD20" s="698"/>
      <c r="CE20" s="698"/>
      <c r="CF20" s="698"/>
      <c r="CG20" s="698"/>
      <c r="CH20" s="698"/>
      <c r="CI20" s="698"/>
      <c r="CJ20" s="698"/>
      <c r="CO20" s="699"/>
      <c r="CP20" s="699"/>
      <c r="CQ20" s="699"/>
      <c r="CR20" s="699"/>
      <c r="CS20" s="699"/>
      <c r="CT20" s="699"/>
      <c r="CU20" s="699"/>
      <c r="CV20" s="699"/>
    </row>
    <row r="21" spans="1:101" outlineLevel="1">
      <c r="A21" s="694" t="s">
        <v>252</v>
      </c>
      <c r="G21" s="700">
        <f>G$4/28+G$5/40</f>
        <v>9.8706160714285716</v>
      </c>
      <c r="H21" s="698">
        <f t="shared" si="24"/>
        <v>9.8706160714285716</v>
      </c>
      <c r="I21" s="698">
        <f t="shared" si="24"/>
        <v>9.8706160714285716</v>
      </c>
      <c r="J21" s="698">
        <f t="shared" si="24"/>
        <v>9.8706160714285716</v>
      </c>
      <c r="K21" s="698">
        <f t="shared" si="24"/>
        <v>9.8706160714285716</v>
      </c>
      <c r="L21" s="698">
        <f t="shared" si="24"/>
        <v>9.8706160714285716</v>
      </c>
      <c r="M21" s="698">
        <f t="shared" si="24"/>
        <v>9.8706160714285716</v>
      </c>
      <c r="N21" s="698">
        <f t="shared" si="24"/>
        <v>9.8706160714285716</v>
      </c>
      <c r="O21" s="698">
        <f t="shared" si="24"/>
        <v>9.8706160714285716</v>
      </c>
      <c r="P21" s="698">
        <f t="shared" si="24"/>
        <v>9.8706160714285716</v>
      </c>
      <c r="Q21" s="698">
        <f t="shared" si="24"/>
        <v>9.8706160714285716</v>
      </c>
      <c r="R21" s="698">
        <f t="shared" si="24"/>
        <v>9.8706160714285716</v>
      </c>
      <c r="S21" s="698">
        <f t="shared" si="24"/>
        <v>9.8706160714285716</v>
      </c>
      <c r="T21" s="698">
        <f t="shared" si="25"/>
        <v>9.8706160714285716</v>
      </c>
      <c r="U21" s="698">
        <f t="shared" si="25"/>
        <v>9.8706160714285716</v>
      </c>
      <c r="V21" s="698">
        <f t="shared" si="25"/>
        <v>9.8706160714285716</v>
      </c>
      <c r="W21" s="698">
        <f t="shared" si="25"/>
        <v>9.8706160714285716</v>
      </c>
      <c r="X21" s="698">
        <f t="shared" si="25"/>
        <v>9.8706160714285716</v>
      </c>
      <c r="Y21" s="698">
        <f t="shared" si="25"/>
        <v>9.8706160714285716</v>
      </c>
      <c r="Z21" s="698">
        <f t="shared" si="25"/>
        <v>9.8706160714285716</v>
      </c>
      <c r="AA21" s="698">
        <f t="shared" si="25"/>
        <v>9.8706160714285716</v>
      </c>
      <c r="AB21" s="698">
        <f t="shared" si="25"/>
        <v>9.8706160714285716</v>
      </c>
      <c r="AC21" s="698">
        <f t="shared" si="25"/>
        <v>9.8706160714285716</v>
      </c>
      <c r="AD21" s="698">
        <f t="shared" si="25"/>
        <v>9.8706160714285716</v>
      </c>
      <c r="AE21" s="698">
        <f t="shared" si="25"/>
        <v>9.8706160714285716</v>
      </c>
      <c r="AF21" s="698">
        <f t="shared" si="25"/>
        <v>9.8706160714285716</v>
      </c>
      <c r="AG21" s="698">
        <f t="shared" si="25"/>
        <v>9.8706160714285716</v>
      </c>
      <c r="AH21" s="698">
        <f t="shared" si="25"/>
        <v>9.8706160714285716</v>
      </c>
      <c r="AI21" s="700">
        <f>G$5/40</f>
        <v>0.71231250000000013</v>
      </c>
      <c r="AJ21" s="698">
        <f>AI21</f>
        <v>0.71231250000000013</v>
      </c>
      <c r="AK21" s="698">
        <f t="shared" si="26"/>
        <v>0.71231250000000013</v>
      </c>
      <c r="AL21" s="698">
        <f t="shared" si="26"/>
        <v>0.71231250000000013</v>
      </c>
      <c r="AM21" s="698">
        <f t="shared" si="26"/>
        <v>0.71231250000000013</v>
      </c>
      <c r="AN21" s="698">
        <f t="shared" si="26"/>
        <v>0.71231250000000013</v>
      </c>
      <c r="AO21" s="698">
        <f t="shared" si="26"/>
        <v>0.71231250000000013</v>
      </c>
      <c r="AP21" s="698">
        <f t="shared" si="26"/>
        <v>0.71231250000000013</v>
      </c>
      <c r="AQ21" s="698">
        <f t="shared" si="26"/>
        <v>0.71231250000000013</v>
      </c>
      <c r="AR21" s="698">
        <f t="shared" si="26"/>
        <v>0.71231250000000013</v>
      </c>
      <c r="AS21" s="698">
        <f t="shared" si="26"/>
        <v>0.71231250000000013</v>
      </c>
      <c r="AT21" s="698">
        <f t="shared" si="26"/>
        <v>0.71231250000000013</v>
      </c>
      <c r="AU21" s="698"/>
      <c r="AV21" s="698"/>
      <c r="AW21" s="698"/>
      <c r="AX21" s="698"/>
      <c r="AY21" s="698"/>
      <c r="AZ21" s="698"/>
      <c r="BA21" s="698"/>
      <c r="BB21" s="698"/>
      <c r="BC21" s="698"/>
      <c r="BD21" s="698"/>
      <c r="BE21" s="698"/>
      <c r="BF21" s="698"/>
      <c r="BG21" s="698"/>
      <c r="BH21" s="698"/>
      <c r="BI21" s="698"/>
      <c r="BJ21" s="698"/>
      <c r="BK21" s="698"/>
      <c r="BL21" s="698"/>
      <c r="BM21" s="698"/>
      <c r="BN21" s="698"/>
      <c r="BO21" s="698"/>
      <c r="BP21" s="698"/>
      <c r="BQ21" s="698"/>
      <c r="BR21" s="698"/>
      <c r="BS21" s="698"/>
      <c r="BT21" s="698"/>
      <c r="BU21" s="698"/>
      <c r="BV21" s="698"/>
      <c r="BW21" s="698"/>
      <c r="BX21" s="698"/>
      <c r="BY21" s="698"/>
      <c r="BZ21" s="1083"/>
      <c r="CA21" s="1083"/>
      <c r="CB21" s="698"/>
      <c r="CC21" s="698"/>
      <c r="CD21" s="698"/>
      <c r="CE21" s="698"/>
      <c r="CF21" s="698"/>
      <c r="CG21" s="698"/>
      <c r="CH21" s="698"/>
      <c r="CI21" s="698"/>
      <c r="CJ21" s="698"/>
      <c r="CK21" s="698"/>
    </row>
    <row r="22" spans="1:101" outlineLevel="1">
      <c r="A22" s="694" t="s">
        <v>253</v>
      </c>
      <c r="H22" s="700">
        <f>H$4/28+H$5/40</f>
        <v>6.3488578571428569</v>
      </c>
      <c r="I22" s="698">
        <f t="shared" si="24"/>
        <v>6.3488578571428569</v>
      </c>
      <c r="J22" s="698">
        <f t="shared" si="24"/>
        <v>6.3488578571428569</v>
      </c>
      <c r="K22" s="698">
        <f t="shared" si="24"/>
        <v>6.3488578571428569</v>
      </c>
      <c r="L22" s="698">
        <f t="shared" si="24"/>
        <v>6.3488578571428569</v>
      </c>
      <c r="M22" s="698">
        <f t="shared" si="24"/>
        <v>6.3488578571428569</v>
      </c>
      <c r="N22" s="698">
        <f t="shared" si="24"/>
        <v>6.3488578571428569</v>
      </c>
      <c r="O22" s="698">
        <f t="shared" si="24"/>
        <v>6.3488578571428569</v>
      </c>
      <c r="P22" s="698">
        <f t="shared" si="24"/>
        <v>6.3488578571428569</v>
      </c>
      <c r="Q22" s="698">
        <f t="shared" si="24"/>
        <v>6.3488578571428569</v>
      </c>
      <c r="R22" s="698">
        <f t="shared" si="24"/>
        <v>6.3488578571428569</v>
      </c>
      <c r="S22" s="698">
        <f t="shared" si="24"/>
        <v>6.3488578571428569</v>
      </c>
      <c r="T22" s="698">
        <f t="shared" si="25"/>
        <v>6.3488578571428569</v>
      </c>
      <c r="U22" s="698">
        <f t="shared" si="25"/>
        <v>6.3488578571428569</v>
      </c>
      <c r="V22" s="698">
        <f t="shared" si="25"/>
        <v>6.3488578571428569</v>
      </c>
      <c r="W22" s="698">
        <f t="shared" si="25"/>
        <v>6.3488578571428569</v>
      </c>
      <c r="X22" s="698">
        <f t="shared" si="25"/>
        <v>6.3488578571428569</v>
      </c>
      <c r="Y22" s="698">
        <f t="shared" si="25"/>
        <v>6.3488578571428569</v>
      </c>
      <c r="Z22" s="698">
        <f t="shared" si="25"/>
        <v>6.3488578571428569</v>
      </c>
      <c r="AA22" s="698">
        <f t="shared" si="25"/>
        <v>6.3488578571428569</v>
      </c>
      <c r="AB22" s="698">
        <f t="shared" si="25"/>
        <v>6.3488578571428569</v>
      </c>
      <c r="AC22" s="698">
        <f t="shared" si="25"/>
        <v>6.3488578571428569</v>
      </c>
      <c r="AD22" s="698">
        <f t="shared" si="25"/>
        <v>6.3488578571428569</v>
      </c>
      <c r="AE22" s="698">
        <f t="shared" si="25"/>
        <v>6.3488578571428569</v>
      </c>
      <c r="AF22" s="698">
        <f t="shared" si="25"/>
        <v>6.3488578571428569</v>
      </c>
      <c r="AG22" s="698">
        <f t="shared" si="25"/>
        <v>6.3488578571428569</v>
      </c>
      <c r="AH22" s="698">
        <f t="shared" si="25"/>
        <v>6.3488578571428569</v>
      </c>
      <c r="AI22" s="698">
        <f t="shared" si="25"/>
        <v>6.3488578571428569</v>
      </c>
      <c r="AJ22" s="700">
        <f>H$5/40</f>
        <v>0.4581649999999996</v>
      </c>
      <c r="AK22" s="698">
        <f>AJ22</f>
        <v>0.4581649999999996</v>
      </c>
      <c r="AL22" s="698">
        <f t="shared" si="26"/>
        <v>0.4581649999999996</v>
      </c>
      <c r="AM22" s="698">
        <f t="shared" si="26"/>
        <v>0.4581649999999996</v>
      </c>
      <c r="AN22" s="698">
        <f t="shared" si="26"/>
        <v>0.4581649999999996</v>
      </c>
      <c r="AO22" s="698">
        <f t="shared" si="26"/>
        <v>0.4581649999999996</v>
      </c>
      <c r="AP22" s="698">
        <f t="shared" si="26"/>
        <v>0.4581649999999996</v>
      </c>
      <c r="AQ22" s="698">
        <f t="shared" si="26"/>
        <v>0.4581649999999996</v>
      </c>
      <c r="AR22" s="698">
        <f t="shared" si="26"/>
        <v>0.4581649999999996</v>
      </c>
      <c r="AS22" s="698">
        <f t="shared" si="26"/>
        <v>0.4581649999999996</v>
      </c>
      <c r="AT22" s="698">
        <f t="shared" si="26"/>
        <v>0.4581649999999996</v>
      </c>
      <c r="AU22" s="698">
        <f t="shared" si="26"/>
        <v>0.4581649999999996</v>
      </c>
      <c r="AV22" s="698"/>
      <c r="AW22" s="698"/>
      <c r="AX22" s="698"/>
      <c r="AY22" s="698"/>
      <c r="AZ22" s="698"/>
      <c r="BA22" s="698"/>
      <c r="BB22" s="698"/>
      <c r="BC22" s="698"/>
      <c r="BD22" s="698"/>
      <c r="BE22" s="698"/>
      <c r="BF22" s="698"/>
      <c r="BG22" s="698"/>
      <c r="BH22" s="698"/>
      <c r="BI22" s="698"/>
      <c r="BJ22" s="698"/>
      <c r="BK22" s="698"/>
      <c r="BL22" s="698"/>
      <c r="BM22" s="698"/>
      <c r="BN22" s="698"/>
      <c r="BO22" s="698"/>
      <c r="BP22" s="698"/>
      <c r="BQ22" s="698"/>
      <c r="BR22" s="698"/>
      <c r="BS22" s="698"/>
      <c r="BT22" s="698"/>
      <c r="BU22" s="698"/>
      <c r="BV22" s="698"/>
      <c r="BW22" s="698"/>
      <c r="BX22" s="698"/>
      <c r="BY22" s="698"/>
      <c r="BZ22" s="1083"/>
      <c r="CA22" s="1083"/>
      <c r="CB22" s="698"/>
      <c r="CC22" s="698"/>
      <c r="CD22" s="698"/>
      <c r="CE22" s="698"/>
      <c r="CF22" s="698"/>
      <c r="CG22" s="698"/>
      <c r="CH22" s="698"/>
      <c r="CI22" s="698"/>
      <c r="CJ22" s="699"/>
      <c r="CK22" s="699"/>
      <c r="CL22" s="699"/>
      <c r="CM22" s="699"/>
    </row>
    <row r="23" spans="1:101" outlineLevel="1">
      <c r="A23" s="694" t="s">
        <v>254</v>
      </c>
      <c r="I23" s="700">
        <f>I$4/28+I$5/40</f>
        <v>3.0873714285714291</v>
      </c>
      <c r="J23" s="698">
        <f t="shared" si="24"/>
        <v>3.0873714285714291</v>
      </c>
      <c r="K23" s="698">
        <f t="shared" si="24"/>
        <v>3.0873714285714291</v>
      </c>
      <c r="L23" s="698">
        <f t="shared" si="24"/>
        <v>3.0873714285714291</v>
      </c>
      <c r="M23" s="698">
        <f t="shared" si="24"/>
        <v>3.0873714285714291</v>
      </c>
      <c r="N23" s="698">
        <f t="shared" si="24"/>
        <v>3.0873714285714291</v>
      </c>
      <c r="O23" s="698">
        <f t="shared" si="24"/>
        <v>3.0873714285714291</v>
      </c>
      <c r="P23" s="698">
        <f t="shared" si="24"/>
        <v>3.0873714285714291</v>
      </c>
      <c r="Q23" s="698">
        <f t="shared" si="24"/>
        <v>3.0873714285714291</v>
      </c>
      <c r="R23" s="698">
        <f t="shared" si="24"/>
        <v>3.0873714285714291</v>
      </c>
      <c r="S23" s="698">
        <f t="shared" si="24"/>
        <v>3.0873714285714291</v>
      </c>
      <c r="T23" s="698">
        <f t="shared" si="25"/>
        <v>3.0873714285714291</v>
      </c>
      <c r="U23" s="698">
        <f t="shared" si="25"/>
        <v>3.0873714285714291</v>
      </c>
      <c r="V23" s="698">
        <f t="shared" si="25"/>
        <v>3.0873714285714291</v>
      </c>
      <c r="W23" s="698">
        <f t="shared" si="25"/>
        <v>3.0873714285714291</v>
      </c>
      <c r="X23" s="698">
        <f t="shared" si="25"/>
        <v>3.0873714285714291</v>
      </c>
      <c r="Y23" s="698">
        <f t="shared" si="25"/>
        <v>3.0873714285714291</v>
      </c>
      <c r="Z23" s="698">
        <f t="shared" si="25"/>
        <v>3.0873714285714291</v>
      </c>
      <c r="AA23" s="698">
        <f t="shared" si="25"/>
        <v>3.0873714285714291</v>
      </c>
      <c r="AB23" s="698">
        <f t="shared" si="25"/>
        <v>3.0873714285714291</v>
      </c>
      <c r="AC23" s="698">
        <f t="shared" si="25"/>
        <v>3.0873714285714291</v>
      </c>
      <c r="AD23" s="698">
        <f t="shared" si="25"/>
        <v>3.0873714285714291</v>
      </c>
      <c r="AE23" s="698">
        <f t="shared" si="25"/>
        <v>3.0873714285714291</v>
      </c>
      <c r="AF23" s="698">
        <f t="shared" si="25"/>
        <v>3.0873714285714291</v>
      </c>
      <c r="AG23" s="698">
        <f t="shared" si="25"/>
        <v>3.0873714285714291</v>
      </c>
      <c r="AH23" s="698">
        <f t="shared" si="25"/>
        <v>3.0873714285714291</v>
      </c>
      <c r="AI23" s="698">
        <f t="shared" si="25"/>
        <v>3.0873714285714291</v>
      </c>
      <c r="AJ23" s="698">
        <f t="shared" ref="AJ23:AW38" si="27">AI23</f>
        <v>3.0873714285714291</v>
      </c>
      <c r="AK23" s="700">
        <f>I$5/40</f>
        <v>0.2227999999999998</v>
      </c>
      <c r="AL23" s="698">
        <f>AK23</f>
        <v>0.2227999999999998</v>
      </c>
      <c r="AM23" s="698">
        <f t="shared" si="26"/>
        <v>0.2227999999999998</v>
      </c>
      <c r="AN23" s="698">
        <f t="shared" si="26"/>
        <v>0.2227999999999998</v>
      </c>
      <c r="AO23" s="698">
        <f t="shared" si="26"/>
        <v>0.2227999999999998</v>
      </c>
      <c r="AP23" s="698">
        <f t="shared" si="26"/>
        <v>0.2227999999999998</v>
      </c>
      <c r="AQ23" s="698">
        <f t="shared" si="26"/>
        <v>0.2227999999999998</v>
      </c>
      <c r="AR23" s="698">
        <f t="shared" si="26"/>
        <v>0.2227999999999998</v>
      </c>
      <c r="AS23" s="698">
        <f t="shared" si="26"/>
        <v>0.2227999999999998</v>
      </c>
      <c r="AT23" s="698">
        <f t="shared" si="26"/>
        <v>0.2227999999999998</v>
      </c>
      <c r="AU23" s="698">
        <f t="shared" si="26"/>
        <v>0.2227999999999998</v>
      </c>
      <c r="AV23" s="698">
        <f t="shared" si="26"/>
        <v>0.2227999999999998</v>
      </c>
      <c r="AW23" s="698"/>
      <c r="AX23" s="698"/>
      <c r="AY23" s="698"/>
      <c r="AZ23" s="698"/>
      <c r="BA23" s="698"/>
      <c r="BB23" s="698"/>
      <c r="BC23" s="698"/>
      <c r="BD23" s="698"/>
      <c r="BE23" s="698"/>
      <c r="BF23" s="698"/>
      <c r="BG23" s="698"/>
      <c r="BH23" s="698"/>
      <c r="BI23" s="698"/>
      <c r="BJ23" s="698"/>
      <c r="BK23" s="698"/>
      <c r="BL23" s="698"/>
      <c r="BM23" s="698"/>
      <c r="BN23" s="698"/>
      <c r="BO23" s="698"/>
      <c r="BP23" s="698"/>
      <c r="BQ23" s="698"/>
      <c r="BR23" s="698"/>
      <c r="BS23" s="698"/>
      <c r="BT23" s="698"/>
      <c r="BU23" s="698"/>
      <c r="BV23" s="698"/>
      <c r="BW23" s="698"/>
      <c r="BX23" s="698"/>
      <c r="BY23" s="698"/>
      <c r="BZ23" s="1083"/>
      <c r="CA23" s="1083"/>
      <c r="CB23" s="698"/>
      <c r="CC23" s="698"/>
      <c r="CD23" s="698"/>
      <c r="CE23" s="698"/>
      <c r="CF23" s="698"/>
      <c r="CG23" s="698"/>
      <c r="CH23" s="698"/>
      <c r="CI23" s="698"/>
      <c r="CJ23" s="698"/>
      <c r="CK23" s="698"/>
      <c r="CL23" s="698"/>
      <c r="CM23" s="698"/>
    </row>
    <row r="24" spans="1:101" outlineLevel="1">
      <c r="A24" s="694" t="s">
        <v>255</v>
      </c>
      <c r="J24" s="700">
        <f>J$4/28+J$5/40</f>
        <v>4.0312507142857141</v>
      </c>
      <c r="K24" s="698">
        <f t="shared" si="24"/>
        <v>4.0312507142857141</v>
      </c>
      <c r="L24" s="698">
        <f t="shared" si="24"/>
        <v>4.0312507142857141</v>
      </c>
      <c r="M24" s="698">
        <f t="shared" si="24"/>
        <v>4.0312507142857141</v>
      </c>
      <c r="N24" s="698">
        <f t="shared" si="24"/>
        <v>4.0312507142857141</v>
      </c>
      <c r="O24" s="698">
        <f t="shared" si="24"/>
        <v>4.0312507142857141</v>
      </c>
      <c r="P24" s="698">
        <f t="shared" si="24"/>
        <v>4.0312507142857141</v>
      </c>
      <c r="Q24" s="698">
        <f t="shared" si="24"/>
        <v>4.0312507142857141</v>
      </c>
      <c r="R24" s="698">
        <f t="shared" si="24"/>
        <v>4.0312507142857141</v>
      </c>
      <c r="S24" s="698">
        <f t="shared" si="24"/>
        <v>4.0312507142857141</v>
      </c>
      <c r="T24" s="698">
        <f t="shared" si="25"/>
        <v>4.0312507142857141</v>
      </c>
      <c r="U24" s="698">
        <f t="shared" si="25"/>
        <v>4.0312507142857141</v>
      </c>
      <c r="V24" s="698">
        <f t="shared" si="25"/>
        <v>4.0312507142857141</v>
      </c>
      <c r="W24" s="698">
        <f t="shared" si="25"/>
        <v>4.0312507142857141</v>
      </c>
      <c r="X24" s="698">
        <f t="shared" si="25"/>
        <v>4.0312507142857141</v>
      </c>
      <c r="Y24" s="698">
        <f t="shared" si="25"/>
        <v>4.0312507142857141</v>
      </c>
      <c r="Z24" s="698">
        <f t="shared" si="25"/>
        <v>4.0312507142857141</v>
      </c>
      <c r="AA24" s="698">
        <f t="shared" si="25"/>
        <v>4.0312507142857141</v>
      </c>
      <c r="AB24" s="698">
        <f t="shared" si="25"/>
        <v>4.0312507142857141</v>
      </c>
      <c r="AC24" s="698">
        <f t="shared" si="25"/>
        <v>4.0312507142857141</v>
      </c>
      <c r="AD24" s="698">
        <f t="shared" si="25"/>
        <v>4.0312507142857141</v>
      </c>
      <c r="AE24" s="698">
        <f t="shared" si="25"/>
        <v>4.0312507142857141</v>
      </c>
      <c r="AF24" s="698">
        <f t="shared" si="25"/>
        <v>4.0312507142857141</v>
      </c>
      <c r="AG24" s="698">
        <f t="shared" si="25"/>
        <v>4.0312507142857141</v>
      </c>
      <c r="AH24" s="698">
        <f t="shared" si="25"/>
        <v>4.0312507142857141</v>
      </c>
      <c r="AI24" s="698">
        <f t="shared" si="25"/>
        <v>4.0312507142857141</v>
      </c>
      <c r="AJ24" s="698">
        <f t="shared" si="27"/>
        <v>4.0312507142857141</v>
      </c>
      <c r="AK24" s="698">
        <f t="shared" si="27"/>
        <v>4.0312507142857141</v>
      </c>
      <c r="AL24" s="700">
        <f>J$5/40</f>
        <v>0.29091500000000003</v>
      </c>
      <c r="AM24" s="698">
        <f>AL24</f>
        <v>0.29091500000000003</v>
      </c>
      <c r="AN24" s="698">
        <f t="shared" si="26"/>
        <v>0.29091500000000003</v>
      </c>
      <c r="AO24" s="698">
        <f t="shared" si="26"/>
        <v>0.29091500000000003</v>
      </c>
      <c r="AP24" s="698">
        <f t="shared" si="26"/>
        <v>0.29091500000000003</v>
      </c>
      <c r="AQ24" s="698">
        <f t="shared" si="26"/>
        <v>0.29091500000000003</v>
      </c>
      <c r="AR24" s="698">
        <f t="shared" si="26"/>
        <v>0.29091500000000003</v>
      </c>
      <c r="AS24" s="698">
        <f t="shared" si="26"/>
        <v>0.29091500000000003</v>
      </c>
      <c r="AT24" s="698">
        <f t="shared" si="26"/>
        <v>0.29091500000000003</v>
      </c>
      <c r="AU24" s="698">
        <f t="shared" si="26"/>
        <v>0.29091500000000003</v>
      </c>
      <c r="AV24" s="698">
        <f t="shared" si="26"/>
        <v>0.29091500000000003</v>
      </c>
      <c r="AW24" s="698">
        <f t="shared" si="26"/>
        <v>0.29091500000000003</v>
      </c>
      <c r="AX24" s="698"/>
      <c r="AY24" s="698"/>
      <c r="AZ24" s="698"/>
      <c r="BA24" s="698"/>
      <c r="BB24" s="698"/>
      <c r="BC24" s="698"/>
      <c r="BD24" s="698"/>
      <c r="BE24" s="698"/>
      <c r="BF24" s="698"/>
      <c r="BG24" s="698"/>
      <c r="BH24" s="698"/>
      <c r="BI24" s="698"/>
      <c r="BJ24" s="698"/>
      <c r="BK24" s="698"/>
      <c r="BL24" s="698"/>
      <c r="BM24" s="698"/>
      <c r="BN24" s="698"/>
      <c r="BO24" s="698"/>
      <c r="BP24" s="698"/>
      <c r="BQ24" s="698"/>
      <c r="BR24" s="698"/>
      <c r="BS24" s="698"/>
      <c r="BT24" s="698"/>
      <c r="BU24" s="698"/>
      <c r="BV24" s="698"/>
      <c r="BW24" s="698"/>
      <c r="BX24" s="698"/>
      <c r="BY24" s="698"/>
      <c r="BZ24" s="1083"/>
      <c r="CA24" s="1083"/>
      <c r="CB24" s="698"/>
      <c r="CC24" s="698"/>
      <c r="CD24" s="698"/>
      <c r="CE24" s="698"/>
      <c r="CF24" s="698"/>
      <c r="CG24" s="698"/>
      <c r="CH24" s="698"/>
      <c r="CI24" s="698"/>
      <c r="CJ24" s="698"/>
      <c r="CK24" s="698"/>
      <c r="CL24" s="698"/>
      <c r="CM24" s="698"/>
      <c r="CN24" s="698"/>
      <c r="CO24" s="698"/>
      <c r="CP24" s="698"/>
      <c r="CQ24" s="698"/>
      <c r="CR24" s="698"/>
      <c r="CS24" s="698"/>
      <c r="CT24" s="698"/>
      <c r="CU24" s="698"/>
    </row>
    <row r="25" spans="1:101" outlineLevel="1">
      <c r="A25" s="694" t="s">
        <v>256</v>
      </c>
      <c r="K25" s="700">
        <f>K$4/28+K$5/40</f>
        <v>2.8425850000000001</v>
      </c>
      <c r="L25" s="698">
        <f t="shared" si="24"/>
        <v>2.8425850000000001</v>
      </c>
      <c r="M25" s="698">
        <f t="shared" si="24"/>
        <v>2.8425850000000001</v>
      </c>
      <c r="N25" s="698">
        <f t="shared" si="24"/>
        <v>2.8425850000000001</v>
      </c>
      <c r="O25" s="698">
        <f t="shared" si="24"/>
        <v>2.8425850000000001</v>
      </c>
      <c r="P25" s="698">
        <f t="shared" si="24"/>
        <v>2.8425850000000001</v>
      </c>
      <c r="Q25" s="698">
        <f t="shared" si="24"/>
        <v>2.8425850000000001</v>
      </c>
      <c r="R25" s="698">
        <f t="shared" si="24"/>
        <v>2.8425850000000001</v>
      </c>
      <c r="S25" s="698">
        <f t="shared" si="24"/>
        <v>2.8425850000000001</v>
      </c>
      <c r="T25" s="698">
        <f t="shared" si="25"/>
        <v>2.8425850000000001</v>
      </c>
      <c r="U25" s="698">
        <f t="shared" si="25"/>
        <v>2.8425850000000001</v>
      </c>
      <c r="V25" s="698">
        <f t="shared" si="25"/>
        <v>2.8425850000000001</v>
      </c>
      <c r="W25" s="698">
        <f t="shared" si="25"/>
        <v>2.8425850000000001</v>
      </c>
      <c r="X25" s="698">
        <f t="shared" si="25"/>
        <v>2.8425850000000001</v>
      </c>
      <c r="Y25" s="698">
        <f t="shared" si="25"/>
        <v>2.8425850000000001</v>
      </c>
      <c r="Z25" s="698">
        <f t="shared" si="25"/>
        <v>2.8425850000000001</v>
      </c>
      <c r="AA25" s="698">
        <f t="shared" si="25"/>
        <v>2.8425850000000001</v>
      </c>
      <c r="AB25" s="698">
        <f t="shared" si="25"/>
        <v>2.8425850000000001</v>
      </c>
      <c r="AC25" s="698">
        <f t="shared" si="25"/>
        <v>2.8425850000000001</v>
      </c>
      <c r="AD25" s="698">
        <f t="shared" si="25"/>
        <v>2.8425850000000001</v>
      </c>
      <c r="AE25" s="698">
        <f t="shared" si="25"/>
        <v>2.8425850000000001</v>
      </c>
      <c r="AF25" s="698">
        <f t="shared" si="25"/>
        <v>2.8425850000000001</v>
      </c>
      <c r="AG25" s="698">
        <f t="shared" si="25"/>
        <v>2.8425850000000001</v>
      </c>
      <c r="AH25" s="698">
        <f t="shared" si="25"/>
        <v>2.8425850000000001</v>
      </c>
      <c r="AI25" s="698">
        <f t="shared" si="25"/>
        <v>2.8425850000000001</v>
      </c>
      <c r="AJ25" s="698">
        <f t="shared" si="27"/>
        <v>2.8425850000000001</v>
      </c>
      <c r="AK25" s="698">
        <f t="shared" si="27"/>
        <v>2.8425850000000001</v>
      </c>
      <c r="AL25" s="698">
        <f t="shared" si="27"/>
        <v>2.8425850000000001</v>
      </c>
      <c r="AM25" s="700">
        <f>K$5/40</f>
        <v>0.20513499999999993</v>
      </c>
      <c r="AN25" s="698">
        <f>AM25</f>
        <v>0.20513499999999993</v>
      </c>
      <c r="AO25" s="698">
        <f t="shared" si="26"/>
        <v>0.20513499999999993</v>
      </c>
      <c r="AP25" s="698">
        <f t="shared" si="26"/>
        <v>0.20513499999999993</v>
      </c>
      <c r="AQ25" s="698">
        <f t="shared" si="26"/>
        <v>0.20513499999999993</v>
      </c>
      <c r="AR25" s="698">
        <f t="shared" si="26"/>
        <v>0.20513499999999993</v>
      </c>
      <c r="AS25" s="698">
        <f t="shared" si="26"/>
        <v>0.20513499999999993</v>
      </c>
      <c r="AT25" s="698">
        <f t="shared" si="26"/>
        <v>0.20513499999999993</v>
      </c>
      <c r="AU25" s="698">
        <f t="shared" si="26"/>
        <v>0.20513499999999993</v>
      </c>
      <c r="AV25" s="698">
        <f t="shared" si="26"/>
        <v>0.20513499999999993</v>
      </c>
      <c r="AW25" s="698">
        <f t="shared" si="26"/>
        <v>0.20513499999999993</v>
      </c>
      <c r="AX25" s="698">
        <f t="shared" ref="AX25:AX34" si="28">AW25</f>
        <v>0.20513499999999993</v>
      </c>
      <c r="AY25" s="698"/>
      <c r="AZ25" s="698"/>
      <c r="BA25" s="698"/>
      <c r="BB25" s="698"/>
      <c r="BC25" s="698"/>
      <c r="BD25" s="698"/>
      <c r="BE25" s="698"/>
      <c r="BF25" s="698"/>
      <c r="BG25" s="698"/>
      <c r="BH25" s="698"/>
      <c r="BI25" s="698"/>
      <c r="BJ25" s="698"/>
      <c r="BK25" s="698"/>
      <c r="BL25" s="698"/>
      <c r="BM25" s="698"/>
      <c r="BN25" s="698"/>
      <c r="BO25" s="698"/>
      <c r="BP25" s="698"/>
      <c r="BQ25" s="698"/>
      <c r="BR25" s="698"/>
      <c r="BS25" s="698"/>
      <c r="BT25" s="698"/>
      <c r="BU25" s="698"/>
      <c r="BV25" s="698"/>
      <c r="BW25" s="698"/>
      <c r="BX25" s="698"/>
      <c r="BY25" s="698"/>
      <c r="BZ25" s="1083"/>
      <c r="CA25" s="1083"/>
      <c r="CB25" s="1018" t="s">
        <v>1130</v>
      </c>
      <c r="CC25" s="698"/>
      <c r="CD25" s="698"/>
      <c r="CE25" s="698"/>
      <c r="CF25" s="698"/>
      <c r="CG25" s="698"/>
      <c r="CH25" s="698"/>
      <c r="CI25" s="698"/>
      <c r="CJ25" s="698"/>
      <c r="CK25" s="698"/>
      <c r="CL25" s="698"/>
      <c r="CM25" s="698"/>
      <c r="CN25" s="698"/>
      <c r="CO25" s="698"/>
      <c r="CP25" s="698"/>
      <c r="CQ25" s="698"/>
      <c r="CR25" s="698"/>
      <c r="CS25" s="698"/>
      <c r="CT25" s="698"/>
      <c r="CU25" s="698"/>
      <c r="CW25" s="698"/>
    </row>
    <row r="26" spans="1:101" outlineLevel="1">
      <c r="A26" s="694" t="s">
        <v>257</v>
      </c>
      <c r="L26" s="700">
        <f>L$4/28+L$5/40</f>
        <v>4.0659974999999999</v>
      </c>
      <c r="M26" s="698">
        <f t="shared" si="24"/>
        <v>4.0659974999999999</v>
      </c>
      <c r="N26" s="698">
        <f t="shared" si="24"/>
        <v>4.0659974999999999</v>
      </c>
      <c r="O26" s="698">
        <f t="shared" si="24"/>
        <v>4.0659974999999999</v>
      </c>
      <c r="P26" s="698">
        <f t="shared" si="24"/>
        <v>4.0659974999999999</v>
      </c>
      <c r="Q26" s="698">
        <f t="shared" si="24"/>
        <v>4.0659974999999999</v>
      </c>
      <c r="R26" s="698">
        <f t="shared" si="24"/>
        <v>4.0659974999999999</v>
      </c>
      <c r="S26" s="698">
        <f t="shared" si="24"/>
        <v>4.0659974999999999</v>
      </c>
      <c r="T26" s="698">
        <f t="shared" si="25"/>
        <v>4.0659974999999999</v>
      </c>
      <c r="U26" s="698">
        <f t="shared" si="25"/>
        <v>4.0659974999999999</v>
      </c>
      <c r="V26" s="698">
        <f t="shared" si="25"/>
        <v>4.0659974999999999</v>
      </c>
      <c r="W26" s="698">
        <f t="shared" si="25"/>
        <v>4.0659974999999999</v>
      </c>
      <c r="X26" s="698">
        <f t="shared" si="25"/>
        <v>4.0659974999999999</v>
      </c>
      <c r="Y26" s="698">
        <f t="shared" si="25"/>
        <v>4.0659974999999999</v>
      </c>
      <c r="Z26" s="698">
        <f t="shared" si="25"/>
        <v>4.0659974999999999</v>
      </c>
      <c r="AA26" s="698">
        <f t="shared" si="25"/>
        <v>4.0659974999999999</v>
      </c>
      <c r="AB26" s="698">
        <f t="shared" si="25"/>
        <v>4.0659974999999999</v>
      </c>
      <c r="AC26" s="698">
        <f t="shared" si="25"/>
        <v>4.0659974999999999</v>
      </c>
      <c r="AD26" s="698">
        <f t="shared" si="25"/>
        <v>4.0659974999999999</v>
      </c>
      <c r="AE26" s="698">
        <f t="shared" si="25"/>
        <v>4.0659974999999999</v>
      </c>
      <c r="AF26" s="698">
        <f t="shared" si="25"/>
        <v>4.0659974999999999</v>
      </c>
      <c r="AG26" s="698">
        <f t="shared" si="25"/>
        <v>4.0659974999999999</v>
      </c>
      <c r="AH26" s="698">
        <f t="shared" si="25"/>
        <v>4.0659974999999999</v>
      </c>
      <c r="AI26" s="698">
        <f t="shared" si="25"/>
        <v>4.0659974999999999</v>
      </c>
      <c r="AJ26" s="698">
        <f t="shared" si="27"/>
        <v>4.0659974999999999</v>
      </c>
      <c r="AK26" s="698">
        <f t="shared" si="27"/>
        <v>4.0659974999999999</v>
      </c>
      <c r="AL26" s="698">
        <f t="shared" si="27"/>
        <v>4.0659974999999999</v>
      </c>
      <c r="AM26" s="698">
        <f t="shared" si="27"/>
        <v>4.0659974999999999</v>
      </c>
      <c r="AN26" s="700">
        <f>L$5/40</f>
        <v>0.29342249999999981</v>
      </c>
      <c r="AO26" s="698">
        <f>AN26</f>
        <v>0.29342249999999981</v>
      </c>
      <c r="AP26" s="698">
        <f t="shared" si="26"/>
        <v>0.29342249999999981</v>
      </c>
      <c r="AQ26" s="698">
        <f t="shared" si="26"/>
        <v>0.29342249999999981</v>
      </c>
      <c r="AR26" s="698">
        <f t="shared" si="26"/>
        <v>0.29342249999999981</v>
      </c>
      <c r="AS26" s="698">
        <f t="shared" si="26"/>
        <v>0.29342249999999981</v>
      </c>
      <c r="AT26" s="698">
        <f t="shared" si="26"/>
        <v>0.29342249999999981</v>
      </c>
      <c r="AU26" s="698">
        <f t="shared" si="26"/>
        <v>0.29342249999999981</v>
      </c>
      <c r="AV26" s="698">
        <f t="shared" si="26"/>
        <v>0.29342249999999981</v>
      </c>
      <c r="AW26" s="698">
        <f t="shared" si="26"/>
        <v>0.29342249999999981</v>
      </c>
      <c r="AX26" s="698">
        <f t="shared" si="28"/>
        <v>0.29342249999999981</v>
      </c>
      <c r="AY26" s="698">
        <f t="shared" ref="AY26:AY35" si="29">AX26</f>
        <v>0.29342249999999981</v>
      </c>
      <c r="AZ26" s="698"/>
      <c r="BA26" s="698"/>
      <c r="BB26" s="698"/>
      <c r="BC26" s="698"/>
      <c r="BD26" s="698"/>
      <c r="BE26" s="698"/>
      <c r="BF26" s="698"/>
      <c r="BG26" s="698"/>
      <c r="BH26" s="698"/>
      <c r="BI26" s="698"/>
      <c r="BJ26" s="698"/>
      <c r="BK26" s="698"/>
      <c r="BL26" s="698"/>
      <c r="BM26" s="698"/>
      <c r="BN26" s="698"/>
      <c r="BO26" s="698"/>
      <c r="BP26" s="698"/>
      <c r="BQ26" s="698"/>
      <c r="BR26" s="698"/>
      <c r="BS26" s="698"/>
      <c r="BT26" s="698"/>
      <c r="BU26" s="698"/>
      <c r="BV26" s="698"/>
      <c r="BW26" s="698"/>
      <c r="BX26" s="698"/>
      <c r="BY26" s="698"/>
      <c r="BZ26" s="1083"/>
      <c r="CA26" s="1083"/>
      <c r="CC26" s="1018"/>
      <c r="CD26" s="1018"/>
      <c r="CE26" s="1018"/>
      <c r="CF26" s="1018"/>
      <c r="CG26" s="1018"/>
      <c r="CH26" s="1018"/>
      <c r="CI26" s="1018"/>
      <c r="CJ26" s="1019">
        <v>2017</v>
      </c>
      <c r="CK26" s="1019">
        <v>2018</v>
      </c>
      <c r="CL26" s="1019">
        <v>2019</v>
      </c>
      <c r="CM26" s="1019">
        <v>2020</v>
      </c>
      <c r="CN26" s="1019">
        <v>2021</v>
      </c>
      <c r="CO26" s="1019">
        <v>2022</v>
      </c>
      <c r="CP26" s="1019" t="s">
        <v>1033</v>
      </c>
      <c r="CQ26" s="1019">
        <v>2024</v>
      </c>
      <c r="CR26" s="1019">
        <v>2025</v>
      </c>
      <c r="CS26" s="1021"/>
      <c r="CT26" s="698"/>
      <c r="CU26" s="698"/>
      <c r="CV26" s="698"/>
      <c r="CW26" s="698"/>
    </row>
    <row r="27" spans="1:101" outlineLevel="1">
      <c r="A27" s="694" t="s">
        <v>258</v>
      </c>
      <c r="M27" s="700">
        <f>M$4/28+M$5/40</f>
        <v>3.3739371428571427</v>
      </c>
      <c r="N27" s="698">
        <f t="shared" si="24"/>
        <v>3.3739371428571427</v>
      </c>
      <c r="O27" s="698">
        <f t="shared" si="24"/>
        <v>3.3739371428571427</v>
      </c>
      <c r="P27" s="698">
        <f t="shared" si="24"/>
        <v>3.3739371428571427</v>
      </c>
      <c r="Q27" s="698">
        <f t="shared" si="24"/>
        <v>3.3739371428571427</v>
      </c>
      <c r="R27" s="698">
        <f t="shared" si="24"/>
        <v>3.3739371428571427</v>
      </c>
      <c r="S27" s="698">
        <f t="shared" si="24"/>
        <v>3.3739371428571427</v>
      </c>
      <c r="T27" s="698">
        <f t="shared" si="25"/>
        <v>3.3739371428571427</v>
      </c>
      <c r="U27" s="698">
        <f t="shared" si="25"/>
        <v>3.3739371428571427</v>
      </c>
      <c r="V27" s="698">
        <f t="shared" si="25"/>
        <v>3.3739371428571427</v>
      </c>
      <c r="W27" s="698">
        <f t="shared" si="25"/>
        <v>3.3739371428571427</v>
      </c>
      <c r="X27" s="698">
        <f t="shared" si="25"/>
        <v>3.3739371428571427</v>
      </c>
      <c r="Y27" s="698">
        <f t="shared" si="25"/>
        <v>3.3739371428571427</v>
      </c>
      <c r="Z27" s="698">
        <f t="shared" si="25"/>
        <v>3.3739371428571427</v>
      </c>
      <c r="AA27" s="698">
        <f t="shared" si="25"/>
        <v>3.3739371428571427</v>
      </c>
      <c r="AB27" s="698">
        <f t="shared" si="25"/>
        <v>3.3739371428571427</v>
      </c>
      <c r="AC27" s="698">
        <f t="shared" si="25"/>
        <v>3.3739371428571427</v>
      </c>
      <c r="AD27" s="698">
        <f t="shared" si="25"/>
        <v>3.3739371428571427</v>
      </c>
      <c r="AE27" s="698">
        <f t="shared" si="25"/>
        <v>3.3739371428571427</v>
      </c>
      <c r="AF27" s="698">
        <f t="shared" si="25"/>
        <v>3.3739371428571427</v>
      </c>
      <c r="AG27" s="698">
        <f t="shared" si="25"/>
        <v>3.3739371428571427</v>
      </c>
      <c r="AH27" s="698">
        <f t="shared" si="25"/>
        <v>3.3739371428571427</v>
      </c>
      <c r="AI27" s="698">
        <f t="shared" si="25"/>
        <v>3.3739371428571427</v>
      </c>
      <c r="AJ27" s="698">
        <f t="shared" si="27"/>
        <v>3.3739371428571427</v>
      </c>
      <c r="AK27" s="698">
        <f t="shared" si="27"/>
        <v>3.3739371428571427</v>
      </c>
      <c r="AL27" s="698">
        <f t="shared" si="27"/>
        <v>3.3739371428571427</v>
      </c>
      <c r="AM27" s="698">
        <f t="shared" si="27"/>
        <v>3.3739371428571427</v>
      </c>
      <c r="AN27" s="698">
        <f t="shared" si="27"/>
        <v>3.3739371428571427</v>
      </c>
      <c r="AO27" s="700">
        <f>M$5/40</f>
        <v>0.24347999999999992</v>
      </c>
      <c r="AP27" s="698">
        <f>AO27</f>
        <v>0.24347999999999992</v>
      </c>
      <c r="AQ27" s="698">
        <f t="shared" si="26"/>
        <v>0.24347999999999992</v>
      </c>
      <c r="AR27" s="698">
        <f t="shared" si="26"/>
        <v>0.24347999999999992</v>
      </c>
      <c r="AS27" s="698">
        <f t="shared" si="26"/>
        <v>0.24347999999999992</v>
      </c>
      <c r="AT27" s="698">
        <f t="shared" si="26"/>
        <v>0.24347999999999992</v>
      </c>
      <c r="AU27" s="698">
        <f t="shared" si="26"/>
        <v>0.24347999999999992</v>
      </c>
      <c r="AV27" s="698">
        <f t="shared" si="26"/>
        <v>0.24347999999999992</v>
      </c>
      <c r="AW27" s="698">
        <f t="shared" si="26"/>
        <v>0.24347999999999992</v>
      </c>
      <c r="AX27" s="698">
        <f t="shared" si="28"/>
        <v>0.24347999999999992</v>
      </c>
      <c r="AY27" s="698">
        <f t="shared" si="29"/>
        <v>0.24347999999999992</v>
      </c>
      <c r="AZ27" s="698">
        <f t="shared" ref="AZ27:AZ36" si="30">AY27</f>
        <v>0.24347999999999992</v>
      </c>
      <c r="BA27" s="698"/>
      <c r="BB27" s="698"/>
      <c r="BC27" s="698"/>
      <c r="BD27" s="698"/>
      <c r="BE27" s="698"/>
      <c r="BF27" s="698"/>
      <c r="BG27" s="698"/>
      <c r="BH27" s="698"/>
      <c r="BI27" s="698"/>
      <c r="BJ27" s="698"/>
      <c r="BK27" s="698"/>
      <c r="BL27" s="698"/>
      <c r="BM27" s="698"/>
      <c r="BN27" s="698"/>
      <c r="BO27" s="698"/>
      <c r="BP27" s="698"/>
      <c r="BQ27" s="698"/>
      <c r="BR27" s="698"/>
      <c r="BS27" s="698"/>
      <c r="BT27" s="698"/>
      <c r="BU27" s="698"/>
      <c r="BV27" s="698"/>
      <c r="BW27" s="698"/>
      <c r="BX27" s="698"/>
      <c r="BY27" s="698"/>
      <c r="BZ27" s="1083"/>
      <c r="CA27" s="1083"/>
      <c r="CB27" s="698" t="s">
        <v>1136</v>
      </c>
      <c r="CC27" s="698"/>
      <c r="CD27" s="698"/>
      <c r="CE27" s="698"/>
      <c r="CF27" s="698"/>
      <c r="CG27" s="698"/>
      <c r="CH27" s="698"/>
      <c r="CI27" s="698"/>
      <c r="CJ27" s="697">
        <f t="shared" ref="CJ27:CR27" si="31">CJ9</f>
        <v>2341.8990000000003</v>
      </c>
      <c r="CK27" s="697">
        <f t="shared" si="31"/>
        <v>1808.2529999999999</v>
      </c>
      <c r="CL27" s="697">
        <f t="shared" si="31"/>
        <v>2029.3000000000002</v>
      </c>
      <c r="CM27" s="697">
        <f t="shared" si="31"/>
        <v>5732.7999999999993</v>
      </c>
      <c r="CN27" s="697">
        <f t="shared" si="31"/>
        <v>4515.8</v>
      </c>
      <c r="CO27" s="697">
        <f t="shared" si="31"/>
        <v>6350.7000000000007</v>
      </c>
      <c r="CP27" s="697">
        <f t="shared" si="31"/>
        <v>7465.6999999999989</v>
      </c>
      <c r="CQ27" s="697">
        <f t="shared" si="31"/>
        <v>7325.7999999999993</v>
      </c>
      <c r="CR27" s="697">
        <f t="shared" si="31"/>
        <v>8102.2999999999993</v>
      </c>
      <c r="CS27" s="1012"/>
      <c r="CT27" s="698"/>
      <c r="CU27" s="698"/>
      <c r="CV27" s="698"/>
      <c r="CW27" s="698"/>
    </row>
    <row r="28" spans="1:101" outlineLevel="1">
      <c r="A28" s="694" t="s">
        <v>259</v>
      </c>
      <c r="N28" s="700">
        <f>N$4/28+N$5/40</f>
        <v>4.265644285714286</v>
      </c>
      <c r="O28" s="698">
        <f t="shared" si="24"/>
        <v>4.265644285714286</v>
      </c>
      <c r="P28" s="698">
        <f t="shared" si="24"/>
        <v>4.265644285714286</v>
      </c>
      <c r="Q28" s="698">
        <f t="shared" si="24"/>
        <v>4.265644285714286</v>
      </c>
      <c r="R28" s="698">
        <f t="shared" si="24"/>
        <v>4.265644285714286</v>
      </c>
      <c r="S28" s="698">
        <f t="shared" si="24"/>
        <v>4.265644285714286</v>
      </c>
      <c r="T28" s="698">
        <f t="shared" si="25"/>
        <v>4.265644285714286</v>
      </c>
      <c r="U28" s="698">
        <f t="shared" si="25"/>
        <v>4.265644285714286</v>
      </c>
      <c r="V28" s="698">
        <f t="shared" si="25"/>
        <v>4.265644285714286</v>
      </c>
      <c r="W28" s="698">
        <f t="shared" si="25"/>
        <v>4.265644285714286</v>
      </c>
      <c r="X28" s="698">
        <f t="shared" si="25"/>
        <v>4.265644285714286</v>
      </c>
      <c r="Y28" s="698">
        <f t="shared" si="25"/>
        <v>4.265644285714286</v>
      </c>
      <c r="Z28" s="698">
        <f t="shared" si="25"/>
        <v>4.265644285714286</v>
      </c>
      <c r="AA28" s="698">
        <f t="shared" si="25"/>
        <v>4.265644285714286</v>
      </c>
      <c r="AB28" s="698">
        <f t="shared" si="25"/>
        <v>4.265644285714286</v>
      </c>
      <c r="AC28" s="698">
        <f t="shared" si="25"/>
        <v>4.265644285714286</v>
      </c>
      <c r="AD28" s="698">
        <f t="shared" si="25"/>
        <v>4.265644285714286</v>
      </c>
      <c r="AE28" s="698">
        <f t="shared" si="25"/>
        <v>4.265644285714286</v>
      </c>
      <c r="AF28" s="698">
        <f t="shared" si="25"/>
        <v>4.265644285714286</v>
      </c>
      <c r="AG28" s="698">
        <f t="shared" si="25"/>
        <v>4.265644285714286</v>
      </c>
      <c r="AH28" s="698">
        <f t="shared" si="25"/>
        <v>4.265644285714286</v>
      </c>
      <c r="AI28" s="698">
        <f t="shared" si="25"/>
        <v>4.265644285714286</v>
      </c>
      <c r="AJ28" s="698">
        <f t="shared" si="27"/>
        <v>4.265644285714286</v>
      </c>
      <c r="AK28" s="698">
        <f t="shared" si="27"/>
        <v>4.265644285714286</v>
      </c>
      <c r="AL28" s="698">
        <f t="shared" si="27"/>
        <v>4.265644285714286</v>
      </c>
      <c r="AM28" s="698">
        <f t="shared" si="27"/>
        <v>4.265644285714286</v>
      </c>
      <c r="AN28" s="698">
        <f t="shared" si="27"/>
        <v>4.265644285714286</v>
      </c>
      <c r="AO28" s="698">
        <f t="shared" si="27"/>
        <v>4.265644285714286</v>
      </c>
      <c r="AP28" s="700">
        <f>N$5/40</f>
        <v>0.30782999999999988</v>
      </c>
      <c r="AQ28" s="698">
        <f>AP28</f>
        <v>0.30782999999999988</v>
      </c>
      <c r="AR28" s="698">
        <f t="shared" si="26"/>
        <v>0.30782999999999988</v>
      </c>
      <c r="AS28" s="698">
        <f t="shared" si="26"/>
        <v>0.30782999999999988</v>
      </c>
      <c r="AT28" s="698">
        <f t="shared" si="26"/>
        <v>0.30782999999999988</v>
      </c>
      <c r="AU28" s="698">
        <f t="shared" si="26"/>
        <v>0.30782999999999988</v>
      </c>
      <c r="AV28" s="698">
        <f t="shared" si="26"/>
        <v>0.30782999999999988</v>
      </c>
      <c r="AW28" s="698">
        <f t="shared" si="26"/>
        <v>0.30782999999999988</v>
      </c>
      <c r="AX28" s="698">
        <f t="shared" si="28"/>
        <v>0.30782999999999988</v>
      </c>
      <c r="AY28" s="698">
        <f t="shared" si="29"/>
        <v>0.30782999999999988</v>
      </c>
      <c r="AZ28" s="698">
        <f t="shared" si="30"/>
        <v>0.30782999999999988</v>
      </c>
      <c r="BA28" s="698">
        <f t="shared" ref="BA28:BA37" si="32">AZ28</f>
        <v>0.30782999999999988</v>
      </c>
      <c r="BB28" s="698"/>
      <c r="BC28" s="698"/>
      <c r="BD28" s="698"/>
      <c r="BE28" s="698"/>
      <c r="BF28" s="698"/>
      <c r="BG28" s="698"/>
      <c r="BH28" s="698"/>
      <c r="BI28" s="698"/>
      <c r="BJ28" s="698"/>
      <c r="BK28" s="698"/>
      <c r="BL28" s="698"/>
      <c r="BM28" s="698"/>
      <c r="BN28" s="698"/>
      <c r="BO28" s="698"/>
      <c r="BP28" s="698"/>
      <c r="BQ28" s="698"/>
      <c r="BR28" s="698"/>
      <c r="BS28" s="698"/>
      <c r="BT28" s="698"/>
      <c r="BU28" s="698"/>
      <c r="BV28" s="698"/>
      <c r="BW28" s="698"/>
      <c r="BX28" s="698"/>
      <c r="BY28" s="698"/>
      <c r="BZ28" s="1083"/>
      <c r="CA28" s="1083"/>
      <c r="CB28" s="1022" t="s">
        <v>1131</v>
      </c>
      <c r="CC28" s="1022"/>
      <c r="CD28" s="1022"/>
      <c r="CE28" s="1022"/>
      <c r="CF28" s="1022"/>
      <c r="CG28" s="1022"/>
      <c r="CH28" s="1022"/>
      <c r="CI28" s="1022"/>
      <c r="CJ28" s="1024">
        <f>Capacity!BJ23</f>
        <v>442750</v>
      </c>
      <c r="CK28" s="1024">
        <f>Capacity!BN23</f>
        <v>451325</v>
      </c>
      <c r="CL28" s="1024">
        <f>Capacity!BR23</f>
        <v>448500</v>
      </c>
      <c r="CM28" s="1024">
        <f>Capacity!BV23</f>
        <v>520750</v>
      </c>
      <c r="CN28" s="1024">
        <f>Capacity!BZ23</f>
        <v>621000</v>
      </c>
      <c r="CO28" s="1024">
        <f>Capacity!CD23</f>
        <v>714000</v>
      </c>
      <c r="CP28" s="1024">
        <f>Capacity!CH23</f>
        <v>805500</v>
      </c>
      <c r="CQ28" s="1024">
        <f>Capacity!CL23</f>
        <v>947625</v>
      </c>
      <c r="CR28" s="1024">
        <f>Capacity!CP23</f>
        <v>1058750</v>
      </c>
      <c r="CS28" s="1028"/>
      <c r="CT28" s="698"/>
      <c r="CU28" s="698"/>
      <c r="CV28" s="698"/>
    </row>
    <row r="29" spans="1:101" outlineLevel="1">
      <c r="A29" s="694" t="s">
        <v>260</v>
      </c>
      <c r="O29" s="700">
        <f>O$4/28+O$5/40</f>
        <v>6.513134285714286</v>
      </c>
      <c r="P29" s="698">
        <f t="shared" si="24"/>
        <v>6.513134285714286</v>
      </c>
      <c r="Q29" s="698">
        <f t="shared" si="24"/>
        <v>6.513134285714286</v>
      </c>
      <c r="R29" s="698">
        <f t="shared" si="24"/>
        <v>6.513134285714286</v>
      </c>
      <c r="S29" s="698">
        <f t="shared" si="24"/>
        <v>6.513134285714286</v>
      </c>
      <c r="T29" s="698">
        <f t="shared" si="25"/>
        <v>6.513134285714286</v>
      </c>
      <c r="U29" s="698">
        <f t="shared" si="25"/>
        <v>6.513134285714286</v>
      </c>
      <c r="V29" s="698">
        <f t="shared" si="25"/>
        <v>6.513134285714286</v>
      </c>
      <c r="W29" s="698">
        <f t="shared" si="25"/>
        <v>6.513134285714286</v>
      </c>
      <c r="X29" s="698">
        <f t="shared" si="25"/>
        <v>6.513134285714286</v>
      </c>
      <c r="Y29" s="698">
        <f t="shared" si="25"/>
        <v>6.513134285714286</v>
      </c>
      <c r="Z29" s="698">
        <f t="shared" si="25"/>
        <v>6.513134285714286</v>
      </c>
      <c r="AA29" s="698">
        <f t="shared" si="25"/>
        <v>6.513134285714286</v>
      </c>
      <c r="AB29" s="698">
        <f t="shared" si="25"/>
        <v>6.513134285714286</v>
      </c>
      <c r="AC29" s="698">
        <f t="shared" si="25"/>
        <v>6.513134285714286</v>
      </c>
      <c r="AD29" s="698">
        <f t="shared" si="25"/>
        <v>6.513134285714286</v>
      </c>
      <c r="AE29" s="698">
        <f t="shared" si="25"/>
        <v>6.513134285714286</v>
      </c>
      <c r="AF29" s="698">
        <f t="shared" si="25"/>
        <v>6.513134285714286</v>
      </c>
      <c r="AG29" s="698">
        <f t="shared" si="25"/>
        <v>6.513134285714286</v>
      </c>
      <c r="AH29" s="698">
        <f t="shared" si="25"/>
        <v>6.513134285714286</v>
      </c>
      <c r="AI29" s="698">
        <f t="shared" si="25"/>
        <v>6.513134285714286</v>
      </c>
      <c r="AJ29" s="698">
        <f t="shared" si="27"/>
        <v>6.513134285714286</v>
      </c>
      <c r="AK29" s="698">
        <f t="shared" si="27"/>
        <v>6.513134285714286</v>
      </c>
      <c r="AL29" s="698">
        <f t="shared" si="27"/>
        <v>6.513134285714286</v>
      </c>
      <c r="AM29" s="698">
        <f t="shared" si="27"/>
        <v>6.513134285714286</v>
      </c>
      <c r="AN29" s="698">
        <f t="shared" si="27"/>
        <v>6.513134285714286</v>
      </c>
      <c r="AO29" s="698">
        <f t="shared" si="27"/>
        <v>6.513134285714286</v>
      </c>
      <c r="AP29" s="698">
        <f t="shared" si="27"/>
        <v>6.513134285714286</v>
      </c>
      <c r="AQ29" s="700">
        <f>O$5/40</f>
        <v>0.47002000000000022</v>
      </c>
      <c r="AR29" s="698">
        <f>AQ29</f>
        <v>0.47002000000000022</v>
      </c>
      <c r="AS29" s="698">
        <f t="shared" si="26"/>
        <v>0.47002000000000022</v>
      </c>
      <c r="AT29" s="698">
        <f t="shared" si="26"/>
        <v>0.47002000000000022</v>
      </c>
      <c r="AU29" s="698">
        <f t="shared" si="26"/>
        <v>0.47002000000000022</v>
      </c>
      <c r="AV29" s="698">
        <f t="shared" si="26"/>
        <v>0.47002000000000022</v>
      </c>
      <c r="AW29" s="698">
        <f t="shared" si="26"/>
        <v>0.47002000000000022</v>
      </c>
      <c r="AX29" s="698">
        <f t="shared" si="28"/>
        <v>0.47002000000000022</v>
      </c>
      <c r="AY29" s="698">
        <f t="shared" si="29"/>
        <v>0.47002000000000022</v>
      </c>
      <c r="AZ29" s="698">
        <f t="shared" si="30"/>
        <v>0.47002000000000022</v>
      </c>
      <c r="BA29" s="698">
        <f t="shared" si="32"/>
        <v>0.47002000000000022</v>
      </c>
      <c r="BB29" s="698">
        <f t="shared" ref="BB29:BB38" si="33">BA29</f>
        <v>0.47002000000000022</v>
      </c>
      <c r="BC29" s="698"/>
      <c r="BD29" s="698"/>
      <c r="BE29" s="698"/>
      <c r="BF29" s="698"/>
      <c r="BG29" s="698"/>
      <c r="BH29" s="698"/>
      <c r="BI29" s="698"/>
      <c r="BJ29" s="698"/>
      <c r="BK29" s="698"/>
      <c r="BL29" s="698"/>
      <c r="BM29" s="698"/>
      <c r="BN29" s="698"/>
      <c r="BO29" s="698"/>
      <c r="BP29" s="698"/>
      <c r="BQ29" s="698"/>
      <c r="BR29" s="698"/>
      <c r="BS29" s="698"/>
      <c r="BT29" s="698"/>
      <c r="BU29" s="698"/>
      <c r="BV29" s="698"/>
      <c r="BW29" s="698"/>
      <c r="BX29" s="698"/>
      <c r="BY29" s="698"/>
      <c r="BZ29" s="1083"/>
      <c r="CA29" s="1083"/>
      <c r="CB29" s="694" t="s">
        <v>1132</v>
      </c>
      <c r="CJ29" s="697"/>
      <c r="CK29" s="1025">
        <f>(CK28-CJ28)/1000</f>
        <v>8.5749999999999993</v>
      </c>
      <c r="CL29" s="1025">
        <f t="shared" ref="CL29:CR29" si="34">(CL28-CK28)/1000</f>
        <v>-2.8250000000000002</v>
      </c>
      <c r="CM29" s="1025">
        <f t="shared" si="34"/>
        <v>72.25</v>
      </c>
      <c r="CN29" s="1025">
        <f t="shared" si="34"/>
        <v>100.25</v>
      </c>
      <c r="CO29" s="1025">
        <f t="shared" si="34"/>
        <v>93</v>
      </c>
      <c r="CP29" s="1025">
        <f t="shared" si="34"/>
        <v>91.5</v>
      </c>
      <c r="CQ29" s="1025">
        <f t="shared" si="34"/>
        <v>142.125</v>
      </c>
      <c r="CR29" s="1025">
        <f t="shared" si="34"/>
        <v>111.125</v>
      </c>
    </row>
    <row r="30" spans="1:101" outlineLevel="1">
      <c r="A30" s="694" t="s">
        <v>261</v>
      </c>
      <c r="P30" s="700">
        <f>P$4/28+P$5/40</f>
        <v>8.8533632142857162</v>
      </c>
      <c r="Q30" s="698">
        <f t="shared" si="24"/>
        <v>8.8533632142857162</v>
      </c>
      <c r="R30" s="698">
        <f t="shared" si="24"/>
        <v>8.8533632142857162</v>
      </c>
      <c r="S30" s="698">
        <f t="shared" si="24"/>
        <v>8.8533632142857162</v>
      </c>
      <c r="T30" s="698">
        <f t="shared" si="25"/>
        <v>8.8533632142857162</v>
      </c>
      <c r="U30" s="698">
        <f t="shared" si="25"/>
        <v>8.8533632142857162</v>
      </c>
      <c r="V30" s="698">
        <f t="shared" si="25"/>
        <v>8.8533632142857162</v>
      </c>
      <c r="W30" s="698">
        <f t="shared" si="25"/>
        <v>8.8533632142857162</v>
      </c>
      <c r="X30" s="698">
        <f t="shared" si="25"/>
        <v>8.8533632142857162</v>
      </c>
      <c r="Y30" s="698">
        <f t="shared" si="25"/>
        <v>8.8533632142857162</v>
      </c>
      <c r="Z30" s="698">
        <f t="shared" si="25"/>
        <v>8.8533632142857162</v>
      </c>
      <c r="AA30" s="698">
        <f t="shared" si="25"/>
        <v>8.8533632142857162</v>
      </c>
      <c r="AB30" s="698">
        <f t="shared" si="25"/>
        <v>8.8533632142857162</v>
      </c>
      <c r="AC30" s="698">
        <f t="shared" si="25"/>
        <v>8.8533632142857162</v>
      </c>
      <c r="AD30" s="698">
        <f t="shared" si="25"/>
        <v>8.8533632142857162</v>
      </c>
      <c r="AE30" s="698">
        <f t="shared" si="25"/>
        <v>8.8533632142857162</v>
      </c>
      <c r="AF30" s="698">
        <f t="shared" si="25"/>
        <v>8.8533632142857162</v>
      </c>
      <c r="AG30" s="698">
        <f t="shared" si="25"/>
        <v>8.8533632142857162</v>
      </c>
      <c r="AH30" s="698">
        <f t="shared" si="25"/>
        <v>8.8533632142857162</v>
      </c>
      <c r="AI30" s="698">
        <f t="shared" si="25"/>
        <v>8.8533632142857162</v>
      </c>
      <c r="AJ30" s="698">
        <f t="shared" si="27"/>
        <v>8.8533632142857162</v>
      </c>
      <c r="AK30" s="698">
        <f t="shared" si="27"/>
        <v>8.8533632142857162</v>
      </c>
      <c r="AL30" s="698">
        <f t="shared" si="27"/>
        <v>8.8533632142857162</v>
      </c>
      <c r="AM30" s="698">
        <f t="shared" si="27"/>
        <v>8.8533632142857162</v>
      </c>
      <c r="AN30" s="698">
        <f t="shared" si="27"/>
        <v>8.8533632142857162</v>
      </c>
      <c r="AO30" s="698">
        <f t="shared" si="27"/>
        <v>8.8533632142857162</v>
      </c>
      <c r="AP30" s="698">
        <f t="shared" si="27"/>
        <v>8.8533632142857162</v>
      </c>
      <c r="AQ30" s="698">
        <f t="shared" si="26"/>
        <v>8.8533632142857162</v>
      </c>
      <c r="AR30" s="700">
        <f>P$5/40</f>
        <v>0.63890249999999971</v>
      </c>
      <c r="AS30" s="698">
        <f>AR30</f>
        <v>0.63890249999999971</v>
      </c>
      <c r="AT30" s="698">
        <f t="shared" si="26"/>
        <v>0.63890249999999971</v>
      </c>
      <c r="AU30" s="698">
        <f t="shared" si="26"/>
        <v>0.63890249999999971</v>
      </c>
      <c r="AV30" s="698">
        <f t="shared" si="26"/>
        <v>0.63890249999999971</v>
      </c>
      <c r="AW30" s="698">
        <f t="shared" si="26"/>
        <v>0.63890249999999971</v>
      </c>
      <c r="AX30" s="698">
        <f t="shared" si="28"/>
        <v>0.63890249999999971</v>
      </c>
      <c r="AY30" s="698">
        <f t="shared" si="29"/>
        <v>0.63890249999999971</v>
      </c>
      <c r="AZ30" s="698">
        <f t="shared" si="30"/>
        <v>0.63890249999999971</v>
      </c>
      <c r="BA30" s="698">
        <f t="shared" si="32"/>
        <v>0.63890249999999971</v>
      </c>
      <c r="BB30" s="698">
        <f t="shared" si="33"/>
        <v>0.63890249999999971</v>
      </c>
      <c r="BC30" s="698">
        <f t="shared" ref="BC30:BC39" si="35">BB30</f>
        <v>0.63890249999999971</v>
      </c>
      <c r="BD30" s="698"/>
      <c r="BE30" s="698"/>
      <c r="BF30" s="698"/>
      <c r="BG30" s="698"/>
      <c r="BH30" s="698"/>
      <c r="BI30" s="698"/>
      <c r="BJ30" s="698"/>
      <c r="BK30" s="698"/>
      <c r="BL30" s="698"/>
      <c r="BM30" s="698"/>
      <c r="BN30" s="698"/>
      <c r="BO30" s="698"/>
      <c r="BP30" s="698"/>
      <c r="BQ30" s="698"/>
      <c r="BR30" s="698"/>
      <c r="BS30" s="698"/>
      <c r="BT30" s="698"/>
      <c r="BU30" s="698"/>
      <c r="BV30" s="698"/>
      <c r="BW30" s="698"/>
      <c r="BX30" s="698"/>
      <c r="BY30" s="698"/>
      <c r="BZ30" s="1083"/>
      <c r="CA30" s="1083"/>
      <c r="CB30" s="1023" t="s">
        <v>1133</v>
      </c>
      <c r="CC30" s="1023"/>
      <c r="CD30" s="1023"/>
      <c r="CE30" s="1023"/>
      <c r="CF30" s="1023"/>
      <c r="CG30" s="1023"/>
      <c r="CH30" s="1023"/>
      <c r="CI30" s="1023"/>
      <c r="CJ30" s="1024"/>
      <c r="CK30" s="1024"/>
      <c r="CL30" s="1024"/>
      <c r="CM30" s="1024"/>
      <c r="CN30" s="1024"/>
      <c r="CO30" s="1026"/>
      <c r="CP30" s="1026">
        <f>CP27/CP29</f>
        <v>81.59234972677595</v>
      </c>
      <c r="CQ30" s="1026">
        <f>CQ27/CQ29</f>
        <v>51.544766930518904</v>
      </c>
      <c r="CR30" s="1026">
        <f>CR27/CR29</f>
        <v>72.911586051743527</v>
      </c>
    </row>
    <row r="31" spans="1:101" outlineLevel="1">
      <c r="A31" s="694" t="s">
        <v>262</v>
      </c>
      <c r="Q31" s="700">
        <f>Q$4/28+Q$5/40</f>
        <v>2.8912582142857146</v>
      </c>
      <c r="R31" s="698">
        <f t="shared" si="24"/>
        <v>2.8912582142857146</v>
      </c>
      <c r="S31" s="698">
        <f t="shared" si="24"/>
        <v>2.8912582142857146</v>
      </c>
      <c r="T31" s="698">
        <f t="shared" si="25"/>
        <v>2.8912582142857146</v>
      </c>
      <c r="U31" s="698">
        <f t="shared" si="25"/>
        <v>2.8912582142857146</v>
      </c>
      <c r="V31" s="698">
        <f t="shared" si="25"/>
        <v>2.8912582142857146</v>
      </c>
      <c r="W31" s="698">
        <f t="shared" si="25"/>
        <v>2.8912582142857146</v>
      </c>
      <c r="X31" s="698">
        <f t="shared" si="25"/>
        <v>2.8912582142857146</v>
      </c>
      <c r="Y31" s="698">
        <f t="shared" si="25"/>
        <v>2.8912582142857146</v>
      </c>
      <c r="Z31" s="698">
        <f t="shared" si="25"/>
        <v>2.8912582142857146</v>
      </c>
      <c r="AA31" s="698">
        <f t="shared" si="25"/>
        <v>2.8912582142857146</v>
      </c>
      <c r="AB31" s="698">
        <f t="shared" si="25"/>
        <v>2.8912582142857146</v>
      </c>
      <c r="AC31" s="698">
        <f t="shared" si="25"/>
        <v>2.8912582142857146</v>
      </c>
      <c r="AD31" s="698">
        <f t="shared" si="25"/>
        <v>2.8912582142857146</v>
      </c>
      <c r="AE31" s="698">
        <f t="shared" si="25"/>
        <v>2.8912582142857146</v>
      </c>
      <c r="AF31" s="698">
        <f t="shared" si="25"/>
        <v>2.8912582142857146</v>
      </c>
      <c r="AG31" s="698">
        <f t="shared" si="25"/>
        <v>2.8912582142857146</v>
      </c>
      <c r="AH31" s="698">
        <f t="shared" si="25"/>
        <v>2.8912582142857146</v>
      </c>
      <c r="AI31" s="698">
        <f t="shared" si="25"/>
        <v>2.8912582142857146</v>
      </c>
      <c r="AJ31" s="698">
        <f t="shared" si="27"/>
        <v>2.8912582142857146</v>
      </c>
      <c r="AK31" s="698">
        <f t="shared" si="27"/>
        <v>2.8912582142857146</v>
      </c>
      <c r="AL31" s="698">
        <f t="shared" si="27"/>
        <v>2.8912582142857146</v>
      </c>
      <c r="AM31" s="698">
        <f t="shared" si="27"/>
        <v>2.8912582142857146</v>
      </c>
      <c r="AN31" s="698">
        <f t="shared" si="27"/>
        <v>2.8912582142857146</v>
      </c>
      <c r="AO31" s="698">
        <f t="shared" si="27"/>
        <v>2.8912582142857146</v>
      </c>
      <c r="AP31" s="698">
        <f t="shared" si="27"/>
        <v>2.8912582142857146</v>
      </c>
      <c r="AQ31" s="698">
        <f t="shared" si="26"/>
        <v>2.8912582142857146</v>
      </c>
      <c r="AR31" s="698">
        <f t="shared" si="26"/>
        <v>2.8912582142857146</v>
      </c>
      <c r="AS31" s="700">
        <f>Q$5/40</f>
        <v>0.20864750000000001</v>
      </c>
      <c r="AT31" s="698">
        <f>AS31</f>
        <v>0.20864750000000001</v>
      </c>
      <c r="AU31" s="698">
        <f t="shared" si="26"/>
        <v>0.20864750000000001</v>
      </c>
      <c r="AV31" s="698">
        <f t="shared" si="26"/>
        <v>0.20864750000000001</v>
      </c>
      <c r="AW31" s="698">
        <f t="shared" si="26"/>
        <v>0.20864750000000001</v>
      </c>
      <c r="AX31" s="698">
        <f t="shared" si="28"/>
        <v>0.20864750000000001</v>
      </c>
      <c r="AY31" s="698">
        <f t="shared" si="29"/>
        <v>0.20864750000000001</v>
      </c>
      <c r="AZ31" s="698">
        <f t="shared" si="30"/>
        <v>0.20864750000000001</v>
      </c>
      <c r="BA31" s="698">
        <f t="shared" si="32"/>
        <v>0.20864750000000001</v>
      </c>
      <c r="BB31" s="698">
        <f t="shared" si="33"/>
        <v>0.20864750000000001</v>
      </c>
      <c r="BC31" s="698">
        <f t="shared" si="35"/>
        <v>0.20864750000000001</v>
      </c>
      <c r="BD31" s="698">
        <f t="shared" ref="BD31:BD40" si="36">BC31</f>
        <v>0.20864750000000001</v>
      </c>
      <c r="BE31" s="698"/>
      <c r="BF31" s="698"/>
      <c r="BG31" s="698"/>
      <c r="BH31" s="698"/>
      <c r="BI31" s="698"/>
      <c r="BJ31" s="698"/>
      <c r="BK31" s="698"/>
      <c r="BL31" s="698"/>
      <c r="BM31" s="698"/>
      <c r="BN31" s="698"/>
      <c r="BO31" s="698"/>
      <c r="BP31" s="698"/>
      <c r="BQ31" s="698"/>
      <c r="BR31" s="698"/>
      <c r="BS31" s="698"/>
      <c r="BT31" s="698"/>
      <c r="BU31" s="698"/>
      <c r="BV31" s="698"/>
      <c r="BW31" s="698"/>
      <c r="BX31" s="698"/>
      <c r="BY31" s="698"/>
      <c r="BZ31" s="1083"/>
      <c r="CA31" s="1083"/>
      <c r="CB31" s="694" t="s">
        <v>1135</v>
      </c>
      <c r="CC31" s="698"/>
      <c r="CD31" s="698"/>
      <c r="CE31" s="698"/>
      <c r="CF31" s="698"/>
      <c r="CG31" s="698"/>
      <c r="CH31" s="698"/>
      <c r="CI31" s="698"/>
      <c r="CJ31" s="697"/>
      <c r="CK31" s="697"/>
      <c r="CL31" s="697"/>
      <c r="CM31" s="1025"/>
      <c r="CN31" s="1025"/>
      <c r="CO31" s="1025">
        <f>CO29/2.25</f>
        <v>41.333333333333336</v>
      </c>
      <c r="CP31" s="1025">
        <f>CP29/2.25</f>
        <v>40.666666666666664</v>
      </c>
      <c r="CQ31" s="1025">
        <f>CQ29/2.25</f>
        <v>63.166666666666664</v>
      </c>
      <c r="CR31" s="1025">
        <f>CR29/2.25</f>
        <v>49.388888888888886</v>
      </c>
    </row>
    <row r="32" spans="1:101" outlineLevel="1">
      <c r="A32" s="694" t="s">
        <v>263</v>
      </c>
      <c r="R32" s="700">
        <f>R$4/28+R$5/40</f>
        <v>4.1073610714285715</v>
      </c>
      <c r="S32" s="698">
        <f t="shared" ref="S32:AI47" si="37">R32</f>
        <v>4.1073610714285715</v>
      </c>
      <c r="T32" s="698">
        <f t="shared" si="37"/>
        <v>4.1073610714285715</v>
      </c>
      <c r="U32" s="698">
        <f t="shared" si="37"/>
        <v>4.1073610714285715</v>
      </c>
      <c r="V32" s="698">
        <f t="shared" si="37"/>
        <v>4.1073610714285715</v>
      </c>
      <c r="W32" s="698">
        <f t="shared" si="37"/>
        <v>4.1073610714285715</v>
      </c>
      <c r="X32" s="698">
        <f t="shared" si="37"/>
        <v>4.1073610714285715</v>
      </c>
      <c r="Y32" s="698">
        <f t="shared" si="37"/>
        <v>4.1073610714285715</v>
      </c>
      <c r="Z32" s="698">
        <f t="shared" si="37"/>
        <v>4.1073610714285715</v>
      </c>
      <c r="AA32" s="698">
        <f t="shared" si="37"/>
        <v>4.1073610714285715</v>
      </c>
      <c r="AB32" s="698">
        <f t="shared" si="37"/>
        <v>4.1073610714285715</v>
      </c>
      <c r="AC32" s="698">
        <f t="shared" si="37"/>
        <v>4.1073610714285715</v>
      </c>
      <c r="AD32" s="698">
        <f t="shared" si="37"/>
        <v>4.1073610714285715</v>
      </c>
      <c r="AE32" s="698">
        <f t="shared" si="37"/>
        <v>4.1073610714285715</v>
      </c>
      <c r="AF32" s="698">
        <f t="shared" si="37"/>
        <v>4.1073610714285715</v>
      </c>
      <c r="AG32" s="698">
        <f t="shared" si="37"/>
        <v>4.1073610714285715</v>
      </c>
      <c r="AH32" s="698">
        <f t="shared" si="37"/>
        <v>4.1073610714285715</v>
      </c>
      <c r="AI32" s="698">
        <f t="shared" si="37"/>
        <v>4.1073610714285715</v>
      </c>
      <c r="AJ32" s="698">
        <f t="shared" si="27"/>
        <v>4.1073610714285715</v>
      </c>
      <c r="AK32" s="698">
        <f t="shared" si="27"/>
        <v>4.1073610714285715</v>
      </c>
      <c r="AL32" s="698">
        <f t="shared" si="27"/>
        <v>4.1073610714285715</v>
      </c>
      <c r="AM32" s="698">
        <f t="shared" si="27"/>
        <v>4.1073610714285715</v>
      </c>
      <c r="AN32" s="698">
        <f t="shared" si="27"/>
        <v>4.1073610714285715</v>
      </c>
      <c r="AO32" s="698">
        <f t="shared" si="27"/>
        <v>4.1073610714285715</v>
      </c>
      <c r="AP32" s="698">
        <f t="shared" si="27"/>
        <v>4.1073610714285715</v>
      </c>
      <c r="AQ32" s="698">
        <f t="shared" si="27"/>
        <v>4.1073610714285715</v>
      </c>
      <c r="AR32" s="698">
        <f t="shared" si="27"/>
        <v>4.1073610714285715</v>
      </c>
      <c r="AS32" s="698">
        <f t="shared" si="27"/>
        <v>4.1073610714285715</v>
      </c>
      <c r="AT32" s="700">
        <f>R$5/40</f>
        <v>0.2964075000000001</v>
      </c>
      <c r="AU32" s="698">
        <f>AT32</f>
        <v>0.2964075000000001</v>
      </c>
      <c r="AV32" s="698">
        <f>AU32</f>
        <v>0.2964075000000001</v>
      </c>
      <c r="AW32" s="698">
        <f>AV32</f>
        <v>0.2964075000000001</v>
      </c>
      <c r="AX32" s="698">
        <f t="shared" si="28"/>
        <v>0.2964075000000001</v>
      </c>
      <c r="AY32" s="698">
        <f t="shared" si="29"/>
        <v>0.2964075000000001</v>
      </c>
      <c r="AZ32" s="698">
        <f t="shared" si="30"/>
        <v>0.2964075000000001</v>
      </c>
      <c r="BA32" s="698">
        <f t="shared" si="32"/>
        <v>0.2964075000000001</v>
      </c>
      <c r="BB32" s="698">
        <f t="shared" si="33"/>
        <v>0.2964075000000001</v>
      </c>
      <c r="BC32" s="698">
        <f t="shared" si="35"/>
        <v>0.2964075000000001</v>
      </c>
      <c r="BD32" s="698">
        <f t="shared" si="36"/>
        <v>0.2964075000000001</v>
      </c>
      <c r="BE32" s="698">
        <f t="shared" ref="BE32:BE41" si="38">BD32</f>
        <v>0.2964075000000001</v>
      </c>
      <c r="BF32" s="698"/>
      <c r="BG32" s="698"/>
      <c r="BH32" s="698"/>
      <c r="BI32" s="698"/>
      <c r="BJ32" s="698"/>
      <c r="BK32" s="698"/>
      <c r="BL32" s="698"/>
      <c r="BM32" s="698"/>
      <c r="BN32" s="698"/>
      <c r="BO32" s="698"/>
      <c r="BP32" s="698"/>
      <c r="BQ32" s="698"/>
      <c r="BR32" s="698"/>
      <c r="BS32" s="698"/>
      <c r="BT32" s="698"/>
      <c r="BU32" s="698"/>
      <c r="BV32" s="698"/>
      <c r="BW32" s="698"/>
      <c r="BX32" s="698"/>
      <c r="BY32" s="698"/>
      <c r="BZ32" s="1083"/>
      <c r="CA32" s="1083"/>
      <c r="CB32" s="694" t="s">
        <v>1134</v>
      </c>
      <c r="CC32" s="698"/>
      <c r="CD32" s="698"/>
      <c r="CE32" s="698"/>
      <c r="CF32" s="698"/>
      <c r="CG32" s="698"/>
      <c r="CH32" s="698"/>
      <c r="CI32" s="698"/>
      <c r="CJ32" s="697"/>
      <c r="CK32" s="697"/>
      <c r="CL32" s="697"/>
      <c r="CM32" s="697"/>
      <c r="CN32" s="697"/>
      <c r="CO32" s="697">
        <f>CO27/CO31</f>
        <v>153.64596774193549</v>
      </c>
      <c r="CP32" s="697">
        <f>CP27/CP31</f>
        <v>183.58278688524589</v>
      </c>
      <c r="CQ32" s="697">
        <f>CQ27/CQ31</f>
        <v>115.97572559366753</v>
      </c>
      <c r="CR32" s="697">
        <f>CR27/CR31</f>
        <v>164.05106861642295</v>
      </c>
    </row>
    <row r="33" spans="1:99" outlineLevel="1">
      <c r="A33" s="694" t="s">
        <v>264</v>
      </c>
      <c r="S33" s="700">
        <f>S$4/28+S$5/40</f>
        <v>3.7650896428571432</v>
      </c>
      <c r="T33" s="698">
        <f t="shared" si="37"/>
        <v>3.7650896428571432</v>
      </c>
      <c r="U33" s="698">
        <f t="shared" si="37"/>
        <v>3.7650896428571432</v>
      </c>
      <c r="V33" s="698">
        <f t="shared" si="37"/>
        <v>3.7650896428571432</v>
      </c>
      <c r="W33" s="698">
        <f t="shared" si="37"/>
        <v>3.7650896428571432</v>
      </c>
      <c r="X33" s="698">
        <f t="shared" si="37"/>
        <v>3.7650896428571432</v>
      </c>
      <c r="Y33" s="698">
        <f t="shared" si="37"/>
        <v>3.7650896428571432</v>
      </c>
      <c r="Z33" s="698">
        <f t="shared" si="37"/>
        <v>3.7650896428571432</v>
      </c>
      <c r="AA33" s="698">
        <f t="shared" si="37"/>
        <v>3.7650896428571432</v>
      </c>
      <c r="AB33" s="698">
        <f t="shared" si="37"/>
        <v>3.7650896428571432</v>
      </c>
      <c r="AC33" s="698">
        <f t="shared" si="37"/>
        <v>3.7650896428571432</v>
      </c>
      <c r="AD33" s="698">
        <f t="shared" si="37"/>
        <v>3.7650896428571432</v>
      </c>
      <c r="AE33" s="698">
        <f t="shared" si="37"/>
        <v>3.7650896428571432</v>
      </c>
      <c r="AF33" s="698">
        <f t="shared" si="37"/>
        <v>3.7650896428571432</v>
      </c>
      <c r="AG33" s="698">
        <f t="shared" si="37"/>
        <v>3.7650896428571432</v>
      </c>
      <c r="AH33" s="698">
        <f t="shared" si="37"/>
        <v>3.7650896428571432</v>
      </c>
      <c r="AI33" s="698">
        <f t="shared" si="37"/>
        <v>3.7650896428571432</v>
      </c>
      <c r="AJ33" s="698">
        <f t="shared" si="27"/>
        <v>3.7650896428571432</v>
      </c>
      <c r="AK33" s="698">
        <f t="shared" si="27"/>
        <v>3.7650896428571432</v>
      </c>
      <c r="AL33" s="698">
        <f t="shared" si="27"/>
        <v>3.7650896428571432</v>
      </c>
      <c r="AM33" s="698">
        <f t="shared" si="27"/>
        <v>3.7650896428571432</v>
      </c>
      <c r="AN33" s="698">
        <f t="shared" si="27"/>
        <v>3.7650896428571432</v>
      </c>
      <c r="AO33" s="698">
        <f t="shared" si="27"/>
        <v>3.7650896428571432</v>
      </c>
      <c r="AP33" s="698">
        <f t="shared" si="27"/>
        <v>3.7650896428571432</v>
      </c>
      <c r="AQ33" s="698">
        <f t="shared" si="27"/>
        <v>3.7650896428571432</v>
      </c>
      <c r="AR33" s="698">
        <f t="shared" si="27"/>
        <v>3.7650896428571432</v>
      </c>
      <c r="AS33" s="698">
        <f t="shared" si="27"/>
        <v>3.7650896428571432</v>
      </c>
      <c r="AT33" s="698">
        <f t="shared" si="27"/>
        <v>3.7650896428571432</v>
      </c>
      <c r="AU33" s="700">
        <f>S$5/40</f>
        <v>0.2717075000000001</v>
      </c>
      <c r="AV33" s="698">
        <f>AU33</f>
        <v>0.2717075000000001</v>
      </c>
      <c r="AW33" s="698">
        <f>AV33</f>
        <v>0.2717075000000001</v>
      </c>
      <c r="AX33" s="698">
        <f t="shared" si="28"/>
        <v>0.2717075000000001</v>
      </c>
      <c r="AY33" s="698">
        <f t="shared" si="29"/>
        <v>0.2717075000000001</v>
      </c>
      <c r="AZ33" s="698">
        <f t="shared" si="30"/>
        <v>0.2717075000000001</v>
      </c>
      <c r="BA33" s="698">
        <f t="shared" si="32"/>
        <v>0.2717075000000001</v>
      </c>
      <c r="BB33" s="698">
        <f t="shared" si="33"/>
        <v>0.2717075000000001</v>
      </c>
      <c r="BC33" s="698">
        <f t="shared" si="35"/>
        <v>0.2717075000000001</v>
      </c>
      <c r="BD33" s="698">
        <f t="shared" si="36"/>
        <v>0.2717075000000001</v>
      </c>
      <c r="BE33" s="698">
        <f t="shared" si="38"/>
        <v>0.2717075000000001</v>
      </c>
      <c r="BF33" s="698">
        <f t="shared" ref="BF33:BF42" si="39">BE33</f>
        <v>0.2717075000000001</v>
      </c>
      <c r="BG33" s="698"/>
      <c r="BH33" s="698"/>
      <c r="BI33" s="698"/>
      <c r="BJ33" s="698"/>
      <c r="BK33" s="698"/>
      <c r="BL33" s="698"/>
      <c r="BM33" s="698"/>
      <c r="BN33" s="698"/>
      <c r="BO33" s="698"/>
      <c r="BP33" s="698"/>
      <c r="BQ33" s="698"/>
      <c r="BR33" s="698"/>
      <c r="BS33" s="698"/>
      <c r="BT33" s="698"/>
      <c r="BU33" s="698"/>
      <c r="BV33" s="698"/>
      <c r="BW33" s="698"/>
      <c r="BX33" s="698"/>
      <c r="BY33" s="698"/>
      <c r="BZ33" s="1083"/>
      <c r="CA33" s="1083"/>
      <c r="CB33" s="698"/>
      <c r="CC33" s="698"/>
      <c r="CD33" s="698"/>
      <c r="CE33" s="698"/>
      <c r="CF33" s="698"/>
      <c r="CG33" s="698"/>
      <c r="CH33" s="698"/>
      <c r="CI33" s="698"/>
      <c r="CJ33" s="698"/>
      <c r="CK33" s="698"/>
      <c r="CL33" s="698"/>
    </row>
    <row r="34" spans="1:99" outlineLevel="1">
      <c r="A34" s="694" t="s">
        <v>265</v>
      </c>
      <c r="T34" s="700">
        <f>T$4/28+T$5/40</f>
        <v>7.3552675000000001</v>
      </c>
      <c r="U34" s="698">
        <f t="shared" si="37"/>
        <v>7.3552675000000001</v>
      </c>
      <c r="V34" s="698">
        <f t="shared" si="37"/>
        <v>7.3552675000000001</v>
      </c>
      <c r="W34" s="698">
        <f t="shared" si="37"/>
        <v>7.3552675000000001</v>
      </c>
      <c r="X34" s="698">
        <f t="shared" si="37"/>
        <v>7.3552675000000001</v>
      </c>
      <c r="Y34" s="698">
        <f t="shared" si="37"/>
        <v>7.3552675000000001</v>
      </c>
      <c r="Z34" s="698">
        <f t="shared" si="37"/>
        <v>7.3552675000000001</v>
      </c>
      <c r="AA34" s="698">
        <f t="shared" si="37"/>
        <v>7.3552675000000001</v>
      </c>
      <c r="AB34" s="698">
        <f t="shared" si="37"/>
        <v>7.3552675000000001</v>
      </c>
      <c r="AC34" s="698">
        <f t="shared" si="37"/>
        <v>7.3552675000000001</v>
      </c>
      <c r="AD34" s="698">
        <f t="shared" si="37"/>
        <v>7.3552675000000001</v>
      </c>
      <c r="AE34" s="698">
        <f t="shared" si="37"/>
        <v>7.3552675000000001</v>
      </c>
      <c r="AF34" s="698">
        <f t="shared" si="37"/>
        <v>7.3552675000000001</v>
      </c>
      <c r="AG34" s="698">
        <f t="shared" si="37"/>
        <v>7.3552675000000001</v>
      </c>
      <c r="AH34" s="698">
        <f t="shared" si="37"/>
        <v>7.3552675000000001</v>
      </c>
      <c r="AI34" s="698">
        <f t="shared" si="37"/>
        <v>7.3552675000000001</v>
      </c>
      <c r="AJ34" s="698">
        <f t="shared" si="27"/>
        <v>7.3552675000000001</v>
      </c>
      <c r="AK34" s="698">
        <f t="shared" si="27"/>
        <v>7.3552675000000001</v>
      </c>
      <c r="AL34" s="698">
        <f t="shared" si="27"/>
        <v>7.3552675000000001</v>
      </c>
      <c r="AM34" s="698">
        <f t="shared" si="27"/>
        <v>7.3552675000000001</v>
      </c>
      <c r="AN34" s="698">
        <f t="shared" si="27"/>
        <v>7.3552675000000001</v>
      </c>
      <c r="AO34" s="698">
        <f t="shared" si="27"/>
        <v>7.3552675000000001</v>
      </c>
      <c r="AP34" s="698">
        <f t="shared" si="27"/>
        <v>7.3552675000000001</v>
      </c>
      <c r="AQ34" s="698">
        <f t="shared" si="27"/>
        <v>7.3552675000000001</v>
      </c>
      <c r="AR34" s="698">
        <f t="shared" si="27"/>
        <v>7.3552675000000001</v>
      </c>
      <c r="AS34" s="698">
        <f t="shared" si="27"/>
        <v>7.3552675000000001</v>
      </c>
      <c r="AT34" s="698">
        <f t="shared" si="27"/>
        <v>7.3552675000000001</v>
      </c>
      <c r="AU34" s="698">
        <f t="shared" si="27"/>
        <v>7.3552675000000001</v>
      </c>
      <c r="AV34" s="700">
        <f>T$5/40</f>
        <v>0.53079249999999978</v>
      </c>
      <c r="AW34" s="698">
        <f>AV34</f>
        <v>0.53079249999999978</v>
      </c>
      <c r="AX34" s="698">
        <f t="shared" si="28"/>
        <v>0.53079249999999978</v>
      </c>
      <c r="AY34" s="698">
        <f t="shared" si="29"/>
        <v>0.53079249999999978</v>
      </c>
      <c r="AZ34" s="698">
        <f t="shared" si="30"/>
        <v>0.53079249999999978</v>
      </c>
      <c r="BA34" s="698">
        <f t="shared" si="32"/>
        <v>0.53079249999999978</v>
      </c>
      <c r="BB34" s="698">
        <f t="shared" si="33"/>
        <v>0.53079249999999978</v>
      </c>
      <c r="BC34" s="698">
        <f t="shared" si="35"/>
        <v>0.53079249999999978</v>
      </c>
      <c r="BD34" s="698">
        <f t="shared" si="36"/>
        <v>0.53079249999999978</v>
      </c>
      <c r="BE34" s="698">
        <f t="shared" si="38"/>
        <v>0.53079249999999978</v>
      </c>
      <c r="BF34" s="698">
        <f t="shared" si="39"/>
        <v>0.53079249999999978</v>
      </c>
      <c r="BG34" s="698">
        <f t="shared" ref="BG34:BG43" si="40">BF34</f>
        <v>0.53079249999999978</v>
      </c>
      <c r="BH34" s="698"/>
      <c r="BI34" s="698"/>
      <c r="BJ34" s="698"/>
      <c r="BK34" s="698"/>
      <c r="BL34" s="698"/>
      <c r="BM34" s="698"/>
      <c r="BN34" s="698"/>
      <c r="BO34" s="698"/>
      <c r="BP34" s="698"/>
      <c r="BQ34" s="698"/>
      <c r="BR34" s="698"/>
      <c r="BS34" s="698"/>
      <c r="BT34" s="698"/>
      <c r="BU34" s="698"/>
      <c r="BV34" s="698"/>
      <c r="BW34" s="698"/>
      <c r="BX34" s="698"/>
      <c r="BY34" s="698"/>
      <c r="BZ34" s="1083"/>
      <c r="CA34" s="1083"/>
      <c r="CB34" s="698"/>
      <c r="CC34" s="698"/>
      <c r="CD34" s="698"/>
      <c r="CE34" s="698"/>
      <c r="CF34" s="698"/>
      <c r="CG34" s="698"/>
      <c r="CH34" s="698"/>
      <c r="CI34" s="698"/>
      <c r="CJ34" s="698"/>
      <c r="CK34" s="698"/>
      <c r="CL34" s="698"/>
      <c r="CM34" s="698"/>
    </row>
    <row r="35" spans="1:99" outlineLevel="1">
      <c r="A35" s="694" t="s">
        <v>266</v>
      </c>
      <c r="U35" s="700">
        <f>U$4/28+U$5/40</f>
        <v>7.3987096428571428</v>
      </c>
      <c r="V35" s="698">
        <f t="shared" si="37"/>
        <v>7.3987096428571428</v>
      </c>
      <c r="W35" s="698">
        <f t="shared" si="37"/>
        <v>7.3987096428571428</v>
      </c>
      <c r="X35" s="698">
        <f t="shared" si="37"/>
        <v>7.3987096428571428</v>
      </c>
      <c r="Y35" s="698">
        <f t="shared" si="37"/>
        <v>7.3987096428571428</v>
      </c>
      <c r="Z35" s="698">
        <f t="shared" si="37"/>
        <v>7.3987096428571428</v>
      </c>
      <c r="AA35" s="698">
        <f t="shared" si="37"/>
        <v>7.3987096428571428</v>
      </c>
      <c r="AB35" s="698">
        <f t="shared" si="37"/>
        <v>7.3987096428571428</v>
      </c>
      <c r="AC35" s="698">
        <f t="shared" si="37"/>
        <v>7.3987096428571428</v>
      </c>
      <c r="AD35" s="698">
        <f t="shared" si="37"/>
        <v>7.3987096428571428</v>
      </c>
      <c r="AE35" s="698">
        <f t="shared" si="37"/>
        <v>7.3987096428571428</v>
      </c>
      <c r="AF35" s="698">
        <f t="shared" si="37"/>
        <v>7.3987096428571428</v>
      </c>
      <c r="AG35" s="698">
        <f t="shared" si="37"/>
        <v>7.3987096428571428</v>
      </c>
      <c r="AH35" s="698">
        <f t="shared" si="37"/>
        <v>7.3987096428571428</v>
      </c>
      <c r="AI35" s="698">
        <f t="shared" si="37"/>
        <v>7.3987096428571428</v>
      </c>
      <c r="AJ35" s="698">
        <f t="shared" si="27"/>
        <v>7.3987096428571428</v>
      </c>
      <c r="AK35" s="698">
        <f t="shared" si="27"/>
        <v>7.3987096428571428</v>
      </c>
      <c r="AL35" s="698">
        <f t="shared" si="27"/>
        <v>7.3987096428571428</v>
      </c>
      <c r="AM35" s="698">
        <f t="shared" si="27"/>
        <v>7.3987096428571428</v>
      </c>
      <c r="AN35" s="698">
        <f t="shared" si="27"/>
        <v>7.3987096428571428</v>
      </c>
      <c r="AO35" s="698">
        <f t="shared" si="27"/>
        <v>7.3987096428571428</v>
      </c>
      <c r="AP35" s="698">
        <f t="shared" si="27"/>
        <v>7.3987096428571428</v>
      </c>
      <c r="AQ35" s="698">
        <f t="shared" si="27"/>
        <v>7.3987096428571428</v>
      </c>
      <c r="AR35" s="698">
        <f t="shared" si="27"/>
        <v>7.3987096428571428</v>
      </c>
      <c r="AS35" s="698">
        <f t="shared" si="27"/>
        <v>7.3987096428571428</v>
      </c>
      <c r="AT35" s="698">
        <f t="shared" si="27"/>
        <v>7.3987096428571428</v>
      </c>
      <c r="AU35" s="698">
        <f t="shared" si="27"/>
        <v>7.3987096428571428</v>
      </c>
      <c r="AV35" s="698">
        <f t="shared" si="27"/>
        <v>7.3987096428571428</v>
      </c>
      <c r="AW35" s="700">
        <f>U$5/40</f>
        <v>0.53392750000000011</v>
      </c>
      <c r="AX35" s="698">
        <f>AW35</f>
        <v>0.53392750000000011</v>
      </c>
      <c r="AY35" s="698">
        <f t="shared" si="29"/>
        <v>0.53392750000000011</v>
      </c>
      <c r="AZ35" s="698">
        <f t="shared" si="30"/>
        <v>0.53392750000000011</v>
      </c>
      <c r="BA35" s="698">
        <f t="shared" si="32"/>
        <v>0.53392750000000011</v>
      </c>
      <c r="BB35" s="698">
        <f t="shared" si="33"/>
        <v>0.53392750000000011</v>
      </c>
      <c r="BC35" s="698">
        <f t="shared" si="35"/>
        <v>0.53392750000000011</v>
      </c>
      <c r="BD35" s="698">
        <f t="shared" si="36"/>
        <v>0.53392750000000011</v>
      </c>
      <c r="BE35" s="698">
        <f t="shared" si="38"/>
        <v>0.53392750000000011</v>
      </c>
      <c r="BF35" s="698">
        <f t="shared" si="39"/>
        <v>0.53392750000000011</v>
      </c>
      <c r="BG35" s="698">
        <f t="shared" si="40"/>
        <v>0.53392750000000011</v>
      </c>
      <c r="BH35" s="698">
        <f t="shared" ref="BH35:BH44" si="41">BG35</f>
        <v>0.53392750000000011</v>
      </c>
      <c r="BI35" s="698"/>
      <c r="BJ35" s="698"/>
      <c r="BK35" s="698"/>
      <c r="BL35" s="698"/>
      <c r="BM35" s="698"/>
      <c r="BN35" s="698"/>
      <c r="BO35" s="698"/>
      <c r="BP35" s="698"/>
      <c r="BQ35" s="698"/>
      <c r="BR35" s="698"/>
      <c r="BS35" s="698"/>
      <c r="BT35" s="698"/>
      <c r="BU35" s="698"/>
      <c r="BV35" s="698"/>
      <c r="BW35" s="698"/>
      <c r="BX35" s="698"/>
      <c r="BY35" s="698"/>
      <c r="BZ35" s="1083"/>
      <c r="CA35" s="1083"/>
      <c r="CB35" s="698"/>
      <c r="CC35" s="698"/>
      <c r="CD35" s="698"/>
      <c r="CE35" s="698"/>
      <c r="CF35" s="698"/>
      <c r="CG35" s="698"/>
      <c r="CH35" s="698"/>
      <c r="CI35" s="698"/>
      <c r="CJ35" s="698"/>
      <c r="CK35" s="698"/>
      <c r="CL35" s="698"/>
      <c r="CM35" s="698"/>
      <c r="CN35" s="698"/>
      <c r="CO35" s="698"/>
      <c r="CP35" s="698"/>
      <c r="CQ35" s="698"/>
      <c r="CR35" s="698"/>
      <c r="CS35" s="698"/>
      <c r="CT35" s="698"/>
      <c r="CU35" s="698"/>
    </row>
    <row r="36" spans="1:99" outlineLevel="1">
      <c r="A36" s="694" t="s">
        <v>267</v>
      </c>
      <c r="V36" s="700">
        <f>V$4/28+V$5/40</f>
        <v>7.7751042857142858</v>
      </c>
      <c r="W36" s="698">
        <f t="shared" si="37"/>
        <v>7.7751042857142858</v>
      </c>
      <c r="X36" s="698">
        <f t="shared" si="37"/>
        <v>7.7751042857142858</v>
      </c>
      <c r="Y36" s="698">
        <f t="shared" si="37"/>
        <v>7.7751042857142858</v>
      </c>
      <c r="Z36" s="698">
        <f t="shared" si="37"/>
        <v>7.7751042857142858</v>
      </c>
      <c r="AA36" s="698">
        <f t="shared" si="37"/>
        <v>7.7751042857142858</v>
      </c>
      <c r="AB36" s="698">
        <f t="shared" si="37"/>
        <v>7.7751042857142858</v>
      </c>
      <c r="AC36" s="698">
        <f t="shared" si="37"/>
        <v>7.7751042857142858</v>
      </c>
      <c r="AD36" s="698">
        <f t="shared" si="37"/>
        <v>7.7751042857142858</v>
      </c>
      <c r="AE36" s="698">
        <f t="shared" si="37"/>
        <v>7.7751042857142858</v>
      </c>
      <c r="AF36" s="698">
        <f t="shared" si="37"/>
        <v>7.7751042857142858</v>
      </c>
      <c r="AG36" s="698">
        <f t="shared" si="37"/>
        <v>7.7751042857142858</v>
      </c>
      <c r="AH36" s="698">
        <f t="shared" si="37"/>
        <v>7.7751042857142858</v>
      </c>
      <c r="AI36" s="698">
        <f t="shared" si="37"/>
        <v>7.7751042857142858</v>
      </c>
      <c r="AJ36" s="698">
        <f t="shared" si="27"/>
        <v>7.7751042857142858</v>
      </c>
      <c r="AK36" s="698">
        <f t="shared" si="27"/>
        <v>7.7751042857142858</v>
      </c>
      <c r="AL36" s="698">
        <f t="shared" si="27"/>
        <v>7.7751042857142858</v>
      </c>
      <c r="AM36" s="698">
        <f t="shared" si="27"/>
        <v>7.7751042857142858</v>
      </c>
      <c r="AN36" s="698">
        <f t="shared" si="27"/>
        <v>7.7751042857142858</v>
      </c>
      <c r="AO36" s="698">
        <f t="shared" si="27"/>
        <v>7.7751042857142858</v>
      </c>
      <c r="AP36" s="698">
        <f t="shared" si="27"/>
        <v>7.7751042857142858</v>
      </c>
      <c r="AQ36" s="698">
        <f t="shared" si="27"/>
        <v>7.7751042857142858</v>
      </c>
      <c r="AR36" s="698">
        <f t="shared" si="27"/>
        <v>7.7751042857142858</v>
      </c>
      <c r="AS36" s="698">
        <f t="shared" si="27"/>
        <v>7.7751042857142858</v>
      </c>
      <c r="AT36" s="698">
        <f t="shared" si="27"/>
        <v>7.7751042857142858</v>
      </c>
      <c r="AU36" s="698">
        <f t="shared" si="27"/>
        <v>7.7751042857142858</v>
      </c>
      <c r="AV36" s="698">
        <f t="shared" si="27"/>
        <v>7.7751042857142858</v>
      </c>
      <c r="AW36" s="698">
        <f t="shared" si="27"/>
        <v>7.7751042857142858</v>
      </c>
      <c r="AX36" s="700">
        <f>V$5/40</f>
        <v>0.56109000000000009</v>
      </c>
      <c r="AY36" s="698">
        <f>AX36</f>
        <v>0.56109000000000009</v>
      </c>
      <c r="AZ36" s="698">
        <f t="shared" si="30"/>
        <v>0.56109000000000009</v>
      </c>
      <c r="BA36" s="698">
        <f t="shared" si="32"/>
        <v>0.56109000000000009</v>
      </c>
      <c r="BB36" s="698">
        <f t="shared" si="33"/>
        <v>0.56109000000000009</v>
      </c>
      <c r="BC36" s="698">
        <f t="shared" si="35"/>
        <v>0.56109000000000009</v>
      </c>
      <c r="BD36" s="698">
        <f t="shared" si="36"/>
        <v>0.56109000000000009</v>
      </c>
      <c r="BE36" s="698">
        <f t="shared" si="38"/>
        <v>0.56109000000000009</v>
      </c>
      <c r="BF36" s="698">
        <f t="shared" si="39"/>
        <v>0.56109000000000009</v>
      </c>
      <c r="BG36" s="698">
        <f t="shared" si="40"/>
        <v>0.56109000000000009</v>
      </c>
      <c r="BH36" s="698">
        <f t="shared" si="41"/>
        <v>0.56109000000000009</v>
      </c>
      <c r="BI36" s="698">
        <f t="shared" ref="BI36:BI45" si="42">BH36</f>
        <v>0.56109000000000009</v>
      </c>
      <c r="BJ36" s="698"/>
      <c r="BK36" s="698"/>
      <c r="BL36" s="698"/>
      <c r="BM36" s="698"/>
      <c r="BN36" s="698"/>
      <c r="BO36" s="698"/>
      <c r="BP36" s="698"/>
      <c r="BQ36" s="698"/>
      <c r="BR36" s="698"/>
      <c r="BS36" s="698"/>
      <c r="BT36" s="698"/>
      <c r="BU36" s="698"/>
      <c r="BV36" s="698"/>
      <c r="BW36" s="698"/>
      <c r="BX36" s="698"/>
      <c r="BY36" s="698"/>
      <c r="BZ36" s="1083"/>
      <c r="CA36" s="1083"/>
    </row>
    <row r="37" spans="1:99" outlineLevel="1">
      <c r="A37" s="694" t="s">
        <v>268</v>
      </c>
      <c r="W37" s="700">
        <f>W$4/28+W$5/40</f>
        <v>8.1589124999999996</v>
      </c>
      <c r="X37" s="698">
        <f t="shared" si="37"/>
        <v>8.1589124999999996</v>
      </c>
      <c r="Y37" s="698">
        <f t="shared" si="37"/>
        <v>8.1589124999999996</v>
      </c>
      <c r="Z37" s="698">
        <f t="shared" si="37"/>
        <v>8.1589124999999996</v>
      </c>
      <c r="AA37" s="698">
        <f t="shared" si="37"/>
        <v>8.1589124999999996</v>
      </c>
      <c r="AB37" s="698">
        <f t="shared" si="37"/>
        <v>8.1589124999999996</v>
      </c>
      <c r="AC37" s="698">
        <f t="shared" si="37"/>
        <v>8.1589124999999996</v>
      </c>
      <c r="AD37" s="698">
        <f t="shared" si="37"/>
        <v>8.1589124999999996</v>
      </c>
      <c r="AE37" s="698">
        <f t="shared" si="37"/>
        <v>8.1589124999999996</v>
      </c>
      <c r="AF37" s="698">
        <f t="shared" si="37"/>
        <v>8.1589124999999996</v>
      </c>
      <c r="AG37" s="698">
        <f t="shared" si="37"/>
        <v>8.1589124999999996</v>
      </c>
      <c r="AH37" s="698">
        <f t="shared" si="37"/>
        <v>8.1589124999999996</v>
      </c>
      <c r="AI37" s="698">
        <f t="shared" si="37"/>
        <v>8.1589124999999996</v>
      </c>
      <c r="AJ37" s="698">
        <f t="shared" si="27"/>
        <v>8.1589124999999996</v>
      </c>
      <c r="AK37" s="698">
        <f t="shared" si="27"/>
        <v>8.1589124999999996</v>
      </c>
      <c r="AL37" s="698">
        <f t="shared" si="27"/>
        <v>8.1589124999999996</v>
      </c>
      <c r="AM37" s="698">
        <f t="shared" si="27"/>
        <v>8.1589124999999996</v>
      </c>
      <c r="AN37" s="698">
        <f t="shared" si="27"/>
        <v>8.1589124999999996</v>
      </c>
      <c r="AO37" s="698">
        <f t="shared" si="27"/>
        <v>8.1589124999999996</v>
      </c>
      <c r="AP37" s="698">
        <f t="shared" si="27"/>
        <v>8.1589124999999996</v>
      </c>
      <c r="AQ37" s="698">
        <f t="shared" si="27"/>
        <v>8.1589124999999996</v>
      </c>
      <c r="AR37" s="698">
        <f t="shared" si="27"/>
        <v>8.1589124999999996</v>
      </c>
      <c r="AS37" s="698">
        <f t="shared" si="27"/>
        <v>8.1589124999999996</v>
      </c>
      <c r="AT37" s="698">
        <f t="shared" si="27"/>
        <v>8.1589124999999996</v>
      </c>
      <c r="AU37" s="698">
        <f t="shared" si="27"/>
        <v>8.1589124999999996</v>
      </c>
      <c r="AV37" s="698">
        <f t="shared" si="27"/>
        <v>8.1589124999999996</v>
      </c>
      <c r="AW37" s="698">
        <f t="shared" si="27"/>
        <v>8.1589124999999996</v>
      </c>
      <c r="AX37" s="698">
        <f t="shared" ref="AX37:AX63" si="43">AW37</f>
        <v>8.1589124999999996</v>
      </c>
      <c r="AY37" s="700">
        <f>W$5/40</f>
        <v>0.58878750000000013</v>
      </c>
      <c r="AZ37" s="698">
        <f>AY37</f>
        <v>0.58878750000000013</v>
      </c>
      <c r="BA37" s="698">
        <f t="shared" si="32"/>
        <v>0.58878750000000013</v>
      </c>
      <c r="BB37" s="698">
        <f t="shared" si="33"/>
        <v>0.58878750000000013</v>
      </c>
      <c r="BC37" s="698">
        <f t="shared" si="35"/>
        <v>0.58878750000000013</v>
      </c>
      <c r="BD37" s="698">
        <f t="shared" si="36"/>
        <v>0.58878750000000013</v>
      </c>
      <c r="BE37" s="698">
        <f t="shared" si="38"/>
        <v>0.58878750000000013</v>
      </c>
      <c r="BF37" s="698">
        <f t="shared" si="39"/>
        <v>0.58878750000000013</v>
      </c>
      <c r="BG37" s="698">
        <f t="shared" si="40"/>
        <v>0.58878750000000013</v>
      </c>
      <c r="BH37" s="698">
        <f t="shared" si="41"/>
        <v>0.58878750000000013</v>
      </c>
      <c r="BI37" s="698">
        <f t="shared" si="42"/>
        <v>0.58878750000000013</v>
      </c>
      <c r="BJ37" s="698">
        <f t="shared" ref="BJ37:BJ46" si="44">BI37</f>
        <v>0.58878750000000013</v>
      </c>
      <c r="BK37" s="698"/>
      <c r="BL37" s="698"/>
      <c r="BM37" s="698"/>
      <c r="BN37" s="698"/>
      <c r="BO37" s="698"/>
      <c r="BP37" s="698"/>
      <c r="BQ37" s="698"/>
      <c r="BR37" s="698"/>
      <c r="BS37" s="698"/>
      <c r="BT37" s="698"/>
      <c r="BU37" s="698"/>
      <c r="BV37" s="698"/>
      <c r="BW37" s="698"/>
      <c r="BX37" s="698"/>
      <c r="BY37" s="698"/>
      <c r="BZ37" s="1083"/>
      <c r="CA37" s="1083"/>
      <c r="CQ37" s="704"/>
      <c r="CR37" s="715"/>
    </row>
    <row r="38" spans="1:99" outlineLevel="1">
      <c r="A38" s="694" t="s">
        <v>269</v>
      </c>
      <c r="X38" s="700">
        <f>X$4/28+X$5/40</f>
        <v>10.013483214285714</v>
      </c>
      <c r="Y38" s="698">
        <f t="shared" si="37"/>
        <v>10.013483214285714</v>
      </c>
      <c r="Z38" s="698">
        <f t="shared" si="37"/>
        <v>10.013483214285714</v>
      </c>
      <c r="AA38" s="698">
        <f t="shared" si="37"/>
        <v>10.013483214285714</v>
      </c>
      <c r="AB38" s="698">
        <f t="shared" si="37"/>
        <v>10.013483214285714</v>
      </c>
      <c r="AC38" s="698">
        <f t="shared" si="37"/>
        <v>10.013483214285714</v>
      </c>
      <c r="AD38" s="698">
        <f t="shared" si="37"/>
        <v>10.013483214285714</v>
      </c>
      <c r="AE38" s="698">
        <f t="shared" si="37"/>
        <v>10.013483214285714</v>
      </c>
      <c r="AF38" s="698">
        <f t="shared" si="37"/>
        <v>10.013483214285714</v>
      </c>
      <c r="AG38" s="698">
        <f t="shared" si="37"/>
        <v>10.013483214285714</v>
      </c>
      <c r="AH38" s="698">
        <f t="shared" si="37"/>
        <v>10.013483214285714</v>
      </c>
      <c r="AI38" s="698">
        <f t="shared" si="37"/>
        <v>10.013483214285714</v>
      </c>
      <c r="AJ38" s="698">
        <f t="shared" si="27"/>
        <v>10.013483214285714</v>
      </c>
      <c r="AK38" s="698">
        <f t="shared" si="27"/>
        <v>10.013483214285714</v>
      </c>
      <c r="AL38" s="698">
        <f t="shared" si="27"/>
        <v>10.013483214285714</v>
      </c>
      <c r="AM38" s="698">
        <f t="shared" si="27"/>
        <v>10.013483214285714</v>
      </c>
      <c r="AN38" s="698">
        <f t="shared" si="27"/>
        <v>10.013483214285714</v>
      </c>
      <c r="AO38" s="698">
        <f t="shared" si="27"/>
        <v>10.013483214285714</v>
      </c>
      <c r="AP38" s="698">
        <f t="shared" si="27"/>
        <v>10.013483214285714</v>
      </c>
      <c r="AQ38" s="698">
        <f t="shared" si="27"/>
        <v>10.013483214285714</v>
      </c>
      <c r="AR38" s="698">
        <f t="shared" si="27"/>
        <v>10.013483214285714</v>
      </c>
      <c r="AS38" s="698">
        <f t="shared" si="27"/>
        <v>10.013483214285714</v>
      </c>
      <c r="AT38" s="698">
        <f t="shared" si="27"/>
        <v>10.013483214285714</v>
      </c>
      <c r="AU38" s="698">
        <f t="shared" si="27"/>
        <v>10.013483214285714</v>
      </c>
      <c r="AV38" s="698">
        <f t="shared" si="27"/>
        <v>10.013483214285714</v>
      </c>
      <c r="AW38" s="698">
        <f t="shared" si="27"/>
        <v>10.013483214285714</v>
      </c>
      <c r="AX38" s="698">
        <f t="shared" si="43"/>
        <v>10.013483214285714</v>
      </c>
      <c r="AY38" s="698">
        <f t="shared" ref="AY38:AY64" si="45">AX38</f>
        <v>10.013483214285714</v>
      </c>
      <c r="AZ38" s="700">
        <f>X$5/40</f>
        <v>0.72262249999999995</v>
      </c>
      <c r="BA38" s="698">
        <f>AZ38</f>
        <v>0.72262249999999995</v>
      </c>
      <c r="BB38" s="698">
        <f t="shared" si="33"/>
        <v>0.72262249999999995</v>
      </c>
      <c r="BC38" s="698">
        <f t="shared" si="35"/>
        <v>0.72262249999999995</v>
      </c>
      <c r="BD38" s="698">
        <f t="shared" si="36"/>
        <v>0.72262249999999995</v>
      </c>
      <c r="BE38" s="698">
        <f t="shared" si="38"/>
        <v>0.72262249999999995</v>
      </c>
      <c r="BF38" s="698">
        <f t="shared" si="39"/>
        <v>0.72262249999999995</v>
      </c>
      <c r="BG38" s="698">
        <f t="shared" si="40"/>
        <v>0.72262249999999995</v>
      </c>
      <c r="BH38" s="698">
        <f t="shared" si="41"/>
        <v>0.72262249999999995</v>
      </c>
      <c r="BI38" s="698">
        <f t="shared" si="42"/>
        <v>0.72262249999999995</v>
      </c>
      <c r="BJ38" s="698">
        <f t="shared" si="44"/>
        <v>0.72262249999999995</v>
      </c>
      <c r="BK38" s="698">
        <f t="shared" ref="BK38:BK47" si="46">BJ38</f>
        <v>0.72262249999999995</v>
      </c>
      <c r="BL38" s="698"/>
      <c r="BM38" s="698"/>
      <c r="BN38" s="698"/>
      <c r="BO38" s="698"/>
      <c r="BP38" s="698"/>
      <c r="BQ38" s="698"/>
      <c r="BR38" s="698"/>
      <c r="BS38" s="698"/>
      <c r="BT38" s="698"/>
      <c r="BU38" s="698"/>
      <c r="BV38" s="698"/>
      <c r="BW38" s="698"/>
      <c r="BX38" s="698"/>
      <c r="BY38" s="698"/>
      <c r="BZ38" s="1083"/>
      <c r="CA38" s="1083"/>
      <c r="CQ38" s="697"/>
    </row>
    <row r="39" spans="1:99" outlineLevel="1">
      <c r="A39" s="694" t="s">
        <v>270</v>
      </c>
      <c r="Y39" s="700">
        <f>Y$4/28+Y$5/40</f>
        <v>16.691344285714287</v>
      </c>
      <c r="Z39" s="698">
        <f t="shared" si="37"/>
        <v>16.691344285714287</v>
      </c>
      <c r="AA39" s="698">
        <f t="shared" si="37"/>
        <v>16.691344285714287</v>
      </c>
      <c r="AB39" s="698">
        <f t="shared" si="37"/>
        <v>16.691344285714287</v>
      </c>
      <c r="AC39" s="698">
        <f t="shared" si="37"/>
        <v>16.691344285714287</v>
      </c>
      <c r="AD39" s="698">
        <f t="shared" si="37"/>
        <v>16.691344285714287</v>
      </c>
      <c r="AE39" s="698">
        <f t="shared" si="37"/>
        <v>16.691344285714287</v>
      </c>
      <c r="AF39" s="698">
        <f t="shared" si="37"/>
        <v>16.691344285714287</v>
      </c>
      <c r="AG39" s="698">
        <f t="shared" si="37"/>
        <v>16.691344285714287</v>
      </c>
      <c r="AH39" s="698">
        <f t="shared" si="37"/>
        <v>16.691344285714287</v>
      </c>
      <c r="AI39" s="698">
        <f t="shared" si="37"/>
        <v>16.691344285714287</v>
      </c>
      <c r="AJ39" s="698">
        <f t="shared" ref="AJ39:AW54" si="47">AI39</f>
        <v>16.691344285714287</v>
      </c>
      <c r="AK39" s="698">
        <f t="shared" si="47"/>
        <v>16.691344285714287</v>
      </c>
      <c r="AL39" s="698">
        <f t="shared" si="47"/>
        <v>16.691344285714287</v>
      </c>
      <c r="AM39" s="698">
        <f t="shared" si="47"/>
        <v>16.691344285714287</v>
      </c>
      <c r="AN39" s="698">
        <f t="shared" si="47"/>
        <v>16.691344285714287</v>
      </c>
      <c r="AO39" s="698">
        <f t="shared" si="47"/>
        <v>16.691344285714287</v>
      </c>
      <c r="AP39" s="698">
        <f t="shared" si="47"/>
        <v>16.691344285714287</v>
      </c>
      <c r="AQ39" s="698">
        <f t="shared" si="47"/>
        <v>16.691344285714287</v>
      </c>
      <c r="AR39" s="698">
        <f t="shared" si="47"/>
        <v>16.691344285714287</v>
      </c>
      <c r="AS39" s="698">
        <f t="shared" si="47"/>
        <v>16.691344285714287</v>
      </c>
      <c r="AT39" s="698">
        <f t="shared" si="47"/>
        <v>16.691344285714287</v>
      </c>
      <c r="AU39" s="698">
        <f t="shared" si="47"/>
        <v>16.691344285714287</v>
      </c>
      <c r="AV39" s="698">
        <f t="shared" si="47"/>
        <v>16.691344285714287</v>
      </c>
      <c r="AW39" s="698">
        <f t="shared" si="47"/>
        <v>16.691344285714287</v>
      </c>
      <c r="AX39" s="698">
        <f t="shared" si="43"/>
        <v>16.691344285714287</v>
      </c>
      <c r="AY39" s="698">
        <f t="shared" si="45"/>
        <v>16.691344285714287</v>
      </c>
      <c r="AZ39" s="698">
        <f t="shared" ref="AZ39:AZ65" si="48">AY39</f>
        <v>16.691344285714287</v>
      </c>
      <c r="BA39" s="700">
        <f>Y$5/40</f>
        <v>1.2045299999999997</v>
      </c>
      <c r="BB39" s="698">
        <f>BA39</f>
        <v>1.2045299999999997</v>
      </c>
      <c r="BC39" s="698">
        <f t="shared" si="35"/>
        <v>1.2045299999999997</v>
      </c>
      <c r="BD39" s="698">
        <f t="shared" si="36"/>
        <v>1.2045299999999997</v>
      </c>
      <c r="BE39" s="698">
        <f t="shared" si="38"/>
        <v>1.2045299999999997</v>
      </c>
      <c r="BF39" s="698">
        <f t="shared" si="39"/>
        <v>1.2045299999999997</v>
      </c>
      <c r="BG39" s="698">
        <f t="shared" si="40"/>
        <v>1.2045299999999997</v>
      </c>
      <c r="BH39" s="698">
        <f t="shared" si="41"/>
        <v>1.2045299999999997</v>
      </c>
      <c r="BI39" s="698">
        <f t="shared" si="42"/>
        <v>1.2045299999999997</v>
      </c>
      <c r="BJ39" s="698">
        <f t="shared" si="44"/>
        <v>1.2045299999999997</v>
      </c>
      <c r="BK39" s="698">
        <f t="shared" si="46"/>
        <v>1.2045299999999997</v>
      </c>
      <c r="BL39" s="698">
        <f t="shared" ref="BL39:BL48" si="49">BK39</f>
        <v>1.2045299999999997</v>
      </c>
      <c r="BM39" s="698"/>
      <c r="BN39" s="698"/>
      <c r="BO39" s="698"/>
      <c r="BP39" s="698"/>
      <c r="BQ39" s="698"/>
      <c r="BR39" s="698"/>
      <c r="BS39" s="698"/>
      <c r="BT39" s="698"/>
      <c r="BU39" s="698"/>
      <c r="BV39" s="698"/>
      <c r="BW39" s="698"/>
      <c r="BX39" s="698"/>
      <c r="BY39" s="698"/>
      <c r="BZ39" s="1083"/>
      <c r="CA39" s="1083"/>
      <c r="CQ39" s="1020"/>
    </row>
    <row r="40" spans="1:99" outlineLevel="1">
      <c r="A40" s="694" t="s">
        <v>271</v>
      </c>
      <c r="Z40" s="700">
        <f>Z$4/28+Z$5/40</f>
        <v>20.029980357142854</v>
      </c>
      <c r="AA40" s="698">
        <f t="shared" si="37"/>
        <v>20.029980357142854</v>
      </c>
      <c r="AB40" s="698">
        <f t="shared" si="37"/>
        <v>20.029980357142854</v>
      </c>
      <c r="AC40" s="698">
        <f t="shared" si="37"/>
        <v>20.029980357142854</v>
      </c>
      <c r="AD40" s="698">
        <f t="shared" si="37"/>
        <v>20.029980357142854</v>
      </c>
      <c r="AE40" s="698">
        <f t="shared" si="37"/>
        <v>20.029980357142854</v>
      </c>
      <c r="AF40" s="698">
        <f t="shared" si="37"/>
        <v>20.029980357142854</v>
      </c>
      <c r="AG40" s="698">
        <f t="shared" si="37"/>
        <v>20.029980357142854</v>
      </c>
      <c r="AH40" s="698">
        <f t="shared" si="37"/>
        <v>20.029980357142854</v>
      </c>
      <c r="AI40" s="698">
        <f t="shared" si="37"/>
        <v>20.029980357142854</v>
      </c>
      <c r="AJ40" s="698">
        <f t="shared" si="47"/>
        <v>20.029980357142854</v>
      </c>
      <c r="AK40" s="698">
        <f t="shared" si="47"/>
        <v>20.029980357142854</v>
      </c>
      <c r="AL40" s="698">
        <f t="shared" si="47"/>
        <v>20.029980357142854</v>
      </c>
      <c r="AM40" s="698">
        <f t="shared" si="47"/>
        <v>20.029980357142854</v>
      </c>
      <c r="AN40" s="698">
        <f t="shared" si="47"/>
        <v>20.029980357142854</v>
      </c>
      <c r="AO40" s="698">
        <f t="shared" si="47"/>
        <v>20.029980357142854</v>
      </c>
      <c r="AP40" s="698">
        <f t="shared" si="47"/>
        <v>20.029980357142854</v>
      </c>
      <c r="AQ40" s="698">
        <f t="shared" si="47"/>
        <v>20.029980357142854</v>
      </c>
      <c r="AR40" s="698">
        <f t="shared" si="47"/>
        <v>20.029980357142854</v>
      </c>
      <c r="AS40" s="698">
        <f t="shared" si="47"/>
        <v>20.029980357142854</v>
      </c>
      <c r="AT40" s="698">
        <f t="shared" si="47"/>
        <v>20.029980357142854</v>
      </c>
      <c r="AU40" s="698">
        <f t="shared" si="47"/>
        <v>20.029980357142854</v>
      </c>
      <c r="AV40" s="698">
        <f t="shared" si="47"/>
        <v>20.029980357142854</v>
      </c>
      <c r="AW40" s="698">
        <f t="shared" si="47"/>
        <v>20.029980357142854</v>
      </c>
      <c r="AX40" s="698">
        <f t="shared" si="43"/>
        <v>20.029980357142854</v>
      </c>
      <c r="AY40" s="698">
        <f t="shared" si="45"/>
        <v>20.029980357142854</v>
      </c>
      <c r="AZ40" s="698">
        <f t="shared" si="48"/>
        <v>20.029980357142854</v>
      </c>
      <c r="BA40" s="698">
        <f t="shared" ref="BA40:BA66" si="50">AZ40</f>
        <v>20.029980357142854</v>
      </c>
      <c r="BB40" s="700">
        <f>Z$5/40</f>
        <v>1.4454624999999992</v>
      </c>
      <c r="BC40" s="698">
        <f>BB40</f>
        <v>1.4454624999999992</v>
      </c>
      <c r="BD40" s="698">
        <f t="shared" si="36"/>
        <v>1.4454624999999992</v>
      </c>
      <c r="BE40" s="698">
        <f t="shared" si="38"/>
        <v>1.4454624999999992</v>
      </c>
      <c r="BF40" s="698">
        <f t="shared" si="39"/>
        <v>1.4454624999999992</v>
      </c>
      <c r="BG40" s="698">
        <f t="shared" si="40"/>
        <v>1.4454624999999992</v>
      </c>
      <c r="BH40" s="698">
        <f t="shared" si="41"/>
        <v>1.4454624999999992</v>
      </c>
      <c r="BI40" s="698">
        <f t="shared" si="42"/>
        <v>1.4454624999999992</v>
      </c>
      <c r="BJ40" s="698">
        <f t="shared" si="44"/>
        <v>1.4454624999999992</v>
      </c>
      <c r="BK40" s="698">
        <f t="shared" si="46"/>
        <v>1.4454624999999992</v>
      </c>
      <c r="BL40" s="698">
        <f t="shared" si="49"/>
        <v>1.4454624999999992</v>
      </c>
      <c r="BM40" s="698">
        <f t="shared" ref="BM40:BN49" si="51">BL40</f>
        <v>1.4454624999999992</v>
      </c>
      <c r="BN40" s="698"/>
      <c r="BO40" s="698"/>
      <c r="BP40" s="698"/>
      <c r="BQ40" s="698"/>
      <c r="BR40" s="698"/>
      <c r="BS40" s="698"/>
      <c r="BT40" s="698"/>
      <c r="BU40" s="698"/>
      <c r="BV40" s="698"/>
      <c r="BW40" s="698"/>
      <c r="BX40" s="698"/>
      <c r="BY40" s="698"/>
      <c r="BZ40" s="1083"/>
      <c r="CA40" s="1083"/>
      <c r="CQ40" s="1012"/>
    </row>
    <row r="41" spans="1:99" outlineLevel="1">
      <c r="A41" s="694" t="s">
        <v>272</v>
      </c>
      <c r="AA41" s="700">
        <f>AA$4/28+AA$5/40</f>
        <v>32.326566428571432</v>
      </c>
      <c r="AB41" s="698">
        <f t="shared" si="37"/>
        <v>32.326566428571432</v>
      </c>
      <c r="AC41" s="698">
        <f t="shared" si="37"/>
        <v>32.326566428571432</v>
      </c>
      <c r="AD41" s="698">
        <f t="shared" si="37"/>
        <v>32.326566428571432</v>
      </c>
      <c r="AE41" s="698">
        <f t="shared" si="37"/>
        <v>32.326566428571432</v>
      </c>
      <c r="AF41" s="698">
        <f t="shared" si="37"/>
        <v>32.326566428571432</v>
      </c>
      <c r="AG41" s="698">
        <f t="shared" si="37"/>
        <v>32.326566428571432</v>
      </c>
      <c r="AH41" s="698">
        <f t="shared" si="37"/>
        <v>32.326566428571432</v>
      </c>
      <c r="AI41" s="698">
        <f t="shared" si="37"/>
        <v>32.326566428571432</v>
      </c>
      <c r="AJ41" s="698">
        <f t="shared" si="47"/>
        <v>32.326566428571432</v>
      </c>
      <c r="AK41" s="698">
        <f t="shared" si="47"/>
        <v>32.326566428571432</v>
      </c>
      <c r="AL41" s="698">
        <f t="shared" si="47"/>
        <v>32.326566428571432</v>
      </c>
      <c r="AM41" s="698">
        <f t="shared" si="47"/>
        <v>32.326566428571432</v>
      </c>
      <c r="AN41" s="698">
        <f t="shared" si="47"/>
        <v>32.326566428571432</v>
      </c>
      <c r="AO41" s="698">
        <f t="shared" si="47"/>
        <v>32.326566428571432</v>
      </c>
      <c r="AP41" s="698">
        <f t="shared" si="47"/>
        <v>32.326566428571432</v>
      </c>
      <c r="AQ41" s="698">
        <f t="shared" si="47"/>
        <v>32.326566428571432</v>
      </c>
      <c r="AR41" s="698">
        <f t="shared" si="47"/>
        <v>32.326566428571432</v>
      </c>
      <c r="AS41" s="698">
        <f t="shared" si="47"/>
        <v>32.326566428571432</v>
      </c>
      <c r="AT41" s="698">
        <f t="shared" si="47"/>
        <v>32.326566428571432</v>
      </c>
      <c r="AU41" s="698">
        <f t="shared" si="47"/>
        <v>32.326566428571432</v>
      </c>
      <c r="AV41" s="698">
        <f t="shared" si="47"/>
        <v>32.326566428571432</v>
      </c>
      <c r="AW41" s="698">
        <f t="shared" si="47"/>
        <v>32.326566428571432</v>
      </c>
      <c r="AX41" s="698">
        <f t="shared" si="43"/>
        <v>32.326566428571432</v>
      </c>
      <c r="AY41" s="698">
        <f t="shared" si="45"/>
        <v>32.326566428571432</v>
      </c>
      <c r="AZ41" s="698">
        <f t="shared" si="48"/>
        <v>32.326566428571432</v>
      </c>
      <c r="BA41" s="698">
        <f t="shared" si="50"/>
        <v>32.326566428571432</v>
      </c>
      <c r="BB41" s="698">
        <f t="shared" ref="BB41:BB67" si="52">BA41</f>
        <v>32.326566428571432</v>
      </c>
      <c r="BC41" s="700">
        <f>AA$5/40</f>
        <v>2.3328450000000003</v>
      </c>
      <c r="BD41" s="698">
        <f>BC41</f>
        <v>2.3328450000000003</v>
      </c>
      <c r="BE41" s="698">
        <f t="shared" si="38"/>
        <v>2.3328450000000003</v>
      </c>
      <c r="BF41" s="698">
        <f t="shared" si="39"/>
        <v>2.3328450000000003</v>
      </c>
      <c r="BG41" s="698">
        <f t="shared" si="40"/>
        <v>2.3328450000000003</v>
      </c>
      <c r="BH41" s="698">
        <f t="shared" si="41"/>
        <v>2.3328450000000003</v>
      </c>
      <c r="BI41" s="698">
        <f t="shared" si="42"/>
        <v>2.3328450000000003</v>
      </c>
      <c r="BJ41" s="698">
        <f t="shared" si="44"/>
        <v>2.3328450000000003</v>
      </c>
      <c r="BK41" s="698">
        <f t="shared" si="46"/>
        <v>2.3328450000000003</v>
      </c>
      <c r="BL41" s="698">
        <f t="shared" si="49"/>
        <v>2.3328450000000003</v>
      </c>
      <c r="BM41" s="698">
        <f t="shared" si="51"/>
        <v>2.3328450000000003</v>
      </c>
      <c r="BN41" s="698">
        <f t="shared" si="51"/>
        <v>2.3328450000000003</v>
      </c>
      <c r="BO41" s="698"/>
      <c r="BP41" s="698"/>
      <c r="BQ41" s="698"/>
      <c r="BR41" s="698"/>
      <c r="BS41" s="698"/>
      <c r="BT41" s="698"/>
      <c r="BU41" s="698"/>
      <c r="BV41" s="698"/>
      <c r="BW41" s="698"/>
      <c r="BX41" s="698"/>
      <c r="BY41" s="698"/>
      <c r="BZ41" s="1083"/>
      <c r="CA41" s="1083"/>
    </row>
    <row r="42" spans="1:99" outlineLevel="1">
      <c r="A42" s="694" t="s">
        <v>273</v>
      </c>
      <c r="AB42" s="700">
        <f>AB$4/28+AB$5/40</f>
        <v>26.200981785714283</v>
      </c>
      <c r="AC42" s="698">
        <f t="shared" si="37"/>
        <v>26.200981785714283</v>
      </c>
      <c r="AD42" s="698">
        <f t="shared" si="37"/>
        <v>26.200981785714283</v>
      </c>
      <c r="AE42" s="698">
        <f t="shared" si="37"/>
        <v>26.200981785714283</v>
      </c>
      <c r="AF42" s="698">
        <f t="shared" si="37"/>
        <v>26.200981785714283</v>
      </c>
      <c r="AG42" s="698">
        <f t="shared" si="37"/>
        <v>26.200981785714283</v>
      </c>
      <c r="AH42" s="698">
        <f t="shared" si="37"/>
        <v>26.200981785714283</v>
      </c>
      <c r="AI42" s="698">
        <f t="shared" si="37"/>
        <v>26.200981785714283</v>
      </c>
      <c r="AJ42" s="698">
        <f t="shared" si="47"/>
        <v>26.200981785714283</v>
      </c>
      <c r="AK42" s="698">
        <f t="shared" si="47"/>
        <v>26.200981785714283</v>
      </c>
      <c r="AL42" s="698">
        <f t="shared" si="47"/>
        <v>26.200981785714283</v>
      </c>
      <c r="AM42" s="698">
        <f t="shared" si="47"/>
        <v>26.200981785714283</v>
      </c>
      <c r="AN42" s="698">
        <f t="shared" si="47"/>
        <v>26.200981785714283</v>
      </c>
      <c r="AO42" s="698">
        <f t="shared" si="47"/>
        <v>26.200981785714283</v>
      </c>
      <c r="AP42" s="698">
        <f t="shared" si="47"/>
        <v>26.200981785714283</v>
      </c>
      <c r="AQ42" s="698">
        <f t="shared" si="47"/>
        <v>26.200981785714283</v>
      </c>
      <c r="AR42" s="698">
        <f t="shared" si="47"/>
        <v>26.200981785714283</v>
      </c>
      <c r="AS42" s="698">
        <f t="shared" si="47"/>
        <v>26.200981785714283</v>
      </c>
      <c r="AT42" s="698">
        <f t="shared" si="47"/>
        <v>26.200981785714283</v>
      </c>
      <c r="AU42" s="698">
        <f t="shared" si="47"/>
        <v>26.200981785714283</v>
      </c>
      <c r="AV42" s="698">
        <f t="shared" si="47"/>
        <v>26.200981785714283</v>
      </c>
      <c r="AW42" s="698">
        <f t="shared" si="47"/>
        <v>26.200981785714283</v>
      </c>
      <c r="AX42" s="698">
        <f t="shared" si="43"/>
        <v>26.200981785714283</v>
      </c>
      <c r="AY42" s="698">
        <f t="shared" si="45"/>
        <v>26.200981785714283</v>
      </c>
      <c r="AZ42" s="698">
        <f t="shared" si="48"/>
        <v>26.200981785714283</v>
      </c>
      <c r="BA42" s="698">
        <f t="shared" si="50"/>
        <v>26.200981785714283</v>
      </c>
      <c r="BB42" s="698">
        <f t="shared" si="52"/>
        <v>26.200981785714283</v>
      </c>
      <c r="BC42" s="698">
        <f t="shared" ref="BC42:BC68" si="53">BB42</f>
        <v>26.200981785714283</v>
      </c>
      <c r="BD42" s="700">
        <f>AB$5/40</f>
        <v>1.8907925000000005</v>
      </c>
      <c r="BE42" s="698">
        <f>BD42</f>
        <v>1.8907925000000005</v>
      </c>
      <c r="BF42" s="698">
        <f t="shared" si="39"/>
        <v>1.8907925000000005</v>
      </c>
      <c r="BG42" s="698">
        <f t="shared" si="40"/>
        <v>1.8907925000000005</v>
      </c>
      <c r="BH42" s="698">
        <f t="shared" si="41"/>
        <v>1.8907925000000005</v>
      </c>
      <c r="BI42" s="698">
        <f t="shared" si="42"/>
        <v>1.8907925000000005</v>
      </c>
      <c r="BJ42" s="698">
        <f t="shared" si="44"/>
        <v>1.8907925000000005</v>
      </c>
      <c r="BK42" s="698">
        <f t="shared" si="46"/>
        <v>1.8907925000000005</v>
      </c>
      <c r="BL42" s="698">
        <f t="shared" si="49"/>
        <v>1.8907925000000005</v>
      </c>
      <c r="BM42" s="698">
        <f t="shared" si="51"/>
        <v>1.8907925000000005</v>
      </c>
      <c r="BN42" s="698">
        <f t="shared" si="51"/>
        <v>1.8907925000000005</v>
      </c>
      <c r="BO42" s="698">
        <f>BN42</f>
        <v>1.8907925000000005</v>
      </c>
      <c r="BP42" s="698"/>
      <c r="BQ42" s="698"/>
      <c r="BR42" s="698"/>
      <c r="BS42" s="698"/>
      <c r="BT42" s="698"/>
      <c r="BU42" s="698"/>
      <c r="BV42" s="698"/>
      <c r="BW42" s="698"/>
      <c r="BX42" s="698"/>
      <c r="BY42" s="698"/>
      <c r="BZ42" s="1083"/>
      <c r="CA42" s="1083"/>
    </row>
    <row r="43" spans="1:99" outlineLevel="1">
      <c r="A43" s="694" t="s">
        <v>274</v>
      </c>
      <c r="AC43" s="700">
        <f>AC$4/28+AC$5/40</f>
        <v>16.959826428571429</v>
      </c>
      <c r="AD43" s="698">
        <f t="shared" si="37"/>
        <v>16.959826428571429</v>
      </c>
      <c r="AE43" s="698">
        <f t="shared" si="37"/>
        <v>16.959826428571429</v>
      </c>
      <c r="AF43" s="698">
        <f t="shared" si="37"/>
        <v>16.959826428571429</v>
      </c>
      <c r="AG43" s="698">
        <f t="shared" si="37"/>
        <v>16.959826428571429</v>
      </c>
      <c r="AH43" s="698">
        <f t="shared" si="37"/>
        <v>16.959826428571429</v>
      </c>
      <c r="AI43" s="698">
        <f t="shared" si="37"/>
        <v>16.959826428571429</v>
      </c>
      <c r="AJ43" s="698">
        <f t="shared" si="47"/>
        <v>16.959826428571429</v>
      </c>
      <c r="AK43" s="698">
        <f t="shared" si="47"/>
        <v>16.959826428571429</v>
      </c>
      <c r="AL43" s="698">
        <f t="shared" si="47"/>
        <v>16.959826428571429</v>
      </c>
      <c r="AM43" s="698">
        <f t="shared" si="47"/>
        <v>16.959826428571429</v>
      </c>
      <c r="AN43" s="698">
        <f t="shared" si="47"/>
        <v>16.959826428571429</v>
      </c>
      <c r="AO43" s="698">
        <f t="shared" si="47"/>
        <v>16.959826428571429</v>
      </c>
      <c r="AP43" s="698">
        <f t="shared" si="47"/>
        <v>16.959826428571429</v>
      </c>
      <c r="AQ43" s="698">
        <f t="shared" si="47"/>
        <v>16.959826428571429</v>
      </c>
      <c r="AR43" s="698">
        <f t="shared" si="47"/>
        <v>16.959826428571429</v>
      </c>
      <c r="AS43" s="698">
        <f t="shared" si="47"/>
        <v>16.959826428571429</v>
      </c>
      <c r="AT43" s="698">
        <f t="shared" si="47"/>
        <v>16.959826428571429</v>
      </c>
      <c r="AU43" s="698">
        <f t="shared" si="47"/>
        <v>16.959826428571429</v>
      </c>
      <c r="AV43" s="698">
        <f t="shared" si="47"/>
        <v>16.959826428571429</v>
      </c>
      <c r="AW43" s="698">
        <f t="shared" si="47"/>
        <v>16.959826428571429</v>
      </c>
      <c r="AX43" s="698">
        <f t="shared" si="43"/>
        <v>16.959826428571429</v>
      </c>
      <c r="AY43" s="698">
        <f t="shared" si="45"/>
        <v>16.959826428571429</v>
      </c>
      <c r="AZ43" s="698">
        <f t="shared" si="48"/>
        <v>16.959826428571429</v>
      </c>
      <c r="BA43" s="698">
        <f t="shared" si="50"/>
        <v>16.959826428571429</v>
      </c>
      <c r="BB43" s="698">
        <f t="shared" si="52"/>
        <v>16.959826428571429</v>
      </c>
      <c r="BC43" s="698">
        <f t="shared" si="53"/>
        <v>16.959826428571429</v>
      </c>
      <c r="BD43" s="698">
        <f t="shared" ref="BD43:BD69" si="54">BC43</f>
        <v>16.959826428571429</v>
      </c>
      <c r="BE43" s="700">
        <f>AC$5/40</f>
        <v>1.2239049999999991</v>
      </c>
      <c r="BF43" s="698">
        <f>BE43</f>
        <v>1.2239049999999991</v>
      </c>
      <c r="BG43" s="698">
        <f t="shared" si="40"/>
        <v>1.2239049999999991</v>
      </c>
      <c r="BH43" s="698">
        <f t="shared" si="41"/>
        <v>1.2239049999999991</v>
      </c>
      <c r="BI43" s="698">
        <f t="shared" si="42"/>
        <v>1.2239049999999991</v>
      </c>
      <c r="BJ43" s="698">
        <f t="shared" si="44"/>
        <v>1.2239049999999991</v>
      </c>
      <c r="BK43" s="698">
        <f t="shared" si="46"/>
        <v>1.2239049999999991</v>
      </c>
      <c r="BL43" s="698">
        <f t="shared" si="49"/>
        <v>1.2239049999999991</v>
      </c>
      <c r="BM43" s="698">
        <f t="shared" si="51"/>
        <v>1.2239049999999991</v>
      </c>
      <c r="BN43" s="698">
        <f t="shared" si="51"/>
        <v>1.2239049999999991</v>
      </c>
      <c r="BO43" s="698">
        <f>BN43</f>
        <v>1.2239049999999991</v>
      </c>
      <c r="BP43" s="698">
        <f>BO43</f>
        <v>1.2239049999999991</v>
      </c>
      <c r="BQ43" s="698"/>
      <c r="BR43" s="698"/>
      <c r="BS43" s="698"/>
      <c r="BT43" s="698"/>
      <c r="BU43" s="698"/>
      <c r="BV43" s="698"/>
      <c r="BW43" s="698"/>
      <c r="BX43" s="698"/>
      <c r="BY43" s="698"/>
      <c r="BZ43" s="1083"/>
      <c r="CA43" s="1083"/>
    </row>
    <row r="44" spans="1:99" outlineLevel="1">
      <c r="A44" s="694" t="s">
        <v>275</v>
      </c>
      <c r="AD44" s="700">
        <f>AD$4/28+AD$5/40</f>
        <v>21.251972499999997</v>
      </c>
      <c r="AE44" s="698">
        <f t="shared" si="37"/>
        <v>21.251972499999997</v>
      </c>
      <c r="AF44" s="698">
        <f t="shared" si="37"/>
        <v>21.251972499999997</v>
      </c>
      <c r="AG44" s="698">
        <f t="shared" si="37"/>
        <v>21.251972499999997</v>
      </c>
      <c r="AH44" s="698">
        <f t="shared" si="37"/>
        <v>21.251972499999997</v>
      </c>
      <c r="AI44" s="698">
        <f t="shared" si="37"/>
        <v>21.251972499999997</v>
      </c>
      <c r="AJ44" s="698">
        <f t="shared" si="47"/>
        <v>21.251972499999997</v>
      </c>
      <c r="AK44" s="698">
        <f t="shared" si="47"/>
        <v>21.251972499999997</v>
      </c>
      <c r="AL44" s="698">
        <f t="shared" si="47"/>
        <v>21.251972499999997</v>
      </c>
      <c r="AM44" s="698">
        <f t="shared" si="47"/>
        <v>21.251972499999997</v>
      </c>
      <c r="AN44" s="698">
        <f t="shared" si="47"/>
        <v>21.251972499999997</v>
      </c>
      <c r="AO44" s="698">
        <f t="shared" si="47"/>
        <v>21.251972499999997</v>
      </c>
      <c r="AP44" s="698">
        <f t="shared" si="47"/>
        <v>21.251972499999997</v>
      </c>
      <c r="AQ44" s="698">
        <f t="shared" si="47"/>
        <v>21.251972499999997</v>
      </c>
      <c r="AR44" s="698">
        <f t="shared" si="47"/>
        <v>21.251972499999997</v>
      </c>
      <c r="AS44" s="698">
        <f t="shared" si="47"/>
        <v>21.251972499999997</v>
      </c>
      <c r="AT44" s="698">
        <f t="shared" si="47"/>
        <v>21.251972499999997</v>
      </c>
      <c r="AU44" s="698">
        <f t="shared" si="47"/>
        <v>21.251972499999997</v>
      </c>
      <c r="AV44" s="698">
        <f t="shared" si="47"/>
        <v>21.251972499999997</v>
      </c>
      <c r="AW44" s="698">
        <f t="shared" si="47"/>
        <v>21.251972499999997</v>
      </c>
      <c r="AX44" s="698">
        <f t="shared" si="43"/>
        <v>21.251972499999997</v>
      </c>
      <c r="AY44" s="698">
        <f t="shared" si="45"/>
        <v>21.251972499999997</v>
      </c>
      <c r="AZ44" s="698">
        <f t="shared" si="48"/>
        <v>21.251972499999997</v>
      </c>
      <c r="BA44" s="698">
        <f t="shared" si="50"/>
        <v>21.251972499999997</v>
      </c>
      <c r="BB44" s="698">
        <f t="shared" si="52"/>
        <v>21.251972499999997</v>
      </c>
      <c r="BC44" s="698">
        <f t="shared" si="53"/>
        <v>21.251972499999997</v>
      </c>
      <c r="BD44" s="698">
        <f t="shared" si="54"/>
        <v>21.251972499999997</v>
      </c>
      <c r="BE44" s="698">
        <f t="shared" ref="BE44:BE70" si="55">BD44</f>
        <v>21.251972499999997</v>
      </c>
      <c r="BF44" s="700">
        <f>AD$5/40</f>
        <v>1.5336475000000007</v>
      </c>
      <c r="BG44" s="698">
        <f>BF44</f>
        <v>1.5336475000000007</v>
      </c>
      <c r="BH44" s="698">
        <f t="shared" si="41"/>
        <v>1.5336475000000007</v>
      </c>
      <c r="BI44" s="698">
        <f t="shared" si="42"/>
        <v>1.5336475000000007</v>
      </c>
      <c r="BJ44" s="698">
        <f t="shared" si="44"/>
        <v>1.5336475000000007</v>
      </c>
      <c r="BK44" s="698">
        <f t="shared" si="46"/>
        <v>1.5336475000000007</v>
      </c>
      <c r="BL44" s="698">
        <f t="shared" si="49"/>
        <v>1.5336475000000007</v>
      </c>
      <c r="BM44" s="698">
        <f t="shared" si="51"/>
        <v>1.5336475000000007</v>
      </c>
      <c r="BN44" s="698">
        <f t="shared" si="51"/>
        <v>1.5336475000000007</v>
      </c>
      <c r="BO44" s="698">
        <f>BN44</f>
        <v>1.5336475000000007</v>
      </c>
      <c r="BP44" s="698">
        <f>BO44</f>
        <v>1.5336475000000007</v>
      </c>
      <c r="BQ44" s="698">
        <f>BP44</f>
        <v>1.5336475000000007</v>
      </c>
      <c r="BR44" s="698"/>
      <c r="BS44" s="698"/>
      <c r="BT44" s="698"/>
      <c r="BU44" s="698"/>
      <c r="BV44" s="698"/>
      <c r="BW44" s="698"/>
      <c r="BX44" s="698"/>
      <c r="BY44" s="698"/>
      <c r="BZ44" s="1083"/>
      <c r="CA44" s="1083"/>
    </row>
    <row r="45" spans="1:99" outlineLevel="1">
      <c r="A45" s="694" t="s">
        <v>276</v>
      </c>
      <c r="AE45" s="700">
        <f>AE$4/28+AE$5/40</f>
        <v>21.697687500000004</v>
      </c>
      <c r="AF45" s="698">
        <f t="shared" si="37"/>
        <v>21.697687500000004</v>
      </c>
      <c r="AG45" s="698">
        <f t="shared" si="37"/>
        <v>21.697687500000004</v>
      </c>
      <c r="AH45" s="698">
        <f t="shared" si="37"/>
        <v>21.697687500000004</v>
      </c>
      <c r="AI45" s="698">
        <f t="shared" si="37"/>
        <v>21.697687500000004</v>
      </c>
      <c r="AJ45" s="698">
        <f t="shared" si="47"/>
        <v>21.697687500000004</v>
      </c>
      <c r="AK45" s="698">
        <f t="shared" si="47"/>
        <v>21.697687500000004</v>
      </c>
      <c r="AL45" s="698">
        <f t="shared" si="47"/>
        <v>21.697687500000004</v>
      </c>
      <c r="AM45" s="698">
        <f t="shared" si="47"/>
        <v>21.697687500000004</v>
      </c>
      <c r="AN45" s="698">
        <f t="shared" si="47"/>
        <v>21.697687500000004</v>
      </c>
      <c r="AO45" s="698">
        <f t="shared" si="47"/>
        <v>21.697687500000004</v>
      </c>
      <c r="AP45" s="698">
        <f t="shared" si="47"/>
        <v>21.697687500000004</v>
      </c>
      <c r="AQ45" s="698">
        <f t="shared" si="47"/>
        <v>21.697687500000004</v>
      </c>
      <c r="AR45" s="698">
        <f t="shared" si="47"/>
        <v>21.697687500000004</v>
      </c>
      <c r="AS45" s="698">
        <f t="shared" si="47"/>
        <v>21.697687500000004</v>
      </c>
      <c r="AT45" s="698">
        <f t="shared" si="47"/>
        <v>21.697687500000004</v>
      </c>
      <c r="AU45" s="698">
        <f t="shared" si="47"/>
        <v>21.697687500000004</v>
      </c>
      <c r="AV45" s="698">
        <f t="shared" si="47"/>
        <v>21.697687500000004</v>
      </c>
      <c r="AW45" s="698">
        <f t="shared" si="47"/>
        <v>21.697687500000004</v>
      </c>
      <c r="AX45" s="698">
        <f t="shared" si="43"/>
        <v>21.697687500000004</v>
      </c>
      <c r="AY45" s="698">
        <f t="shared" si="45"/>
        <v>21.697687500000004</v>
      </c>
      <c r="AZ45" s="698">
        <f t="shared" si="48"/>
        <v>21.697687500000004</v>
      </c>
      <c r="BA45" s="698">
        <f t="shared" si="50"/>
        <v>21.697687500000004</v>
      </c>
      <c r="BB45" s="698">
        <f t="shared" si="52"/>
        <v>21.697687500000004</v>
      </c>
      <c r="BC45" s="698">
        <f t="shared" si="53"/>
        <v>21.697687500000004</v>
      </c>
      <c r="BD45" s="698">
        <f t="shared" si="54"/>
        <v>21.697687500000004</v>
      </c>
      <c r="BE45" s="698">
        <f t="shared" si="55"/>
        <v>21.697687500000004</v>
      </c>
      <c r="BF45" s="698">
        <f t="shared" ref="BF45:BF71" si="56">BE45</f>
        <v>21.697687500000004</v>
      </c>
      <c r="BG45" s="700">
        <f>AE$5/40</f>
        <v>1.5658124999999985</v>
      </c>
      <c r="BH45" s="698">
        <f>BG45</f>
        <v>1.5658124999999985</v>
      </c>
      <c r="BI45" s="698">
        <f t="shared" si="42"/>
        <v>1.5658124999999985</v>
      </c>
      <c r="BJ45" s="698">
        <f t="shared" si="44"/>
        <v>1.5658124999999985</v>
      </c>
      <c r="BK45" s="698">
        <f t="shared" si="46"/>
        <v>1.5658124999999985</v>
      </c>
      <c r="BL45" s="698">
        <f t="shared" si="49"/>
        <v>1.5658124999999985</v>
      </c>
      <c r="BM45" s="698">
        <f t="shared" si="51"/>
        <v>1.5658124999999985</v>
      </c>
      <c r="BN45" s="698">
        <f t="shared" si="51"/>
        <v>1.5658124999999985</v>
      </c>
      <c r="BO45" s="698">
        <f t="shared" ref="BO45:BS49" si="57">BN45</f>
        <v>1.5658124999999985</v>
      </c>
      <c r="BP45" s="698">
        <f t="shared" si="57"/>
        <v>1.5658124999999985</v>
      </c>
      <c r="BQ45" s="698">
        <f t="shared" si="57"/>
        <v>1.5658124999999985</v>
      </c>
      <c r="BR45" s="698">
        <f t="shared" si="57"/>
        <v>1.5658124999999985</v>
      </c>
      <c r="BS45" s="698"/>
      <c r="BT45" s="698"/>
      <c r="BU45" s="698"/>
      <c r="BV45" s="698"/>
      <c r="BW45" s="698"/>
      <c r="BX45" s="698"/>
      <c r="BY45" s="698"/>
      <c r="BZ45" s="1083"/>
      <c r="CA45" s="1083"/>
    </row>
    <row r="46" spans="1:99" outlineLevel="1">
      <c r="A46" s="694" t="s">
        <v>277</v>
      </c>
      <c r="AF46" s="700">
        <f>AF$4/28+AF$5/40</f>
        <v>23.94410357142857</v>
      </c>
      <c r="AG46" s="698">
        <f t="shared" si="37"/>
        <v>23.94410357142857</v>
      </c>
      <c r="AH46" s="698">
        <f t="shared" si="37"/>
        <v>23.94410357142857</v>
      </c>
      <c r="AI46" s="698">
        <f t="shared" si="37"/>
        <v>23.94410357142857</v>
      </c>
      <c r="AJ46" s="698">
        <f t="shared" si="47"/>
        <v>23.94410357142857</v>
      </c>
      <c r="AK46" s="698">
        <f t="shared" si="47"/>
        <v>23.94410357142857</v>
      </c>
      <c r="AL46" s="698">
        <f t="shared" si="47"/>
        <v>23.94410357142857</v>
      </c>
      <c r="AM46" s="698">
        <f t="shared" si="47"/>
        <v>23.94410357142857</v>
      </c>
      <c r="AN46" s="698">
        <f t="shared" si="47"/>
        <v>23.94410357142857</v>
      </c>
      <c r="AO46" s="698">
        <f t="shared" si="47"/>
        <v>23.94410357142857</v>
      </c>
      <c r="AP46" s="698">
        <f t="shared" si="47"/>
        <v>23.94410357142857</v>
      </c>
      <c r="AQ46" s="698">
        <f t="shared" si="47"/>
        <v>23.94410357142857</v>
      </c>
      <c r="AR46" s="698">
        <f t="shared" si="47"/>
        <v>23.94410357142857</v>
      </c>
      <c r="AS46" s="698">
        <f t="shared" si="47"/>
        <v>23.94410357142857</v>
      </c>
      <c r="AT46" s="698">
        <f t="shared" si="47"/>
        <v>23.94410357142857</v>
      </c>
      <c r="AU46" s="698">
        <f t="shared" si="47"/>
        <v>23.94410357142857</v>
      </c>
      <c r="AV46" s="698">
        <f t="shared" si="47"/>
        <v>23.94410357142857</v>
      </c>
      <c r="AW46" s="698">
        <f t="shared" si="47"/>
        <v>23.94410357142857</v>
      </c>
      <c r="AX46" s="698">
        <f t="shared" si="43"/>
        <v>23.94410357142857</v>
      </c>
      <c r="AY46" s="698">
        <f t="shared" si="45"/>
        <v>23.94410357142857</v>
      </c>
      <c r="AZ46" s="698">
        <f t="shared" si="48"/>
        <v>23.94410357142857</v>
      </c>
      <c r="BA46" s="698">
        <f t="shared" si="50"/>
        <v>23.94410357142857</v>
      </c>
      <c r="BB46" s="698">
        <f t="shared" si="52"/>
        <v>23.94410357142857</v>
      </c>
      <c r="BC46" s="698">
        <f t="shared" si="53"/>
        <v>23.94410357142857</v>
      </c>
      <c r="BD46" s="698">
        <f t="shared" si="54"/>
        <v>23.94410357142857</v>
      </c>
      <c r="BE46" s="698">
        <f t="shared" si="55"/>
        <v>23.94410357142857</v>
      </c>
      <c r="BF46" s="698">
        <f t="shared" si="56"/>
        <v>23.94410357142857</v>
      </c>
      <c r="BG46" s="698">
        <f t="shared" ref="BG46:BG72" si="58">BF46</f>
        <v>23.94410357142857</v>
      </c>
      <c r="BH46" s="700">
        <f>AF$5/40</f>
        <v>1.727924999999999</v>
      </c>
      <c r="BI46" s="698">
        <f>BH46</f>
        <v>1.727924999999999</v>
      </c>
      <c r="BJ46" s="698">
        <f t="shared" si="44"/>
        <v>1.727924999999999</v>
      </c>
      <c r="BK46" s="698">
        <f t="shared" si="46"/>
        <v>1.727924999999999</v>
      </c>
      <c r="BL46" s="698">
        <f t="shared" si="49"/>
        <v>1.727924999999999</v>
      </c>
      <c r="BM46" s="698">
        <f t="shared" si="51"/>
        <v>1.727924999999999</v>
      </c>
      <c r="BN46" s="698">
        <f t="shared" ref="BN46:BN51" si="59">BM46</f>
        <v>1.727924999999999</v>
      </c>
      <c r="BO46" s="698">
        <f t="shared" si="57"/>
        <v>1.727924999999999</v>
      </c>
      <c r="BP46" s="698">
        <f t="shared" si="57"/>
        <v>1.727924999999999</v>
      </c>
      <c r="BQ46" s="698">
        <f t="shared" si="57"/>
        <v>1.727924999999999</v>
      </c>
      <c r="BR46" s="698">
        <f t="shared" si="57"/>
        <v>1.727924999999999</v>
      </c>
      <c r="BS46" s="698">
        <f t="shared" si="57"/>
        <v>1.727924999999999</v>
      </c>
      <c r="BT46" s="698"/>
      <c r="BU46" s="698"/>
      <c r="BV46" s="698"/>
      <c r="BW46" s="698"/>
      <c r="BX46" s="698"/>
      <c r="BY46" s="698"/>
      <c r="BZ46" s="1083"/>
      <c r="CA46" s="1083"/>
      <c r="CB46" s="698"/>
      <c r="CQ46" s="1012"/>
    </row>
    <row r="47" spans="1:99" outlineLevel="1">
      <c r="A47" s="694" t="s">
        <v>278</v>
      </c>
      <c r="AG47" s="700">
        <f>AG$4/28+AG$5/40</f>
        <v>14.236308928571427</v>
      </c>
      <c r="AH47" s="698">
        <f t="shared" si="37"/>
        <v>14.236308928571427</v>
      </c>
      <c r="AI47" s="698">
        <f t="shared" si="37"/>
        <v>14.236308928571427</v>
      </c>
      <c r="AJ47" s="698">
        <f t="shared" si="47"/>
        <v>14.236308928571427</v>
      </c>
      <c r="AK47" s="698">
        <f t="shared" si="47"/>
        <v>14.236308928571427</v>
      </c>
      <c r="AL47" s="698">
        <f t="shared" si="47"/>
        <v>14.236308928571427</v>
      </c>
      <c r="AM47" s="698">
        <f t="shared" si="47"/>
        <v>14.236308928571427</v>
      </c>
      <c r="AN47" s="698">
        <f t="shared" si="47"/>
        <v>14.236308928571427</v>
      </c>
      <c r="AO47" s="698">
        <f t="shared" si="47"/>
        <v>14.236308928571427</v>
      </c>
      <c r="AP47" s="698">
        <f t="shared" si="47"/>
        <v>14.236308928571427</v>
      </c>
      <c r="AQ47" s="698">
        <f t="shared" si="47"/>
        <v>14.236308928571427</v>
      </c>
      <c r="AR47" s="698">
        <f t="shared" si="47"/>
        <v>14.236308928571427</v>
      </c>
      <c r="AS47" s="698">
        <f t="shared" si="47"/>
        <v>14.236308928571427</v>
      </c>
      <c r="AT47" s="698">
        <f t="shared" si="47"/>
        <v>14.236308928571427</v>
      </c>
      <c r="AU47" s="698">
        <f t="shared" si="47"/>
        <v>14.236308928571427</v>
      </c>
      <c r="AV47" s="698">
        <f t="shared" si="47"/>
        <v>14.236308928571427</v>
      </c>
      <c r="AW47" s="698">
        <f t="shared" si="47"/>
        <v>14.236308928571427</v>
      </c>
      <c r="AX47" s="698">
        <f t="shared" si="43"/>
        <v>14.236308928571427</v>
      </c>
      <c r="AY47" s="698">
        <f t="shared" si="45"/>
        <v>14.236308928571427</v>
      </c>
      <c r="AZ47" s="698">
        <f t="shared" si="48"/>
        <v>14.236308928571427</v>
      </c>
      <c r="BA47" s="698">
        <f t="shared" si="50"/>
        <v>14.236308928571427</v>
      </c>
      <c r="BB47" s="698">
        <f t="shared" si="52"/>
        <v>14.236308928571427</v>
      </c>
      <c r="BC47" s="698">
        <f t="shared" si="53"/>
        <v>14.236308928571427</v>
      </c>
      <c r="BD47" s="698">
        <f t="shared" si="54"/>
        <v>14.236308928571427</v>
      </c>
      <c r="BE47" s="698">
        <f t="shared" si="55"/>
        <v>14.236308928571427</v>
      </c>
      <c r="BF47" s="698">
        <f t="shared" si="56"/>
        <v>14.236308928571427</v>
      </c>
      <c r="BG47" s="698">
        <f t="shared" si="58"/>
        <v>14.236308928571427</v>
      </c>
      <c r="BH47" s="698">
        <f t="shared" ref="BH47:BH73" si="60">BG47</f>
        <v>14.236308928571427</v>
      </c>
      <c r="BI47" s="700">
        <f>AG$5/40</f>
        <v>1.0273624999999995</v>
      </c>
      <c r="BJ47" s="698">
        <f>BI47</f>
        <v>1.0273624999999995</v>
      </c>
      <c r="BK47" s="698">
        <f t="shared" si="46"/>
        <v>1.0273624999999995</v>
      </c>
      <c r="BL47" s="698">
        <f t="shared" si="49"/>
        <v>1.0273624999999995</v>
      </c>
      <c r="BM47" s="698">
        <f t="shared" si="51"/>
        <v>1.0273624999999995</v>
      </c>
      <c r="BN47" s="698">
        <f t="shared" si="59"/>
        <v>1.0273624999999995</v>
      </c>
      <c r="BO47" s="698">
        <f t="shared" si="57"/>
        <v>1.0273624999999995</v>
      </c>
      <c r="BP47" s="698">
        <f t="shared" si="57"/>
        <v>1.0273624999999995</v>
      </c>
      <c r="BQ47" s="698">
        <f t="shared" si="57"/>
        <v>1.0273624999999995</v>
      </c>
      <c r="BR47" s="698">
        <f t="shared" si="57"/>
        <v>1.0273624999999995</v>
      </c>
      <c r="BS47" s="698">
        <f t="shared" ref="BS47:BS54" si="61">BR47</f>
        <v>1.0273624999999995</v>
      </c>
      <c r="BT47" s="698">
        <f t="shared" ref="BT47:BT54" si="62">BS47</f>
        <v>1.0273624999999995</v>
      </c>
      <c r="BU47" s="698"/>
      <c r="BV47" s="698"/>
      <c r="BW47" s="698"/>
      <c r="BX47" s="698"/>
      <c r="BY47" s="698"/>
      <c r="BZ47" s="1083"/>
      <c r="CA47" s="1083"/>
      <c r="CQ47" s="1012"/>
    </row>
    <row r="48" spans="1:99" outlineLevel="1">
      <c r="A48" s="694" t="s">
        <v>279</v>
      </c>
      <c r="AH48" s="700">
        <f>AH$4/28+AH$5/40</f>
        <v>12.849867142857143</v>
      </c>
      <c r="AI48" s="698">
        <f>AH48</f>
        <v>12.849867142857143</v>
      </c>
      <c r="AJ48" s="698">
        <f t="shared" si="47"/>
        <v>12.849867142857143</v>
      </c>
      <c r="AK48" s="698">
        <f t="shared" si="47"/>
        <v>12.849867142857143</v>
      </c>
      <c r="AL48" s="698">
        <f t="shared" si="47"/>
        <v>12.849867142857143</v>
      </c>
      <c r="AM48" s="698">
        <f t="shared" si="47"/>
        <v>12.849867142857143</v>
      </c>
      <c r="AN48" s="698">
        <f t="shared" si="47"/>
        <v>12.849867142857143</v>
      </c>
      <c r="AO48" s="698">
        <f t="shared" si="47"/>
        <v>12.849867142857143</v>
      </c>
      <c r="AP48" s="698">
        <f t="shared" si="47"/>
        <v>12.849867142857143</v>
      </c>
      <c r="AQ48" s="698">
        <f t="shared" si="47"/>
        <v>12.849867142857143</v>
      </c>
      <c r="AR48" s="698">
        <f t="shared" si="47"/>
        <v>12.849867142857143</v>
      </c>
      <c r="AS48" s="698">
        <f t="shared" si="47"/>
        <v>12.849867142857143</v>
      </c>
      <c r="AT48" s="698">
        <f t="shared" si="47"/>
        <v>12.849867142857143</v>
      </c>
      <c r="AU48" s="698">
        <f t="shared" si="47"/>
        <v>12.849867142857143</v>
      </c>
      <c r="AV48" s="698">
        <f t="shared" si="47"/>
        <v>12.849867142857143</v>
      </c>
      <c r="AW48" s="698">
        <f t="shared" si="47"/>
        <v>12.849867142857143</v>
      </c>
      <c r="AX48" s="698">
        <f t="shared" si="43"/>
        <v>12.849867142857143</v>
      </c>
      <c r="AY48" s="698">
        <f t="shared" si="45"/>
        <v>12.849867142857143</v>
      </c>
      <c r="AZ48" s="698">
        <f t="shared" si="48"/>
        <v>12.849867142857143</v>
      </c>
      <c r="BA48" s="698">
        <f t="shared" si="50"/>
        <v>12.849867142857143</v>
      </c>
      <c r="BB48" s="698">
        <f t="shared" si="52"/>
        <v>12.849867142857143</v>
      </c>
      <c r="BC48" s="698">
        <f t="shared" si="53"/>
        <v>12.849867142857143</v>
      </c>
      <c r="BD48" s="698">
        <f t="shared" si="54"/>
        <v>12.849867142857143</v>
      </c>
      <c r="BE48" s="698">
        <f t="shared" si="55"/>
        <v>12.849867142857143</v>
      </c>
      <c r="BF48" s="698">
        <f t="shared" si="56"/>
        <v>12.849867142857143</v>
      </c>
      <c r="BG48" s="698">
        <f t="shared" si="58"/>
        <v>12.849867142857143</v>
      </c>
      <c r="BH48" s="698">
        <f t="shared" si="60"/>
        <v>12.849867142857143</v>
      </c>
      <c r="BI48" s="698">
        <f t="shared" ref="BI48:BI74" si="63">BH48</f>
        <v>12.849867142857143</v>
      </c>
      <c r="BJ48" s="700">
        <f>AH$5/40</f>
        <v>0.92730999999999997</v>
      </c>
      <c r="BK48" s="698">
        <f>BJ48</f>
        <v>0.92730999999999997</v>
      </c>
      <c r="BL48" s="698">
        <f t="shared" si="49"/>
        <v>0.92730999999999997</v>
      </c>
      <c r="BM48" s="698">
        <f t="shared" si="51"/>
        <v>0.92730999999999997</v>
      </c>
      <c r="BN48" s="698">
        <f t="shared" si="59"/>
        <v>0.92730999999999997</v>
      </c>
      <c r="BO48" s="698">
        <f t="shared" si="57"/>
        <v>0.92730999999999997</v>
      </c>
      <c r="BP48" s="698">
        <f t="shared" si="57"/>
        <v>0.92730999999999997</v>
      </c>
      <c r="BQ48" s="698">
        <f t="shared" si="57"/>
        <v>0.92730999999999997</v>
      </c>
      <c r="BR48" s="698">
        <f t="shared" ref="BR48:BR54" si="64">BQ48</f>
        <v>0.92730999999999997</v>
      </c>
      <c r="BS48" s="698">
        <f t="shared" si="61"/>
        <v>0.92730999999999997</v>
      </c>
      <c r="BT48" s="698">
        <f t="shared" si="62"/>
        <v>0.92730999999999997</v>
      </c>
      <c r="BU48" s="698">
        <f t="shared" ref="BU48:BW54" si="65">BT48</f>
        <v>0.92730999999999997</v>
      </c>
      <c r="BV48" s="698"/>
      <c r="BW48" s="698"/>
      <c r="BX48" s="698"/>
      <c r="BY48" s="698"/>
      <c r="BZ48" s="1083"/>
      <c r="CA48" s="1083"/>
      <c r="CQ48" s="1012"/>
    </row>
    <row r="49" spans="1:79" outlineLevel="1">
      <c r="A49" s="694" t="s">
        <v>280</v>
      </c>
      <c r="AI49" s="700">
        <f>AI$4/28+AI$5/40</f>
        <v>18.515013571428568</v>
      </c>
      <c r="AJ49" s="698">
        <f t="shared" si="47"/>
        <v>18.515013571428568</v>
      </c>
      <c r="AK49" s="698">
        <f t="shared" si="47"/>
        <v>18.515013571428568</v>
      </c>
      <c r="AL49" s="698">
        <f t="shared" si="47"/>
        <v>18.515013571428568</v>
      </c>
      <c r="AM49" s="698">
        <f t="shared" si="47"/>
        <v>18.515013571428568</v>
      </c>
      <c r="AN49" s="698">
        <f t="shared" si="47"/>
        <v>18.515013571428568</v>
      </c>
      <c r="AO49" s="698">
        <f t="shared" si="47"/>
        <v>18.515013571428568</v>
      </c>
      <c r="AP49" s="698">
        <f t="shared" si="47"/>
        <v>18.515013571428568</v>
      </c>
      <c r="AQ49" s="698">
        <f t="shared" si="47"/>
        <v>18.515013571428568</v>
      </c>
      <c r="AR49" s="698">
        <f t="shared" si="47"/>
        <v>18.515013571428568</v>
      </c>
      <c r="AS49" s="698">
        <f t="shared" si="47"/>
        <v>18.515013571428568</v>
      </c>
      <c r="AT49" s="698">
        <f t="shared" si="47"/>
        <v>18.515013571428568</v>
      </c>
      <c r="AU49" s="698">
        <f t="shared" si="47"/>
        <v>18.515013571428568</v>
      </c>
      <c r="AV49" s="698">
        <f t="shared" si="47"/>
        <v>18.515013571428568</v>
      </c>
      <c r="AW49" s="698">
        <f t="shared" si="47"/>
        <v>18.515013571428568</v>
      </c>
      <c r="AX49" s="698">
        <f t="shared" si="43"/>
        <v>18.515013571428568</v>
      </c>
      <c r="AY49" s="698">
        <f t="shared" si="45"/>
        <v>18.515013571428568</v>
      </c>
      <c r="AZ49" s="698">
        <f t="shared" si="48"/>
        <v>18.515013571428568</v>
      </c>
      <c r="BA49" s="698">
        <f t="shared" si="50"/>
        <v>18.515013571428568</v>
      </c>
      <c r="BB49" s="698">
        <f t="shared" si="52"/>
        <v>18.515013571428568</v>
      </c>
      <c r="BC49" s="698">
        <f t="shared" si="53"/>
        <v>18.515013571428568</v>
      </c>
      <c r="BD49" s="698">
        <f t="shared" si="54"/>
        <v>18.515013571428568</v>
      </c>
      <c r="BE49" s="698">
        <f t="shared" si="55"/>
        <v>18.515013571428568</v>
      </c>
      <c r="BF49" s="698">
        <f t="shared" si="56"/>
        <v>18.515013571428568</v>
      </c>
      <c r="BG49" s="698">
        <f t="shared" si="58"/>
        <v>18.515013571428568</v>
      </c>
      <c r="BH49" s="698">
        <f t="shared" si="60"/>
        <v>18.515013571428568</v>
      </c>
      <c r="BI49" s="698">
        <f t="shared" si="63"/>
        <v>18.515013571428568</v>
      </c>
      <c r="BJ49" s="698">
        <f t="shared" ref="BJ49:BJ75" si="66">BI49</f>
        <v>18.515013571428568</v>
      </c>
      <c r="BK49" s="700">
        <f>AI$5/40</f>
        <v>1.3361350000000001</v>
      </c>
      <c r="BL49" s="698">
        <f>BK49</f>
        <v>1.3361350000000001</v>
      </c>
      <c r="BM49" s="698">
        <f t="shared" si="51"/>
        <v>1.3361350000000001</v>
      </c>
      <c r="BN49" s="698">
        <f t="shared" si="59"/>
        <v>1.3361350000000001</v>
      </c>
      <c r="BO49" s="698">
        <f t="shared" si="57"/>
        <v>1.3361350000000001</v>
      </c>
      <c r="BP49" s="698">
        <f t="shared" si="57"/>
        <v>1.3361350000000001</v>
      </c>
      <c r="BQ49" s="698">
        <f t="shared" si="57"/>
        <v>1.3361350000000001</v>
      </c>
      <c r="BR49" s="698">
        <f t="shared" si="64"/>
        <v>1.3361350000000001</v>
      </c>
      <c r="BS49" s="698">
        <f t="shared" si="61"/>
        <v>1.3361350000000001</v>
      </c>
      <c r="BT49" s="698">
        <f t="shared" si="62"/>
        <v>1.3361350000000001</v>
      </c>
      <c r="BU49" s="698">
        <f t="shared" si="65"/>
        <v>1.3361350000000001</v>
      </c>
      <c r="BV49" s="698">
        <f t="shared" si="65"/>
        <v>1.3361350000000001</v>
      </c>
      <c r="BW49" s="698"/>
      <c r="BX49" s="698"/>
      <c r="BY49" s="698"/>
      <c r="BZ49" s="1083"/>
      <c r="CA49" s="1083"/>
    </row>
    <row r="50" spans="1:79" outlineLevel="1">
      <c r="A50" s="694" t="s">
        <v>281</v>
      </c>
      <c r="AJ50" s="700">
        <f>AJ$4/28+AJ$5/40</f>
        <v>16.551733571428571</v>
      </c>
      <c r="AK50" s="698">
        <f t="shared" si="47"/>
        <v>16.551733571428571</v>
      </c>
      <c r="AL50" s="698">
        <f t="shared" si="47"/>
        <v>16.551733571428571</v>
      </c>
      <c r="AM50" s="698">
        <f t="shared" si="47"/>
        <v>16.551733571428571</v>
      </c>
      <c r="AN50" s="698">
        <f t="shared" si="47"/>
        <v>16.551733571428571</v>
      </c>
      <c r="AO50" s="698">
        <f t="shared" si="47"/>
        <v>16.551733571428571</v>
      </c>
      <c r="AP50" s="698">
        <f t="shared" si="47"/>
        <v>16.551733571428571</v>
      </c>
      <c r="AQ50" s="698">
        <f t="shared" si="47"/>
        <v>16.551733571428571</v>
      </c>
      <c r="AR50" s="698">
        <f t="shared" si="47"/>
        <v>16.551733571428571</v>
      </c>
      <c r="AS50" s="698">
        <f t="shared" si="47"/>
        <v>16.551733571428571</v>
      </c>
      <c r="AT50" s="698">
        <f t="shared" si="47"/>
        <v>16.551733571428571</v>
      </c>
      <c r="AU50" s="698">
        <f t="shared" si="47"/>
        <v>16.551733571428571</v>
      </c>
      <c r="AV50" s="698">
        <f t="shared" si="47"/>
        <v>16.551733571428571</v>
      </c>
      <c r="AW50" s="698">
        <f t="shared" si="47"/>
        <v>16.551733571428571</v>
      </c>
      <c r="AX50" s="698">
        <f t="shared" si="43"/>
        <v>16.551733571428571</v>
      </c>
      <c r="AY50" s="698">
        <f t="shared" si="45"/>
        <v>16.551733571428571</v>
      </c>
      <c r="AZ50" s="698">
        <f t="shared" si="48"/>
        <v>16.551733571428571</v>
      </c>
      <c r="BA50" s="698">
        <f t="shared" si="50"/>
        <v>16.551733571428571</v>
      </c>
      <c r="BB50" s="698">
        <f t="shared" si="52"/>
        <v>16.551733571428571</v>
      </c>
      <c r="BC50" s="698">
        <f t="shared" si="53"/>
        <v>16.551733571428571</v>
      </c>
      <c r="BD50" s="698">
        <f t="shared" si="54"/>
        <v>16.551733571428571</v>
      </c>
      <c r="BE50" s="698">
        <f t="shared" si="55"/>
        <v>16.551733571428571</v>
      </c>
      <c r="BF50" s="698">
        <f t="shared" si="56"/>
        <v>16.551733571428571</v>
      </c>
      <c r="BG50" s="698">
        <f t="shared" si="58"/>
        <v>16.551733571428571</v>
      </c>
      <c r="BH50" s="698">
        <f t="shared" si="60"/>
        <v>16.551733571428571</v>
      </c>
      <c r="BI50" s="698">
        <f t="shared" si="63"/>
        <v>16.551733571428571</v>
      </c>
      <c r="BJ50" s="698">
        <f t="shared" si="66"/>
        <v>16.551733571428571</v>
      </c>
      <c r="BK50" s="698">
        <f t="shared" ref="BK50:BK76" si="67">BJ50</f>
        <v>16.551733571428571</v>
      </c>
      <c r="BL50" s="700">
        <f>AJ$5/40</f>
        <v>1.1944549999999992</v>
      </c>
      <c r="BM50" s="698">
        <f>BL50</f>
        <v>1.1944549999999992</v>
      </c>
      <c r="BN50" s="698">
        <f t="shared" si="59"/>
        <v>1.1944549999999992</v>
      </c>
      <c r="BO50" s="698">
        <f t="shared" ref="BO50:BQ54" si="68">BN50</f>
        <v>1.1944549999999992</v>
      </c>
      <c r="BP50" s="698">
        <f t="shared" si="68"/>
        <v>1.1944549999999992</v>
      </c>
      <c r="BQ50" s="698">
        <f t="shared" si="68"/>
        <v>1.1944549999999992</v>
      </c>
      <c r="BR50" s="698">
        <f t="shared" si="64"/>
        <v>1.1944549999999992</v>
      </c>
      <c r="BS50" s="698">
        <f t="shared" si="61"/>
        <v>1.1944549999999992</v>
      </c>
      <c r="BT50" s="698">
        <f t="shared" si="62"/>
        <v>1.1944549999999992</v>
      </c>
      <c r="BU50" s="698">
        <f t="shared" si="65"/>
        <v>1.1944549999999992</v>
      </c>
      <c r="BV50" s="698">
        <f t="shared" si="65"/>
        <v>1.1944549999999992</v>
      </c>
      <c r="BW50" s="698">
        <f t="shared" si="65"/>
        <v>1.1944549999999992</v>
      </c>
      <c r="BX50" s="698"/>
      <c r="BY50" s="698"/>
      <c r="BZ50" s="1083"/>
      <c r="CA50" s="1083"/>
    </row>
    <row r="51" spans="1:79" outlineLevel="1">
      <c r="A51" s="694" t="s">
        <v>282</v>
      </c>
      <c r="AK51" s="700">
        <f>AK$4/28+AK$5/40</f>
        <v>14.726436071428571</v>
      </c>
      <c r="AL51" s="698">
        <f t="shared" si="47"/>
        <v>14.726436071428571</v>
      </c>
      <c r="AM51" s="698">
        <f t="shared" si="47"/>
        <v>14.726436071428571</v>
      </c>
      <c r="AN51" s="698">
        <f t="shared" si="47"/>
        <v>14.726436071428571</v>
      </c>
      <c r="AO51" s="698">
        <f t="shared" si="47"/>
        <v>14.726436071428571</v>
      </c>
      <c r="AP51" s="698">
        <f t="shared" si="47"/>
        <v>14.726436071428571</v>
      </c>
      <c r="AQ51" s="698">
        <f t="shared" si="47"/>
        <v>14.726436071428571</v>
      </c>
      <c r="AR51" s="698">
        <f t="shared" si="47"/>
        <v>14.726436071428571</v>
      </c>
      <c r="AS51" s="698">
        <f t="shared" si="47"/>
        <v>14.726436071428571</v>
      </c>
      <c r="AT51" s="698">
        <f t="shared" si="47"/>
        <v>14.726436071428571</v>
      </c>
      <c r="AU51" s="698">
        <f t="shared" si="47"/>
        <v>14.726436071428571</v>
      </c>
      <c r="AV51" s="698">
        <f t="shared" si="47"/>
        <v>14.726436071428571</v>
      </c>
      <c r="AW51" s="698">
        <f t="shared" si="47"/>
        <v>14.726436071428571</v>
      </c>
      <c r="AX51" s="698">
        <f t="shared" si="43"/>
        <v>14.726436071428571</v>
      </c>
      <c r="AY51" s="698">
        <f t="shared" si="45"/>
        <v>14.726436071428571</v>
      </c>
      <c r="AZ51" s="698">
        <f t="shared" si="48"/>
        <v>14.726436071428571</v>
      </c>
      <c r="BA51" s="698">
        <f t="shared" si="50"/>
        <v>14.726436071428571</v>
      </c>
      <c r="BB51" s="698">
        <f t="shared" si="52"/>
        <v>14.726436071428571</v>
      </c>
      <c r="BC51" s="698">
        <f t="shared" si="53"/>
        <v>14.726436071428571</v>
      </c>
      <c r="BD51" s="698">
        <f t="shared" si="54"/>
        <v>14.726436071428571</v>
      </c>
      <c r="BE51" s="698">
        <f t="shared" si="55"/>
        <v>14.726436071428571</v>
      </c>
      <c r="BF51" s="698">
        <f t="shared" si="56"/>
        <v>14.726436071428571</v>
      </c>
      <c r="BG51" s="698">
        <f t="shared" si="58"/>
        <v>14.726436071428571</v>
      </c>
      <c r="BH51" s="698">
        <f t="shared" si="60"/>
        <v>14.726436071428571</v>
      </c>
      <c r="BI51" s="698">
        <f t="shared" si="63"/>
        <v>14.726436071428571</v>
      </c>
      <c r="BJ51" s="698">
        <f t="shared" si="66"/>
        <v>14.726436071428571</v>
      </c>
      <c r="BK51" s="698">
        <f t="shared" si="67"/>
        <v>14.726436071428571</v>
      </c>
      <c r="BL51" s="698">
        <f t="shared" ref="BL51:BL77" si="69">BK51</f>
        <v>14.726436071428571</v>
      </c>
      <c r="BM51" s="700">
        <f>AK$5/40</f>
        <v>1.0627324999999999</v>
      </c>
      <c r="BN51" s="698">
        <f t="shared" si="59"/>
        <v>1.0627324999999999</v>
      </c>
      <c r="BO51" s="698">
        <f t="shared" si="68"/>
        <v>1.0627324999999999</v>
      </c>
      <c r="BP51" s="698">
        <f t="shared" si="68"/>
        <v>1.0627324999999999</v>
      </c>
      <c r="BQ51" s="698">
        <f t="shared" si="68"/>
        <v>1.0627324999999999</v>
      </c>
      <c r="BR51" s="698">
        <f t="shared" si="64"/>
        <v>1.0627324999999999</v>
      </c>
      <c r="BS51" s="698">
        <f t="shared" si="61"/>
        <v>1.0627324999999999</v>
      </c>
      <c r="BT51" s="698">
        <f t="shared" si="62"/>
        <v>1.0627324999999999</v>
      </c>
      <c r="BU51" s="698">
        <f t="shared" si="65"/>
        <v>1.0627324999999999</v>
      </c>
      <c r="BV51" s="698">
        <f t="shared" si="65"/>
        <v>1.0627324999999999</v>
      </c>
      <c r="BW51" s="698">
        <f t="shared" ref="BW51" si="70">BV51</f>
        <v>1.0627324999999999</v>
      </c>
      <c r="BX51" s="698">
        <f t="shared" ref="BX51" si="71">BW51</f>
        <v>1.0627324999999999</v>
      </c>
      <c r="BY51" s="698"/>
      <c r="BZ51" s="1083"/>
      <c r="CA51" s="1083"/>
    </row>
    <row r="52" spans="1:79" outlineLevel="1">
      <c r="A52" s="694" t="s">
        <v>283</v>
      </c>
      <c r="AL52" s="700">
        <f>AL$4/28+AL$5/40</f>
        <v>15.229000000000001</v>
      </c>
      <c r="AM52" s="698">
        <f t="shared" si="47"/>
        <v>15.229000000000001</v>
      </c>
      <c r="AN52" s="698">
        <f t="shared" si="47"/>
        <v>15.229000000000001</v>
      </c>
      <c r="AO52" s="698">
        <f t="shared" si="47"/>
        <v>15.229000000000001</v>
      </c>
      <c r="AP52" s="698">
        <f t="shared" si="47"/>
        <v>15.229000000000001</v>
      </c>
      <c r="AQ52" s="698">
        <f t="shared" si="47"/>
        <v>15.229000000000001</v>
      </c>
      <c r="AR52" s="698">
        <f t="shared" si="47"/>
        <v>15.229000000000001</v>
      </c>
      <c r="AS52" s="698">
        <f t="shared" si="47"/>
        <v>15.229000000000001</v>
      </c>
      <c r="AT52" s="698">
        <f t="shared" si="47"/>
        <v>15.229000000000001</v>
      </c>
      <c r="AU52" s="698">
        <f t="shared" si="47"/>
        <v>15.229000000000001</v>
      </c>
      <c r="AV52" s="698">
        <f t="shared" si="47"/>
        <v>15.229000000000001</v>
      </c>
      <c r="AW52" s="698">
        <f t="shared" si="47"/>
        <v>15.229000000000001</v>
      </c>
      <c r="AX52" s="698">
        <f t="shared" si="43"/>
        <v>15.229000000000001</v>
      </c>
      <c r="AY52" s="698">
        <f t="shared" si="45"/>
        <v>15.229000000000001</v>
      </c>
      <c r="AZ52" s="698">
        <f t="shared" si="48"/>
        <v>15.229000000000001</v>
      </c>
      <c r="BA52" s="698">
        <f t="shared" si="50"/>
        <v>15.229000000000001</v>
      </c>
      <c r="BB52" s="698">
        <f t="shared" si="52"/>
        <v>15.229000000000001</v>
      </c>
      <c r="BC52" s="698">
        <f t="shared" si="53"/>
        <v>15.229000000000001</v>
      </c>
      <c r="BD52" s="698">
        <f t="shared" si="54"/>
        <v>15.229000000000001</v>
      </c>
      <c r="BE52" s="698">
        <f t="shared" si="55"/>
        <v>15.229000000000001</v>
      </c>
      <c r="BF52" s="698">
        <f t="shared" si="56"/>
        <v>15.229000000000001</v>
      </c>
      <c r="BG52" s="698">
        <f t="shared" si="58"/>
        <v>15.229000000000001</v>
      </c>
      <c r="BH52" s="698">
        <f t="shared" si="60"/>
        <v>15.229000000000001</v>
      </c>
      <c r="BI52" s="698">
        <f t="shared" si="63"/>
        <v>15.229000000000001</v>
      </c>
      <c r="BJ52" s="698">
        <f t="shared" si="66"/>
        <v>15.229000000000001</v>
      </c>
      <c r="BK52" s="698">
        <f t="shared" si="67"/>
        <v>15.229000000000001</v>
      </c>
      <c r="BL52" s="698">
        <f t="shared" si="69"/>
        <v>15.229000000000001</v>
      </c>
      <c r="BM52" s="698">
        <f t="shared" ref="BM52:BN78" si="72">BL52</f>
        <v>15.229000000000001</v>
      </c>
      <c r="BN52" s="700">
        <f>AL$5/40</f>
        <v>1.0989999999999995</v>
      </c>
      <c r="BO52" s="698">
        <f t="shared" si="68"/>
        <v>1.0989999999999995</v>
      </c>
      <c r="BP52" s="698">
        <f t="shared" si="68"/>
        <v>1.0989999999999995</v>
      </c>
      <c r="BQ52" s="698">
        <f t="shared" si="68"/>
        <v>1.0989999999999995</v>
      </c>
      <c r="BR52" s="698">
        <f t="shared" si="64"/>
        <v>1.0989999999999995</v>
      </c>
      <c r="BS52" s="698">
        <f t="shared" si="61"/>
        <v>1.0989999999999995</v>
      </c>
      <c r="BT52" s="698">
        <f t="shared" si="62"/>
        <v>1.0989999999999995</v>
      </c>
      <c r="BU52" s="698">
        <f t="shared" si="65"/>
        <v>1.0989999999999995</v>
      </c>
      <c r="BV52" s="698">
        <f t="shared" si="65"/>
        <v>1.0989999999999995</v>
      </c>
      <c r="BW52" s="698">
        <f t="shared" ref="BW52" si="73">BV52</f>
        <v>1.0989999999999995</v>
      </c>
      <c r="BX52" s="698">
        <f t="shared" ref="BX52" si="74">BW52</f>
        <v>1.0989999999999995</v>
      </c>
      <c r="BY52" s="698">
        <f t="shared" ref="BY52" si="75">BX52</f>
        <v>1.0989999999999995</v>
      </c>
      <c r="BZ52" s="1083"/>
      <c r="CA52" s="1083"/>
    </row>
    <row r="53" spans="1:79" outlineLevel="1">
      <c r="A53" s="694" t="s">
        <v>284</v>
      </c>
      <c r="AM53" s="700">
        <f>AM$4/28+AM$5/40</f>
        <v>31.45917857142857</v>
      </c>
      <c r="AN53" s="698">
        <f t="shared" si="47"/>
        <v>31.45917857142857</v>
      </c>
      <c r="AO53" s="698">
        <f t="shared" si="47"/>
        <v>31.45917857142857</v>
      </c>
      <c r="AP53" s="698">
        <f t="shared" si="47"/>
        <v>31.45917857142857</v>
      </c>
      <c r="AQ53" s="698">
        <f t="shared" si="47"/>
        <v>31.45917857142857</v>
      </c>
      <c r="AR53" s="698">
        <f t="shared" si="47"/>
        <v>31.45917857142857</v>
      </c>
      <c r="AS53" s="698">
        <f t="shared" si="47"/>
        <v>31.45917857142857</v>
      </c>
      <c r="AT53" s="698">
        <f t="shared" si="47"/>
        <v>31.45917857142857</v>
      </c>
      <c r="AU53" s="698">
        <f t="shared" si="47"/>
        <v>31.45917857142857</v>
      </c>
      <c r="AV53" s="698">
        <f t="shared" si="47"/>
        <v>31.45917857142857</v>
      </c>
      <c r="AW53" s="698">
        <f t="shared" si="47"/>
        <v>31.45917857142857</v>
      </c>
      <c r="AX53" s="698">
        <f t="shared" si="43"/>
        <v>31.45917857142857</v>
      </c>
      <c r="AY53" s="698">
        <f t="shared" si="45"/>
        <v>31.45917857142857</v>
      </c>
      <c r="AZ53" s="698">
        <f t="shared" si="48"/>
        <v>31.45917857142857</v>
      </c>
      <c r="BA53" s="698">
        <f t="shared" si="50"/>
        <v>31.45917857142857</v>
      </c>
      <c r="BB53" s="698">
        <f t="shared" si="52"/>
        <v>31.45917857142857</v>
      </c>
      <c r="BC53" s="698">
        <f t="shared" si="53"/>
        <v>31.45917857142857</v>
      </c>
      <c r="BD53" s="698">
        <f t="shared" si="54"/>
        <v>31.45917857142857</v>
      </c>
      <c r="BE53" s="698">
        <f t="shared" si="55"/>
        <v>31.45917857142857</v>
      </c>
      <c r="BF53" s="698">
        <f t="shared" si="56"/>
        <v>31.45917857142857</v>
      </c>
      <c r="BG53" s="698">
        <f t="shared" si="58"/>
        <v>31.45917857142857</v>
      </c>
      <c r="BH53" s="698">
        <f t="shared" si="60"/>
        <v>31.45917857142857</v>
      </c>
      <c r="BI53" s="698">
        <f t="shared" si="63"/>
        <v>31.45917857142857</v>
      </c>
      <c r="BJ53" s="698">
        <f t="shared" si="66"/>
        <v>31.45917857142857</v>
      </c>
      <c r="BK53" s="698">
        <f t="shared" si="67"/>
        <v>31.45917857142857</v>
      </c>
      <c r="BL53" s="698">
        <f t="shared" si="69"/>
        <v>31.45917857142857</v>
      </c>
      <c r="BM53" s="698">
        <f t="shared" si="72"/>
        <v>31.45917857142857</v>
      </c>
      <c r="BN53" s="698">
        <f t="shared" si="72"/>
        <v>31.45917857142857</v>
      </c>
      <c r="BO53" s="700">
        <f>AM$5/40</f>
        <v>2.2702499999999985</v>
      </c>
      <c r="BP53" s="698">
        <f t="shared" si="68"/>
        <v>2.2702499999999985</v>
      </c>
      <c r="BQ53" s="698">
        <f t="shared" si="68"/>
        <v>2.2702499999999985</v>
      </c>
      <c r="BR53" s="698">
        <f t="shared" si="64"/>
        <v>2.2702499999999985</v>
      </c>
      <c r="BS53" s="698">
        <f t="shared" si="61"/>
        <v>2.2702499999999985</v>
      </c>
      <c r="BT53" s="698">
        <f t="shared" si="62"/>
        <v>2.2702499999999985</v>
      </c>
      <c r="BU53" s="698">
        <f t="shared" si="65"/>
        <v>2.2702499999999985</v>
      </c>
      <c r="BV53" s="698">
        <f t="shared" si="65"/>
        <v>2.2702499999999985</v>
      </c>
      <c r="BW53" s="698">
        <f t="shared" ref="BW53" si="76">BV53</f>
        <v>2.2702499999999985</v>
      </c>
      <c r="BX53" s="698">
        <f t="shared" ref="BX53" si="77">BW53</f>
        <v>2.2702499999999985</v>
      </c>
      <c r="BY53" s="698">
        <f t="shared" ref="BY53" si="78">BX53</f>
        <v>2.2702499999999985</v>
      </c>
      <c r="BZ53" s="1083"/>
      <c r="CA53" s="1083"/>
    </row>
    <row r="54" spans="1:79" outlineLevel="1">
      <c r="A54" s="694" t="s">
        <v>285</v>
      </c>
      <c r="AN54" s="700">
        <f>AN$4/28+AN$5/40</f>
        <v>6.5717499999999989</v>
      </c>
      <c r="AO54" s="698">
        <f t="shared" si="47"/>
        <v>6.5717499999999989</v>
      </c>
      <c r="AP54" s="698">
        <f t="shared" si="47"/>
        <v>6.5717499999999989</v>
      </c>
      <c r="AQ54" s="698">
        <f t="shared" si="47"/>
        <v>6.5717499999999989</v>
      </c>
      <c r="AR54" s="698">
        <f t="shared" si="47"/>
        <v>6.5717499999999989</v>
      </c>
      <c r="AS54" s="698">
        <f t="shared" si="47"/>
        <v>6.5717499999999989</v>
      </c>
      <c r="AT54" s="698">
        <f t="shared" si="47"/>
        <v>6.5717499999999989</v>
      </c>
      <c r="AU54" s="698">
        <f t="shared" si="47"/>
        <v>6.5717499999999989</v>
      </c>
      <c r="AV54" s="698">
        <f t="shared" si="47"/>
        <v>6.5717499999999989</v>
      </c>
      <c r="AW54" s="698">
        <f t="shared" si="47"/>
        <v>6.5717499999999989</v>
      </c>
      <c r="AX54" s="698">
        <f t="shared" si="43"/>
        <v>6.5717499999999989</v>
      </c>
      <c r="AY54" s="698">
        <f t="shared" si="45"/>
        <v>6.5717499999999989</v>
      </c>
      <c r="AZ54" s="698">
        <f t="shared" si="48"/>
        <v>6.5717499999999989</v>
      </c>
      <c r="BA54" s="698">
        <f t="shared" si="50"/>
        <v>6.5717499999999989</v>
      </c>
      <c r="BB54" s="698">
        <f t="shared" si="52"/>
        <v>6.5717499999999989</v>
      </c>
      <c r="BC54" s="698">
        <f t="shared" si="53"/>
        <v>6.5717499999999989</v>
      </c>
      <c r="BD54" s="698">
        <f t="shared" si="54"/>
        <v>6.5717499999999989</v>
      </c>
      <c r="BE54" s="698">
        <f t="shared" si="55"/>
        <v>6.5717499999999989</v>
      </c>
      <c r="BF54" s="698">
        <f t="shared" si="56"/>
        <v>6.5717499999999989</v>
      </c>
      <c r="BG54" s="698">
        <f t="shared" si="58"/>
        <v>6.5717499999999989</v>
      </c>
      <c r="BH54" s="698">
        <f t="shared" si="60"/>
        <v>6.5717499999999989</v>
      </c>
      <c r="BI54" s="698">
        <f t="shared" si="63"/>
        <v>6.5717499999999989</v>
      </c>
      <c r="BJ54" s="698">
        <f t="shared" si="66"/>
        <v>6.5717499999999989</v>
      </c>
      <c r="BK54" s="698">
        <f t="shared" si="67"/>
        <v>6.5717499999999989</v>
      </c>
      <c r="BL54" s="698">
        <f t="shared" si="69"/>
        <v>6.5717499999999989</v>
      </c>
      <c r="BM54" s="698">
        <f t="shared" si="72"/>
        <v>6.5717499999999989</v>
      </c>
      <c r="BN54" s="698">
        <f t="shared" ref="BN54:BN78" si="79">BM54</f>
        <v>6.5717499999999989</v>
      </c>
      <c r="BO54" s="698">
        <f t="shared" ref="BO54:BO78" si="80">BN54</f>
        <v>6.5717499999999989</v>
      </c>
      <c r="BP54" s="700">
        <f>AN$5/40</f>
        <v>0.47424999999999995</v>
      </c>
      <c r="BQ54" s="698">
        <f t="shared" si="68"/>
        <v>0.47424999999999995</v>
      </c>
      <c r="BR54" s="698">
        <f t="shared" si="64"/>
        <v>0.47424999999999995</v>
      </c>
      <c r="BS54" s="698">
        <f t="shared" si="61"/>
        <v>0.47424999999999995</v>
      </c>
      <c r="BT54" s="698">
        <f t="shared" si="62"/>
        <v>0.47424999999999995</v>
      </c>
      <c r="BU54" s="698">
        <f t="shared" si="65"/>
        <v>0.47424999999999995</v>
      </c>
      <c r="BV54" s="698">
        <f t="shared" si="65"/>
        <v>0.47424999999999995</v>
      </c>
      <c r="BW54" s="698">
        <f t="shared" ref="BW54" si="81">BV54</f>
        <v>0.47424999999999995</v>
      </c>
      <c r="BX54" s="698">
        <f t="shared" ref="BX54" si="82">BW54</f>
        <v>0.47424999999999995</v>
      </c>
      <c r="BY54" s="698">
        <f t="shared" ref="BY54" si="83">BX54</f>
        <v>0.47424999999999995</v>
      </c>
      <c r="BZ54" s="1083"/>
      <c r="CA54" s="1083"/>
    </row>
    <row r="55" spans="1:79" outlineLevel="1">
      <c r="A55" s="694" t="s">
        <v>286</v>
      </c>
      <c r="AO55" s="700">
        <f>AO$4/28+AO$5/40</f>
        <v>17.040821428571427</v>
      </c>
      <c r="AP55" s="698">
        <f t="shared" ref="AP55:AW62" si="84">AO55</f>
        <v>17.040821428571427</v>
      </c>
      <c r="AQ55" s="698">
        <f t="shared" si="84"/>
        <v>17.040821428571427</v>
      </c>
      <c r="AR55" s="698">
        <f t="shared" si="84"/>
        <v>17.040821428571427</v>
      </c>
      <c r="AS55" s="698">
        <f t="shared" si="84"/>
        <v>17.040821428571427</v>
      </c>
      <c r="AT55" s="698">
        <f t="shared" si="84"/>
        <v>17.040821428571427</v>
      </c>
      <c r="AU55" s="698">
        <f t="shared" si="84"/>
        <v>17.040821428571427</v>
      </c>
      <c r="AV55" s="698">
        <f t="shared" si="84"/>
        <v>17.040821428571427</v>
      </c>
      <c r="AW55" s="698">
        <f t="shared" si="84"/>
        <v>17.040821428571427</v>
      </c>
      <c r="AX55" s="698">
        <f t="shared" si="43"/>
        <v>17.040821428571427</v>
      </c>
      <c r="AY55" s="698">
        <f t="shared" si="45"/>
        <v>17.040821428571427</v>
      </c>
      <c r="AZ55" s="698">
        <f t="shared" si="48"/>
        <v>17.040821428571427</v>
      </c>
      <c r="BA55" s="698">
        <f t="shared" si="50"/>
        <v>17.040821428571427</v>
      </c>
      <c r="BB55" s="698">
        <f t="shared" si="52"/>
        <v>17.040821428571427</v>
      </c>
      <c r="BC55" s="698">
        <f t="shared" si="53"/>
        <v>17.040821428571427</v>
      </c>
      <c r="BD55" s="698">
        <f t="shared" si="54"/>
        <v>17.040821428571427</v>
      </c>
      <c r="BE55" s="698">
        <f t="shared" si="55"/>
        <v>17.040821428571427</v>
      </c>
      <c r="BF55" s="698">
        <f t="shared" si="56"/>
        <v>17.040821428571427</v>
      </c>
      <c r="BG55" s="698">
        <f t="shared" si="58"/>
        <v>17.040821428571427</v>
      </c>
      <c r="BH55" s="698">
        <f t="shared" si="60"/>
        <v>17.040821428571427</v>
      </c>
      <c r="BI55" s="698">
        <f t="shared" si="63"/>
        <v>17.040821428571427</v>
      </c>
      <c r="BJ55" s="698">
        <f t="shared" si="66"/>
        <v>17.040821428571427</v>
      </c>
      <c r="BK55" s="698">
        <f t="shared" si="67"/>
        <v>17.040821428571427</v>
      </c>
      <c r="BL55" s="698">
        <f t="shared" si="69"/>
        <v>17.040821428571427</v>
      </c>
      <c r="BM55" s="698">
        <f t="shared" si="72"/>
        <v>17.040821428571427</v>
      </c>
      <c r="BN55" s="698">
        <f t="shared" si="79"/>
        <v>17.040821428571427</v>
      </c>
      <c r="BO55" s="698">
        <f t="shared" si="80"/>
        <v>17.040821428571427</v>
      </c>
      <c r="BP55" s="698">
        <f t="shared" ref="BP55:BP78" si="85">BO55</f>
        <v>17.040821428571427</v>
      </c>
      <c r="BQ55" s="700">
        <f>AO$5/40</f>
        <v>1.2297499999999999</v>
      </c>
      <c r="BR55" s="698">
        <f t="shared" ref="BR55" si="86">BQ55</f>
        <v>1.2297499999999999</v>
      </c>
      <c r="BS55" s="698">
        <f t="shared" ref="BS55" si="87">BR55</f>
        <v>1.2297499999999999</v>
      </c>
      <c r="BT55" s="698">
        <f t="shared" ref="BT55" si="88">BS55</f>
        <v>1.2297499999999999</v>
      </c>
      <c r="BU55" s="698">
        <f t="shared" ref="BU55:BV55" si="89">BT55</f>
        <v>1.2297499999999999</v>
      </c>
      <c r="BV55" s="698">
        <f t="shared" si="89"/>
        <v>1.2297499999999999</v>
      </c>
      <c r="BW55" s="698">
        <f t="shared" ref="BW55" si="90">BV55</f>
        <v>1.2297499999999999</v>
      </c>
      <c r="BX55" s="698">
        <f t="shared" ref="BX55" si="91">BW55</f>
        <v>1.2297499999999999</v>
      </c>
      <c r="BY55" s="698">
        <f t="shared" ref="BY55" si="92">BX55</f>
        <v>1.2297499999999999</v>
      </c>
      <c r="BZ55" s="1083"/>
      <c r="CA55" s="1083"/>
    </row>
    <row r="56" spans="1:79" outlineLevel="1">
      <c r="A56" s="694" t="s">
        <v>417</v>
      </c>
      <c r="AP56" s="700">
        <f>AP$4/28+AP$5/40</f>
        <v>26.924428571428574</v>
      </c>
      <c r="AQ56" s="698">
        <f t="shared" si="84"/>
        <v>26.924428571428574</v>
      </c>
      <c r="AR56" s="698">
        <f t="shared" si="84"/>
        <v>26.924428571428574</v>
      </c>
      <c r="AS56" s="698">
        <f t="shared" si="84"/>
        <v>26.924428571428574</v>
      </c>
      <c r="AT56" s="698">
        <f t="shared" si="84"/>
        <v>26.924428571428574</v>
      </c>
      <c r="AU56" s="698">
        <f t="shared" si="84"/>
        <v>26.924428571428574</v>
      </c>
      <c r="AV56" s="698">
        <f t="shared" si="84"/>
        <v>26.924428571428574</v>
      </c>
      <c r="AW56" s="698">
        <f t="shared" si="84"/>
        <v>26.924428571428574</v>
      </c>
      <c r="AX56" s="698">
        <f t="shared" si="43"/>
        <v>26.924428571428574</v>
      </c>
      <c r="AY56" s="698">
        <f t="shared" si="45"/>
        <v>26.924428571428574</v>
      </c>
      <c r="AZ56" s="698">
        <f t="shared" si="48"/>
        <v>26.924428571428574</v>
      </c>
      <c r="BA56" s="698">
        <f t="shared" si="50"/>
        <v>26.924428571428574</v>
      </c>
      <c r="BB56" s="698">
        <f t="shared" si="52"/>
        <v>26.924428571428574</v>
      </c>
      <c r="BC56" s="698">
        <f t="shared" si="53"/>
        <v>26.924428571428574</v>
      </c>
      <c r="BD56" s="698">
        <f t="shared" si="54"/>
        <v>26.924428571428574</v>
      </c>
      <c r="BE56" s="698">
        <f t="shared" si="55"/>
        <v>26.924428571428574</v>
      </c>
      <c r="BF56" s="698">
        <f t="shared" si="56"/>
        <v>26.924428571428574</v>
      </c>
      <c r="BG56" s="698">
        <f t="shared" si="58"/>
        <v>26.924428571428574</v>
      </c>
      <c r="BH56" s="698">
        <f t="shared" si="60"/>
        <v>26.924428571428574</v>
      </c>
      <c r="BI56" s="698">
        <f t="shared" si="63"/>
        <v>26.924428571428574</v>
      </c>
      <c r="BJ56" s="698">
        <f t="shared" si="66"/>
        <v>26.924428571428574</v>
      </c>
      <c r="BK56" s="698">
        <f t="shared" si="67"/>
        <v>26.924428571428574</v>
      </c>
      <c r="BL56" s="698">
        <f t="shared" si="69"/>
        <v>26.924428571428574</v>
      </c>
      <c r="BM56" s="698">
        <f t="shared" si="72"/>
        <v>26.924428571428574</v>
      </c>
      <c r="BN56" s="698">
        <f t="shared" si="79"/>
        <v>26.924428571428574</v>
      </c>
      <c r="BO56" s="698">
        <f t="shared" si="80"/>
        <v>26.924428571428574</v>
      </c>
      <c r="BP56" s="698">
        <f t="shared" si="85"/>
        <v>26.924428571428574</v>
      </c>
      <c r="BQ56" s="698">
        <f t="shared" ref="BQ56:BU78" si="93">BP56</f>
        <v>26.924428571428574</v>
      </c>
      <c r="BR56" s="700">
        <f>AP$5/40</f>
        <v>1.9430000000000007</v>
      </c>
      <c r="BS56" s="698">
        <f t="shared" ref="BS56" si="94">BR56</f>
        <v>1.9430000000000007</v>
      </c>
      <c r="BT56" s="698">
        <f t="shared" ref="BT56" si="95">BS56</f>
        <v>1.9430000000000007</v>
      </c>
      <c r="BU56" s="698">
        <f t="shared" ref="BU56:BV56" si="96">BT56</f>
        <v>1.9430000000000007</v>
      </c>
      <c r="BV56" s="698">
        <f t="shared" si="96"/>
        <v>1.9430000000000007</v>
      </c>
      <c r="BW56" s="698">
        <f t="shared" ref="BW56" si="97">BV56</f>
        <v>1.9430000000000007</v>
      </c>
      <c r="BX56" s="698">
        <f t="shared" ref="BX56" si="98">BW56</f>
        <v>1.9430000000000007</v>
      </c>
      <c r="BY56" s="698">
        <f t="shared" ref="BY56" si="99">BX56</f>
        <v>1.9430000000000007</v>
      </c>
      <c r="BZ56" s="1083"/>
      <c r="CA56" s="1083"/>
    </row>
    <row r="57" spans="1:79" outlineLevel="1">
      <c r="A57" s="694" t="s">
        <v>418</v>
      </c>
      <c r="AQ57" s="700">
        <f>AQ$4/28+AQ$5/40</f>
        <v>46.508035714285718</v>
      </c>
      <c r="AR57" s="698">
        <f t="shared" si="84"/>
        <v>46.508035714285718</v>
      </c>
      <c r="AS57" s="698">
        <f t="shared" si="84"/>
        <v>46.508035714285718</v>
      </c>
      <c r="AT57" s="698">
        <f t="shared" si="84"/>
        <v>46.508035714285718</v>
      </c>
      <c r="AU57" s="698">
        <f t="shared" si="84"/>
        <v>46.508035714285718</v>
      </c>
      <c r="AV57" s="698">
        <f t="shared" si="84"/>
        <v>46.508035714285718</v>
      </c>
      <c r="AW57" s="698">
        <f t="shared" si="84"/>
        <v>46.508035714285718</v>
      </c>
      <c r="AX57" s="698">
        <f t="shared" si="43"/>
        <v>46.508035714285718</v>
      </c>
      <c r="AY57" s="698">
        <f t="shared" si="45"/>
        <v>46.508035714285718</v>
      </c>
      <c r="AZ57" s="698">
        <f t="shared" si="48"/>
        <v>46.508035714285718</v>
      </c>
      <c r="BA57" s="698">
        <f t="shared" si="50"/>
        <v>46.508035714285718</v>
      </c>
      <c r="BB57" s="698">
        <f t="shared" si="52"/>
        <v>46.508035714285718</v>
      </c>
      <c r="BC57" s="698">
        <f t="shared" si="53"/>
        <v>46.508035714285718</v>
      </c>
      <c r="BD57" s="698">
        <f t="shared" si="54"/>
        <v>46.508035714285718</v>
      </c>
      <c r="BE57" s="698">
        <f t="shared" si="55"/>
        <v>46.508035714285718</v>
      </c>
      <c r="BF57" s="698">
        <f t="shared" si="56"/>
        <v>46.508035714285718</v>
      </c>
      <c r="BG57" s="698">
        <f t="shared" si="58"/>
        <v>46.508035714285718</v>
      </c>
      <c r="BH57" s="698">
        <f t="shared" si="60"/>
        <v>46.508035714285718</v>
      </c>
      <c r="BI57" s="698">
        <f t="shared" si="63"/>
        <v>46.508035714285718</v>
      </c>
      <c r="BJ57" s="698">
        <f t="shared" si="66"/>
        <v>46.508035714285718</v>
      </c>
      <c r="BK57" s="698">
        <f t="shared" si="67"/>
        <v>46.508035714285718</v>
      </c>
      <c r="BL57" s="698">
        <f t="shared" si="69"/>
        <v>46.508035714285718</v>
      </c>
      <c r="BM57" s="698">
        <f t="shared" si="72"/>
        <v>46.508035714285718</v>
      </c>
      <c r="BN57" s="698">
        <f t="shared" si="79"/>
        <v>46.508035714285718</v>
      </c>
      <c r="BO57" s="698">
        <f t="shared" si="80"/>
        <v>46.508035714285718</v>
      </c>
      <c r="BP57" s="698">
        <f t="shared" si="85"/>
        <v>46.508035714285718</v>
      </c>
      <c r="BQ57" s="698">
        <f t="shared" si="93"/>
        <v>46.508035714285718</v>
      </c>
      <c r="BR57" s="698">
        <f t="shared" si="93"/>
        <v>46.508035714285718</v>
      </c>
      <c r="BS57" s="700">
        <f>AQ$5/40</f>
        <v>3.3562500000000002</v>
      </c>
      <c r="BT57" s="698">
        <f t="shared" ref="BT57" si="100">BS57</f>
        <v>3.3562500000000002</v>
      </c>
      <c r="BU57" s="698">
        <f t="shared" ref="BU57:BV57" si="101">BT57</f>
        <v>3.3562500000000002</v>
      </c>
      <c r="BV57" s="698">
        <f t="shared" si="101"/>
        <v>3.3562500000000002</v>
      </c>
      <c r="BW57" s="698">
        <f t="shared" ref="BW57" si="102">BV57</f>
        <v>3.3562500000000002</v>
      </c>
      <c r="BX57" s="698">
        <f t="shared" ref="BX57" si="103">BW57</f>
        <v>3.3562500000000002</v>
      </c>
      <c r="BY57" s="698">
        <f t="shared" ref="BY57" si="104">BX57</f>
        <v>3.3562500000000002</v>
      </c>
      <c r="BZ57" s="1083"/>
      <c r="CA57" s="1083"/>
    </row>
    <row r="58" spans="1:79" outlineLevel="1">
      <c r="A58" s="694" t="s">
        <v>419</v>
      </c>
      <c r="AR58" s="700">
        <f>AR$4/28+AR$5/40</f>
        <v>78.975321428571419</v>
      </c>
      <c r="AS58" s="698">
        <f t="shared" si="84"/>
        <v>78.975321428571419</v>
      </c>
      <c r="AT58" s="698">
        <f t="shared" si="84"/>
        <v>78.975321428571419</v>
      </c>
      <c r="AU58" s="698">
        <f t="shared" si="84"/>
        <v>78.975321428571419</v>
      </c>
      <c r="AV58" s="698">
        <f t="shared" si="84"/>
        <v>78.975321428571419</v>
      </c>
      <c r="AW58" s="698">
        <f t="shared" si="84"/>
        <v>78.975321428571419</v>
      </c>
      <c r="AX58" s="698">
        <f t="shared" si="43"/>
        <v>78.975321428571419</v>
      </c>
      <c r="AY58" s="698">
        <f t="shared" si="45"/>
        <v>78.975321428571419</v>
      </c>
      <c r="AZ58" s="698">
        <f t="shared" si="48"/>
        <v>78.975321428571419</v>
      </c>
      <c r="BA58" s="698">
        <f t="shared" si="50"/>
        <v>78.975321428571419</v>
      </c>
      <c r="BB58" s="698">
        <f t="shared" si="52"/>
        <v>78.975321428571419</v>
      </c>
      <c r="BC58" s="698">
        <f t="shared" si="53"/>
        <v>78.975321428571419</v>
      </c>
      <c r="BD58" s="698">
        <f t="shared" si="54"/>
        <v>78.975321428571419</v>
      </c>
      <c r="BE58" s="698">
        <f t="shared" si="55"/>
        <v>78.975321428571419</v>
      </c>
      <c r="BF58" s="698">
        <f t="shared" si="56"/>
        <v>78.975321428571419</v>
      </c>
      <c r="BG58" s="698">
        <f t="shared" si="58"/>
        <v>78.975321428571419</v>
      </c>
      <c r="BH58" s="698">
        <f t="shared" si="60"/>
        <v>78.975321428571419</v>
      </c>
      <c r="BI58" s="698">
        <f t="shared" si="63"/>
        <v>78.975321428571419</v>
      </c>
      <c r="BJ58" s="698">
        <f t="shared" si="66"/>
        <v>78.975321428571419</v>
      </c>
      <c r="BK58" s="698">
        <f t="shared" si="67"/>
        <v>78.975321428571419</v>
      </c>
      <c r="BL58" s="698">
        <f t="shared" si="69"/>
        <v>78.975321428571419</v>
      </c>
      <c r="BM58" s="698">
        <f t="shared" si="72"/>
        <v>78.975321428571419</v>
      </c>
      <c r="BN58" s="698">
        <f t="shared" si="79"/>
        <v>78.975321428571419</v>
      </c>
      <c r="BO58" s="698">
        <f t="shared" si="80"/>
        <v>78.975321428571419</v>
      </c>
      <c r="BP58" s="698">
        <f t="shared" si="85"/>
        <v>78.975321428571419</v>
      </c>
      <c r="BQ58" s="698">
        <f t="shared" si="93"/>
        <v>78.975321428571419</v>
      </c>
      <c r="BR58" s="698">
        <f t="shared" si="93"/>
        <v>78.975321428571419</v>
      </c>
      <c r="BS58" s="698">
        <f t="shared" si="93"/>
        <v>78.975321428571419</v>
      </c>
      <c r="BT58" s="700">
        <f>AR$5/40</f>
        <v>5.6992499999999948</v>
      </c>
      <c r="BU58" s="698">
        <f t="shared" ref="BU58:BV59" si="105">BT58</f>
        <v>5.6992499999999948</v>
      </c>
      <c r="BV58" s="698">
        <f t="shared" si="105"/>
        <v>5.6992499999999948</v>
      </c>
      <c r="BW58" s="698">
        <f t="shared" ref="BW58" si="106">BV58</f>
        <v>5.6992499999999948</v>
      </c>
      <c r="BX58" s="698">
        <f t="shared" ref="BX58" si="107">BW58</f>
        <v>5.6992499999999948</v>
      </c>
      <c r="BY58" s="698">
        <f t="shared" ref="BY58" si="108">BX58</f>
        <v>5.6992499999999948</v>
      </c>
      <c r="BZ58" s="1083"/>
      <c r="CA58" s="1083"/>
    </row>
    <row r="59" spans="1:79" outlineLevel="1">
      <c r="A59" s="694" t="s">
        <v>420</v>
      </c>
      <c r="AS59" s="700">
        <f>AS$4/28+AS$5/40</f>
        <v>46.192785714285719</v>
      </c>
      <c r="AT59" s="698">
        <f t="shared" si="84"/>
        <v>46.192785714285719</v>
      </c>
      <c r="AU59" s="698">
        <f t="shared" si="84"/>
        <v>46.192785714285719</v>
      </c>
      <c r="AV59" s="698">
        <f t="shared" si="84"/>
        <v>46.192785714285719</v>
      </c>
      <c r="AW59" s="698">
        <f t="shared" si="84"/>
        <v>46.192785714285719</v>
      </c>
      <c r="AX59" s="698">
        <f t="shared" si="43"/>
        <v>46.192785714285719</v>
      </c>
      <c r="AY59" s="698">
        <f t="shared" si="45"/>
        <v>46.192785714285719</v>
      </c>
      <c r="AZ59" s="698">
        <f t="shared" si="48"/>
        <v>46.192785714285719</v>
      </c>
      <c r="BA59" s="698">
        <f t="shared" si="50"/>
        <v>46.192785714285719</v>
      </c>
      <c r="BB59" s="698">
        <f t="shared" si="52"/>
        <v>46.192785714285719</v>
      </c>
      <c r="BC59" s="698">
        <f t="shared" si="53"/>
        <v>46.192785714285719</v>
      </c>
      <c r="BD59" s="698">
        <f t="shared" si="54"/>
        <v>46.192785714285719</v>
      </c>
      <c r="BE59" s="698">
        <f t="shared" si="55"/>
        <v>46.192785714285719</v>
      </c>
      <c r="BF59" s="698">
        <f t="shared" si="56"/>
        <v>46.192785714285719</v>
      </c>
      <c r="BG59" s="698">
        <f t="shared" si="58"/>
        <v>46.192785714285719</v>
      </c>
      <c r="BH59" s="698">
        <f t="shared" si="60"/>
        <v>46.192785714285719</v>
      </c>
      <c r="BI59" s="698">
        <f t="shared" si="63"/>
        <v>46.192785714285719</v>
      </c>
      <c r="BJ59" s="698">
        <f t="shared" si="66"/>
        <v>46.192785714285719</v>
      </c>
      <c r="BK59" s="698">
        <f t="shared" si="67"/>
        <v>46.192785714285719</v>
      </c>
      <c r="BL59" s="698">
        <f t="shared" si="69"/>
        <v>46.192785714285719</v>
      </c>
      <c r="BM59" s="698">
        <f t="shared" si="72"/>
        <v>46.192785714285719</v>
      </c>
      <c r="BN59" s="698">
        <f t="shared" si="79"/>
        <v>46.192785714285719</v>
      </c>
      <c r="BO59" s="698">
        <f t="shared" si="80"/>
        <v>46.192785714285719</v>
      </c>
      <c r="BP59" s="698">
        <f t="shared" si="85"/>
        <v>46.192785714285719</v>
      </c>
      <c r="BQ59" s="698">
        <f t="shared" si="93"/>
        <v>46.192785714285719</v>
      </c>
      <c r="BR59" s="698">
        <f t="shared" si="93"/>
        <v>46.192785714285719</v>
      </c>
      <c r="BS59" s="698">
        <f t="shared" si="93"/>
        <v>46.192785714285719</v>
      </c>
      <c r="BT59" s="698">
        <f t="shared" si="93"/>
        <v>46.192785714285719</v>
      </c>
      <c r="BU59" s="700">
        <f>AS$5/40</f>
        <v>3.3334999999999981</v>
      </c>
      <c r="BV59" s="698">
        <f t="shared" si="105"/>
        <v>3.3334999999999981</v>
      </c>
      <c r="BW59" s="698">
        <f t="shared" ref="BW59" si="109">BV59</f>
        <v>3.3334999999999981</v>
      </c>
      <c r="BX59" s="698">
        <f t="shared" ref="BX59" si="110">BW59</f>
        <v>3.3334999999999981</v>
      </c>
      <c r="BY59" s="698">
        <f t="shared" ref="BY59" si="111">BX59</f>
        <v>3.3334999999999981</v>
      </c>
      <c r="BZ59" s="1083"/>
      <c r="CA59" s="1083"/>
    </row>
    <row r="60" spans="1:79" outlineLevel="1">
      <c r="A60" s="694" t="s">
        <v>421</v>
      </c>
      <c r="AT60" s="700">
        <f>AT$4/28+AT$5/40</f>
        <v>18.502749999999999</v>
      </c>
      <c r="AU60" s="698">
        <f t="shared" si="84"/>
        <v>18.502749999999999</v>
      </c>
      <c r="AV60" s="698">
        <f t="shared" si="84"/>
        <v>18.502749999999999</v>
      </c>
      <c r="AW60" s="698">
        <f t="shared" si="84"/>
        <v>18.502749999999999</v>
      </c>
      <c r="AX60" s="698">
        <f t="shared" si="43"/>
        <v>18.502749999999999</v>
      </c>
      <c r="AY60" s="698">
        <f t="shared" si="45"/>
        <v>18.502749999999999</v>
      </c>
      <c r="AZ60" s="698">
        <f t="shared" si="48"/>
        <v>18.502749999999999</v>
      </c>
      <c r="BA60" s="698">
        <f t="shared" si="50"/>
        <v>18.502749999999999</v>
      </c>
      <c r="BB60" s="698">
        <f t="shared" si="52"/>
        <v>18.502749999999999</v>
      </c>
      <c r="BC60" s="698">
        <f t="shared" si="53"/>
        <v>18.502749999999999</v>
      </c>
      <c r="BD60" s="698">
        <f t="shared" si="54"/>
        <v>18.502749999999999</v>
      </c>
      <c r="BE60" s="698">
        <f t="shared" si="55"/>
        <v>18.502749999999999</v>
      </c>
      <c r="BF60" s="698">
        <f t="shared" si="56"/>
        <v>18.502749999999999</v>
      </c>
      <c r="BG60" s="698">
        <f t="shared" si="58"/>
        <v>18.502749999999999</v>
      </c>
      <c r="BH60" s="698">
        <f t="shared" si="60"/>
        <v>18.502749999999999</v>
      </c>
      <c r="BI60" s="698">
        <f t="shared" si="63"/>
        <v>18.502749999999999</v>
      </c>
      <c r="BJ60" s="698">
        <f t="shared" si="66"/>
        <v>18.502749999999999</v>
      </c>
      <c r="BK60" s="698">
        <f t="shared" si="67"/>
        <v>18.502749999999999</v>
      </c>
      <c r="BL60" s="698">
        <f t="shared" si="69"/>
        <v>18.502749999999999</v>
      </c>
      <c r="BM60" s="698">
        <f t="shared" si="72"/>
        <v>18.502749999999999</v>
      </c>
      <c r="BN60" s="698">
        <f t="shared" si="79"/>
        <v>18.502749999999999</v>
      </c>
      <c r="BO60" s="698">
        <f t="shared" si="80"/>
        <v>18.502749999999999</v>
      </c>
      <c r="BP60" s="698">
        <f t="shared" si="85"/>
        <v>18.502749999999999</v>
      </c>
      <c r="BQ60" s="698">
        <f t="shared" si="93"/>
        <v>18.502749999999999</v>
      </c>
      <c r="BR60" s="698">
        <f t="shared" si="93"/>
        <v>18.502749999999999</v>
      </c>
      <c r="BS60" s="698">
        <f t="shared" si="93"/>
        <v>18.502749999999999</v>
      </c>
      <c r="BT60" s="698">
        <f t="shared" si="93"/>
        <v>18.502749999999999</v>
      </c>
      <c r="BU60" s="698">
        <f t="shared" si="93"/>
        <v>18.502749999999999</v>
      </c>
      <c r="BV60" s="700">
        <f>AT$5/40</f>
        <v>1.3352499999999992</v>
      </c>
      <c r="BW60" s="698">
        <f t="shared" ref="BW60:BW86" si="112">BV60</f>
        <v>1.3352499999999992</v>
      </c>
      <c r="BX60" s="698">
        <f t="shared" ref="BX60:BX86" si="113">BW60</f>
        <v>1.3352499999999992</v>
      </c>
      <c r="BY60" s="698">
        <f t="shared" ref="BY60:BY86" si="114">BX60</f>
        <v>1.3352499999999992</v>
      </c>
      <c r="BZ60" s="698"/>
      <c r="CA60" s="1083"/>
    </row>
    <row r="61" spans="1:79" outlineLevel="1">
      <c r="A61" s="694" t="s">
        <v>422</v>
      </c>
      <c r="AU61" s="700">
        <f>AU$4/28+AU$5/40</f>
        <v>26.702714285714286</v>
      </c>
      <c r="AV61" s="698">
        <f t="shared" si="84"/>
        <v>26.702714285714286</v>
      </c>
      <c r="AW61" s="698">
        <f t="shared" si="84"/>
        <v>26.702714285714286</v>
      </c>
      <c r="AX61" s="698">
        <f t="shared" si="43"/>
        <v>26.702714285714286</v>
      </c>
      <c r="AY61" s="698">
        <f t="shared" si="45"/>
        <v>26.702714285714286</v>
      </c>
      <c r="AZ61" s="698">
        <f t="shared" si="48"/>
        <v>26.702714285714286</v>
      </c>
      <c r="BA61" s="698">
        <f t="shared" si="50"/>
        <v>26.702714285714286</v>
      </c>
      <c r="BB61" s="698">
        <f t="shared" si="52"/>
        <v>26.702714285714286</v>
      </c>
      <c r="BC61" s="698">
        <f t="shared" si="53"/>
        <v>26.702714285714286</v>
      </c>
      <c r="BD61" s="698">
        <f t="shared" si="54"/>
        <v>26.702714285714286</v>
      </c>
      <c r="BE61" s="698">
        <f t="shared" si="55"/>
        <v>26.702714285714286</v>
      </c>
      <c r="BF61" s="698">
        <f t="shared" si="56"/>
        <v>26.702714285714286</v>
      </c>
      <c r="BG61" s="698">
        <f t="shared" si="58"/>
        <v>26.702714285714286</v>
      </c>
      <c r="BH61" s="698">
        <f t="shared" si="60"/>
        <v>26.702714285714286</v>
      </c>
      <c r="BI61" s="698">
        <f t="shared" si="63"/>
        <v>26.702714285714286</v>
      </c>
      <c r="BJ61" s="698">
        <f t="shared" si="66"/>
        <v>26.702714285714286</v>
      </c>
      <c r="BK61" s="698">
        <f t="shared" si="67"/>
        <v>26.702714285714286</v>
      </c>
      <c r="BL61" s="698">
        <f t="shared" si="69"/>
        <v>26.702714285714286</v>
      </c>
      <c r="BM61" s="698">
        <f t="shared" si="72"/>
        <v>26.702714285714286</v>
      </c>
      <c r="BN61" s="698">
        <f t="shared" si="79"/>
        <v>26.702714285714286</v>
      </c>
      <c r="BO61" s="698">
        <f t="shared" si="80"/>
        <v>26.702714285714286</v>
      </c>
      <c r="BP61" s="698">
        <f t="shared" si="85"/>
        <v>26.702714285714286</v>
      </c>
      <c r="BQ61" s="698">
        <f t="shared" si="93"/>
        <v>26.702714285714286</v>
      </c>
      <c r="BR61" s="698">
        <f t="shared" si="93"/>
        <v>26.702714285714286</v>
      </c>
      <c r="BS61" s="698">
        <f t="shared" si="93"/>
        <v>26.702714285714286</v>
      </c>
      <c r="BT61" s="698">
        <f t="shared" si="93"/>
        <v>26.702714285714286</v>
      </c>
      <c r="BU61" s="698">
        <f t="shared" si="93"/>
        <v>26.702714285714286</v>
      </c>
      <c r="BV61" s="698">
        <f t="shared" ref="BV61:BV86" si="115">BU61</f>
        <v>26.702714285714286</v>
      </c>
      <c r="BW61" s="700">
        <f>AU$5/40</f>
        <v>1.9269999999999983</v>
      </c>
      <c r="BX61" s="698">
        <f t="shared" si="113"/>
        <v>1.9269999999999983</v>
      </c>
      <c r="BY61" s="698">
        <f t="shared" si="114"/>
        <v>1.9269999999999983</v>
      </c>
      <c r="BZ61" s="698"/>
      <c r="CA61" s="1083"/>
    </row>
    <row r="62" spans="1:79" outlineLevel="1">
      <c r="A62" s="694" t="s">
        <v>423</v>
      </c>
      <c r="AV62" s="700">
        <f>AV$4/28+AV$5/40</f>
        <v>37.445464285714287</v>
      </c>
      <c r="AW62" s="698">
        <f t="shared" si="84"/>
        <v>37.445464285714287</v>
      </c>
      <c r="AX62" s="698">
        <f t="shared" si="43"/>
        <v>37.445464285714287</v>
      </c>
      <c r="AY62" s="698">
        <f t="shared" si="45"/>
        <v>37.445464285714287</v>
      </c>
      <c r="AZ62" s="698">
        <f t="shared" si="48"/>
        <v>37.445464285714287</v>
      </c>
      <c r="BA62" s="698">
        <f t="shared" si="50"/>
        <v>37.445464285714287</v>
      </c>
      <c r="BB62" s="698">
        <f t="shared" si="52"/>
        <v>37.445464285714287</v>
      </c>
      <c r="BC62" s="698">
        <f t="shared" si="53"/>
        <v>37.445464285714287</v>
      </c>
      <c r="BD62" s="698">
        <f t="shared" si="54"/>
        <v>37.445464285714287</v>
      </c>
      <c r="BE62" s="698">
        <f t="shared" si="55"/>
        <v>37.445464285714287</v>
      </c>
      <c r="BF62" s="698">
        <f t="shared" si="56"/>
        <v>37.445464285714287</v>
      </c>
      <c r="BG62" s="698">
        <f t="shared" si="58"/>
        <v>37.445464285714287</v>
      </c>
      <c r="BH62" s="698">
        <f t="shared" si="60"/>
        <v>37.445464285714287</v>
      </c>
      <c r="BI62" s="698">
        <f t="shared" si="63"/>
        <v>37.445464285714287</v>
      </c>
      <c r="BJ62" s="698">
        <f t="shared" si="66"/>
        <v>37.445464285714287</v>
      </c>
      <c r="BK62" s="698">
        <f t="shared" si="67"/>
        <v>37.445464285714287</v>
      </c>
      <c r="BL62" s="698">
        <f t="shared" si="69"/>
        <v>37.445464285714287</v>
      </c>
      <c r="BM62" s="698">
        <f t="shared" si="72"/>
        <v>37.445464285714287</v>
      </c>
      <c r="BN62" s="698">
        <f t="shared" si="79"/>
        <v>37.445464285714287</v>
      </c>
      <c r="BO62" s="698">
        <f t="shared" si="80"/>
        <v>37.445464285714287</v>
      </c>
      <c r="BP62" s="698">
        <f t="shared" si="85"/>
        <v>37.445464285714287</v>
      </c>
      <c r="BQ62" s="698">
        <f t="shared" si="93"/>
        <v>37.445464285714287</v>
      </c>
      <c r="BR62" s="698">
        <f t="shared" si="93"/>
        <v>37.445464285714287</v>
      </c>
      <c r="BS62" s="698">
        <f t="shared" si="93"/>
        <v>37.445464285714287</v>
      </c>
      <c r="BT62" s="698">
        <f t="shared" si="93"/>
        <v>37.445464285714287</v>
      </c>
      <c r="BU62" s="698">
        <f t="shared" ref="BU62:BU82" si="116">BT62</f>
        <v>37.445464285714287</v>
      </c>
      <c r="BV62" s="698">
        <f t="shared" si="115"/>
        <v>37.445464285714287</v>
      </c>
      <c r="BW62" s="698">
        <f t="shared" si="112"/>
        <v>37.445464285714287</v>
      </c>
      <c r="BX62" s="700">
        <f>AV$5/40</f>
        <v>2.7022500000000007</v>
      </c>
      <c r="BY62" s="698">
        <f t="shared" si="114"/>
        <v>2.7022500000000007</v>
      </c>
      <c r="BZ62" s="698"/>
      <c r="CA62" s="1083"/>
    </row>
    <row r="63" spans="1:79" outlineLevel="1">
      <c r="A63" s="694" t="s">
        <v>424</v>
      </c>
      <c r="AW63" s="700">
        <f>AW$4/28+AW$5/40</f>
        <v>73.789285714285711</v>
      </c>
      <c r="AX63" s="698">
        <f t="shared" si="43"/>
        <v>73.789285714285711</v>
      </c>
      <c r="AY63" s="698">
        <f t="shared" si="45"/>
        <v>73.789285714285711</v>
      </c>
      <c r="AZ63" s="698">
        <f t="shared" si="48"/>
        <v>73.789285714285711</v>
      </c>
      <c r="BA63" s="698">
        <f t="shared" si="50"/>
        <v>73.789285714285711</v>
      </c>
      <c r="BB63" s="698">
        <f t="shared" si="52"/>
        <v>73.789285714285711</v>
      </c>
      <c r="BC63" s="698">
        <f t="shared" si="53"/>
        <v>73.789285714285711</v>
      </c>
      <c r="BD63" s="698">
        <f t="shared" si="54"/>
        <v>73.789285714285711</v>
      </c>
      <c r="BE63" s="698">
        <f t="shared" si="55"/>
        <v>73.789285714285711</v>
      </c>
      <c r="BF63" s="698">
        <f t="shared" si="56"/>
        <v>73.789285714285711</v>
      </c>
      <c r="BG63" s="698">
        <f t="shared" si="58"/>
        <v>73.789285714285711</v>
      </c>
      <c r="BH63" s="698">
        <f t="shared" si="60"/>
        <v>73.789285714285711</v>
      </c>
      <c r="BI63" s="698">
        <f t="shared" si="63"/>
        <v>73.789285714285711</v>
      </c>
      <c r="BJ63" s="698">
        <f t="shared" si="66"/>
        <v>73.789285714285711</v>
      </c>
      <c r="BK63" s="698">
        <f t="shared" si="67"/>
        <v>73.789285714285711</v>
      </c>
      <c r="BL63" s="698">
        <f t="shared" si="69"/>
        <v>73.789285714285711</v>
      </c>
      <c r="BM63" s="698">
        <f t="shared" si="72"/>
        <v>73.789285714285711</v>
      </c>
      <c r="BN63" s="698">
        <f t="shared" si="79"/>
        <v>73.789285714285711</v>
      </c>
      <c r="BO63" s="698">
        <f t="shared" si="80"/>
        <v>73.789285714285711</v>
      </c>
      <c r="BP63" s="698">
        <f t="shared" si="85"/>
        <v>73.789285714285711</v>
      </c>
      <c r="BQ63" s="698">
        <f t="shared" si="93"/>
        <v>73.789285714285711</v>
      </c>
      <c r="BR63" s="698">
        <f t="shared" si="93"/>
        <v>73.789285714285711</v>
      </c>
      <c r="BS63" s="698">
        <f t="shared" si="93"/>
        <v>73.789285714285711</v>
      </c>
      <c r="BT63" s="698">
        <f t="shared" si="93"/>
        <v>73.789285714285711</v>
      </c>
      <c r="BU63" s="698">
        <f t="shared" si="116"/>
        <v>73.789285714285711</v>
      </c>
      <c r="BV63" s="698">
        <f t="shared" si="115"/>
        <v>73.789285714285711</v>
      </c>
      <c r="BW63" s="698">
        <f t="shared" si="112"/>
        <v>73.789285714285711</v>
      </c>
      <c r="BX63" s="698">
        <f t="shared" si="113"/>
        <v>73.789285714285711</v>
      </c>
      <c r="BY63" s="700">
        <f>AW$5/40</f>
        <v>5.3250000000000002</v>
      </c>
      <c r="BZ63" s="698"/>
      <c r="CA63" s="1083"/>
    </row>
    <row r="64" spans="1:79" outlineLevel="1">
      <c r="A64" s="694" t="s">
        <v>946</v>
      </c>
      <c r="AX64" s="700">
        <f>AX$4/28+AX$5/40</f>
        <v>30.104642857142856</v>
      </c>
      <c r="AY64" s="698">
        <f t="shared" si="45"/>
        <v>30.104642857142856</v>
      </c>
      <c r="AZ64" s="698">
        <f t="shared" si="48"/>
        <v>30.104642857142856</v>
      </c>
      <c r="BA64" s="698">
        <f t="shared" si="50"/>
        <v>30.104642857142856</v>
      </c>
      <c r="BB64" s="698">
        <f t="shared" si="52"/>
        <v>30.104642857142856</v>
      </c>
      <c r="BC64" s="698">
        <f t="shared" si="53"/>
        <v>30.104642857142856</v>
      </c>
      <c r="BD64" s="698">
        <f t="shared" si="54"/>
        <v>30.104642857142856</v>
      </c>
      <c r="BE64" s="698">
        <f t="shared" si="55"/>
        <v>30.104642857142856</v>
      </c>
      <c r="BF64" s="698">
        <f t="shared" si="56"/>
        <v>30.104642857142856</v>
      </c>
      <c r="BG64" s="698">
        <f t="shared" si="58"/>
        <v>30.104642857142856</v>
      </c>
      <c r="BH64" s="698">
        <f t="shared" si="60"/>
        <v>30.104642857142856</v>
      </c>
      <c r="BI64" s="698">
        <f t="shared" si="63"/>
        <v>30.104642857142856</v>
      </c>
      <c r="BJ64" s="698">
        <f t="shared" si="66"/>
        <v>30.104642857142856</v>
      </c>
      <c r="BK64" s="698">
        <f t="shared" si="67"/>
        <v>30.104642857142856</v>
      </c>
      <c r="BL64" s="698">
        <f t="shared" si="69"/>
        <v>30.104642857142856</v>
      </c>
      <c r="BM64" s="698">
        <f t="shared" si="72"/>
        <v>30.104642857142856</v>
      </c>
      <c r="BN64" s="698">
        <f t="shared" si="79"/>
        <v>30.104642857142856</v>
      </c>
      <c r="BO64" s="698">
        <f t="shared" si="80"/>
        <v>30.104642857142856</v>
      </c>
      <c r="BP64" s="698">
        <f t="shared" si="85"/>
        <v>30.104642857142856</v>
      </c>
      <c r="BQ64" s="698">
        <f t="shared" si="93"/>
        <v>30.104642857142856</v>
      </c>
      <c r="BR64" s="698">
        <f t="shared" si="93"/>
        <v>30.104642857142856</v>
      </c>
      <c r="BS64" s="698">
        <f t="shared" si="93"/>
        <v>30.104642857142856</v>
      </c>
      <c r="BT64" s="698">
        <f t="shared" si="93"/>
        <v>30.104642857142856</v>
      </c>
      <c r="BU64" s="698">
        <f t="shared" si="116"/>
        <v>30.104642857142856</v>
      </c>
      <c r="BV64" s="698">
        <f t="shared" si="115"/>
        <v>30.104642857142856</v>
      </c>
      <c r="BW64" s="698">
        <f t="shared" si="112"/>
        <v>30.104642857142856</v>
      </c>
      <c r="BX64" s="698">
        <f t="shared" si="113"/>
        <v>30.104642857142856</v>
      </c>
      <c r="BY64" s="698">
        <f t="shared" si="114"/>
        <v>30.104642857142856</v>
      </c>
      <c r="BZ64" s="698"/>
      <c r="CA64" s="1083"/>
    </row>
    <row r="65" spans="1:79" outlineLevel="1">
      <c r="A65" s="694" t="s">
        <v>947</v>
      </c>
      <c r="AY65" s="700">
        <f>AY$4/28+AY$5/40</f>
        <v>57.933250000000001</v>
      </c>
      <c r="AZ65" s="698">
        <f t="shared" si="48"/>
        <v>57.933250000000001</v>
      </c>
      <c r="BA65" s="698">
        <f t="shared" si="50"/>
        <v>57.933250000000001</v>
      </c>
      <c r="BB65" s="698">
        <f t="shared" si="52"/>
        <v>57.933250000000001</v>
      </c>
      <c r="BC65" s="698">
        <f t="shared" si="53"/>
        <v>57.933250000000001</v>
      </c>
      <c r="BD65" s="698">
        <f t="shared" si="54"/>
        <v>57.933250000000001</v>
      </c>
      <c r="BE65" s="698">
        <f t="shared" si="55"/>
        <v>57.933250000000001</v>
      </c>
      <c r="BF65" s="698">
        <f t="shared" si="56"/>
        <v>57.933250000000001</v>
      </c>
      <c r="BG65" s="698">
        <f t="shared" si="58"/>
        <v>57.933250000000001</v>
      </c>
      <c r="BH65" s="698">
        <f t="shared" si="60"/>
        <v>57.933250000000001</v>
      </c>
      <c r="BI65" s="698">
        <f t="shared" si="63"/>
        <v>57.933250000000001</v>
      </c>
      <c r="BJ65" s="698">
        <f t="shared" si="66"/>
        <v>57.933250000000001</v>
      </c>
      <c r="BK65" s="698">
        <f t="shared" si="67"/>
        <v>57.933250000000001</v>
      </c>
      <c r="BL65" s="698">
        <f t="shared" si="69"/>
        <v>57.933250000000001</v>
      </c>
      <c r="BM65" s="698">
        <f t="shared" si="72"/>
        <v>57.933250000000001</v>
      </c>
      <c r="BN65" s="698">
        <f t="shared" si="79"/>
        <v>57.933250000000001</v>
      </c>
      <c r="BO65" s="698">
        <f t="shared" si="80"/>
        <v>57.933250000000001</v>
      </c>
      <c r="BP65" s="698">
        <f t="shared" si="85"/>
        <v>57.933250000000001</v>
      </c>
      <c r="BQ65" s="698">
        <f t="shared" si="93"/>
        <v>57.933250000000001</v>
      </c>
      <c r="BR65" s="698">
        <f t="shared" si="93"/>
        <v>57.933250000000001</v>
      </c>
      <c r="BS65" s="698">
        <f t="shared" si="93"/>
        <v>57.933250000000001</v>
      </c>
      <c r="BT65" s="698">
        <f t="shared" si="93"/>
        <v>57.933250000000001</v>
      </c>
      <c r="BU65" s="698">
        <f t="shared" si="116"/>
        <v>57.933250000000001</v>
      </c>
      <c r="BV65" s="698">
        <f t="shared" si="115"/>
        <v>57.933250000000001</v>
      </c>
      <c r="BW65" s="698">
        <f t="shared" si="112"/>
        <v>57.933250000000001</v>
      </c>
      <c r="BX65" s="698">
        <f t="shared" si="113"/>
        <v>57.933250000000001</v>
      </c>
      <c r="BY65" s="698">
        <f t="shared" si="114"/>
        <v>57.933250000000001</v>
      </c>
      <c r="BZ65" s="698"/>
      <c r="CA65" s="1083"/>
    </row>
    <row r="66" spans="1:79" outlineLevel="1">
      <c r="A66" s="694" t="s">
        <v>948</v>
      </c>
      <c r="AZ66" s="700">
        <f>AZ$4/28+AZ$5/40</f>
        <v>63.12967857142857</v>
      </c>
      <c r="BA66" s="698">
        <f t="shared" si="50"/>
        <v>63.12967857142857</v>
      </c>
      <c r="BB66" s="698">
        <f t="shared" si="52"/>
        <v>63.12967857142857</v>
      </c>
      <c r="BC66" s="698">
        <f t="shared" si="53"/>
        <v>63.12967857142857</v>
      </c>
      <c r="BD66" s="698">
        <f t="shared" si="54"/>
        <v>63.12967857142857</v>
      </c>
      <c r="BE66" s="698">
        <f t="shared" si="55"/>
        <v>63.12967857142857</v>
      </c>
      <c r="BF66" s="698">
        <f t="shared" si="56"/>
        <v>63.12967857142857</v>
      </c>
      <c r="BG66" s="698">
        <f t="shared" si="58"/>
        <v>63.12967857142857</v>
      </c>
      <c r="BH66" s="698">
        <f t="shared" si="60"/>
        <v>63.12967857142857</v>
      </c>
      <c r="BI66" s="698">
        <f t="shared" si="63"/>
        <v>63.12967857142857</v>
      </c>
      <c r="BJ66" s="698">
        <f t="shared" si="66"/>
        <v>63.12967857142857</v>
      </c>
      <c r="BK66" s="698">
        <f t="shared" si="67"/>
        <v>63.12967857142857</v>
      </c>
      <c r="BL66" s="698">
        <f t="shared" si="69"/>
        <v>63.12967857142857</v>
      </c>
      <c r="BM66" s="698">
        <f t="shared" si="72"/>
        <v>63.12967857142857</v>
      </c>
      <c r="BN66" s="698">
        <f t="shared" si="79"/>
        <v>63.12967857142857</v>
      </c>
      <c r="BO66" s="698">
        <f t="shared" si="80"/>
        <v>63.12967857142857</v>
      </c>
      <c r="BP66" s="698">
        <f t="shared" si="85"/>
        <v>63.12967857142857</v>
      </c>
      <c r="BQ66" s="698">
        <f t="shared" si="93"/>
        <v>63.12967857142857</v>
      </c>
      <c r="BR66" s="698">
        <f t="shared" si="93"/>
        <v>63.12967857142857</v>
      </c>
      <c r="BS66" s="698">
        <f t="shared" si="93"/>
        <v>63.12967857142857</v>
      </c>
      <c r="BT66" s="698">
        <f t="shared" si="93"/>
        <v>63.12967857142857</v>
      </c>
      <c r="BU66" s="698">
        <f t="shared" si="116"/>
        <v>63.12967857142857</v>
      </c>
      <c r="BV66" s="698">
        <f t="shared" si="115"/>
        <v>63.12967857142857</v>
      </c>
      <c r="BW66" s="698">
        <f t="shared" si="112"/>
        <v>63.12967857142857</v>
      </c>
      <c r="BX66" s="698">
        <f t="shared" si="113"/>
        <v>63.12967857142857</v>
      </c>
      <c r="BY66" s="698">
        <f t="shared" si="114"/>
        <v>63.12967857142857</v>
      </c>
      <c r="BZ66" s="698"/>
      <c r="CA66" s="1083"/>
    </row>
    <row r="67" spans="1:79" outlineLevel="1">
      <c r="A67" s="694" t="s">
        <v>949</v>
      </c>
      <c r="BA67" s="700">
        <f>BA$4/28+BA$5/40</f>
        <v>68.838821428571421</v>
      </c>
      <c r="BB67" s="698">
        <f t="shared" si="52"/>
        <v>68.838821428571421</v>
      </c>
      <c r="BC67" s="698">
        <f t="shared" si="53"/>
        <v>68.838821428571421</v>
      </c>
      <c r="BD67" s="698">
        <f t="shared" si="54"/>
        <v>68.838821428571421</v>
      </c>
      <c r="BE67" s="698">
        <f t="shared" si="55"/>
        <v>68.838821428571421</v>
      </c>
      <c r="BF67" s="698">
        <f t="shared" si="56"/>
        <v>68.838821428571421</v>
      </c>
      <c r="BG67" s="698">
        <f t="shared" si="58"/>
        <v>68.838821428571421</v>
      </c>
      <c r="BH67" s="698">
        <f t="shared" si="60"/>
        <v>68.838821428571421</v>
      </c>
      <c r="BI67" s="698">
        <f t="shared" si="63"/>
        <v>68.838821428571421</v>
      </c>
      <c r="BJ67" s="698">
        <f t="shared" si="66"/>
        <v>68.838821428571421</v>
      </c>
      <c r="BK67" s="698">
        <f t="shared" si="67"/>
        <v>68.838821428571421</v>
      </c>
      <c r="BL67" s="698">
        <f t="shared" si="69"/>
        <v>68.838821428571421</v>
      </c>
      <c r="BM67" s="698">
        <f t="shared" si="72"/>
        <v>68.838821428571421</v>
      </c>
      <c r="BN67" s="698">
        <f t="shared" si="79"/>
        <v>68.838821428571421</v>
      </c>
      <c r="BO67" s="698">
        <f t="shared" si="80"/>
        <v>68.838821428571421</v>
      </c>
      <c r="BP67" s="698">
        <f t="shared" si="85"/>
        <v>68.838821428571421</v>
      </c>
      <c r="BQ67" s="698">
        <f t="shared" si="93"/>
        <v>68.838821428571421</v>
      </c>
      <c r="BR67" s="698">
        <f t="shared" si="93"/>
        <v>68.838821428571421</v>
      </c>
      <c r="BS67" s="698">
        <f t="shared" si="93"/>
        <v>68.838821428571421</v>
      </c>
      <c r="BT67" s="698">
        <f t="shared" si="93"/>
        <v>68.838821428571421</v>
      </c>
      <c r="BU67" s="698">
        <f t="shared" si="116"/>
        <v>68.838821428571421</v>
      </c>
      <c r="BV67" s="698">
        <f t="shared" si="115"/>
        <v>68.838821428571421</v>
      </c>
      <c r="BW67" s="698">
        <f t="shared" si="112"/>
        <v>68.838821428571421</v>
      </c>
      <c r="BX67" s="698">
        <f t="shared" si="113"/>
        <v>68.838821428571421</v>
      </c>
      <c r="BY67" s="698">
        <f t="shared" si="114"/>
        <v>68.838821428571421</v>
      </c>
      <c r="BZ67" s="698"/>
      <c r="CA67" s="1083"/>
    </row>
    <row r="68" spans="1:79" outlineLevel="1">
      <c r="A68" s="694" t="s">
        <v>1065</v>
      </c>
      <c r="BB68" s="700">
        <f>BB$4/28+BB$5/40</f>
        <v>43.601499999999994</v>
      </c>
      <c r="BC68" s="698">
        <f t="shared" si="53"/>
        <v>43.601499999999994</v>
      </c>
      <c r="BD68" s="698">
        <f t="shared" si="54"/>
        <v>43.601499999999994</v>
      </c>
      <c r="BE68" s="698">
        <f t="shared" si="55"/>
        <v>43.601499999999994</v>
      </c>
      <c r="BF68" s="698">
        <f t="shared" si="56"/>
        <v>43.601499999999994</v>
      </c>
      <c r="BG68" s="698">
        <f t="shared" si="58"/>
        <v>43.601499999999994</v>
      </c>
      <c r="BH68" s="698">
        <f t="shared" si="60"/>
        <v>43.601499999999994</v>
      </c>
      <c r="BI68" s="698">
        <f t="shared" si="63"/>
        <v>43.601499999999994</v>
      </c>
      <c r="BJ68" s="698">
        <f t="shared" si="66"/>
        <v>43.601499999999994</v>
      </c>
      <c r="BK68" s="698">
        <f t="shared" si="67"/>
        <v>43.601499999999994</v>
      </c>
      <c r="BL68" s="698">
        <f t="shared" si="69"/>
        <v>43.601499999999994</v>
      </c>
      <c r="BM68" s="698">
        <f t="shared" si="72"/>
        <v>43.601499999999994</v>
      </c>
      <c r="BN68" s="698">
        <f t="shared" si="79"/>
        <v>43.601499999999994</v>
      </c>
      <c r="BO68" s="698">
        <f t="shared" si="80"/>
        <v>43.601499999999994</v>
      </c>
      <c r="BP68" s="698">
        <f t="shared" si="85"/>
        <v>43.601499999999994</v>
      </c>
      <c r="BQ68" s="698">
        <f t="shared" si="93"/>
        <v>43.601499999999994</v>
      </c>
      <c r="BR68" s="698">
        <f t="shared" si="93"/>
        <v>43.601499999999994</v>
      </c>
      <c r="BS68" s="698">
        <f t="shared" si="93"/>
        <v>43.601499999999994</v>
      </c>
      <c r="BT68" s="698">
        <f t="shared" si="93"/>
        <v>43.601499999999994</v>
      </c>
      <c r="BU68" s="698">
        <f t="shared" si="116"/>
        <v>43.601499999999994</v>
      </c>
      <c r="BV68" s="698">
        <f t="shared" si="115"/>
        <v>43.601499999999994</v>
      </c>
      <c r="BW68" s="698">
        <f t="shared" si="112"/>
        <v>43.601499999999994</v>
      </c>
      <c r="BX68" s="698">
        <f t="shared" si="113"/>
        <v>43.601499999999994</v>
      </c>
      <c r="BY68" s="698">
        <f t="shared" si="114"/>
        <v>43.601499999999994</v>
      </c>
      <c r="BZ68" s="698"/>
      <c r="CA68" s="1083"/>
    </row>
    <row r="69" spans="1:79" outlineLevel="1">
      <c r="A69" s="694" t="s">
        <v>1066</v>
      </c>
      <c r="BC69" s="700">
        <f>BC$4/28+BC$5/40</f>
        <v>59.984107142857148</v>
      </c>
      <c r="BD69" s="698">
        <f t="shared" si="54"/>
        <v>59.984107142857148</v>
      </c>
      <c r="BE69" s="698">
        <f t="shared" si="55"/>
        <v>59.984107142857148</v>
      </c>
      <c r="BF69" s="698">
        <f t="shared" si="56"/>
        <v>59.984107142857148</v>
      </c>
      <c r="BG69" s="698">
        <f t="shared" si="58"/>
        <v>59.984107142857148</v>
      </c>
      <c r="BH69" s="698">
        <f t="shared" si="60"/>
        <v>59.984107142857148</v>
      </c>
      <c r="BI69" s="698">
        <f t="shared" si="63"/>
        <v>59.984107142857148</v>
      </c>
      <c r="BJ69" s="698">
        <f t="shared" si="66"/>
        <v>59.984107142857148</v>
      </c>
      <c r="BK69" s="698">
        <f t="shared" si="67"/>
        <v>59.984107142857148</v>
      </c>
      <c r="BL69" s="698">
        <f t="shared" si="69"/>
        <v>59.984107142857148</v>
      </c>
      <c r="BM69" s="698">
        <f t="shared" si="72"/>
        <v>59.984107142857148</v>
      </c>
      <c r="BN69" s="698">
        <f t="shared" si="79"/>
        <v>59.984107142857148</v>
      </c>
      <c r="BO69" s="698">
        <f t="shared" si="80"/>
        <v>59.984107142857148</v>
      </c>
      <c r="BP69" s="698">
        <f t="shared" si="85"/>
        <v>59.984107142857148</v>
      </c>
      <c r="BQ69" s="698">
        <f t="shared" si="93"/>
        <v>59.984107142857148</v>
      </c>
      <c r="BR69" s="698">
        <f t="shared" si="93"/>
        <v>59.984107142857148</v>
      </c>
      <c r="BS69" s="698">
        <f t="shared" si="93"/>
        <v>59.984107142857148</v>
      </c>
      <c r="BT69" s="698">
        <f t="shared" si="93"/>
        <v>59.984107142857148</v>
      </c>
      <c r="BU69" s="698">
        <f t="shared" si="116"/>
        <v>59.984107142857148</v>
      </c>
      <c r="BV69" s="698">
        <f t="shared" si="115"/>
        <v>59.984107142857148</v>
      </c>
      <c r="BW69" s="698">
        <f t="shared" si="112"/>
        <v>59.984107142857148</v>
      </c>
      <c r="BX69" s="698">
        <f t="shared" si="113"/>
        <v>59.984107142857148</v>
      </c>
      <c r="BY69" s="698">
        <f t="shared" si="114"/>
        <v>59.984107142857148</v>
      </c>
      <c r="BZ69" s="698"/>
      <c r="CA69" s="1083"/>
    </row>
    <row r="70" spans="1:79" outlineLevel="1">
      <c r="A70" s="694" t="s">
        <v>1067</v>
      </c>
      <c r="BD70" s="700">
        <f>BD$4/28+BD$5/40</f>
        <v>73.95210714285713</v>
      </c>
      <c r="BE70" s="698">
        <f t="shared" si="55"/>
        <v>73.95210714285713</v>
      </c>
      <c r="BF70" s="698">
        <f t="shared" si="56"/>
        <v>73.95210714285713</v>
      </c>
      <c r="BG70" s="698">
        <f t="shared" si="58"/>
        <v>73.95210714285713</v>
      </c>
      <c r="BH70" s="698">
        <f t="shared" si="60"/>
        <v>73.95210714285713</v>
      </c>
      <c r="BI70" s="698">
        <f t="shared" si="63"/>
        <v>73.95210714285713</v>
      </c>
      <c r="BJ70" s="698">
        <f t="shared" si="66"/>
        <v>73.95210714285713</v>
      </c>
      <c r="BK70" s="698">
        <f t="shared" si="67"/>
        <v>73.95210714285713</v>
      </c>
      <c r="BL70" s="698">
        <f t="shared" si="69"/>
        <v>73.95210714285713</v>
      </c>
      <c r="BM70" s="698">
        <f t="shared" si="72"/>
        <v>73.95210714285713</v>
      </c>
      <c r="BN70" s="698">
        <f t="shared" si="79"/>
        <v>73.95210714285713</v>
      </c>
      <c r="BO70" s="698">
        <f t="shared" si="80"/>
        <v>73.95210714285713</v>
      </c>
      <c r="BP70" s="698">
        <f t="shared" si="85"/>
        <v>73.95210714285713</v>
      </c>
      <c r="BQ70" s="698">
        <f t="shared" si="93"/>
        <v>73.95210714285713</v>
      </c>
      <c r="BR70" s="698">
        <f t="shared" si="93"/>
        <v>73.95210714285713</v>
      </c>
      <c r="BS70" s="698">
        <f t="shared" si="93"/>
        <v>73.95210714285713</v>
      </c>
      <c r="BT70" s="698">
        <f t="shared" si="93"/>
        <v>73.95210714285713</v>
      </c>
      <c r="BU70" s="698">
        <f t="shared" si="116"/>
        <v>73.95210714285713</v>
      </c>
      <c r="BV70" s="698">
        <f t="shared" si="115"/>
        <v>73.95210714285713</v>
      </c>
      <c r="BW70" s="698">
        <f t="shared" si="112"/>
        <v>73.95210714285713</v>
      </c>
      <c r="BX70" s="698">
        <f t="shared" si="113"/>
        <v>73.95210714285713</v>
      </c>
      <c r="BY70" s="698">
        <f t="shared" si="114"/>
        <v>73.95210714285713</v>
      </c>
      <c r="BZ70" s="698"/>
      <c r="CA70" s="1083"/>
    </row>
    <row r="71" spans="1:79" outlineLevel="1">
      <c r="A71" s="694" t="s">
        <v>1064</v>
      </c>
      <c r="BE71" s="700">
        <f>BE$4/28+BE$5/40</f>
        <v>81.095464285714286</v>
      </c>
      <c r="BF71" s="698">
        <f t="shared" si="56"/>
        <v>81.095464285714286</v>
      </c>
      <c r="BG71" s="698">
        <f t="shared" si="58"/>
        <v>81.095464285714286</v>
      </c>
      <c r="BH71" s="698">
        <f t="shared" si="60"/>
        <v>81.095464285714286</v>
      </c>
      <c r="BI71" s="698">
        <f t="shared" si="63"/>
        <v>81.095464285714286</v>
      </c>
      <c r="BJ71" s="698">
        <f t="shared" si="66"/>
        <v>81.095464285714286</v>
      </c>
      <c r="BK71" s="698">
        <f t="shared" si="67"/>
        <v>81.095464285714286</v>
      </c>
      <c r="BL71" s="698">
        <f t="shared" si="69"/>
        <v>81.095464285714286</v>
      </c>
      <c r="BM71" s="698">
        <f t="shared" si="72"/>
        <v>81.095464285714286</v>
      </c>
      <c r="BN71" s="698">
        <f t="shared" si="79"/>
        <v>81.095464285714286</v>
      </c>
      <c r="BO71" s="698">
        <f t="shared" si="80"/>
        <v>81.095464285714286</v>
      </c>
      <c r="BP71" s="698">
        <f t="shared" si="85"/>
        <v>81.095464285714286</v>
      </c>
      <c r="BQ71" s="698">
        <f t="shared" si="93"/>
        <v>81.095464285714286</v>
      </c>
      <c r="BR71" s="698">
        <f t="shared" si="93"/>
        <v>81.095464285714286</v>
      </c>
      <c r="BS71" s="698">
        <f t="shared" si="93"/>
        <v>81.095464285714286</v>
      </c>
      <c r="BT71" s="698">
        <f t="shared" si="93"/>
        <v>81.095464285714286</v>
      </c>
      <c r="BU71" s="698">
        <f t="shared" si="116"/>
        <v>81.095464285714286</v>
      </c>
      <c r="BV71" s="698">
        <f t="shared" si="115"/>
        <v>81.095464285714286</v>
      </c>
      <c r="BW71" s="698">
        <f t="shared" si="112"/>
        <v>81.095464285714286</v>
      </c>
      <c r="BX71" s="698">
        <f t="shared" si="113"/>
        <v>81.095464285714286</v>
      </c>
      <c r="BY71" s="698">
        <f t="shared" si="114"/>
        <v>81.095464285714286</v>
      </c>
      <c r="BZ71" s="698"/>
      <c r="CA71" s="1083"/>
    </row>
    <row r="72" spans="1:79" outlineLevel="1">
      <c r="A72" s="694" t="s">
        <v>1069</v>
      </c>
      <c r="BF72" s="700">
        <f>BF$4/28+BF$5/40</f>
        <v>77.440642857142862</v>
      </c>
      <c r="BG72" s="698">
        <f t="shared" si="58"/>
        <v>77.440642857142862</v>
      </c>
      <c r="BH72" s="698">
        <f t="shared" si="60"/>
        <v>77.440642857142862</v>
      </c>
      <c r="BI72" s="698">
        <f t="shared" si="63"/>
        <v>77.440642857142862</v>
      </c>
      <c r="BJ72" s="698">
        <f t="shared" si="66"/>
        <v>77.440642857142862</v>
      </c>
      <c r="BK72" s="698">
        <f t="shared" si="67"/>
        <v>77.440642857142862</v>
      </c>
      <c r="BL72" s="698">
        <f t="shared" si="69"/>
        <v>77.440642857142862</v>
      </c>
      <c r="BM72" s="698">
        <f t="shared" si="72"/>
        <v>77.440642857142862</v>
      </c>
      <c r="BN72" s="698">
        <f t="shared" si="79"/>
        <v>77.440642857142862</v>
      </c>
      <c r="BO72" s="698">
        <f t="shared" si="80"/>
        <v>77.440642857142862</v>
      </c>
      <c r="BP72" s="698">
        <f t="shared" si="85"/>
        <v>77.440642857142862</v>
      </c>
      <c r="BQ72" s="698">
        <f t="shared" si="93"/>
        <v>77.440642857142862</v>
      </c>
      <c r="BR72" s="698">
        <f t="shared" si="93"/>
        <v>77.440642857142862</v>
      </c>
      <c r="BS72" s="698">
        <f t="shared" si="93"/>
        <v>77.440642857142862</v>
      </c>
      <c r="BT72" s="698">
        <f t="shared" si="93"/>
        <v>77.440642857142862</v>
      </c>
      <c r="BU72" s="698">
        <f t="shared" si="116"/>
        <v>77.440642857142862</v>
      </c>
      <c r="BV72" s="698">
        <f t="shared" si="115"/>
        <v>77.440642857142862</v>
      </c>
      <c r="BW72" s="698">
        <f t="shared" si="112"/>
        <v>77.440642857142862</v>
      </c>
      <c r="BX72" s="698">
        <f t="shared" si="113"/>
        <v>77.440642857142862</v>
      </c>
      <c r="BY72" s="698">
        <f t="shared" si="114"/>
        <v>77.440642857142862</v>
      </c>
      <c r="BZ72" s="698"/>
      <c r="CA72" s="1083"/>
    </row>
    <row r="73" spans="1:79" outlineLevel="1">
      <c r="A73" s="694" t="s">
        <v>1070</v>
      </c>
      <c r="BG73" s="700">
        <f>BG$4/28+BG$5/40</f>
        <v>77.998392857142861</v>
      </c>
      <c r="BH73" s="698">
        <f t="shared" si="60"/>
        <v>77.998392857142861</v>
      </c>
      <c r="BI73" s="698">
        <f t="shared" si="63"/>
        <v>77.998392857142861</v>
      </c>
      <c r="BJ73" s="698">
        <f t="shared" si="66"/>
        <v>77.998392857142861</v>
      </c>
      <c r="BK73" s="698">
        <f t="shared" si="67"/>
        <v>77.998392857142861</v>
      </c>
      <c r="BL73" s="698">
        <f t="shared" si="69"/>
        <v>77.998392857142861</v>
      </c>
      <c r="BM73" s="698">
        <f t="shared" si="72"/>
        <v>77.998392857142861</v>
      </c>
      <c r="BN73" s="698">
        <f t="shared" si="79"/>
        <v>77.998392857142861</v>
      </c>
      <c r="BO73" s="698">
        <f t="shared" si="80"/>
        <v>77.998392857142861</v>
      </c>
      <c r="BP73" s="698">
        <f t="shared" si="85"/>
        <v>77.998392857142861</v>
      </c>
      <c r="BQ73" s="698">
        <f t="shared" si="93"/>
        <v>77.998392857142861</v>
      </c>
      <c r="BR73" s="698">
        <f t="shared" si="93"/>
        <v>77.998392857142861</v>
      </c>
      <c r="BS73" s="698">
        <f t="shared" si="93"/>
        <v>77.998392857142861</v>
      </c>
      <c r="BT73" s="698">
        <f t="shared" si="93"/>
        <v>77.998392857142861</v>
      </c>
      <c r="BU73" s="698">
        <f t="shared" si="116"/>
        <v>77.998392857142861</v>
      </c>
      <c r="BV73" s="698">
        <f t="shared" si="115"/>
        <v>77.998392857142861</v>
      </c>
      <c r="BW73" s="698">
        <f t="shared" si="112"/>
        <v>77.998392857142861</v>
      </c>
      <c r="BX73" s="698">
        <f t="shared" si="113"/>
        <v>77.998392857142861</v>
      </c>
      <c r="BY73" s="698">
        <f t="shared" si="114"/>
        <v>77.998392857142861</v>
      </c>
      <c r="BZ73" s="698"/>
      <c r="CA73" s="1083"/>
    </row>
    <row r="74" spans="1:79" outlineLevel="1">
      <c r="A74" s="694" t="s">
        <v>1071</v>
      </c>
      <c r="BH74" s="700">
        <f>BH$4/28+BH$5/40</f>
        <v>40.836999999999996</v>
      </c>
      <c r="BI74" s="698">
        <f t="shared" si="63"/>
        <v>40.836999999999996</v>
      </c>
      <c r="BJ74" s="698">
        <f t="shared" si="66"/>
        <v>40.836999999999996</v>
      </c>
      <c r="BK74" s="698">
        <f t="shared" si="67"/>
        <v>40.836999999999996</v>
      </c>
      <c r="BL74" s="698">
        <f t="shared" si="69"/>
        <v>40.836999999999996</v>
      </c>
      <c r="BM74" s="698">
        <f t="shared" si="72"/>
        <v>40.836999999999996</v>
      </c>
      <c r="BN74" s="698">
        <f t="shared" si="79"/>
        <v>40.836999999999996</v>
      </c>
      <c r="BO74" s="698">
        <f t="shared" si="80"/>
        <v>40.836999999999996</v>
      </c>
      <c r="BP74" s="698">
        <f t="shared" si="85"/>
        <v>40.836999999999996</v>
      </c>
      <c r="BQ74" s="698">
        <f t="shared" si="93"/>
        <v>40.836999999999996</v>
      </c>
      <c r="BR74" s="698">
        <f t="shared" si="93"/>
        <v>40.836999999999996</v>
      </c>
      <c r="BS74" s="698">
        <f t="shared" si="93"/>
        <v>40.836999999999996</v>
      </c>
      <c r="BT74" s="698">
        <f t="shared" si="93"/>
        <v>40.836999999999996</v>
      </c>
      <c r="BU74" s="698">
        <f t="shared" si="116"/>
        <v>40.836999999999996</v>
      </c>
      <c r="BV74" s="698">
        <f t="shared" si="115"/>
        <v>40.836999999999996</v>
      </c>
      <c r="BW74" s="698">
        <f t="shared" si="112"/>
        <v>40.836999999999996</v>
      </c>
      <c r="BX74" s="698">
        <f t="shared" si="113"/>
        <v>40.836999999999996</v>
      </c>
      <c r="BY74" s="698">
        <f t="shared" si="114"/>
        <v>40.836999999999996</v>
      </c>
      <c r="BZ74" s="698"/>
      <c r="CA74" s="1083"/>
    </row>
    <row r="75" spans="1:79" outlineLevel="1">
      <c r="A75" s="694" t="s">
        <v>1072</v>
      </c>
      <c r="BI75" s="700">
        <f>BI$4/28+BI$5/40</f>
        <v>57.51060714285714</v>
      </c>
      <c r="BJ75" s="698">
        <f t="shared" si="66"/>
        <v>57.51060714285714</v>
      </c>
      <c r="BK75" s="698">
        <f t="shared" si="67"/>
        <v>57.51060714285714</v>
      </c>
      <c r="BL75" s="698">
        <f t="shared" si="69"/>
        <v>57.51060714285714</v>
      </c>
      <c r="BM75" s="698">
        <f t="shared" si="72"/>
        <v>57.51060714285714</v>
      </c>
      <c r="BN75" s="698">
        <f t="shared" si="79"/>
        <v>57.51060714285714</v>
      </c>
      <c r="BO75" s="698">
        <f t="shared" si="80"/>
        <v>57.51060714285714</v>
      </c>
      <c r="BP75" s="698">
        <f t="shared" si="85"/>
        <v>57.51060714285714</v>
      </c>
      <c r="BQ75" s="698">
        <f t="shared" si="93"/>
        <v>57.51060714285714</v>
      </c>
      <c r="BR75" s="698">
        <f t="shared" si="93"/>
        <v>57.51060714285714</v>
      </c>
      <c r="BS75" s="698">
        <f t="shared" si="93"/>
        <v>57.51060714285714</v>
      </c>
      <c r="BT75" s="698">
        <f t="shared" si="93"/>
        <v>57.51060714285714</v>
      </c>
      <c r="BU75" s="698">
        <f t="shared" si="116"/>
        <v>57.51060714285714</v>
      </c>
      <c r="BV75" s="698">
        <f t="shared" si="115"/>
        <v>57.51060714285714</v>
      </c>
      <c r="BW75" s="698">
        <f t="shared" si="112"/>
        <v>57.51060714285714</v>
      </c>
      <c r="BX75" s="698">
        <f t="shared" si="113"/>
        <v>57.51060714285714</v>
      </c>
      <c r="BY75" s="698">
        <f t="shared" si="114"/>
        <v>57.51060714285714</v>
      </c>
      <c r="BZ75" s="698"/>
      <c r="CA75" s="1083"/>
    </row>
    <row r="76" spans="1:79" outlineLevel="1">
      <c r="A76" s="694" t="s">
        <v>1073</v>
      </c>
      <c r="BJ76" s="700">
        <f>BJ$4/28+BJ$5/40</f>
        <v>49.036964285714291</v>
      </c>
      <c r="BK76" s="698">
        <f t="shared" si="67"/>
        <v>49.036964285714291</v>
      </c>
      <c r="BL76" s="698">
        <f t="shared" si="69"/>
        <v>49.036964285714291</v>
      </c>
      <c r="BM76" s="698">
        <f t="shared" si="72"/>
        <v>49.036964285714291</v>
      </c>
      <c r="BN76" s="698">
        <f t="shared" si="79"/>
        <v>49.036964285714291</v>
      </c>
      <c r="BO76" s="698">
        <f t="shared" si="80"/>
        <v>49.036964285714291</v>
      </c>
      <c r="BP76" s="698">
        <f t="shared" si="85"/>
        <v>49.036964285714291</v>
      </c>
      <c r="BQ76" s="698">
        <f t="shared" si="93"/>
        <v>49.036964285714291</v>
      </c>
      <c r="BR76" s="698">
        <f t="shared" si="93"/>
        <v>49.036964285714291</v>
      </c>
      <c r="BS76" s="698">
        <f t="shared" si="93"/>
        <v>49.036964285714291</v>
      </c>
      <c r="BT76" s="698">
        <f t="shared" si="93"/>
        <v>49.036964285714291</v>
      </c>
      <c r="BU76" s="698">
        <f t="shared" si="116"/>
        <v>49.036964285714291</v>
      </c>
      <c r="BV76" s="698">
        <f t="shared" si="115"/>
        <v>49.036964285714291</v>
      </c>
      <c r="BW76" s="698">
        <f t="shared" si="112"/>
        <v>49.036964285714291</v>
      </c>
      <c r="BX76" s="698">
        <f t="shared" si="113"/>
        <v>49.036964285714291</v>
      </c>
      <c r="BY76" s="698">
        <f t="shared" si="114"/>
        <v>49.036964285714291</v>
      </c>
      <c r="BZ76" s="698"/>
      <c r="CA76" s="1083"/>
    </row>
    <row r="77" spans="1:79" outlineLevel="1">
      <c r="A77" s="694" t="s">
        <v>1074</v>
      </c>
      <c r="BK77" s="700">
        <f>BK$4/28+BK$5/40</f>
        <v>65.305250000000001</v>
      </c>
      <c r="BL77" s="698">
        <f t="shared" si="69"/>
        <v>65.305250000000001</v>
      </c>
      <c r="BM77" s="698">
        <f t="shared" si="72"/>
        <v>65.305250000000001</v>
      </c>
      <c r="BN77" s="698">
        <f t="shared" si="79"/>
        <v>65.305250000000001</v>
      </c>
      <c r="BO77" s="698">
        <f t="shared" si="80"/>
        <v>65.305250000000001</v>
      </c>
      <c r="BP77" s="698">
        <f t="shared" si="85"/>
        <v>65.305250000000001</v>
      </c>
      <c r="BQ77" s="698">
        <f t="shared" si="93"/>
        <v>65.305250000000001</v>
      </c>
      <c r="BR77" s="698">
        <f t="shared" si="93"/>
        <v>65.305250000000001</v>
      </c>
      <c r="BS77" s="698">
        <f t="shared" si="93"/>
        <v>65.305250000000001</v>
      </c>
      <c r="BT77" s="698">
        <f t="shared" si="93"/>
        <v>65.305250000000001</v>
      </c>
      <c r="BU77" s="698">
        <f t="shared" si="116"/>
        <v>65.305250000000001</v>
      </c>
      <c r="BV77" s="698">
        <f t="shared" si="115"/>
        <v>65.305250000000001</v>
      </c>
      <c r="BW77" s="698">
        <f t="shared" si="112"/>
        <v>65.305250000000001</v>
      </c>
      <c r="BX77" s="698">
        <f t="shared" si="113"/>
        <v>65.305250000000001</v>
      </c>
      <c r="BY77" s="698">
        <f t="shared" si="114"/>
        <v>65.305250000000001</v>
      </c>
      <c r="BZ77" s="698"/>
      <c r="CA77" s="1083"/>
    </row>
    <row r="78" spans="1:79" outlineLevel="1">
      <c r="A78" s="694" t="s">
        <v>1075</v>
      </c>
      <c r="BL78" s="700">
        <f>BL$4/28+BL$5/40</f>
        <v>82.941928571428562</v>
      </c>
      <c r="BM78" s="698">
        <f t="shared" si="72"/>
        <v>82.941928571428562</v>
      </c>
      <c r="BN78" s="698">
        <f t="shared" si="79"/>
        <v>82.941928571428562</v>
      </c>
      <c r="BO78" s="698">
        <f t="shared" si="80"/>
        <v>82.941928571428562</v>
      </c>
      <c r="BP78" s="698">
        <f t="shared" si="85"/>
        <v>82.941928571428562</v>
      </c>
      <c r="BQ78" s="698">
        <f t="shared" si="93"/>
        <v>82.941928571428562</v>
      </c>
      <c r="BR78" s="698">
        <f t="shared" si="93"/>
        <v>82.941928571428562</v>
      </c>
      <c r="BS78" s="698">
        <f t="shared" si="93"/>
        <v>82.941928571428562</v>
      </c>
      <c r="BT78" s="698">
        <f t="shared" si="93"/>
        <v>82.941928571428562</v>
      </c>
      <c r="BU78" s="698">
        <f t="shared" si="116"/>
        <v>82.941928571428562</v>
      </c>
      <c r="BV78" s="698">
        <f t="shared" si="115"/>
        <v>82.941928571428562</v>
      </c>
      <c r="BW78" s="698">
        <f t="shared" si="112"/>
        <v>82.941928571428562</v>
      </c>
      <c r="BX78" s="698">
        <f t="shared" si="113"/>
        <v>82.941928571428562</v>
      </c>
      <c r="BY78" s="698">
        <f t="shared" si="114"/>
        <v>82.941928571428562</v>
      </c>
      <c r="BZ78" s="698"/>
      <c r="CA78" s="1083"/>
    </row>
    <row r="79" spans="1:79" outlineLevel="1">
      <c r="A79" s="694" t="s">
        <v>1076</v>
      </c>
      <c r="BM79" s="700">
        <f>BM$4/28+BM$5/40</f>
        <v>83.402678571428567</v>
      </c>
      <c r="BN79" s="698">
        <f t="shared" ref="BN79:BT79" si="117">BM79</f>
        <v>83.402678571428567</v>
      </c>
      <c r="BO79" s="698">
        <f t="shared" si="117"/>
        <v>83.402678571428567</v>
      </c>
      <c r="BP79" s="698">
        <f t="shared" si="117"/>
        <v>83.402678571428567</v>
      </c>
      <c r="BQ79" s="698">
        <f t="shared" si="117"/>
        <v>83.402678571428567</v>
      </c>
      <c r="BR79" s="698">
        <f t="shared" si="117"/>
        <v>83.402678571428567</v>
      </c>
      <c r="BS79" s="698">
        <f t="shared" si="117"/>
        <v>83.402678571428567</v>
      </c>
      <c r="BT79" s="698">
        <f t="shared" si="117"/>
        <v>83.402678571428567</v>
      </c>
      <c r="BU79" s="698">
        <f t="shared" si="116"/>
        <v>83.402678571428567</v>
      </c>
      <c r="BV79" s="698">
        <f t="shared" si="115"/>
        <v>83.402678571428567</v>
      </c>
      <c r="BW79" s="698">
        <f t="shared" si="112"/>
        <v>83.402678571428567</v>
      </c>
      <c r="BX79" s="698">
        <f t="shared" si="113"/>
        <v>83.402678571428567</v>
      </c>
      <c r="BY79" s="698">
        <f t="shared" si="114"/>
        <v>83.402678571428567</v>
      </c>
      <c r="BZ79" s="698"/>
      <c r="CA79" s="1083"/>
    </row>
    <row r="80" spans="1:79" outlineLevel="1">
      <c r="A80" s="694" t="s">
        <v>1077</v>
      </c>
      <c r="BN80" s="700">
        <f>BN$4/28+BN$5/40</f>
        <v>54.139857142857139</v>
      </c>
      <c r="BO80" s="698">
        <f t="shared" ref="BO80:BT80" si="118">BN80</f>
        <v>54.139857142857139</v>
      </c>
      <c r="BP80" s="698">
        <f t="shared" si="118"/>
        <v>54.139857142857139</v>
      </c>
      <c r="BQ80" s="698">
        <f t="shared" si="118"/>
        <v>54.139857142857139</v>
      </c>
      <c r="BR80" s="698">
        <f t="shared" si="118"/>
        <v>54.139857142857139</v>
      </c>
      <c r="BS80" s="698">
        <f t="shared" si="118"/>
        <v>54.139857142857139</v>
      </c>
      <c r="BT80" s="698">
        <f t="shared" si="118"/>
        <v>54.139857142857139</v>
      </c>
      <c r="BU80" s="698">
        <f t="shared" si="116"/>
        <v>54.139857142857139</v>
      </c>
      <c r="BV80" s="698">
        <f t="shared" si="115"/>
        <v>54.139857142857139</v>
      </c>
      <c r="BW80" s="698">
        <f t="shared" si="112"/>
        <v>54.139857142857139</v>
      </c>
      <c r="BX80" s="698">
        <f t="shared" si="113"/>
        <v>54.139857142857139</v>
      </c>
      <c r="BY80" s="698">
        <f t="shared" si="114"/>
        <v>54.139857142857139</v>
      </c>
      <c r="BZ80" s="698"/>
      <c r="CA80" s="1083"/>
    </row>
    <row r="81" spans="1:100" outlineLevel="1">
      <c r="A81" s="694" t="s">
        <v>1078</v>
      </c>
      <c r="BN81" s="698"/>
      <c r="BO81" s="700">
        <f>BO$4/28+BO$5/40</f>
        <v>72.717395874999994</v>
      </c>
      <c r="BP81" s="698">
        <f>BO81</f>
        <v>72.717395874999994</v>
      </c>
      <c r="BQ81" s="698">
        <f>BP81</f>
        <v>72.717395874999994</v>
      </c>
      <c r="BR81" s="698">
        <f>BQ81</f>
        <v>72.717395874999994</v>
      </c>
      <c r="BS81" s="698">
        <f>BR81</f>
        <v>72.717395874999994</v>
      </c>
      <c r="BT81" s="698">
        <f>BS81</f>
        <v>72.717395874999994</v>
      </c>
      <c r="BU81" s="698">
        <f t="shared" si="116"/>
        <v>72.717395874999994</v>
      </c>
      <c r="BV81" s="698">
        <f t="shared" si="115"/>
        <v>72.717395874999994</v>
      </c>
      <c r="BW81" s="698">
        <f t="shared" si="112"/>
        <v>72.717395874999994</v>
      </c>
      <c r="BX81" s="698">
        <f t="shared" si="113"/>
        <v>72.717395874999994</v>
      </c>
      <c r="BY81" s="698">
        <f t="shared" si="114"/>
        <v>72.717395874999994</v>
      </c>
      <c r="BZ81" s="698"/>
      <c r="CA81" s="1083"/>
      <c r="CB81" s="698"/>
    </row>
    <row r="82" spans="1:100" outlineLevel="1">
      <c r="A82" s="694" t="s">
        <v>1079</v>
      </c>
      <c r="BN82" s="698"/>
      <c r="BO82" s="698"/>
      <c r="BP82" s="700">
        <f>BP$4/28+BP$5/40</f>
        <v>92.065540714285703</v>
      </c>
      <c r="BQ82" s="698">
        <f>BP82</f>
        <v>92.065540714285703</v>
      </c>
      <c r="BR82" s="698">
        <f>BQ82</f>
        <v>92.065540714285703</v>
      </c>
      <c r="BS82" s="698">
        <f>BR82</f>
        <v>92.065540714285703</v>
      </c>
      <c r="BT82" s="698">
        <f>BS82</f>
        <v>92.065540714285703</v>
      </c>
      <c r="BU82" s="698">
        <f t="shared" si="116"/>
        <v>92.065540714285703</v>
      </c>
      <c r="BV82" s="698">
        <f t="shared" si="115"/>
        <v>92.065540714285703</v>
      </c>
      <c r="BW82" s="698">
        <f t="shared" si="112"/>
        <v>92.065540714285703</v>
      </c>
      <c r="BX82" s="698">
        <f t="shared" si="113"/>
        <v>92.065540714285703</v>
      </c>
      <c r="BY82" s="698">
        <f t="shared" si="114"/>
        <v>92.065540714285703</v>
      </c>
      <c r="BZ82" s="698"/>
      <c r="CA82" s="1083"/>
      <c r="CB82" s="698"/>
    </row>
    <row r="83" spans="1:100" outlineLevel="1">
      <c r="A83" s="694" t="s">
        <v>1080</v>
      </c>
      <c r="BN83" s="698"/>
      <c r="BO83" s="698"/>
      <c r="BP83" s="698"/>
      <c r="BQ83" s="700">
        <f>BQ$4/28+BQ$5/40</f>
        <v>92.576973214285729</v>
      </c>
      <c r="BR83" s="698">
        <f>BQ83</f>
        <v>92.576973214285729</v>
      </c>
      <c r="BS83" s="698">
        <f>BR83</f>
        <v>92.576973214285729</v>
      </c>
      <c r="BT83" s="698">
        <f>BS83</f>
        <v>92.576973214285729</v>
      </c>
      <c r="BU83" s="698">
        <f t="shared" ref="BU83" si="119">BT83</f>
        <v>92.576973214285729</v>
      </c>
      <c r="BV83" s="698">
        <f t="shared" si="115"/>
        <v>92.576973214285729</v>
      </c>
      <c r="BW83" s="698">
        <f t="shared" si="112"/>
        <v>92.576973214285729</v>
      </c>
      <c r="BX83" s="698">
        <f t="shared" si="113"/>
        <v>92.576973214285729</v>
      </c>
      <c r="BY83" s="698">
        <f t="shared" si="114"/>
        <v>92.576973214285729</v>
      </c>
      <c r="BZ83" s="698"/>
      <c r="CA83" s="1083"/>
      <c r="CB83" s="698"/>
    </row>
    <row r="84" spans="1:100" outlineLevel="1">
      <c r="A84" s="694" t="s">
        <v>1081</v>
      </c>
      <c r="BN84" s="698"/>
      <c r="BO84" s="698"/>
      <c r="BP84" s="698"/>
      <c r="BQ84" s="698"/>
      <c r="BR84" s="700">
        <f>BR$4/28+BR$5/40</f>
        <v>57.713087714285713</v>
      </c>
      <c r="BS84" s="698">
        <f>BR84</f>
        <v>57.713087714285713</v>
      </c>
      <c r="BT84" s="698">
        <f>BS84</f>
        <v>57.713087714285713</v>
      </c>
      <c r="BU84" s="698">
        <f t="shared" ref="BU84" si="120">BT84</f>
        <v>57.713087714285713</v>
      </c>
      <c r="BV84" s="698">
        <f t="shared" si="115"/>
        <v>57.713087714285713</v>
      </c>
      <c r="BW84" s="698">
        <f t="shared" si="112"/>
        <v>57.713087714285713</v>
      </c>
      <c r="BX84" s="698">
        <f t="shared" si="113"/>
        <v>57.713087714285713</v>
      </c>
      <c r="BY84" s="698">
        <f t="shared" si="114"/>
        <v>57.713087714285713</v>
      </c>
      <c r="BZ84" s="698"/>
      <c r="CA84" s="1083"/>
      <c r="CB84" s="698"/>
    </row>
    <row r="85" spans="1:100" outlineLevel="1">
      <c r="A85" s="694" t="s">
        <v>1082</v>
      </c>
      <c r="BN85" s="698"/>
      <c r="BO85" s="698"/>
      <c r="BP85" s="698"/>
      <c r="BQ85" s="698"/>
      <c r="BR85" s="698"/>
      <c r="BS85" s="700">
        <f>BS$4/28+BS$5/40</f>
        <v>77.589461398625005</v>
      </c>
      <c r="BT85" s="698">
        <f>BS85</f>
        <v>77.589461398625005</v>
      </c>
      <c r="BU85" s="698">
        <f t="shared" ref="BU85" si="121">BT85</f>
        <v>77.589461398625005</v>
      </c>
      <c r="BV85" s="698">
        <f t="shared" si="115"/>
        <v>77.589461398625005</v>
      </c>
      <c r="BW85" s="698">
        <f t="shared" si="112"/>
        <v>77.589461398625005</v>
      </c>
      <c r="BX85" s="698">
        <f t="shared" si="113"/>
        <v>77.589461398625005</v>
      </c>
      <c r="BY85" s="698">
        <f t="shared" si="114"/>
        <v>77.589461398625005</v>
      </c>
      <c r="BZ85" s="698"/>
      <c r="CA85" s="1083"/>
      <c r="CB85" s="698"/>
    </row>
    <row r="86" spans="1:100" outlineLevel="1">
      <c r="A86" s="694" t="s">
        <v>1083</v>
      </c>
      <c r="BN86" s="698"/>
      <c r="BO86" s="698"/>
      <c r="BP86" s="698"/>
      <c r="BQ86" s="698"/>
      <c r="BR86" s="698"/>
      <c r="BS86" s="698"/>
      <c r="BT86" s="700">
        <f>BT$4/28+BT$5/40</f>
        <v>98.325997482857147</v>
      </c>
      <c r="BU86" s="698">
        <f t="shared" ref="BU86" si="122">BT86</f>
        <v>98.325997482857147</v>
      </c>
      <c r="BV86" s="698">
        <f t="shared" si="115"/>
        <v>98.325997482857147</v>
      </c>
      <c r="BW86" s="698">
        <f t="shared" si="112"/>
        <v>98.325997482857147</v>
      </c>
      <c r="BX86" s="698">
        <f t="shared" si="113"/>
        <v>98.325997482857147</v>
      </c>
      <c r="BY86" s="698">
        <f t="shared" si="114"/>
        <v>98.325997482857147</v>
      </c>
      <c r="BZ86" s="698"/>
      <c r="CA86" s="1083"/>
      <c r="CB86" s="698"/>
    </row>
    <row r="87" spans="1:100" outlineLevel="1">
      <c r="A87" s="694" t="s">
        <v>1084</v>
      </c>
      <c r="BN87" s="698"/>
      <c r="BO87" s="698"/>
      <c r="BP87" s="698"/>
      <c r="BQ87" s="698"/>
      <c r="BR87" s="698"/>
      <c r="BS87" s="698"/>
      <c r="BT87" s="698"/>
      <c r="BU87" s="700">
        <f>BU$4/28+BU$5/40</f>
        <v>98.872207392857163</v>
      </c>
      <c r="BV87" s="698">
        <f t="shared" ref="BV87" si="123">BU87</f>
        <v>98.872207392857163</v>
      </c>
      <c r="BW87" s="698">
        <f t="shared" ref="BW87" si="124">BV87</f>
        <v>98.872207392857163</v>
      </c>
      <c r="BX87" s="698">
        <f t="shared" ref="BX87" si="125">BW87</f>
        <v>98.872207392857163</v>
      </c>
      <c r="BY87" s="698">
        <f t="shared" ref="BY87" si="126">BX87</f>
        <v>98.872207392857163</v>
      </c>
      <c r="BZ87" s="698"/>
      <c r="CA87" s="1083"/>
      <c r="CB87" s="698"/>
    </row>
    <row r="88" spans="1:100" outlineLevel="1">
      <c r="A88" s="694" t="s">
        <v>1085</v>
      </c>
      <c r="BN88" s="698"/>
      <c r="BO88" s="698"/>
      <c r="BP88" s="698"/>
      <c r="BQ88" s="698"/>
      <c r="BR88" s="698"/>
      <c r="BS88" s="698"/>
      <c r="BT88" s="698"/>
      <c r="BU88" s="698"/>
      <c r="BV88" s="700">
        <f>BV$4/28+BV$5/40</f>
        <v>57.713087714285713</v>
      </c>
      <c r="BW88" s="698">
        <f t="shared" ref="BW88" si="127">BV88</f>
        <v>57.713087714285713</v>
      </c>
      <c r="BX88" s="698">
        <f t="shared" ref="BX88" si="128">BW88</f>
        <v>57.713087714285713</v>
      </c>
      <c r="BY88" s="698">
        <f t="shared" ref="BY88" si="129">BX88</f>
        <v>57.713087714285713</v>
      </c>
      <c r="BZ88" s="698"/>
      <c r="CA88" s="1083"/>
      <c r="CB88" s="698"/>
    </row>
    <row r="89" spans="1:100" outlineLevel="1">
      <c r="A89" s="694" t="s">
        <v>1086</v>
      </c>
      <c r="BN89" s="698"/>
      <c r="BO89" s="698"/>
      <c r="BP89" s="698"/>
      <c r="BQ89" s="698"/>
      <c r="BR89" s="698"/>
      <c r="BS89" s="698"/>
      <c r="BT89" s="698"/>
      <c r="BU89" s="698"/>
      <c r="BV89" s="698"/>
      <c r="BW89" s="700">
        <f>BW$4/28+BW$5/40</f>
        <v>77.589461398625005</v>
      </c>
      <c r="BX89" s="698">
        <f t="shared" ref="BX89" si="130">BW89</f>
        <v>77.589461398625005</v>
      </c>
      <c r="BY89" s="698">
        <f t="shared" ref="BY89:BY90" si="131">BX89</f>
        <v>77.589461398625005</v>
      </c>
      <c r="BZ89" s="698"/>
      <c r="CA89" s="1083"/>
      <c r="CB89" s="698"/>
    </row>
    <row r="90" spans="1:100" outlineLevel="1">
      <c r="A90" s="694" t="s">
        <v>1087</v>
      </c>
      <c r="BN90" s="698"/>
      <c r="BO90" s="698"/>
      <c r="BP90" s="698"/>
      <c r="BQ90" s="698"/>
      <c r="BR90" s="698"/>
      <c r="BS90" s="698"/>
      <c r="BT90" s="698"/>
      <c r="BU90" s="698"/>
      <c r="BV90" s="698"/>
      <c r="BW90" s="698"/>
      <c r="BX90" s="700">
        <f>BX$4/28+BX$5/40</f>
        <v>98.325997482857147</v>
      </c>
      <c r="BY90" s="698">
        <f t="shared" si="131"/>
        <v>98.325997482857147</v>
      </c>
      <c r="BZ90" s="1083"/>
      <c r="CA90" s="1083"/>
      <c r="CB90" s="698"/>
    </row>
    <row r="91" spans="1:100" outlineLevel="1">
      <c r="A91" s="694" t="s">
        <v>1088</v>
      </c>
      <c r="BN91" s="698"/>
      <c r="BO91" s="698"/>
      <c r="BP91" s="698"/>
      <c r="BQ91" s="698"/>
      <c r="BR91" s="698"/>
      <c r="BS91" s="698"/>
      <c r="BT91" s="698"/>
      <c r="BU91" s="698"/>
      <c r="BV91" s="698"/>
      <c r="BW91" s="698"/>
      <c r="BX91" s="698"/>
      <c r="BY91" s="700">
        <f>BY$4/28+BY$5/40</f>
        <v>98.872207392857163</v>
      </c>
      <c r="BZ91" s="1083"/>
      <c r="CA91" s="1083"/>
      <c r="CB91" s="698"/>
      <c r="CJ91" s="694" t="s">
        <v>858</v>
      </c>
      <c r="CK91" s="696">
        <f t="shared" ref="CK91:CS91" si="132">CK93/CJ93-1</f>
        <v>0.12389408553424408</v>
      </c>
      <c r="CL91" s="696">
        <f t="shared" si="132"/>
        <v>0.16608766306373002</v>
      </c>
      <c r="CM91" s="696">
        <f t="shared" si="132"/>
        <v>0.30800371168086382</v>
      </c>
      <c r="CN91" s="696">
        <f t="shared" si="132"/>
        <v>0.27926168481234037</v>
      </c>
      <c r="CO91" s="696">
        <f t="shared" si="132"/>
        <v>0.26684136731573838</v>
      </c>
      <c r="CP91" s="696">
        <f t="shared" si="132"/>
        <v>0.20543984807598492</v>
      </c>
      <c r="CQ91" s="696">
        <f t="shared" si="132"/>
        <v>0.20575434262764047</v>
      </c>
      <c r="CR91" s="696">
        <f t="shared" si="132"/>
        <v>0.15173372542548069</v>
      </c>
      <c r="CS91" s="696">
        <f t="shared" si="132"/>
        <v>0.16710842999728603</v>
      </c>
    </row>
    <row r="92" spans="1:100" outlineLevel="1">
      <c r="BN92" s="698"/>
      <c r="BO92" s="698"/>
      <c r="BP92" s="698"/>
      <c r="BQ92" s="698"/>
      <c r="BR92" s="698"/>
      <c r="BS92" s="698"/>
      <c r="BT92" s="698"/>
      <c r="BU92" s="698"/>
      <c r="BV92" s="698"/>
      <c r="BW92" s="698"/>
      <c r="BX92" s="698"/>
      <c r="BY92" s="698"/>
      <c r="BZ92" s="1083"/>
      <c r="CA92" s="1083"/>
      <c r="CB92" s="698"/>
      <c r="CJ92" s="689">
        <v>2017</v>
      </c>
      <c r="CK92" s="689">
        <v>2018</v>
      </c>
      <c r="CL92" s="689">
        <v>2019</v>
      </c>
      <c r="CM92" s="689">
        <v>2020</v>
      </c>
      <c r="CN92" s="689">
        <v>2021</v>
      </c>
      <c r="CO92" s="689">
        <v>2022</v>
      </c>
      <c r="CP92" s="689" t="s">
        <v>1033</v>
      </c>
      <c r="CQ92" s="689">
        <v>2024</v>
      </c>
      <c r="CR92" s="690" t="s">
        <v>1035</v>
      </c>
      <c r="CS92" s="690" t="s">
        <v>1056</v>
      </c>
      <c r="CT92" s="690" t="s">
        <v>1057</v>
      </c>
      <c r="CU92" s="690" t="s">
        <v>1058</v>
      </c>
    </row>
    <row r="93" spans="1:100">
      <c r="A93" s="701" t="s">
        <v>837</v>
      </c>
      <c r="B93" s="702">
        <f>SUM(B16:B67)</f>
        <v>2.5349022817857141</v>
      </c>
      <c r="C93" s="702">
        <f t="shared" ref="C93:AS93" si="133">SUM(C16:C71)</f>
        <v>5.5659605335714284</v>
      </c>
      <c r="D93" s="702">
        <f t="shared" si="133"/>
        <v>11.023275836071427</v>
      </c>
      <c r="E93" s="702">
        <f t="shared" si="133"/>
        <v>17.028301499999998</v>
      </c>
      <c r="F93" s="702">
        <f t="shared" si="133"/>
        <v>30.628255785714284</v>
      </c>
      <c r="G93" s="702">
        <f t="shared" si="133"/>
        <v>40.498871857142859</v>
      </c>
      <c r="H93" s="702">
        <f t="shared" si="133"/>
        <v>46.84772971428572</v>
      </c>
      <c r="I93" s="702">
        <f t="shared" si="133"/>
        <v>49.93510114285715</v>
      </c>
      <c r="J93" s="702">
        <f t="shared" si="133"/>
        <v>53.966351857142861</v>
      </c>
      <c r="K93" s="702">
        <f t="shared" si="133"/>
        <v>56.808936857142861</v>
      </c>
      <c r="L93" s="702">
        <f t="shared" si="133"/>
        <v>60.874934357142862</v>
      </c>
      <c r="M93" s="702">
        <f t="shared" si="133"/>
        <v>64.248871500000007</v>
      </c>
      <c r="N93" s="702">
        <f t="shared" si="133"/>
        <v>68.514515785714295</v>
      </c>
      <c r="O93" s="702">
        <f t="shared" si="133"/>
        <v>75.027650071428582</v>
      </c>
      <c r="P93" s="702">
        <f t="shared" si="133"/>
        <v>83.881013285714303</v>
      </c>
      <c r="Q93" s="702">
        <f t="shared" si="133"/>
        <v>86.772271500000016</v>
      </c>
      <c r="R93" s="702">
        <f t="shared" si="133"/>
        <v>90.879632571428587</v>
      </c>
      <c r="S93" s="702">
        <f t="shared" si="133"/>
        <v>94.644722214285736</v>
      </c>
      <c r="T93" s="702">
        <f t="shared" si="133"/>
        <v>101.99998971428573</v>
      </c>
      <c r="U93" s="702">
        <f t="shared" si="133"/>
        <v>109.39869935714287</v>
      </c>
      <c r="V93" s="702">
        <f t="shared" si="133"/>
        <v>117.17380364285717</v>
      </c>
      <c r="W93" s="702">
        <f t="shared" si="133"/>
        <v>125.33271614285717</v>
      </c>
      <c r="X93" s="702">
        <f t="shared" si="133"/>
        <v>135.34619935714289</v>
      </c>
      <c r="Y93" s="702">
        <f t="shared" si="133"/>
        <v>152.03754364285717</v>
      </c>
      <c r="Z93" s="702">
        <f t="shared" si="133"/>
        <v>172.06752400000002</v>
      </c>
      <c r="AA93" s="702">
        <f t="shared" si="133"/>
        <v>204.39409042857145</v>
      </c>
      <c r="AB93" s="702">
        <f t="shared" si="133"/>
        <v>230.59507221428572</v>
      </c>
      <c r="AC93" s="702">
        <f t="shared" si="133"/>
        <v>247.55489864285715</v>
      </c>
      <c r="AD93" s="702">
        <f t="shared" si="133"/>
        <v>266.45489995357144</v>
      </c>
      <c r="AE93" s="702">
        <f t="shared" si="133"/>
        <v>285.34026536428576</v>
      </c>
      <c r="AF93" s="702">
        <f t="shared" si="133"/>
        <v>304.22088051071432</v>
      </c>
      <c r="AG93" s="702">
        <f t="shared" si="133"/>
        <v>312.88551614285711</v>
      </c>
      <c r="AH93" s="702">
        <f t="shared" si="133"/>
        <v>313.11686899999995</v>
      </c>
      <c r="AI93" s="702">
        <f t="shared" si="133"/>
        <v>322.47357899999997</v>
      </c>
      <c r="AJ93" s="702">
        <f t="shared" si="133"/>
        <v>333.13461971428569</v>
      </c>
      <c r="AK93" s="702">
        <f t="shared" si="133"/>
        <v>344.99648435714278</v>
      </c>
      <c r="AL93" s="702">
        <f t="shared" si="133"/>
        <v>356.48514864285704</v>
      </c>
      <c r="AM93" s="702">
        <f t="shared" si="133"/>
        <v>385.30687721428569</v>
      </c>
      <c r="AN93" s="702">
        <f t="shared" si="133"/>
        <v>388.10605221428563</v>
      </c>
      <c r="AO93" s="702">
        <f t="shared" si="133"/>
        <v>402.01641649999999</v>
      </c>
      <c r="AP93" s="702">
        <f t="shared" si="133"/>
        <v>424.80009969321424</v>
      </c>
      <c r="AQ93" s="702">
        <f t="shared" si="133"/>
        <v>465.04628495928563</v>
      </c>
      <c r="AR93" s="702">
        <f t="shared" si="133"/>
        <v>535.41331879607151</v>
      </c>
      <c r="AS93" s="702">
        <f t="shared" si="133"/>
        <v>578.49014142857141</v>
      </c>
      <c r="AT93" s="702">
        <f t="shared" ref="AT93:BH93" si="134">SUM(AT16:AT75)</f>
        <v>592.20049785714275</v>
      </c>
      <c r="AU93" s="702">
        <f t="shared" si="134"/>
        <v>614.6975175</v>
      </c>
      <c r="AV93" s="702">
        <f t="shared" si="134"/>
        <v>644.86034178571413</v>
      </c>
      <c r="AW93" s="702">
        <f t="shared" si="134"/>
        <v>711.56204535714267</v>
      </c>
      <c r="AX93" s="702">
        <f t="shared" si="134"/>
        <v>734.1617589285712</v>
      </c>
      <c r="AY93" s="702">
        <f t="shared" si="134"/>
        <v>784.31974892857136</v>
      </c>
      <c r="AZ93" s="702">
        <f t="shared" si="134"/>
        <v>837.86514428571422</v>
      </c>
      <c r="BA93" s="702">
        <f t="shared" si="134"/>
        <v>890.97367142857138</v>
      </c>
      <c r="BB93" s="702">
        <f t="shared" si="134"/>
        <v>915.68282357142857</v>
      </c>
      <c r="BC93" s="702">
        <f t="shared" si="134"/>
        <v>945.2031892857143</v>
      </c>
      <c r="BD93" s="702">
        <f t="shared" si="134"/>
        <v>994.2062046428573</v>
      </c>
      <c r="BE93" s="702">
        <f t="shared" si="134"/>
        <v>1059.3571000000002</v>
      </c>
      <c r="BF93" s="702">
        <f t="shared" si="134"/>
        <v>1116.783010357143</v>
      </c>
      <c r="BG93" s="702">
        <f t="shared" si="134"/>
        <v>1174.3778207142857</v>
      </c>
      <c r="BH93" s="702">
        <f t="shared" si="134"/>
        <v>1192.4678496428571</v>
      </c>
      <c r="BI93" s="702">
        <f t="shared" ref="BI93:BQ93" si="135">SUM(BI16:BI83)</f>
        <v>1236.2355828571428</v>
      </c>
      <c r="BJ93" s="702">
        <f t="shared" si="135"/>
        <v>1272.7889</v>
      </c>
      <c r="BK93" s="702">
        <f t="shared" si="135"/>
        <v>1320.3264839285716</v>
      </c>
      <c r="BL93" s="702">
        <f t="shared" si="135"/>
        <v>1387.1885114285717</v>
      </c>
      <c r="BM93" s="702">
        <f t="shared" si="135"/>
        <v>1455.7229564285715</v>
      </c>
      <c r="BN93" s="702">
        <f t="shared" si="135"/>
        <v>1494.2873510714287</v>
      </c>
      <c r="BO93" s="702">
        <f t="shared" si="135"/>
        <v>1535.482973375</v>
      </c>
      <c r="BP93" s="702">
        <f t="shared" si="135"/>
        <v>1619.5602215892859</v>
      </c>
      <c r="BQ93" s="702">
        <f t="shared" si="135"/>
        <v>1695.1022183750001</v>
      </c>
      <c r="BR93" s="702">
        <f>SUM(BR16:BR92)</f>
        <v>1726.3002300178571</v>
      </c>
      <c r="BS93" s="702">
        <f t="shared" ref="BS93:BU93" si="136">SUM(BS16:BS92)</f>
        <v>1759.1720932021963</v>
      </c>
      <c r="BT93" s="702">
        <f t="shared" si="136"/>
        <v>1782.494094256482</v>
      </c>
      <c r="BU93" s="702">
        <f t="shared" si="136"/>
        <v>1837.4796534350539</v>
      </c>
      <c r="BV93" s="702">
        <f>SUM(BV16:BV92)</f>
        <v>1877.0979311493395</v>
      </c>
      <c r="BW93" s="702">
        <f t="shared" ref="BW93:BY93" si="137">SUM(BW16:BW92)</f>
        <v>1928.57554326225</v>
      </c>
      <c r="BX93" s="702">
        <f t="shared" si="137"/>
        <v>1990.9638714593932</v>
      </c>
      <c r="BY93" s="702">
        <f t="shared" si="137"/>
        <v>2020.3090606379646</v>
      </c>
      <c r="BZ93" s="1083"/>
      <c r="CA93" s="1083"/>
      <c r="CB93" s="698"/>
      <c r="CJ93" s="693">
        <f>SUM(AD93:AG93)</f>
        <v>1168.9015619714287</v>
      </c>
      <c r="CK93" s="693">
        <f>SUM(AH93:AK93)</f>
        <v>1313.7215520714285</v>
      </c>
      <c r="CL93" s="693">
        <f>SUM(AL93:AO93)</f>
        <v>1531.9144945714283</v>
      </c>
      <c r="CM93" s="693">
        <f>SUM(AP93:AS93)</f>
        <v>2003.7498448771428</v>
      </c>
      <c r="CN93" s="693">
        <f>SUM(AT93:AW93)</f>
        <v>2563.3204024999995</v>
      </c>
      <c r="CO93" s="693">
        <f>SUM(AX93:BA93)</f>
        <v>3247.3203235714282</v>
      </c>
      <c r="CP93" s="693">
        <f>SUM(BB93:BE93)</f>
        <v>3914.4493175000002</v>
      </c>
      <c r="CQ93" s="693">
        <f>SUM(BF93:BI93)</f>
        <v>4719.8642635714286</v>
      </c>
      <c r="CR93" s="693">
        <f>SUM(BJ93:BM93)</f>
        <v>5436.0268517857148</v>
      </c>
      <c r="CS93" s="693">
        <f>SUM(BN93:BQ93)</f>
        <v>6344.4327644107152</v>
      </c>
      <c r="CT93" s="693">
        <f>SUM(BR93:BU93)</f>
        <v>7105.4460709115883</v>
      </c>
      <c r="CU93" s="693">
        <f>SUM(BV93:BY93)</f>
        <v>7816.9464065089469</v>
      </c>
    </row>
    <row r="94" spans="1:100">
      <c r="AA94" s="699"/>
      <c r="AB94" s="699"/>
      <c r="AC94" s="699"/>
      <c r="AD94" s="699"/>
      <c r="AE94" s="699"/>
      <c r="AF94" s="699"/>
      <c r="AG94" s="699"/>
      <c r="BZ94" s="1083"/>
      <c r="CA94" s="1083"/>
      <c r="CJ94" s="696"/>
      <c r="CK94" s="696"/>
      <c r="CL94" s="696"/>
      <c r="CM94" s="696"/>
      <c r="CN94" s="696"/>
      <c r="CO94" s="696"/>
      <c r="CP94" s="696"/>
      <c r="CQ94" s="696"/>
      <c r="CR94" s="696"/>
      <c r="CS94" s="696"/>
    </row>
    <row r="95" spans="1:100">
      <c r="A95" s="694" t="s">
        <v>822</v>
      </c>
      <c r="B95" s="703">
        <v>164.24661399999999</v>
      </c>
      <c r="C95" s="703">
        <v>155.37140100000002</v>
      </c>
      <c r="D95" s="703">
        <v>141.50132600000001</v>
      </c>
      <c r="E95" s="703">
        <v>123.12246300000001</v>
      </c>
      <c r="F95" s="703">
        <v>130.929</v>
      </c>
      <c r="G95" s="703">
        <v>133.499</v>
      </c>
      <c r="H95" s="703">
        <v>140.64599999999999</v>
      </c>
      <c r="I95" s="703">
        <v>145.21600000000001</v>
      </c>
      <c r="J95" s="703">
        <v>142.50299999999999</v>
      </c>
      <c r="K95" s="703">
        <v>140.386</v>
      </c>
      <c r="L95" s="703">
        <v>142.833</v>
      </c>
      <c r="M95" s="703">
        <v>140.02099999999999</v>
      </c>
      <c r="N95" s="703">
        <v>135.75200000000001</v>
      </c>
      <c r="O95" s="703">
        <v>135.71199999999999</v>
      </c>
      <c r="P95" s="703">
        <v>136.72499999999999</v>
      </c>
      <c r="Q95" s="703">
        <v>138.721</v>
      </c>
      <c r="R95" s="703">
        <v>136.87100000000001</v>
      </c>
      <c r="S95" s="703">
        <v>138.46299999999999</v>
      </c>
      <c r="T95" s="703">
        <v>138.88900000000001</v>
      </c>
      <c r="U95" s="703">
        <v>135.245</v>
      </c>
      <c r="V95" s="703">
        <v>125.461</v>
      </c>
      <c r="W95" s="703">
        <v>124.911</v>
      </c>
      <c r="X95" s="703">
        <v>130.46</v>
      </c>
      <c r="Y95" s="703">
        <v>142.71700000000001</v>
      </c>
      <c r="Z95" s="703">
        <v>159.684</v>
      </c>
      <c r="AA95" s="703">
        <v>168.90799999999999</v>
      </c>
      <c r="AB95" s="703">
        <v>185.68799999999999</v>
      </c>
      <c r="AC95" s="703">
        <v>215.58600000000001</v>
      </c>
      <c r="AD95" s="703">
        <v>235.4</v>
      </c>
      <c r="AE95" s="703">
        <v>241.04499999999999</v>
      </c>
      <c r="AF95" s="703">
        <v>243.196</v>
      </c>
      <c r="AG95" s="703">
        <v>251.74100000000001</v>
      </c>
      <c r="AH95" s="703">
        <v>268.51600000000002</v>
      </c>
      <c r="AI95" s="703">
        <v>267.52800000000002</v>
      </c>
      <c r="AJ95" s="703">
        <v>259.07600000000002</v>
      </c>
      <c r="AK95" s="703">
        <v>253.29</v>
      </c>
      <c r="AL95" s="703">
        <v>277.77300000000002</v>
      </c>
      <c r="AM95" s="703">
        <v>284.36399999999998</v>
      </c>
      <c r="AN95" s="703">
        <v>279.62200000000001</v>
      </c>
      <c r="AO95" s="703">
        <v>285.99700000000001</v>
      </c>
      <c r="AP95" s="703">
        <v>289.83800000000002</v>
      </c>
      <c r="AQ95" s="703">
        <v>305.73399999999998</v>
      </c>
      <c r="AR95" s="703">
        <v>351.077</v>
      </c>
      <c r="AS95" s="703">
        <v>366.04199999999997</v>
      </c>
      <c r="AT95" s="703">
        <v>419.66899999999998</v>
      </c>
      <c r="AU95" s="703">
        <v>461.61700000000002</v>
      </c>
      <c r="AV95" s="703">
        <v>479.75</v>
      </c>
      <c r="AW95" s="703">
        <v>508.26600000000002</v>
      </c>
      <c r="AX95" s="703">
        <v>533.82799999999997</v>
      </c>
      <c r="AY95" s="703">
        <v>557.33900000000006</v>
      </c>
      <c r="AZ95" s="703">
        <v>575.87</v>
      </c>
      <c r="BA95" s="703">
        <v>604.32399999999996</v>
      </c>
      <c r="BB95" s="703">
        <v>631.49699999999996</v>
      </c>
      <c r="BC95" s="703">
        <v>656.452</v>
      </c>
      <c r="BD95" s="703">
        <v>679.30799999999999</v>
      </c>
      <c r="BE95" s="703">
        <v>700.03399999999999</v>
      </c>
      <c r="BF95" s="703">
        <v>745.53700000000003</v>
      </c>
      <c r="BG95" s="703">
        <v>797.16600000000005</v>
      </c>
      <c r="BH95" s="703">
        <v>831.09699999999998</v>
      </c>
      <c r="BI95" s="703">
        <v>849.26300000000003</v>
      </c>
      <c r="BJ95" s="703">
        <v>865.56399999999996</v>
      </c>
      <c r="BK95" s="703">
        <v>878.81600000000003</v>
      </c>
      <c r="BL95" s="703">
        <v>995.85699999999997</v>
      </c>
      <c r="BM95" s="703">
        <v>1069.7729999999999</v>
      </c>
      <c r="BN95" s="703">
        <v>1088.1389999999999</v>
      </c>
      <c r="BO95" s="704">
        <f t="shared" ref="BO95:BU95" si="138">BO93-BO96</f>
        <v>1228.3863787</v>
      </c>
      <c r="BP95" s="704">
        <f t="shared" si="138"/>
        <v>1295.6481772714287</v>
      </c>
      <c r="BQ95" s="704">
        <f t="shared" si="138"/>
        <v>1356.0817747000001</v>
      </c>
      <c r="BR95" s="704">
        <f t="shared" si="138"/>
        <v>1381.0401840142858</v>
      </c>
      <c r="BS95" s="704">
        <f t="shared" si="138"/>
        <v>1407.337674561757</v>
      </c>
      <c r="BT95" s="704">
        <f t="shared" si="138"/>
        <v>1425.9952754051856</v>
      </c>
      <c r="BU95" s="704">
        <f t="shared" si="138"/>
        <v>1469.9837227480432</v>
      </c>
      <c r="BV95" s="704">
        <f t="shared" ref="BV95:BY95" si="139">BV93-BV96</f>
        <v>1501.6783449194718</v>
      </c>
      <c r="BW95" s="704">
        <f t="shared" si="139"/>
        <v>1542.8604346098</v>
      </c>
      <c r="BX95" s="704">
        <f t="shared" si="139"/>
        <v>1592.7710971675147</v>
      </c>
      <c r="BY95" s="704">
        <f t="shared" si="139"/>
        <v>1616.2472485103717</v>
      </c>
      <c r="BZ95" s="1083"/>
      <c r="CA95" s="1083"/>
      <c r="CB95" s="696"/>
      <c r="CC95" s="696"/>
      <c r="CD95" s="696"/>
      <c r="CE95" s="696"/>
      <c r="CF95" s="696"/>
      <c r="CG95" s="696"/>
      <c r="CH95" s="696">
        <f>CH96/CG96-1</f>
        <v>-4.7171081846440699E-2</v>
      </c>
      <c r="CI95" s="696">
        <f>CI96/CH96-1</f>
        <v>0.39407390712235157</v>
      </c>
      <c r="CJ95" s="693">
        <f>SUM(AD95:AG95)</f>
        <v>971.38199999999995</v>
      </c>
      <c r="CK95" s="693">
        <f>SUM(AH95:AK95)</f>
        <v>1048.4100000000001</v>
      </c>
      <c r="CL95" s="693">
        <f>SUM(AL95:AO95)</f>
        <v>1127.7560000000001</v>
      </c>
      <c r="CM95" s="693">
        <f>SUM(AP95:AS95)</f>
        <v>1312.691</v>
      </c>
      <c r="CN95" s="693">
        <f>SUM(AT95:AW95)</f>
        <v>1869.3020000000001</v>
      </c>
      <c r="CO95" s="693">
        <f>SUM(AX95:BA95)</f>
        <v>2271.3609999999999</v>
      </c>
      <c r="CP95" s="693">
        <f>SUM(BB95:BE95)</f>
        <v>2667.2910000000002</v>
      </c>
      <c r="CQ95" s="693">
        <f>SUM(BF95:BI95)</f>
        <v>3223.0630000000001</v>
      </c>
      <c r="CR95" s="693">
        <f>SUM(BJ95:BM95)</f>
        <v>3810.01</v>
      </c>
      <c r="CS95" s="1140">
        <f>SUM(BN95:BQ95)</f>
        <v>4968.255330671429</v>
      </c>
      <c r="CT95" s="693">
        <f>SUM(BR95:BU95)</f>
        <v>5684.3568567292714</v>
      </c>
      <c r="CU95" s="693">
        <f>SUM(BV95:BY95)</f>
        <v>6253.5571252071586</v>
      </c>
    </row>
    <row r="96" spans="1:100" s="697" customFormat="1">
      <c r="A96" s="697" t="s">
        <v>823</v>
      </c>
      <c r="B96" s="705"/>
      <c r="AD96" s="697">
        <f>AD93-AD95</f>
        <v>31.054899953571436</v>
      </c>
      <c r="AE96" s="697">
        <f t="shared" ref="AE96:AT96" si="140">AE93-AE95</f>
        <v>44.295265364285768</v>
      </c>
      <c r="AF96" s="697">
        <f t="shared" si="140"/>
        <v>61.024880510714326</v>
      </c>
      <c r="AG96" s="697">
        <f t="shared" si="140"/>
        <v>61.1445161428571</v>
      </c>
      <c r="AH96" s="697">
        <f t="shared" si="140"/>
        <v>44.600868999999932</v>
      </c>
      <c r="AI96" s="697">
        <f t="shared" si="140"/>
        <v>54.945578999999952</v>
      </c>
      <c r="AJ96" s="697">
        <f t="shared" si="140"/>
        <v>74.058619714285669</v>
      </c>
      <c r="AK96" s="697">
        <f t="shared" si="140"/>
        <v>91.706484357142784</v>
      </c>
      <c r="AL96" s="697">
        <f t="shared" si="140"/>
        <v>78.712148642857017</v>
      </c>
      <c r="AM96" s="697">
        <f t="shared" si="140"/>
        <v>100.94287721428572</v>
      </c>
      <c r="AN96" s="697">
        <f t="shared" si="140"/>
        <v>108.48405221428561</v>
      </c>
      <c r="AO96" s="697">
        <f t="shared" si="140"/>
        <v>116.01941649999998</v>
      </c>
      <c r="AP96" s="697">
        <f t="shared" si="140"/>
        <v>134.96209969321421</v>
      </c>
      <c r="AQ96" s="697">
        <f t="shared" si="140"/>
        <v>159.31228495928565</v>
      </c>
      <c r="AR96" s="697">
        <f t="shared" si="140"/>
        <v>184.33631879607151</v>
      </c>
      <c r="AS96" s="697">
        <f t="shared" si="140"/>
        <v>212.44814142857143</v>
      </c>
      <c r="AT96" s="697">
        <f t="shared" si="140"/>
        <v>172.53149785714277</v>
      </c>
      <c r="AU96" s="697">
        <f t="shared" ref="AU96:BN96" si="141">AU93-AU95</f>
        <v>153.08051749999998</v>
      </c>
      <c r="AV96" s="697">
        <f t="shared" si="141"/>
        <v>165.11034178571413</v>
      </c>
      <c r="AW96" s="697">
        <f t="shared" si="141"/>
        <v>203.29604535714265</v>
      </c>
      <c r="AX96" s="697">
        <f t="shared" si="141"/>
        <v>200.33375892857123</v>
      </c>
      <c r="AY96" s="697">
        <f t="shared" si="141"/>
        <v>226.9807489285713</v>
      </c>
      <c r="AZ96" s="697">
        <f t="shared" si="141"/>
        <v>261.99514428571422</v>
      </c>
      <c r="BA96" s="697">
        <f t="shared" si="141"/>
        <v>286.64967142857142</v>
      </c>
      <c r="BB96" s="697">
        <f t="shared" si="141"/>
        <v>284.18582357142861</v>
      </c>
      <c r="BC96" s="697">
        <f t="shared" si="141"/>
        <v>288.7511892857143</v>
      </c>
      <c r="BD96" s="697">
        <f t="shared" si="141"/>
        <v>314.89820464285731</v>
      </c>
      <c r="BE96" s="697">
        <f t="shared" si="141"/>
        <v>359.32310000000018</v>
      </c>
      <c r="BF96" s="697">
        <f t="shared" si="141"/>
        <v>371.24601035714295</v>
      </c>
      <c r="BG96" s="697">
        <f t="shared" si="141"/>
        <v>377.21182071428564</v>
      </c>
      <c r="BH96" s="697">
        <f t="shared" si="141"/>
        <v>361.37084964285714</v>
      </c>
      <c r="BI96" s="697">
        <f t="shared" si="141"/>
        <v>386.97258285714281</v>
      </c>
      <c r="BJ96" s="697">
        <f t="shared" si="141"/>
        <v>407.22490000000005</v>
      </c>
      <c r="BK96" s="697">
        <f t="shared" si="141"/>
        <v>441.5104839285716</v>
      </c>
      <c r="BL96" s="697">
        <f t="shared" si="141"/>
        <v>391.33151142857173</v>
      </c>
      <c r="BM96" s="697">
        <f t="shared" si="141"/>
        <v>385.94995642857157</v>
      </c>
      <c r="BN96" s="697">
        <f t="shared" si="141"/>
        <v>406.14835107142881</v>
      </c>
      <c r="BO96" s="706">
        <f t="shared" ref="BO96:BQ96" si="142">BO93*(1-BO97)</f>
        <v>307.09659467499995</v>
      </c>
      <c r="BP96" s="706">
        <f t="shared" si="142"/>
        <v>323.91204431785712</v>
      </c>
      <c r="BQ96" s="706">
        <f t="shared" si="142"/>
        <v>339.02044367499997</v>
      </c>
      <c r="BR96" s="706">
        <f t="shared" ref="BR96:BU96" si="143">BR93*(1-BR97)</f>
        <v>345.26004600357135</v>
      </c>
      <c r="BS96" s="706">
        <f t="shared" si="143"/>
        <v>351.8344186404392</v>
      </c>
      <c r="BT96" s="706">
        <f t="shared" si="143"/>
        <v>356.49881885129633</v>
      </c>
      <c r="BU96" s="706">
        <f t="shared" si="143"/>
        <v>367.49593068701068</v>
      </c>
      <c r="BV96" s="706">
        <f t="shared" ref="BV96:BY96" si="144">BV93*(1-BV97)</f>
        <v>375.41958622986783</v>
      </c>
      <c r="BW96" s="706">
        <f t="shared" si="144"/>
        <v>385.71510865244989</v>
      </c>
      <c r="BX96" s="706">
        <f t="shared" si="144"/>
        <v>398.19277429187855</v>
      </c>
      <c r="BY96" s="706">
        <f t="shared" si="144"/>
        <v>404.06181212759282</v>
      </c>
      <c r="BZ96" s="1083"/>
      <c r="CA96" s="1083"/>
      <c r="CB96" s="693"/>
      <c r="CC96" s="693">
        <f>SUM(B95:E95)</f>
        <v>584.241804</v>
      </c>
      <c r="CD96" s="693">
        <f>SUM(F95:I95)</f>
        <v>550.29</v>
      </c>
      <c r="CE96" s="693">
        <f>SUM(J95:M95)</f>
        <v>565.74299999999994</v>
      </c>
      <c r="CF96" s="693">
        <f>SUM(N95:Q95)</f>
        <v>546.91</v>
      </c>
      <c r="CG96" s="693">
        <f>SUM(R95:U95)</f>
        <v>549.46800000000007</v>
      </c>
      <c r="CH96" s="693">
        <f>SUM(V95:Y95)</f>
        <v>523.54899999999998</v>
      </c>
      <c r="CI96" s="693">
        <f>SUM(Z95:AC95)</f>
        <v>729.86599999999999</v>
      </c>
      <c r="CJ96" s="693">
        <f>SUM(AD96:AG96)</f>
        <v>197.51956197142863</v>
      </c>
      <c r="CK96" s="693">
        <f>SUM(AH96:AK96)</f>
        <v>265.31155207142831</v>
      </c>
      <c r="CL96" s="693">
        <f>SUM(AL96:AO96)</f>
        <v>404.15849457142832</v>
      </c>
      <c r="CM96" s="693">
        <f>SUM(AP96:AS96)</f>
        <v>691.05884487714275</v>
      </c>
      <c r="CN96" s="693">
        <f>SUM(AT96:AW96)</f>
        <v>694.01840249999952</v>
      </c>
      <c r="CO96" s="693">
        <f>SUM(AX96:BA96)</f>
        <v>975.95932357142817</v>
      </c>
      <c r="CP96" s="693">
        <f>SUM(BB96:BE96)</f>
        <v>1247.1583175000005</v>
      </c>
      <c r="CQ96" s="693">
        <f>SUM(BF96:BI96)</f>
        <v>1496.8012635714285</v>
      </c>
      <c r="CR96" s="693">
        <f>SUM(BJ96:BM96)</f>
        <v>1626.0168517857151</v>
      </c>
      <c r="CS96" s="693">
        <f>SUM(BN96:BQ96)</f>
        <v>1376.177433739286</v>
      </c>
      <c r="CT96" s="693">
        <f>SUM(BR96:BU96)</f>
        <v>1421.0892141823176</v>
      </c>
      <c r="CU96" s="693">
        <f>SUM(BV96:BY96)</f>
        <v>1563.3892813017892</v>
      </c>
      <c r="CV96" s="694"/>
    </row>
    <row r="97" spans="1:100">
      <c r="A97" s="694" t="s">
        <v>1206</v>
      </c>
      <c r="B97" s="707"/>
      <c r="AD97" s="699">
        <f>AD95/AD93</f>
        <v>0.88345157113274098</v>
      </c>
      <c r="AE97" s="699">
        <f t="shared" ref="AE97:AT97" si="145">AE95/AE93</f>
        <v>0.84476335540048908</v>
      </c>
      <c r="AF97" s="699">
        <f t="shared" si="145"/>
        <v>0.7994060091856019</v>
      </c>
      <c r="AG97" s="699">
        <f t="shared" si="145"/>
        <v>0.80457863023950338</v>
      </c>
      <c r="AH97" s="699">
        <f t="shared" si="145"/>
        <v>0.85755839619104024</v>
      </c>
      <c r="AI97" s="699">
        <f t="shared" si="145"/>
        <v>0.82961215250443832</v>
      </c>
      <c r="AJ97" s="699">
        <f t="shared" si="145"/>
        <v>0.77769161374521101</v>
      </c>
      <c r="AK97" s="699">
        <f t="shared" si="145"/>
        <v>0.7341813945494946</v>
      </c>
      <c r="AL97" s="699">
        <f t="shared" si="145"/>
        <v>0.77919936092004094</v>
      </c>
      <c r="AM97" s="699">
        <f t="shared" si="145"/>
        <v>0.73801952889061195</v>
      </c>
      <c r="AN97" s="699">
        <f t="shared" si="145"/>
        <v>0.72047832906664355</v>
      </c>
      <c r="AO97" s="699">
        <f t="shared" si="145"/>
        <v>0.71140627163915837</v>
      </c>
      <c r="AP97" s="699">
        <f t="shared" si="145"/>
        <v>0.68229268356885442</v>
      </c>
      <c r="AQ97" s="699">
        <f t="shared" si="145"/>
        <v>0.65742703444403761</v>
      </c>
      <c r="AR97" s="699">
        <f t="shared" si="145"/>
        <v>0.655712115622059</v>
      </c>
      <c r="AS97" s="699">
        <f t="shared" si="145"/>
        <v>0.63275408479056461</v>
      </c>
      <c r="AT97" s="699">
        <f t="shared" si="145"/>
        <v>0.70866032959877256</v>
      </c>
      <c r="AU97" s="699">
        <f t="shared" ref="AU97:BN97" si="146">AU95/AU93</f>
        <v>0.75096610423516152</v>
      </c>
      <c r="AV97" s="699">
        <f t="shared" si="146"/>
        <v>0.74395953497698575</v>
      </c>
      <c r="AW97" s="699">
        <f t="shared" si="146"/>
        <v>0.71429610856337122</v>
      </c>
      <c r="AX97" s="699">
        <f t="shared" si="146"/>
        <v>0.72712585953681863</v>
      </c>
      <c r="AY97" s="699">
        <f t="shared" si="146"/>
        <v>0.7106017676609051</v>
      </c>
      <c r="AZ97" s="699">
        <f t="shared" si="146"/>
        <v>0.68730630928791425</v>
      </c>
      <c r="BA97" s="699">
        <f t="shared" si="146"/>
        <v>0.67827369021021411</v>
      </c>
      <c r="BB97" s="699">
        <f t="shared" si="146"/>
        <v>0.68964600377342289</v>
      </c>
      <c r="BC97" s="699">
        <f t="shared" si="146"/>
        <v>0.69450887115190307</v>
      </c>
      <c r="BD97" s="699">
        <f t="shared" si="146"/>
        <v>0.6832667074774732</v>
      </c>
      <c r="BE97" s="699">
        <f t="shared" si="146"/>
        <v>0.66081022159572056</v>
      </c>
      <c r="BF97" s="699">
        <f t="shared" si="146"/>
        <v>0.66757552101511652</v>
      </c>
      <c r="BG97" s="699">
        <f t="shared" si="146"/>
        <v>0.67879858248271752</v>
      </c>
      <c r="BH97" s="699">
        <f t="shared" si="146"/>
        <v>0.69695547787633239</v>
      </c>
      <c r="BI97" s="699">
        <f t="shared" si="146"/>
        <v>0.68697504891196726</v>
      </c>
      <c r="BJ97" s="699">
        <f t="shared" si="146"/>
        <v>0.68005307085880462</v>
      </c>
      <c r="BK97" s="699">
        <f t="shared" si="146"/>
        <v>0.66560506866841207</v>
      </c>
      <c r="BL97" s="699">
        <f t="shared" si="146"/>
        <v>0.71789593973383914</v>
      </c>
      <c r="BM97" s="699">
        <f t="shared" si="146"/>
        <v>0.73487403305402976</v>
      </c>
      <c r="BN97" s="699">
        <f t="shared" si="146"/>
        <v>0.72819929795951643</v>
      </c>
      <c r="BO97" s="710">
        <v>0.8</v>
      </c>
      <c r="BP97" s="710">
        <f>BO97</f>
        <v>0.8</v>
      </c>
      <c r="BQ97" s="710">
        <f>BP97</f>
        <v>0.8</v>
      </c>
      <c r="BR97" s="710">
        <f t="shared" ref="BR97:BU97" si="147">BQ97</f>
        <v>0.8</v>
      </c>
      <c r="BS97" s="710">
        <f t="shared" si="147"/>
        <v>0.8</v>
      </c>
      <c r="BT97" s="710">
        <f t="shared" si="147"/>
        <v>0.8</v>
      </c>
      <c r="BU97" s="710">
        <f t="shared" si="147"/>
        <v>0.8</v>
      </c>
      <c r="BV97" s="710">
        <f t="shared" ref="BV97" si="148">BU97</f>
        <v>0.8</v>
      </c>
      <c r="BW97" s="710">
        <f t="shared" ref="BW97" si="149">BV97</f>
        <v>0.8</v>
      </c>
      <c r="BX97" s="710">
        <f t="shared" ref="BX97" si="150">BW97</f>
        <v>0.8</v>
      </c>
      <c r="BY97" s="710">
        <f t="shared" ref="BY97" si="151">BX97</f>
        <v>0.8</v>
      </c>
      <c r="BZ97" s="1083"/>
      <c r="CA97" s="1083"/>
      <c r="CB97" s="693"/>
      <c r="CC97" s="693"/>
      <c r="CD97" s="693"/>
      <c r="CE97" s="693"/>
      <c r="CF97" s="693"/>
      <c r="CG97" s="693"/>
      <c r="CH97" s="693"/>
      <c r="CI97" s="693"/>
      <c r="CJ97" s="699">
        <f t="shared" ref="CJ97:CO97" si="152">CJ95/CJ93</f>
        <v>0.83102121821250785</v>
      </c>
      <c r="CK97" s="699">
        <f t="shared" si="152"/>
        <v>0.7980458251194138</v>
      </c>
      <c r="CL97" s="699">
        <f t="shared" si="152"/>
        <v>0.73617424732018322</v>
      </c>
      <c r="CM97" s="699">
        <f t="shared" si="152"/>
        <v>0.65511720605048174</v>
      </c>
      <c r="CN97" s="699">
        <f t="shared" si="152"/>
        <v>0.72925023269696398</v>
      </c>
      <c r="CO97" s="699">
        <f t="shared" si="152"/>
        <v>0.69945702107451457</v>
      </c>
      <c r="CP97" s="699">
        <f>CP95/CP93</f>
        <v>0.68139622809153921</v>
      </c>
      <c r="CQ97" s="699">
        <f>CQ95/CQ93</f>
        <v>0.68287196834791419</v>
      </c>
      <c r="CR97" s="699">
        <f>CR95/CR93</f>
        <v>0.70088137970628783</v>
      </c>
      <c r="CS97" s="699">
        <f>CS95/CS93</f>
        <v>0.78308897188429605</v>
      </c>
      <c r="CT97" s="699">
        <f t="shared" ref="CT97:CU97" si="153">CT95/CT93</f>
        <v>0.80000000000000016</v>
      </c>
      <c r="CU97" s="699">
        <f t="shared" si="153"/>
        <v>0.80000000000000016</v>
      </c>
      <c r="CV97" s="697"/>
    </row>
    <row r="98" spans="1:100">
      <c r="B98" s="707"/>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708"/>
      <c r="BO98" s="708"/>
      <c r="BP98" s="708"/>
      <c r="BQ98" s="708"/>
      <c r="BR98" s="708"/>
      <c r="BS98" s="708"/>
      <c r="BT98" s="708"/>
      <c r="BU98" s="708"/>
      <c r="BV98" s="708"/>
      <c r="BW98" s="708"/>
      <c r="BX98" s="708"/>
      <c r="BY98" s="708"/>
      <c r="BZ98" s="1083"/>
      <c r="CA98" s="1083"/>
      <c r="CB98" s="1093"/>
      <c r="CC98" s="1093"/>
      <c r="CD98" s="1093"/>
      <c r="CE98" s="1093"/>
      <c r="CF98" s="1093"/>
      <c r="CG98" s="1093"/>
      <c r="CH98" s="1093"/>
      <c r="CI98" s="1093"/>
      <c r="CJ98" s="696"/>
      <c r="CK98" s="696"/>
      <c r="CL98" s="696"/>
      <c r="CM98" s="696"/>
      <c r="CN98" s="696"/>
      <c r="CO98" s="696"/>
      <c r="CP98" s="696"/>
      <c r="CQ98" s="696"/>
      <c r="CR98" s="696"/>
      <c r="CS98" s="696"/>
      <c r="CT98" s="696"/>
      <c r="CU98" s="696"/>
      <c r="CV98" s="697"/>
    </row>
    <row r="99" spans="1:100">
      <c r="A99" s="694" t="s">
        <v>824</v>
      </c>
      <c r="AD99" s="703">
        <f>Assumption!B27</f>
        <v>180.035</v>
      </c>
      <c r="AE99" s="703">
        <f>Assumption!C27</f>
        <v>171.81399999999999</v>
      </c>
      <c r="AF99" s="703">
        <f>Assumption!D27</f>
        <v>178.30199999999999</v>
      </c>
      <c r="AG99" s="703">
        <f>Assumption!E27</f>
        <v>210.38499999999999</v>
      </c>
      <c r="AH99" s="703">
        <f>Assumption!F27</f>
        <v>195.17099999999999</v>
      </c>
      <c r="AI99" s="703">
        <f>Assumption!G27</f>
        <v>211.28399999999999</v>
      </c>
      <c r="AJ99" s="703">
        <f>Assumption!H27</f>
        <v>208.33500000000001</v>
      </c>
      <c r="AK99" s="703">
        <f>Assumption!I27</f>
        <v>216.58799999999999</v>
      </c>
      <c r="AL99" s="703">
        <f>Assumption!J27</f>
        <v>161.75</v>
      </c>
      <c r="AM99" s="703">
        <f>Assumption!K27</f>
        <v>185.39699999999999</v>
      </c>
      <c r="AN99" s="703">
        <f>Assumption!L27</f>
        <v>201.476</v>
      </c>
      <c r="AO99" s="703">
        <f>Assumption!M27</f>
        <v>198.536</v>
      </c>
      <c r="AP99" s="703">
        <f>Assumption!N27</f>
        <v>213.83199999999999</v>
      </c>
      <c r="AQ99" s="703">
        <f>Assumption!O27</f>
        <v>210.976</v>
      </c>
      <c r="AR99" s="703">
        <f>Assumption!P27</f>
        <v>249.41499999999999</v>
      </c>
      <c r="AS99" s="703">
        <f>Assumption!Q27</f>
        <v>242.768</v>
      </c>
      <c r="AT99" s="703">
        <f>Assumption!R27</f>
        <v>279.88299999999998</v>
      </c>
      <c r="AU99" s="703">
        <f>Assumption!S27</f>
        <v>346.05</v>
      </c>
      <c r="AV99" s="703">
        <f>Assumption!T27</f>
        <v>364.22800000000001</v>
      </c>
      <c r="AW99" s="703">
        <v>392.221</v>
      </c>
      <c r="AX99" s="703">
        <v>393.26299999999998</v>
      </c>
      <c r="AY99" s="703">
        <v>415.142</v>
      </c>
      <c r="AZ99" s="703">
        <v>413.44799999999998</v>
      </c>
      <c r="BA99" s="703">
        <v>411.36700000000002</v>
      </c>
      <c r="BB99" s="703">
        <v>476.45400000000001</v>
      </c>
      <c r="BC99" s="703">
        <v>526.81700000000001</v>
      </c>
      <c r="BD99" s="703">
        <v>518.09199999999998</v>
      </c>
      <c r="BE99" s="703">
        <v>602.245</v>
      </c>
      <c r="BF99" s="703">
        <v>630.82399999999996</v>
      </c>
      <c r="BG99" s="703">
        <v>701.54700000000003</v>
      </c>
      <c r="BH99" s="703">
        <v>686.71900000000005</v>
      </c>
      <c r="BI99" s="703">
        <v>788.05499999999995</v>
      </c>
      <c r="BJ99" s="703">
        <v>799.49099999999999</v>
      </c>
      <c r="BK99" s="703">
        <v>751.49199999999996</v>
      </c>
      <c r="BL99" s="703">
        <v>804.40599999999995</v>
      </c>
      <c r="BM99" s="703">
        <v>926.55899999999997</v>
      </c>
      <c r="BN99" s="703">
        <v>879.15300000000002</v>
      </c>
      <c r="BO99" s="704">
        <f t="shared" ref="BO99:BU99" si="154">BO95*BO100</f>
        <v>992.4647218721517</v>
      </c>
      <c r="BP99" s="704">
        <f t="shared" si="154"/>
        <v>1046.8083415746596</v>
      </c>
      <c r="BQ99" s="704">
        <f t="shared" si="154"/>
        <v>1095.6351720440398</v>
      </c>
      <c r="BR99" s="704">
        <f t="shared" si="154"/>
        <v>1115.8001145963076</v>
      </c>
      <c r="BS99" s="704">
        <f t="shared" si="154"/>
        <v>1137.046956872231</v>
      </c>
      <c r="BT99" s="704">
        <f t="shared" si="154"/>
        <v>1152.1212127846675</v>
      </c>
      <c r="BU99" s="704">
        <f t="shared" si="154"/>
        <v>1187.6613188251781</v>
      </c>
      <c r="BV99" s="704">
        <f t="shared" ref="BV99:BY99" si="155">BV95*BV100</f>
        <v>1213.2687294279394</v>
      </c>
      <c r="BW99" s="704">
        <f t="shared" si="155"/>
        <v>1246.541461769599</v>
      </c>
      <c r="BX99" s="704">
        <f t="shared" si="155"/>
        <v>1286.8663731270658</v>
      </c>
      <c r="BY99" s="704">
        <f t="shared" si="155"/>
        <v>1305.8337374817363</v>
      </c>
      <c r="BZ99" s="1083"/>
      <c r="CA99" s="1083"/>
      <c r="CB99" s="709"/>
      <c r="CJ99" s="693">
        <f>SUM(AD99:AG99)</f>
        <v>740.53599999999994</v>
      </c>
      <c r="CK99" s="693">
        <f>SUM(AH99:AK99)</f>
        <v>831.37799999999993</v>
      </c>
      <c r="CL99" s="693">
        <f>SUM(AL99:AO99)</f>
        <v>747.15900000000011</v>
      </c>
      <c r="CM99" s="693">
        <f>SUM(AP99:AS99)</f>
        <v>916.99099999999999</v>
      </c>
      <c r="CN99" s="693">
        <f>SUM(AT99:AW99)</f>
        <v>1382.3820000000001</v>
      </c>
      <c r="CO99" s="693">
        <f>SUM(AX99:BA99)</f>
        <v>1633.22</v>
      </c>
      <c r="CP99" s="693">
        <f>SUM(BB99:BE99)</f>
        <v>2123.6079999999997</v>
      </c>
      <c r="CQ99" s="693">
        <f>SUM(BF99:BI99)</f>
        <v>2807.145</v>
      </c>
      <c r="CR99" s="693">
        <f>SUM(BJ99:BM99)</f>
        <v>3281.9480000000003</v>
      </c>
      <c r="CS99" s="693">
        <f>SUM(BN99:BQ99)</f>
        <v>4014.0612354908512</v>
      </c>
      <c r="CT99" s="693">
        <f>SUM(BR99:BU99)</f>
        <v>4592.6296030783842</v>
      </c>
      <c r="CU99" s="693">
        <f>SUM(BV99:BY99)</f>
        <v>5052.5103018063401</v>
      </c>
    </row>
    <row r="100" spans="1:100">
      <c r="A100" s="694" t="s">
        <v>1205</v>
      </c>
      <c r="AD100" s="699">
        <f>AD99/AD95</f>
        <v>0.76480458793542905</v>
      </c>
      <c r="AE100" s="699">
        <f t="shared" ref="AE100:AS100" si="156">AE99/AE95</f>
        <v>0.7127880686178929</v>
      </c>
      <c r="AF100" s="699">
        <f t="shared" si="156"/>
        <v>0.73316172963371107</v>
      </c>
      <c r="AG100" s="699">
        <f t="shared" si="156"/>
        <v>0.83572004560242463</v>
      </c>
      <c r="AH100" s="699">
        <f t="shared" si="156"/>
        <v>0.72685054149473394</v>
      </c>
      <c r="AI100" s="699">
        <f t="shared" si="156"/>
        <v>0.78976406207948313</v>
      </c>
      <c r="AJ100" s="699">
        <f t="shared" si="156"/>
        <v>0.80414627368031</v>
      </c>
      <c r="AK100" s="699">
        <f t="shared" si="156"/>
        <v>0.85509889849579535</v>
      </c>
      <c r="AL100" s="699">
        <f t="shared" si="156"/>
        <v>0.58231001573227059</v>
      </c>
      <c r="AM100" s="699">
        <f t="shared" si="156"/>
        <v>0.65197071359243786</v>
      </c>
      <c r="AN100" s="699">
        <f t="shared" si="156"/>
        <v>0.7205298581656665</v>
      </c>
      <c r="AO100" s="699">
        <f t="shared" si="156"/>
        <v>0.69418909988566313</v>
      </c>
      <c r="AP100" s="699">
        <f t="shared" si="156"/>
        <v>0.73776385429101765</v>
      </c>
      <c r="AQ100" s="699">
        <f t="shared" si="156"/>
        <v>0.69006391176643755</v>
      </c>
      <c r="AR100" s="699">
        <f t="shared" si="156"/>
        <v>0.71042819666340995</v>
      </c>
      <c r="AS100" s="699">
        <f t="shared" si="156"/>
        <v>0.66322443872561077</v>
      </c>
      <c r="AT100" s="699">
        <f t="shared" ref="AT100:BA100" si="157">AT99/AT95</f>
        <v>0.66691368673883467</v>
      </c>
      <c r="AU100" s="699">
        <f t="shared" si="157"/>
        <v>0.74964743499481168</v>
      </c>
      <c r="AV100" s="699">
        <f t="shared" si="157"/>
        <v>0.7592037519541428</v>
      </c>
      <c r="AW100" s="699">
        <f t="shared" si="157"/>
        <v>0.77168451165334684</v>
      </c>
      <c r="AX100" s="699">
        <f t="shared" si="157"/>
        <v>0.73668484980180882</v>
      </c>
      <c r="AY100" s="699">
        <f t="shared" si="157"/>
        <v>0.74486443618695253</v>
      </c>
      <c r="AZ100" s="699">
        <f t="shared" si="157"/>
        <v>0.71795370482921483</v>
      </c>
      <c r="BA100" s="699">
        <f t="shared" si="157"/>
        <v>0.68070604510163435</v>
      </c>
      <c r="BB100" s="699">
        <f t="shared" ref="BB100:BN100" si="158">BB99/BB95</f>
        <v>0.75448339422040012</v>
      </c>
      <c r="BC100" s="699">
        <f t="shared" si="158"/>
        <v>0.80252173807071958</v>
      </c>
      <c r="BD100" s="699">
        <f t="shared" si="158"/>
        <v>0.76267613512574561</v>
      </c>
      <c r="BE100" s="699">
        <f t="shared" si="158"/>
        <v>0.8603082136010537</v>
      </c>
      <c r="BF100" s="699">
        <f t="shared" si="158"/>
        <v>0.8461337264280645</v>
      </c>
      <c r="BG100" s="699">
        <f t="shared" si="158"/>
        <v>0.88005133184305395</v>
      </c>
      <c r="BH100" s="699">
        <f t="shared" si="158"/>
        <v>0.82628020555963988</v>
      </c>
      <c r="BI100" s="699">
        <f t="shared" si="158"/>
        <v>0.92792809765643847</v>
      </c>
      <c r="BJ100" s="699">
        <f t="shared" si="158"/>
        <v>0.92366480121631678</v>
      </c>
      <c r="BK100" s="699">
        <f t="shared" si="158"/>
        <v>0.85511870516695188</v>
      </c>
      <c r="BL100" s="699">
        <f t="shared" si="158"/>
        <v>0.8077525186849116</v>
      </c>
      <c r="BM100" s="699">
        <f t="shared" si="158"/>
        <v>0.86612673903716031</v>
      </c>
      <c r="BN100" s="699">
        <f t="shared" si="158"/>
        <v>0.80794181625693051</v>
      </c>
      <c r="BO100" s="710">
        <f>BN100</f>
        <v>0.80794181625693051</v>
      </c>
      <c r="BP100" s="710">
        <f>BO100</f>
        <v>0.80794181625693051</v>
      </c>
      <c r="BQ100" s="710">
        <f>BP100</f>
        <v>0.80794181625693051</v>
      </c>
      <c r="BR100" s="710">
        <f t="shared" ref="BR100:BU100" si="159">BQ100</f>
        <v>0.80794181625693051</v>
      </c>
      <c r="BS100" s="710">
        <f t="shared" si="159"/>
        <v>0.80794181625693051</v>
      </c>
      <c r="BT100" s="710">
        <f t="shared" si="159"/>
        <v>0.80794181625693051</v>
      </c>
      <c r="BU100" s="710">
        <f t="shared" si="159"/>
        <v>0.80794181625693051</v>
      </c>
      <c r="BV100" s="710">
        <f t="shared" ref="BV100" si="160">BU100</f>
        <v>0.80794181625693051</v>
      </c>
      <c r="BW100" s="710">
        <f t="shared" ref="BW100" si="161">BV100</f>
        <v>0.80794181625693051</v>
      </c>
      <c r="BX100" s="710">
        <f t="shared" ref="BX100" si="162">BW100</f>
        <v>0.80794181625693051</v>
      </c>
      <c r="BY100" s="710">
        <f t="shared" ref="BY100" si="163">BX100</f>
        <v>0.80794181625693051</v>
      </c>
      <c r="BZ100" s="1083"/>
      <c r="CA100" s="1083"/>
      <c r="CB100" s="693"/>
      <c r="CC100" s="693"/>
      <c r="CD100" s="693"/>
      <c r="CE100" s="693"/>
      <c r="CF100" s="693"/>
      <c r="CG100" s="693"/>
      <c r="CH100" s="693"/>
      <c r="CI100" s="693"/>
      <c r="CJ100" s="696">
        <f t="shared" ref="CJ100:CO100" si="164">CJ99/CJ95</f>
        <v>0.76235301868883709</v>
      </c>
      <c r="CK100" s="696">
        <f t="shared" si="164"/>
        <v>0.79298938392422802</v>
      </c>
      <c r="CL100" s="696">
        <f t="shared" si="164"/>
        <v>0.66251831069841349</v>
      </c>
      <c r="CM100" s="696">
        <f t="shared" si="164"/>
        <v>0.69855815268025756</v>
      </c>
      <c r="CN100" s="696">
        <f t="shared" si="164"/>
        <v>0.73951774512625568</v>
      </c>
      <c r="CO100" s="696">
        <f t="shared" si="164"/>
        <v>0.71904906353503473</v>
      </c>
      <c r="CP100" s="696">
        <f t="shared" ref="CP100:CU100" si="165">CP99/CP95</f>
        <v>0.79616659749536123</v>
      </c>
      <c r="CQ100" s="696">
        <f t="shared" si="165"/>
        <v>0.87095567167008525</v>
      </c>
      <c r="CR100" s="696">
        <f t="shared" si="165"/>
        <v>0.86140141364458367</v>
      </c>
      <c r="CS100" s="696">
        <f t="shared" si="165"/>
        <v>0.80794181625693051</v>
      </c>
      <c r="CT100" s="696">
        <f t="shared" si="165"/>
        <v>0.80794181625693051</v>
      </c>
      <c r="CU100" s="696">
        <f t="shared" si="165"/>
        <v>0.8079418162569304</v>
      </c>
    </row>
    <row r="101" spans="1:100">
      <c r="AD101" s="699"/>
      <c r="AE101" s="699"/>
      <c r="AF101" s="699"/>
      <c r="AG101" s="699"/>
      <c r="AH101" s="699"/>
      <c r="AI101" s="699"/>
      <c r="AJ101" s="699"/>
      <c r="AK101" s="699"/>
      <c r="AL101" s="699"/>
      <c r="AM101" s="699"/>
      <c r="AN101" s="699"/>
      <c r="AO101" s="699"/>
      <c r="AP101" s="699"/>
      <c r="AQ101" s="699"/>
      <c r="AR101" s="699"/>
      <c r="AS101" s="699"/>
      <c r="AT101" s="699"/>
      <c r="AU101" s="699"/>
      <c r="AV101" s="699"/>
      <c r="AW101" s="699"/>
      <c r="AX101" s="699"/>
      <c r="AY101" s="699"/>
      <c r="AZ101" s="699"/>
      <c r="BA101" s="699"/>
      <c r="BB101" s="699"/>
      <c r="BC101" s="699"/>
      <c r="BD101" s="699"/>
      <c r="BE101" s="699"/>
      <c r="BF101" s="699"/>
      <c r="BG101" s="699"/>
      <c r="BH101" s="699"/>
      <c r="BI101" s="699"/>
      <c r="BJ101" s="699"/>
      <c r="BK101" s="699"/>
      <c r="BL101" s="699"/>
      <c r="BM101" s="699"/>
      <c r="BN101" s="699"/>
      <c r="BO101" s="699"/>
      <c r="BP101" s="699"/>
      <c r="BQ101" s="699"/>
      <c r="BR101" s="699"/>
      <c r="BS101" s="699"/>
      <c r="BT101" s="699"/>
      <c r="BU101" s="699"/>
      <c r="BV101" s="699"/>
      <c r="BW101" s="699"/>
      <c r="BX101" s="699"/>
      <c r="BY101" s="699"/>
      <c r="BZ101" s="1083"/>
      <c r="CA101" s="1083"/>
      <c r="CJ101" s="762"/>
      <c r="CK101" s="762"/>
      <c r="CL101" s="762"/>
      <c r="CM101" s="762"/>
      <c r="CN101" s="762"/>
      <c r="CO101" s="762"/>
      <c r="CP101" s="762"/>
      <c r="CQ101" s="699"/>
      <c r="CR101" s="762"/>
      <c r="CS101" s="762"/>
      <c r="CT101" s="762"/>
      <c r="CU101" s="762"/>
    </row>
    <row r="102" spans="1:100">
      <c r="A102" s="694" t="s">
        <v>1129</v>
      </c>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699"/>
      <c r="AY102" s="699"/>
      <c r="AZ102" s="699"/>
      <c r="BA102" s="699"/>
      <c r="BB102" s="699"/>
      <c r="BC102" s="699"/>
      <c r="BD102" s="699"/>
      <c r="BE102" s="699"/>
      <c r="BF102" s="1012"/>
      <c r="BG102" s="1012"/>
      <c r="BH102" s="699"/>
      <c r="BI102" s="699"/>
      <c r="BJ102" s="699"/>
      <c r="BK102" s="699"/>
      <c r="BL102" s="699"/>
      <c r="BM102" s="699"/>
      <c r="BN102" s="699"/>
      <c r="BO102" s="699"/>
      <c r="BP102" s="699"/>
      <c r="BQ102" s="699"/>
      <c r="BR102" s="699"/>
      <c r="BS102" s="699"/>
      <c r="BT102" s="699"/>
      <c r="BU102" s="699"/>
      <c r="BV102" s="699"/>
      <c r="BW102" s="699"/>
      <c r="BX102" s="699"/>
      <c r="BY102" s="699"/>
      <c r="BZ102" s="1083"/>
      <c r="CA102" s="1083"/>
      <c r="CB102" s="696"/>
      <c r="CC102" s="696"/>
      <c r="CD102" s="696"/>
      <c r="CE102" s="696"/>
      <c r="CF102" s="696"/>
      <c r="CG102" s="696"/>
      <c r="CH102" s="696"/>
      <c r="CI102" s="696"/>
    </row>
    <row r="103" spans="1:100">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699"/>
      <c r="AY103" s="699"/>
      <c r="AZ103" s="699"/>
      <c r="BA103" s="699"/>
      <c r="BB103" s="699"/>
      <c r="BC103" s="699"/>
      <c r="BD103" s="699"/>
      <c r="BE103" s="699"/>
      <c r="BF103" s="699"/>
      <c r="BG103" s="699"/>
      <c r="BH103" s="699"/>
      <c r="BI103" s="699"/>
      <c r="BJ103" s="699"/>
      <c r="BK103" s="699"/>
      <c r="BL103" s="699"/>
      <c r="BM103" s="699"/>
      <c r="BN103" s="699"/>
      <c r="BO103" s="699"/>
      <c r="BP103" s="699"/>
      <c r="BQ103" s="699"/>
      <c r="BR103" s="699"/>
      <c r="BS103" s="699"/>
      <c r="BT103" s="699"/>
      <c r="BU103" s="699"/>
      <c r="BV103" s="699"/>
      <c r="BW103" s="699"/>
      <c r="BX103" s="699"/>
      <c r="BY103" s="699"/>
      <c r="BZ103" s="699"/>
      <c r="CA103" s="699"/>
      <c r="CB103" s="696"/>
      <c r="CC103" s="696"/>
      <c r="CD103" s="696"/>
      <c r="CE103" s="696"/>
      <c r="CF103" s="696"/>
      <c r="CG103" s="696"/>
      <c r="CH103" s="696"/>
      <c r="CI103" s="696"/>
      <c r="CJ103" s="762"/>
      <c r="CK103" s="762"/>
      <c r="CL103" s="762"/>
      <c r="CM103" s="762"/>
      <c r="CN103" s="762"/>
      <c r="CO103" s="762"/>
      <c r="CP103" s="762"/>
      <c r="CQ103" s="762"/>
      <c r="CR103" s="762"/>
      <c r="CS103" s="762"/>
      <c r="CT103" s="762"/>
      <c r="CU103" s="762"/>
    </row>
    <row r="104" spans="1:100">
      <c r="AD104" s="699"/>
      <c r="AE104" s="699"/>
      <c r="AF104" s="699"/>
      <c r="AG104" s="699"/>
      <c r="AH104" s="699"/>
      <c r="AI104" s="699"/>
      <c r="AJ104" s="699"/>
      <c r="AK104" s="699"/>
      <c r="AL104" s="708"/>
      <c r="AM104" s="708"/>
      <c r="AN104" s="708"/>
      <c r="AO104" s="708"/>
      <c r="AP104" s="708"/>
      <c r="AQ104" s="708"/>
      <c r="AR104" s="708"/>
      <c r="AS104" s="708"/>
      <c r="AT104" s="708"/>
      <c r="AU104" s="708"/>
      <c r="AV104" s="708"/>
      <c r="AW104" s="708"/>
      <c r="AX104" s="708"/>
      <c r="AY104" s="708"/>
      <c r="AZ104" s="708"/>
      <c r="BA104" s="708"/>
      <c r="BB104" s="708"/>
      <c r="BC104" s="708"/>
      <c r="BD104" s="708"/>
      <c r="BE104" s="708"/>
      <c r="BF104" s="708"/>
      <c r="BG104" s="708"/>
      <c r="BH104" s="708"/>
      <c r="BI104" s="708"/>
      <c r="BJ104" s="708"/>
      <c r="BK104" s="708"/>
      <c r="BL104" s="708"/>
      <c r="BM104" s="708"/>
      <c r="BN104" s="708"/>
      <c r="BO104" s="708"/>
      <c r="BP104" s="708"/>
      <c r="BQ104" s="708"/>
      <c r="BR104" s="708"/>
      <c r="BS104" s="708"/>
      <c r="BT104" s="708"/>
      <c r="BU104" s="708"/>
      <c r="BV104" s="708"/>
      <c r="BW104" s="708"/>
      <c r="BX104" s="708"/>
      <c r="BY104" s="708"/>
      <c r="BZ104" s="708"/>
      <c r="CA104" s="708"/>
      <c r="CB104" s="696"/>
      <c r="CC104" s="696"/>
      <c r="CD104" s="696"/>
      <c r="CE104" s="696"/>
      <c r="CF104" s="696"/>
      <c r="CG104" s="696"/>
      <c r="CH104" s="696"/>
      <c r="CI104" s="696"/>
      <c r="CJ104" s="762"/>
      <c r="CK104" s="762"/>
      <c r="CL104" s="762"/>
      <c r="CM104" s="762"/>
      <c r="CN104" s="762"/>
      <c r="CO104" s="762"/>
      <c r="CP104" s="762"/>
      <c r="CQ104" s="762"/>
      <c r="CR104" s="762"/>
      <c r="CS104" s="762"/>
      <c r="CT104" s="762"/>
      <c r="CU104" s="762"/>
    </row>
    <row r="105" spans="1:100" s="688" customFormat="1">
      <c r="A105" s="687" t="s">
        <v>955</v>
      </c>
      <c r="B105" s="689"/>
      <c r="C105" s="689"/>
      <c r="D105" s="689"/>
      <c r="E105" s="689"/>
      <c r="F105" s="689"/>
      <c r="G105" s="689"/>
      <c r="H105" s="689"/>
      <c r="I105" s="689"/>
      <c r="J105" s="689"/>
      <c r="K105" s="689"/>
      <c r="L105" s="689"/>
      <c r="M105" s="689"/>
      <c r="N105" s="689"/>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t="str">
        <f t="shared" ref="AL105:BY105" si="166">AL2</f>
        <v>1Q19</v>
      </c>
      <c r="AM105" s="689" t="str">
        <f t="shared" si="166"/>
        <v>2Q19</v>
      </c>
      <c r="AN105" s="689" t="str">
        <f t="shared" si="166"/>
        <v>3Q19</v>
      </c>
      <c r="AO105" s="689" t="str">
        <f t="shared" si="166"/>
        <v>4Q19</v>
      </c>
      <c r="AP105" s="689" t="str">
        <f t="shared" si="166"/>
        <v>1Q20</v>
      </c>
      <c r="AQ105" s="689" t="str">
        <f t="shared" si="166"/>
        <v>2Q20</v>
      </c>
      <c r="AR105" s="689" t="str">
        <f t="shared" si="166"/>
        <v>3Q20</v>
      </c>
      <c r="AS105" s="689" t="str">
        <f t="shared" si="166"/>
        <v>4Q20</v>
      </c>
      <c r="AT105" s="689" t="str">
        <f t="shared" si="166"/>
        <v>1Q21</v>
      </c>
      <c r="AU105" s="689" t="str">
        <f t="shared" si="166"/>
        <v>2Q21</v>
      </c>
      <c r="AV105" s="689" t="str">
        <f t="shared" si="166"/>
        <v>3Q21</v>
      </c>
      <c r="AW105" s="689" t="str">
        <f t="shared" si="166"/>
        <v>4Q21</v>
      </c>
      <c r="AX105" s="689" t="str">
        <f t="shared" si="166"/>
        <v>1Q22</v>
      </c>
      <c r="AY105" s="689" t="str">
        <f t="shared" si="166"/>
        <v>2Q22</v>
      </c>
      <c r="AZ105" s="689" t="str">
        <f t="shared" si="166"/>
        <v>3Q22</v>
      </c>
      <c r="BA105" s="689" t="str">
        <f t="shared" si="166"/>
        <v>4Q22</v>
      </c>
      <c r="BB105" s="689" t="str">
        <f t="shared" si="166"/>
        <v>1Q23</v>
      </c>
      <c r="BC105" s="689" t="str">
        <f t="shared" si="166"/>
        <v>2Q23</v>
      </c>
      <c r="BD105" s="689" t="str">
        <f t="shared" si="166"/>
        <v>3Q23</v>
      </c>
      <c r="BE105" s="689" t="str">
        <f t="shared" si="166"/>
        <v>4Q23</v>
      </c>
      <c r="BF105" s="689" t="str">
        <f t="shared" si="166"/>
        <v>1Q24</v>
      </c>
      <c r="BG105" s="689" t="str">
        <f t="shared" si="166"/>
        <v>2Q24</v>
      </c>
      <c r="BH105" s="689" t="str">
        <f t="shared" si="166"/>
        <v>3Q24</v>
      </c>
      <c r="BI105" s="689" t="str">
        <f t="shared" si="166"/>
        <v>4Q24</v>
      </c>
      <c r="BJ105" s="689" t="str">
        <f t="shared" si="166"/>
        <v>1Q25</v>
      </c>
      <c r="BK105" s="689" t="str">
        <f t="shared" si="166"/>
        <v>2Q25</v>
      </c>
      <c r="BL105" s="689" t="str">
        <f t="shared" si="166"/>
        <v>3Q25</v>
      </c>
      <c r="BM105" s="689" t="str">
        <f t="shared" si="166"/>
        <v>4Q25</v>
      </c>
      <c r="BN105" s="689" t="str">
        <f t="shared" si="166"/>
        <v>1Q26</v>
      </c>
      <c r="BO105" s="689" t="str">
        <f t="shared" si="166"/>
        <v>2Q26</v>
      </c>
      <c r="BP105" s="689" t="str">
        <f t="shared" si="166"/>
        <v>3Q26</v>
      </c>
      <c r="BQ105" s="689" t="str">
        <f t="shared" si="166"/>
        <v>4Q26</v>
      </c>
      <c r="BR105" s="689" t="str">
        <f t="shared" si="166"/>
        <v>1Q27</v>
      </c>
      <c r="BS105" s="689" t="str">
        <f t="shared" si="166"/>
        <v>2Q27</v>
      </c>
      <c r="BT105" s="689" t="str">
        <f t="shared" si="166"/>
        <v>3Q27</v>
      </c>
      <c r="BU105" s="689" t="str">
        <f t="shared" si="166"/>
        <v>4Q27</v>
      </c>
      <c r="BV105" s="689" t="str">
        <f t="shared" si="166"/>
        <v>1Q28</v>
      </c>
      <c r="BW105" s="689" t="str">
        <f t="shared" si="166"/>
        <v>2Q28</v>
      </c>
      <c r="BX105" s="689" t="str">
        <f t="shared" si="166"/>
        <v>3Q28</v>
      </c>
      <c r="BY105" s="689" t="str">
        <f t="shared" si="166"/>
        <v>4Q28</v>
      </c>
      <c r="BZ105" s="689"/>
      <c r="CA105" s="689"/>
    </row>
    <row r="106" spans="1:100">
      <c r="A106" s="694" t="s">
        <v>958</v>
      </c>
      <c r="AL106" s="694">
        <f>Assumption!J122/3/2.25</f>
        <v>0</v>
      </c>
      <c r="AM106" s="694">
        <f>Assumption!K122/3/2.25</f>
        <v>0</v>
      </c>
      <c r="AN106" s="694">
        <f>Assumption!L122/3/2.25</f>
        <v>0</v>
      </c>
      <c r="AO106" s="694">
        <f>Assumption!M122/3/2.25</f>
        <v>3</v>
      </c>
      <c r="AP106" s="694">
        <f>Assumption!N122/3/2.25</f>
        <v>4</v>
      </c>
      <c r="AQ106" s="694">
        <f>Assumption!O122/3/2.25</f>
        <v>6</v>
      </c>
      <c r="AR106" s="694">
        <f>Assumption!P122/3/2.25</f>
        <v>9</v>
      </c>
      <c r="AS106" s="694">
        <f>Assumption!Q122/3/2.25</f>
        <v>15</v>
      </c>
      <c r="AT106" s="694">
        <f>Assumption!R122/3/2.25</f>
        <v>15</v>
      </c>
      <c r="AU106" s="694">
        <f>Assumption!S122/3/2.25</f>
        <v>15</v>
      </c>
      <c r="AV106" s="694">
        <f>Assumption!T122/3/2.25</f>
        <v>15</v>
      </c>
      <c r="AW106" s="694">
        <f>Assumption!U122/3/2.25</f>
        <v>15</v>
      </c>
      <c r="AX106" s="694">
        <f>Assumption!V122/3/2.25</f>
        <v>15</v>
      </c>
      <c r="AY106" s="694">
        <f>Assumption!W122/3/2.25</f>
        <v>15</v>
      </c>
      <c r="AZ106" s="694">
        <f>Assumption!X122/3/2.25</f>
        <v>15</v>
      </c>
      <c r="BA106" s="694">
        <f>Assumption!Y122/3/2.25</f>
        <v>15</v>
      </c>
      <c r="BB106" s="694">
        <f>Assumption!Z122/3/2.25</f>
        <v>15</v>
      </c>
      <c r="BC106" s="694">
        <f>Assumption!AA122/3/2.25</f>
        <v>15</v>
      </c>
      <c r="BD106" s="694">
        <f>Assumption!AB122/3/2.25</f>
        <v>15</v>
      </c>
      <c r="BE106" s="694">
        <f>Assumption!AC122/3/2.25</f>
        <v>15</v>
      </c>
      <c r="BF106" s="694">
        <f>Assumption!AD122/3/2.25</f>
        <v>15</v>
      </c>
      <c r="BG106" s="694">
        <f>Assumption!AE122/3/2.25</f>
        <v>15</v>
      </c>
      <c r="BH106" s="694">
        <f>Assumption!AF122/3/2.25</f>
        <v>15</v>
      </c>
      <c r="BI106" s="694">
        <f>Assumption!AG122/3/2.25</f>
        <v>15</v>
      </c>
      <c r="BJ106" s="694">
        <f>Assumption!AH122/3/2.25</f>
        <v>15</v>
      </c>
      <c r="BK106" s="694">
        <f>Assumption!AI122/3/2.25</f>
        <v>15</v>
      </c>
      <c r="BL106" s="694">
        <f>Assumption!AJ122/3/2.25</f>
        <v>15</v>
      </c>
      <c r="BM106" s="694">
        <f>Assumption!AK122/3/2.25</f>
        <v>15</v>
      </c>
      <c r="BN106" s="694">
        <f>Assumption!AL122/3/2.25</f>
        <v>15</v>
      </c>
      <c r="BO106" s="694">
        <f>Assumption!AM122/3/2.25</f>
        <v>15</v>
      </c>
      <c r="BP106" s="694">
        <f>Assumption!AN122/3/2.25</f>
        <v>15</v>
      </c>
      <c r="BQ106" s="694">
        <f>Assumption!AO122/3/2.25</f>
        <v>15</v>
      </c>
      <c r="BR106" s="694">
        <f>Assumption!AP122/3/2.25</f>
        <v>15</v>
      </c>
      <c r="BS106" s="694">
        <f>Assumption!AQ122/3/2.25</f>
        <v>15</v>
      </c>
      <c r="BT106" s="694">
        <f>Assumption!AR122/3/2.25</f>
        <v>15</v>
      </c>
      <c r="BU106" s="694">
        <f>Assumption!AS122/3/2.25</f>
        <v>15</v>
      </c>
      <c r="BV106" s="694">
        <f>Assumption!AT122/3/2.25</f>
        <v>15</v>
      </c>
      <c r="BW106" s="694">
        <f>Assumption!AU122/3/2.25</f>
        <v>15</v>
      </c>
      <c r="BX106" s="694">
        <f>Assumption!AV122/3/2.25</f>
        <v>15</v>
      </c>
      <c r="BY106" s="694">
        <f>Assumption!AW122/3/2.25</f>
        <v>15</v>
      </c>
    </row>
    <row r="107" spans="1:100">
      <c r="A107" s="694" t="s">
        <v>825</v>
      </c>
      <c r="AM107" s="694">
        <f>AM106-AL106</f>
        <v>0</v>
      </c>
      <c r="AN107" s="694">
        <f>AN106-AM106</f>
        <v>0</v>
      </c>
      <c r="AO107" s="694">
        <f t="shared" ref="AO107:AW107" si="167">AO106-AN106</f>
        <v>3</v>
      </c>
      <c r="AP107" s="694">
        <f t="shared" si="167"/>
        <v>1</v>
      </c>
      <c r="AQ107" s="694">
        <f t="shared" si="167"/>
        <v>2</v>
      </c>
      <c r="AR107" s="694">
        <f t="shared" si="167"/>
        <v>3</v>
      </c>
      <c r="AS107" s="694">
        <f t="shared" si="167"/>
        <v>6</v>
      </c>
      <c r="AT107" s="694">
        <f t="shared" si="167"/>
        <v>0</v>
      </c>
      <c r="AU107" s="694">
        <f t="shared" si="167"/>
        <v>0</v>
      </c>
      <c r="AV107" s="694">
        <f t="shared" si="167"/>
        <v>0</v>
      </c>
      <c r="AW107" s="694">
        <f t="shared" si="167"/>
        <v>0</v>
      </c>
      <c r="AX107" s="694">
        <f t="shared" ref="AX107:BI107" si="168">AX106-AW106</f>
        <v>0</v>
      </c>
      <c r="AY107" s="694">
        <f t="shared" si="168"/>
        <v>0</v>
      </c>
      <c r="AZ107" s="694">
        <f t="shared" si="168"/>
        <v>0</v>
      </c>
      <c r="BA107" s="694">
        <f t="shared" si="168"/>
        <v>0</v>
      </c>
      <c r="BB107" s="694">
        <f t="shared" si="168"/>
        <v>0</v>
      </c>
      <c r="BC107" s="694">
        <f t="shared" si="168"/>
        <v>0</v>
      </c>
      <c r="BD107" s="694">
        <f t="shared" si="168"/>
        <v>0</v>
      </c>
      <c r="BE107" s="694">
        <f t="shared" si="168"/>
        <v>0</v>
      </c>
      <c r="BF107" s="694">
        <f t="shared" si="168"/>
        <v>0</v>
      </c>
      <c r="BG107" s="694">
        <f t="shared" si="168"/>
        <v>0</v>
      </c>
      <c r="BH107" s="694">
        <f t="shared" si="168"/>
        <v>0</v>
      </c>
      <c r="BI107" s="694">
        <f t="shared" si="168"/>
        <v>0</v>
      </c>
      <c r="BJ107" s="694">
        <f t="shared" ref="BJ107:BQ107" si="169">BJ106-BI106</f>
        <v>0</v>
      </c>
      <c r="BK107" s="694">
        <f t="shared" si="169"/>
        <v>0</v>
      </c>
      <c r="BL107" s="694">
        <f t="shared" si="169"/>
        <v>0</v>
      </c>
      <c r="BM107" s="694">
        <f t="shared" si="169"/>
        <v>0</v>
      </c>
      <c r="BN107" s="694">
        <f t="shared" si="169"/>
        <v>0</v>
      </c>
      <c r="BO107" s="694">
        <f t="shared" si="169"/>
        <v>0</v>
      </c>
      <c r="BP107" s="694">
        <f t="shared" si="169"/>
        <v>0</v>
      </c>
      <c r="BQ107" s="694">
        <f t="shared" si="169"/>
        <v>0</v>
      </c>
      <c r="BR107" s="694">
        <f t="shared" ref="BR107" si="170">BR106-BQ106</f>
        <v>0</v>
      </c>
      <c r="BS107" s="694">
        <f t="shared" ref="BS107" si="171">BS106-BR106</f>
        <v>0</v>
      </c>
      <c r="BT107" s="694">
        <f t="shared" ref="BT107" si="172">BT106-BS106</f>
        <v>0</v>
      </c>
      <c r="BU107" s="694">
        <f t="shared" ref="BU107" si="173">BU106-BT106</f>
        <v>0</v>
      </c>
      <c r="BV107" s="694">
        <f t="shared" ref="BV107" si="174">BV106-BU106</f>
        <v>0</v>
      </c>
      <c r="BW107" s="694">
        <f t="shared" ref="BW107" si="175">BW106-BV106</f>
        <v>0</v>
      </c>
      <c r="BX107" s="694">
        <f t="shared" ref="BX107" si="176">BX106-BW106</f>
        <v>0</v>
      </c>
      <c r="BY107" s="694">
        <f t="shared" ref="BY107" si="177">BY106-BX106</f>
        <v>0</v>
      </c>
    </row>
    <row r="108" spans="1:100">
      <c r="A108" s="694" t="s">
        <v>826</v>
      </c>
      <c r="AL108" s="712">
        <v>130</v>
      </c>
      <c r="AM108" s="694">
        <f>AL108</f>
        <v>130</v>
      </c>
      <c r="AN108" s="694">
        <f t="shared" ref="AN108:AW108" si="178">AM108</f>
        <v>130</v>
      </c>
      <c r="AO108" s="694">
        <f t="shared" si="178"/>
        <v>130</v>
      </c>
      <c r="AP108" s="694">
        <f t="shared" si="178"/>
        <v>130</v>
      </c>
      <c r="AQ108" s="694">
        <f t="shared" si="178"/>
        <v>130</v>
      </c>
      <c r="AR108" s="694">
        <f t="shared" si="178"/>
        <v>130</v>
      </c>
      <c r="AS108" s="694">
        <f t="shared" si="178"/>
        <v>130</v>
      </c>
      <c r="AT108" s="694">
        <f t="shared" si="178"/>
        <v>130</v>
      </c>
      <c r="AU108" s="694">
        <f t="shared" si="178"/>
        <v>130</v>
      </c>
      <c r="AV108" s="694">
        <f t="shared" si="178"/>
        <v>130</v>
      </c>
      <c r="AW108" s="694">
        <f t="shared" si="178"/>
        <v>130</v>
      </c>
      <c r="AX108" s="694">
        <f t="shared" ref="AX108:BI108" si="179">AW108</f>
        <v>130</v>
      </c>
      <c r="AY108" s="694">
        <f t="shared" si="179"/>
        <v>130</v>
      </c>
      <c r="AZ108" s="694">
        <f t="shared" si="179"/>
        <v>130</v>
      </c>
      <c r="BA108" s="694">
        <f t="shared" si="179"/>
        <v>130</v>
      </c>
      <c r="BB108" s="694">
        <f t="shared" si="179"/>
        <v>130</v>
      </c>
      <c r="BC108" s="694">
        <f t="shared" si="179"/>
        <v>130</v>
      </c>
      <c r="BD108" s="694">
        <f t="shared" si="179"/>
        <v>130</v>
      </c>
      <c r="BE108" s="694">
        <f t="shared" si="179"/>
        <v>130</v>
      </c>
      <c r="BF108" s="694">
        <f t="shared" si="179"/>
        <v>130</v>
      </c>
      <c r="BG108" s="694">
        <f t="shared" si="179"/>
        <v>130</v>
      </c>
      <c r="BH108" s="694">
        <f t="shared" si="179"/>
        <v>130</v>
      </c>
      <c r="BI108" s="694">
        <f t="shared" si="179"/>
        <v>130</v>
      </c>
      <c r="BJ108" s="694">
        <f t="shared" ref="BJ108:BQ108" si="180">BI108</f>
        <v>130</v>
      </c>
      <c r="BK108" s="694">
        <f t="shared" si="180"/>
        <v>130</v>
      </c>
      <c r="BL108" s="694">
        <f t="shared" si="180"/>
        <v>130</v>
      </c>
      <c r="BM108" s="694">
        <f t="shared" si="180"/>
        <v>130</v>
      </c>
      <c r="BN108" s="694">
        <f t="shared" si="180"/>
        <v>130</v>
      </c>
      <c r="BO108" s="694">
        <f t="shared" si="180"/>
        <v>130</v>
      </c>
      <c r="BP108" s="694">
        <f t="shared" si="180"/>
        <v>130</v>
      </c>
      <c r="BQ108" s="694">
        <f t="shared" si="180"/>
        <v>130</v>
      </c>
      <c r="BR108" s="694">
        <f t="shared" ref="BR108" si="181">BQ108</f>
        <v>130</v>
      </c>
      <c r="BS108" s="694">
        <f t="shared" ref="BS108" si="182">BR108</f>
        <v>130</v>
      </c>
      <c r="BT108" s="694">
        <f t="shared" ref="BT108" si="183">BS108</f>
        <v>130</v>
      </c>
      <c r="BU108" s="694">
        <f t="shared" ref="BU108" si="184">BT108</f>
        <v>130</v>
      </c>
      <c r="BV108" s="694">
        <f t="shared" ref="BV108" si="185">BU108</f>
        <v>130</v>
      </c>
      <c r="BW108" s="694">
        <f t="shared" ref="BW108" si="186">BV108</f>
        <v>130</v>
      </c>
      <c r="BX108" s="694">
        <f t="shared" ref="BX108" si="187">BW108</f>
        <v>130</v>
      </c>
      <c r="BY108" s="694">
        <f t="shared" ref="BY108" si="188">BX108</f>
        <v>130</v>
      </c>
    </row>
    <row r="109" spans="1:100">
      <c r="A109" s="694" t="s">
        <v>818</v>
      </c>
      <c r="AL109" s="713"/>
      <c r="AM109" s="694">
        <f t="shared" ref="AM109:AW109" si="189">AM108*AM107</f>
        <v>0</v>
      </c>
      <c r="AN109" s="694">
        <f t="shared" si="189"/>
        <v>0</v>
      </c>
      <c r="AO109" s="694">
        <f t="shared" si="189"/>
        <v>390</v>
      </c>
      <c r="AP109" s="694">
        <f t="shared" si="189"/>
        <v>130</v>
      </c>
      <c r="AQ109" s="694">
        <f t="shared" si="189"/>
        <v>260</v>
      </c>
      <c r="AR109" s="694">
        <f t="shared" si="189"/>
        <v>390</v>
      </c>
      <c r="AS109" s="694">
        <f t="shared" si="189"/>
        <v>780</v>
      </c>
      <c r="AT109" s="694">
        <f t="shared" si="189"/>
        <v>0</v>
      </c>
      <c r="AU109" s="694">
        <f t="shared" si="189"/>
        <v>0</v>
      </c>
      <c r="AV109" s="694">
        <f t="shared" si="189"/>
        <v>0</v>
      </c>
      <c r="AW109" s="694">
        <f t="shared" si="189"/>
        <v>0</v>
      </c>
      <c r="AX109" s="694">
        <f t="shared" ref="AX109:BI109" si="190">AX108*AX107</f>
        <v>0</v>
      </c>
      <c r="AY109" s="694">
        <f t="shared" si="190"/>
        <v>0</v>
      </c>
      <c r="AZ109" s="694">
        <f t="shared" si="190"/>
        <v>0</v>
      </c>
      <c r="BA109" s="694">
        <f t="shared" si="190"/>
        <v>0</v>
      </c>
      <c r="BB109" s="694">
        <f t="shared" si="190"/>
        <v>0</v>
      </c>
      <c r="BC109" s="694">
        <f t="shared" si="190"/>
        <v>0</v>
      </c>
      <c r="BD109" s="694">
        <f t="shared" si="190"/>
        <v>0</v>
      </c>
      <c r="BE109" s="694">
        <f t="shared" si="190"/>
        <v>0</v>
      </c>
      <c r="BF109" s="694">
        <f t="shared" si="190"/>
        <v>0</v>
      </c>
      <c r="BG109" s="694">
        <f t="shared" si="190"/>
        <v>0</v>
      </c>
      <c r="BH109" s="694">
        <f t="shared" si="190"/>
        <v>0</v>
      </c>
      <c r="BI109" s="694">
        <f t="shared" si="190"/>
        <v>0</v>
      </c>
      <c r="BJ109" s="694">
        <f t="shared" ref="BJ109:BQ109" si="191">BJ108*BJ107</f>
        <v>0</v>
      </c>
      <c r="BK109" s="694">
        <f t="shared" si="191"/>
        <v>0</v>
      </c>
      <c r="BL109" s="694">
        <f t="shared" si="191"/>
        <v>0</v>
      </c>
      <c r="BM109" s="694">
        <f t="shared" si="191"/>
        <v>0</v>
      </c>
      <c r="BN109" s="694">
        <f t="shared" si="191"/>
        <v>0</v>
      </c>
      <c r="BO109" s="694">
        <f t="shared" si="191"/>
        <v>0</v>
      </c>
      <c r="BP109" s="694">
        <f t="shared" si="191"/>
        <v>0</v>
      </c>
      <c r="BQ109" s="694">
        <f t="shared" si="191"/>
        <v>0</v>
      </c>
      <c r="BR109" s="694">
        <f t="shared" ref="BR109:BU109" si="192">BR108*BR107</f>
        <v>0</v>
      </c>
      <c r="BS109" s="694">
        <f t="shared" si="192"/>
        <v>0</v>
      </c>
      <c r="BT109" s="694">
        <f t="shared" si="192"/>
        <v>0</v>
      </c>
      <c r="BU109" s="694">
        <f t="shared" si="192"/>
        <v>0</v>
      </c>
      <c r="BV109" s="694">
        <f t="shared" ref="BV109:BY109" si="193">BV108*BV107</f>
        <v>0</v>
      </c>
      <c r="BW109" s="694">
        <f t="shared" si="193"/>
        <v>0</v>
      </c>
      <c r="BX109" s="694">
        <f t="shared" si="193"/>
        <v>0</v>
      </c>
      <c r="BY109" s="694">
        <f t="shared" si="193"/>
        <v>0</v>
      </c>
      <c r="CL109" s="693">
        <f>SUM(AL109:AO109)</f>
        <v>390</v>
      </c>
      <c r="CM109" s="693">
        <f>SUM(AP109:AS109)</f>
        <v>1560</v>
      </c>
      <c r="CN109" s="693">
        <f>SUM(AT109:AW109)</f>
        <v>0</v>
      </c>
      <c r="CO109" s="693">
        <f>SUM(AX109:BA109)</f>
        <v>0</v>
      </c>
      <c r="CP109" s="693">
        <f>SUM(BB109:BE109)</f>
        <v>0</v>
      </c>
      <c r="CQ109" s="693">
        <f>SUM(BF109:BI109)</f>
        <v>0</v>
      </c>
      <c r="CR109" s="693">
        <f>SUM(BG109:BJ109)</f>
        <v>0</v>
      </c>
    </row>
    <row r="110" spans="1:100">
      <c r="CJ110" s="693"/>
      <c r="CK110" s="693"/>
      <c r="CS110" s="693"/>
      <c r="CT110" s="693"/>
      <c r="CU110" s="693"/>
    </row>
    <row r="111" spans="1:100">
      <c r="A111" s="701" t="s">
        <v>821</v>
      </c>
    </row>
    <row r="112" spans="1:100">
      <c r="A112" s="694" t="s">
        <v>286</v>
      </c>
      <c r="AO112" s="700">
        <f>AO$109/28</f>
        <v>13.928571428571429</v>
      </c>
      <c r="AP112" s="711">
        <f>AO112</f>
        <v>13.928571428571429</v>
      </c>
      <c r="AQ112" s="711">
        <f t="shared" ref="AQ112:AW119" si="194">AP112</f>
        <v>13.928571428571429</v>
      </c>
      <c r="AR112" s="711">
        <f t="shared" si="194"/>
        <v>13.928571428571429</v>
      </c>
      <c r="AS112" s="711">
        <f t="shared" si="194"/>
        <v>13.928571428571429</v>
      </c>
      <c r="AT112" s="711">
        <f t="shared" si="194"/>
        <v>13.928571428571429</v>
      </c>
      <c r="AU112" s="711">
        <f t="shared" si="194"/>
        <v>13.928571428571429</v>
      </c>
      <c r="AV112" s="711">
        <f t="shared" si="194"/>
        <v>13.928571428571429</v>
      </c>
      <c r="AW112" s="711">
        <f t="shared" si="194"/>
        <v>13.928571428571429</v>
      </c>
      <c r="AX112" s="711">
        <f t="shared" ref="AX112:BA115" si="195">AW112</f>
        <v>13.928571428571429</v>
      </c>
      <c r="AY112" s="711">
        <f t="shared" si="195"/>
        <v>13.928571428571429</v>
      </c>
      <c r="AZ112" s="711">
        <f t="shared" si="195"/>
        <v>13.928571428571429</v>
      </c>
      <c r="BA112" s="711">
        <f t="shared" si="195"/>
        <v>13.928571428571429</v>
      </c>
      <c r="BB112" s="711">
        <f t="shared" ref="BB112:BB120" si="196">BA112</f>
        <v>13.928571428571429</v>
      </c>
      <c r="BC112" s="711">
        <f t="shared" ref="BC112:BC120" si="197">BB112</f>
        <v>13.928571428571429</v>
      </c>
      <c r="BD112" s="711">
        <f t="shared" ref="BD112:BD120" si="198">BC112</f>
        <v>13.928571428571429</v>
      </c>
      <c r="BE112" s="711">
        <f t="shared" ref="BE112:BE120" si="199">BD112</f>
        <v>13.928571428571429</v>
      </c>
      <c r="BF112" s="711">
        <f t="shared" ref="BF112:BF124" si="200">BE112</f>
        <v>13.928571428571429</v>
      </c>
      <c r="BG112" s="711">
        <f t="shared" ref="BG112:BG124" si="201">BF112</f>
        <v>13.928571428571429</v>
      </c>
      <c r="BH112" s="711">
        <f t="shared" ref="BH112:BH124" si="202">BG112</f>
        <v>13.928571428571429</v>
      </c>
      <c r="BI112" s="711">
        <f t="shared" ref="BI112:BI124" si="203">BH112</f>
        <v>13.928571428571429</v>
      </c>
      <c r="BJ112" s="711">
        <f t="shared" ref="BJ112:BJ126" si="204">BI112</f>
        <v>13.928571428571429</v>
      </c>
      <c r="BK112" s="711">
        <f t="shared" ref="BK112:BK126" si="205">BJ112</f>
        <v>13.928571428571429</v>
      </c>
      <c r="BL112" s="711">
        <f t="shared" ref="BL112:BL126" si="206">BK112</f>
        <v>13.928571428571429</v>
      </c>
      <c r="BM112" s="711">
        <f t="shared" ref="BM112:BM126" si="207">BL112</f>
        <v>13.928571428571429</v>
      </c>
      <c r="BN112" s="711">
        <f t="shared" ref="BN112:BN135" si="208">BM112</f>
        <v>13.928571428571429</v>
      </c>
      <c r="BO112" s="711">
        <f t="shared" ref="BO112:BO135" si="209">BN112</f>
        <v>13.928571428571429</v>
      </c>
      <c r="BP112" s="711">
        <f t="shared" ref="BP112:BP135" si="210">BO112</f>
        <v>13.928571428571429</v>
      </c>
      <c r="BQ112" s="711"/>
      <c r="BR112" s="711"/>
      <c r="BS112" s="711"/>
      <c r="BT112" s="711"/>
      <c r="BU112" s="711"/>
      <c r="BV112" s="711"/>
      <c r="BW112" s="711"/>
      <c r="BX112" s="711"/>
      <c r="BY112" s="711"/>
      <c r="BZ112" s="711"/>
      <c r="CA112" s="711"/>
    </row>
    <row r="113" spans="1:79">
      <c r="A113" s="694" t="s">
        <v>417</v>
      </c>
      <c r="AP113" s="700">
        <f>AP$109/28</f>
        <v>4.6428571428571432</v>
      </c>
      <c r="AQ113" s="711">
        <f t="shared" si="194"/>
        <v>4.6428571428571432</v>
      </c>
      <c r="AR113" s="711">
        <f t="shared" si="194"/>
        <v>4.6428571428571432</v>
      </c>
      <c r="AS113" s="711">
        <f t="shared" si="194"/>
        <v>4.6428571428571432</v>
      </c>
      <c r="AT113" s="711">
        <f t="shared" si="194"/>
        <v>4.6428571428571432</v>
      </c>
      <c r="AU113" s="711">
        <f t="shared" si="194"/>
        <v>4.6428571428571432</v>
      </c>
      <c r="AV113" s="711">
        <f t="shared" si="194"/>
        <v>4.6428571428571432</v>
      </c>
      <c r="AW113" s="711">
        <f t="shared" si="194"/>
        <v>4.6428571428571432</v>
      </c>
      <c r="AX113" s="711">
        <f t="shared" si="195"/>
        <v>4.6428571428571432</v>
      </c>
      <c r="AY113" s="711">
        <f t="shared" si="195"/>
        <v>4.6428571428571432</v>
      </c>
      <c r="AZ113" s="711">
        <f t="shared" si="195"/>
        <v>4.6428571428571432</v>
      </c>
      <c r="BA113" s="711">
        <f t="shared" si="195"/>
        <v>4.6428571428571432</v>
      </c>
      <c r="BB113" s="711">
        <f t="shared" si="196"/>
        <v>4.6428571428571432</v>
      </c>
      <c r="BC113" s="711">
        <f t="shared" si="197"/>
        <v>4.6428571428571432</v>
      </c>
      <c r="BD113" s="711">
        <f t="shared" si="198"/>
        <v>4.6428571428571432</v>
      </c>
      <c r="BE113" s="711">
        <f t="shared" si="199"/>
        <v>4.6428571428571432</v>
      </c>
      <c r="BF113" s="711">
        <f t="shared" si="200"/>
        <v>4.6428571428571432</v>
      </c>
      <c r="BG113" s="711">
        <f t="shared" si="201"/>
        <v>4.6428571428571432</v>
      </c>
      <c r="BH113" s="711">
        <f t="shared" si="202"/>
        <v>4.6428571428571432</v>
      </c>
      <c r="BI113" s="711">
        <f t="shared" si="203"/>
        <v>4.6428571428571432</v>
      </c>
      <c r="BJ113" s="711">
        <f t="shared" si="204"/>
        <v>4.6428571428571432</v>
      </c>
      <c r="BK113" s="711">
        <f t="shared" si="205"/>
        <v>4.6428571428571432</v>
      </c>
      <c r="BL113" s="711">
        <f t="shared" si="206"/>
        <v>4.6428571428571432</v>
      </c>
      <c r="BM113" s="711">
        <f t="shared" si="207"/>
        <v>4.6428571428571432</v>
      </c>
      <c r="BN113" s="711">
        <f t="shared" si="208"/>
        <v>4.6428571428571432</v>
      </c>
      <c r="BO113" s="711">
        <f t="shared" si="209"/>
        <v>4.6428571428571432</v>
      </c>
      <c r="BP113" s="711">
        <f t="shared" si="210"/>
        <v>4.6428571428571432</v>
      </c>
      <c r="BQ113" s="711">
        <f t="shared" ref="BQ113:BQ135" si="211">BP113</f>
        <v>4.6428571428571432</v>
      </c>
      <c r="BR113" s="711"/>
      <c r="BS113" s="711"/>
      <c r="BT113" s="711"/>
      <c r="BU113" s="711"/>
      <c r="BV113" s="711"/>
      <c r="BW113" s="711"/>
      <c r="BX113" s="711"/>
      <c r="BY113" s="711"/>
      <c r="BZ113" s="711"/>
      <c r="CA113" s="711"/>
    </row>
    <row r="114" spans="1:79">
      <c r="A114" s="694" t="s">
        <v>418</v>
      </c>
      <c r="AQ114" s="700">
        <f>AQ$109/28</f>
        <v>9.2857142857142865</v>
      </c>
      <c r="AR114" s="711">
        <f t="shared" si="194"/>
        <v>9.2857142857142865</v>
      </c>
      <c r="AS114" s="711">
        <f t="shared" si="194"/>
        <v>9.2857142857142865</v>
      </c>
      <c r="AT114" s="711">
        <f t="shared" si="194"/>
        <v>9.2857142857142865</v>
      </c>
      <c r="AU114" s="711">
        <f t="shared" si="194"/>
        <v>9.2857142857142865</v>
      </c>
      <c r="AV114" s="711">
        <f t="shared" si="194"/>
        <v>9.2857142857142865</v>
      </c>
      <c r="AW114" s="711">
        <f t="shared" si="194"/>
        <v>9.2857142857142865</v>
      </c>
      <c r="AX114" s="711">
        <f t="shared" si="195"/>
        <v>9.2857142857142865</v>
      </c>
      <c r="AY114" s="711">
        <f t="shared" si="195"/>
        <v>9.2857142857142865</v>
      </c>
      <c r="AZ114" s="711">
        <f t="shared" si="195"/>
        <v>9.2857142857142865</v>
      </c>
      <c r="BA114" s="711">
        <f t="shared" si="195"/>
        <v>9.2857142857142865</v>
      </c>
      <c r="BB114" s="711">
        <f t="shared" si="196"/>
        <v>9.2857142857142865</v>
      </c>
      <c r="BC114" s="711">
        <f t="shared" si="197"/>
        <v>9.2857142857142865</v>
      </c>
      <c r="BD114" s="711">
        <f t="shared" si="198"/>
        <v>9.2857142857142865</v>
      </c>
      <c r="BE114" s="711">
        <f t="shared" si="199"/>
        <v>9.2857142857142865</v>
      </c>
      <c r="BF114" s="711">
        <f t="shared" si="200"/>
        <v>9.2857142857142865</v>
      </c>
      <c r="BG114" s="711">
        <f t="shared" si="201"/>
        <v>9.2857142857142865</v>
      </c>
      <c r="BH114" s="711">
        <f t="shared" si="202"/>
        <v>9.2857142857142865</v>
      </c>
      <c r="BI114" s="711">
        <f t="shared" si="203"/>
        <v>9.2857142857142865</v>
      </c>
      <c r="BJ114" s="711">
        <f t="shared" si="204"/>
        <v>9.2857142857142865</v>
      </c>
      <c r="BK114" s="711">
        <f t="shared" si="205"/>
        <v>9.2857142857142865</v>
      </c>
      <c r="BL114" s="711">
        <f t="shared" si="206"/>
        <v>9.2857142857142865</v>
      </c>
      <c r="BM114" s="711">
        <f t="shared" si="207"/>
        <v>9.2857142857142865</v>
      </c>
      <c r="BN114" s="711">
        <f t="shared" si="208"/>
        <v>9.2857142857142865</v>
      </c>
      <c r="BO114" s="711">
        <f t="shared" si="209"/>
        <v>9.2857142857142865</v>
      </c>
      <c r="BP114" s="711">
        <f t="shared" si="210"/>
        <v>9.2857142857142865</v>
      </c>
      <c r="BQ114" s="711">
        <f t="shared" si="211"/>
        <v>9.2857142857142865</v>
      </c>
      <c r="BR114" s="711">
        <f t="shared" ref="BR114:BR128" si="212">BQ114</f>
        <v>9.2857142857142865</v>
      </c>
      <c r="BS114" s="711"/>
      <c r="BT114" s="711"/>
      <c r="BU114" s="711"/>
      <c r="BV114" s="711"/>
      <c r="BW114" s="711"/>
      <c r="BX114" s="711"/>
      <c r="BY114" s="711"/>
      <c r="BZ114" s="711"/>
      <c r="CA114" s="711"/>
    </row>
    <row r="115" spans="1:79">
      <c r="A115" s="694" t="s">
        <v>419</v>
      </c>
      <c r="AR115" s="700">
        <f>AR$109/28</f>
        <v>13.928571428571429</v>
      </c>
      <c r="AS115" s="711">
        <f t="shared" si="194"/>
        <v>13.928571428571429</v>
      </c>
      <c r="AT115" s="711">
        <f t="shared" si="194"/>
        <v>13.928571428571429</v>
      </c>
      <c r="AU115" s="711">
        <f t="shared" si="194"/>
        <v>13.928571428571429</v>
      </c>
      <c r="AV115" s="711">
        <f t="shared" si="194"/>
        <v>13.928571428571429</v>
      </c>
      <c r="AW115" s="711">
        <f t="shared" si="194"/>
        <v>13.928571428571429</v>
      </c>
      <c r="AX115" s="711">
        <f t="shared" si="195"/>
        <v>13.928571428571429</v>
      </c>
      <c r="AY115" s="711">
        <f t="shared" si="195"/>
        <v>13.928571428571429</v>
      </c>
      <c r="AZ115" s="711">
        <f t="shared" si="195"/>
        <v>13.928571428571429</v>
      </c>
      <c r="BA115" s="711">
        <f t="shared" si="195"/>
        <v>13.928571428571429</v>
      </c>
      <c r="BB115" s="711">
        <f t="shared" si="196"/>
        <v>13.928571428571429</v>
      </c>
      <c r="BC115" s="711">
        <f t="shared" si="197"/>
        <v>13.928571428571429</v>
      </c>
      <c r="BD115" s="711">
        <f t="shared" si="198"/>
        <v>13.928571428571429</v>
      </c>
      <c r="BE115" s="711">
        <f t="shared" si="199"/>
        <v>13.928571428571429</v>
      </c>
      <c r="BF115" s="711">
        <f t="shared" si="200"/>
        <v>13.928571428571429</v>
      </c>
      <c r="BG115" s="711">
        <f t="shared" si="201"/>
        <v>13.928571428571429</v>
      </c>
      <c r="BH115" s="711">
        <f t="shared" si="202"/>
        <v>13.928571428571429</v>
      </c>
      <c r="BI115" s="711">
        <f t="shared" si="203"/>
        <v>13.928571428571429</v>
      </c>
      <c r="BJ115" s="711">
        <f t="shared" si="204"/>
        <v>13.928571428571429</v>
      </c>
      <c r="BK115" s="711">
        <f t="shared" si="205"/>
        <v>13.928571428571429</v>
      </c>
      <c r="BL115" s="711">
        <f t="shared" si="206"/>
        <v>13.928571428571429</v>
      </c>
      <c r="BM115" s="711">
        <f t="shared" si="207"/>
        <v>13.928571428571429</v>
      </c>
      <c r="BN115" s="711">
        <f t="shared" si="208"/>
        <v>13.928571428571429</v>
      </c>
      <c r="BO115" s="711">
        <f t="shared" si="209"/>
        <v>13.928571428571429</v>
      </c>
      <c r="BP115" s="711">
        <f t="shared" si="210"/>
        <v>13.928571428571429</v>
      </c>
      <c r="BQ115" s="711">
        <f t="shared" si="211"/>
        <v>13.928571428571429</v>
      </c>
      <c r="BR115" s="711">
        <f t="shared" si="212"/>
        <v>13.928571428571429</v>
      </c>
      <c r="BS115" s="711">
        <f t="shared" ref="BS115:BS128" si="213">BR115</f>
        <v>13.928571428571429</v>
      </c>
      <c r="BT115" s="711"/>
      <c r="BU115" s="711"/>
      <c r="BV115" s="711"/>
      <c r="BW115" s="711"/>
      <c r="BX115" s="711"/>
      <c r="BY115" s="711"/>
      <c r="BZ115" s="711"/>
      <c r="CA115" s="711"/>
    </row>
    <row r="116" spans="1:79">
      <c r="A116" s="694" t="s">
        <v>420</v>
      </c>
      <c r="AS116" s="700">
        <f>AS$109/28</f>
        <v>27.857142857142858</v>
      </c>
      <c r="AT116" s="711">
        <f t="shared" si="194"/>
        <v>27.857142857142858</v>
      </c>
      <c r="AU116" s="711">
        <f t="shared" si="194"/>
        <v>27.857142857142858</v>
      </c>
      <c r="AV116" s="711">
        <f t="shared" si="194"/>
        <v>27.857142857142858</v>
      </c>
      <c r="AW116" s="711">
        <f t="shared" si="194"/>
        <v>27.857142857142858</v>
      </c>
      <c r="AX116" s="711">
        <f>AW116</f>
        <v>27.857142857142858</v>
      </c>
      <c r="AY116" s="711">
        <f t="shared" ref="AY116:AY121" si="214">AX116</f>
        <v>27.857142857142858</v>
      </c>
      <c r="AZ116" s="711">
        <f t="shared" ref="AZ116:AZ122" si="215">AY116</f>
        <v>27.857142857142858</v>
      </c>
      <c r="BA116" s="711">
        <f t="shared" ref="BA116:BA123" si="216">AZ116</f>
        <v>27.857142857142858</v>
      </c>
      <c r="BB116" s="711">
        <f t="shared" si="196"/>
        <v>27.857142857142858</v>
      </c>
      <c r="BC116" s="711">
        <f t="shared" si="197"/>
        <v>27.857142857142858</v>
      </c>
      <c r="BD116" s="711">
        <f t="shared" si="198"/>
        <v>27.857142857142858</v>
      </c>
      <c r="BE116" s="711">
        <f t="shared" si="199"/>
        <v>27.857142857142858</v>
      </c>
      <c r="BF116" s="711">
        <f t="shared" si="200"/>
        <v>27.857142857142858</v>
      </c>
      <c r="BG116" s="711">
        <f t="shared" si="201"/>
        <v>27.857142857142858</v>
      </c>
      <c r="BH116" s="711">
        <f t="shared" si="202"/>
        <v>27.857142857142858</v>
      </c>
      <c r="BI116" s="711">
        <f t="shared" si="203"/>
        <v>27.857142857142858</v>
      </c>
      <c r="BJ116" s="711">
        <f t="shared" si="204"/>
        <v>27.857142857142858</v>
      </c>
      <c r="BK116" s="711">
        <f t="shared" si="205"/>
        <v>27.857142857142858</v>
      </c>
      <c r="BL116" s="711">
        <f t="shared" si="206"/>
        <v>27.857142857142858</v>
      </c>
      <c r="BM116" s="711">
        <f t="shared" si="207"/>
        <v>27.857142857142858</v>
      </c>
      <c r="BN116" s="711">
        <f t="shared" si="208"/>
        <v>27.857142857142858</v>
      </c>
      <c r="BO116" s="711">
        <f t="shared" si="209"/>
        <v>27.857142857142858</v>
      </c>
      <c r="BP116" s="711">
        <f t="shared" si="210"/>
        <v>27.857142857142858</v>
      </c>
      <c r="BQ116" s="711">
        <f t="shared" si="211"/>
        <v>27.857142857142858</v>
      </c>
      <c r="BR116" s="711">
        <f t="shared" si="212"/>
        <v>27.857142857142858</v>
      </c>
      <c r="BS116" s="711">
        <f t="shared" si="213"/>
        <v>27.857142857142858</v>
      </c>
      <c r="BT116" s="711">
        <f t="shared" ref="BT116:BT128" si="217">BS116</f>
        <v>27.857142857142858</v>
      </c>
      <c r="BU116" s="711"/>
      <c r="BV116" s="711"/>
      <c r="BW116" s="711"/>
      <c r="BX116" s="711"/>
      <c r="BY116" s="711"/>
      <c r="BZ116" s="711"/>
      <c r="CA116" s="711"/>
    </row>
    <row r="117" spans="1:79">
      <c r="A117" s="694" t="s">
        <v>421</v>
      </c>
      <c r="AT117" s="700">
        <f>AT$109/28</f>
        <v>0</v>
      </c>
      <c r="AU117" s="711">
        <f t="shared" si="194"/>
        <v>0</v>
      </c>
      <c r="AV117" s="711">
        <f t="shared" si="194"/>
        <v>0</v>
      </c>
      <c r="AW117" s="711">
        <f t="shared" si="194"/>
        <v>0</v>
      </c>
      <c r="AX117" s="711">
        <f>AW117</f>
        <v>0</v>
      </c>
      <c r="AY117" s="711">
        <f t="shared" si="214"/>
        <v>0</v>
      </c>
      <c r="AZ117" s="711">
        <f t="shared" si="215"/>
        <v>0</v>
      </c>
      <c r="BA117" s="711">
        <f t="shared" si="216"/>
        <v>0</v>
      </c>
      <c r="BB117" s="711">
        <f t="shared" si="196"/>
        <v>0</v>
      </c>
      <c r="BC117" s="711">
        <f t="shared" si="197"/>
        <v>0</v>
      </c>
      <c r="BD117" s="711">
        <f t="shared" si="198"/>
        <v>0</v>
      </c>
      <c r="BE117" s="711">
        <f t="shared" si="199"/>
        <v>0</v>
      </c>
      <c r="BF117" s="711">
        <f t="shared" si="200"/>
        <v>0</v>
      </c>
      <c r="BG117" s="711">
        <f t="shared" si="201"/>
        <v>0</v>
      </c>
      <c r="BH117" s="711">
        <f t="shared" si="202"/>
        <v>0</v>
      </c>
      <c r="BI117" s="711">
        <f t="shared" si="203"/>
        <v>0</v>
      </c>
      <c r="BJ117" s="711">
        <f t="shared" si="204"/>
        <v>0</v>
      </c>
      <c r="BK117" s="711">
        <f t="shared" si="205"/>
        <v>0</v>
      </c>
      <c r="BL117" s="711">
        <f t="shared" si="206"/>
        <v>0</v>
      </c>
      <c r="BM117" s="711">
        <f t="shared" si="207"/>
        <v>0</v>
      </c>
      <c r="BN117" s="711">
        <f t="shared" si="208"/>
        <v>0</v>
      </c>
      <c r="BO117" s="711">
        <f t="shared" si="209"/>
        <v>0</v>
      </c>
      <c r="BP117" s="711">
        <f t="shared" si="210"/>
        <v>0</v>
      </c>
      <c r="BQ117" s="711">
        <f t="shared" si="211"/>
        <v>0</v>
      </c>
      <c r="BR117" s="711">
        <f t="shared" si="212"/>
        <v>0</v>
      </c>
      <c r="BS117" s="711">
        <f t="shared" si="213"/>
        <v>0</v>
      </c>
      <c r="BT117" s="711">
        <f t="shared" si="217"/>
        <v>0</v>
      </c>
      <c r="BU117" s="711">
        <f t="shared" ref="BU117:BU128" si="218">BT117</f>
        <v>0</v>
      </c>
      <c r="BV117" s="711"/>
      <c r="BW117" s="711"/>
      <c r="BX117" s="711"/>
      <c r="BY117" s="711"/>
      <c r="BZ117" s="711"/>
      <c r="CA117" s="711"/>
    </row>
    <row r="118" spans="1:79">
      <c r="A118" s="694" t="s">
        <v>422</v>
      </c>
      <c r="AU118" s="700">
        <f>AU$109/28</f>
        <v>0</v>
      </c>
      <c r="AV118" s="711">
        <f t="shared" si="194"/>
        <v>0</v>
      </c>
      <c r="AW118" s="711">
        <f t="shared" si="194"/>
        <v>0</v>
      </c>
      <c r="AX118" s="711">
        <f>AW118</f>
        <v>0</v>
      </c>
      <c r="AY118" s="711">
        <f t="shared" si="214"/>
        <v>0</v>
      </c>
      <c r="AZ118" s="711">
        <f t="shared" si="215"/>
        <v>0</v>
      </c>
      <c r="BA118" s="711">
        <f t="shared" si="216"/>
        <v>0</v>
      </c>
      <c r="BB118" s="711">
        <f t="shared" si="196"/>
        <v>0</v>
      </c>
      <c r="BC118" s="711">
        <f t="shared" si="197"/>
        <v>0</v>
      </c>
      <c r="BD118" s="711">
        <f t="shared" si="198"/>
        <v>0</v>
      </c>
      <c r="BE118" s="711">
        <f t="shared" si="199"/>
        <v>0</v>
      </c>
      <c r="BF118" s="711">
        <f t="shared" si="200"/>
        <v>0</v>
      </c>
      <c r="BG118" s="711">
        <f t="shared" si="201"/>
        <v>0</v>
      </c>
      <c r="BH118" s="711">
        <f t="shared" si="202"/>
        <v>0</v>
      </c>
      <c r="BI118" s="711">
        <f t="shared" si="203"/>
        <v>0</v>
      </c>
      <c r="BJ118" s="711">
        <f t="shared" si="204"/>
        <v>0</v>
      </c>
      <c r="BK118" s="711">
        <f t="shared" si="205"/>
        <v>0</v>
      </c>
      <c r="BL118" s="711">
        <f t="shared" si="206"/>
        <v>0</v>
      </c>
      <c r="BM118" s="711">
        <f t="shared" si="207"/>
        <v>0</v>
      </c>
      <c r="BN118" s="711">
        <f t="shared" si="208"/>
        <v>0</v>
      </c>
      <c r="BO118" s="711">
        <f t="shared" si="209"/>
        <v>0</v>
      </c>
      <c r="BP118" s="711">
        <f t="shared" si="210"/>
        <v>0</v>
      </c>
      <c r="BQ118" s="711">
        <f t="shared" si="211"/>
        <v>0</v>
      </c>
      <c r="BR118" s="711">
        <f t="shared" si="212"/>
        <v>0</v>
      </c>
      <c r="BS118" s="711">
        <f t="shared" si="213"/>
        <v>0</v>
      </c>
      <c r="BT118" s="711">
        <f t="shared" si="217"/>
        <v>0</v>
      </c>
      <c r="BU118" s="711">
        <f t="shared" si="218"/>
        <v>0</v>
      </c>
      <c r="BV118" s="711">
        <f t="shared" ref="BV118:BV137" si="219">BU118</f>
        <v>0</v>
      </c>
      <c r="BW118" s="711"/>
      <c r="BX118" s="711"/>
      <c r="BY118" s="711"/>
      <c r="BZ118" s="711"/>
      <c r="CA118" s="711"/>
    </row>
    <row r="119" spans="1:79">
      <c r="A119" s="694" t="s">
        <v>423</v>
      </c>
      <c r="AV119" s="700">
        <f>AV$109/28</f>
        <v>0</v>
      </c>
      <c r="AW119" s="711">
        <f t="shared" si="194"/>
        <v>0</v>
      </c>
      <c r="AX119" s="711">
        <f>AW119</f>
        <v>0</v>
      </c>
      <c r="AY119" s="711">
        <f t="shared" si="214"/>
        <v>0</v>
      </c>
      <c r="AZ119" s="711">
        <f t="shared" si="215"/>
        <v>0</v>
      </c>
      <c r="BA119" s="711">
        <f t="shared" si="216"/>
        <v>0</v>
      </c>
      <c r="BB119" s="711">
        <f t="shared" si="196"/>
        <v>0</v>
      </c>
      <c r="BC119" s="711">
        <f t="shared" si="197"/>
        <v>0</v>
      </c>
      <c r="BD119" s="711">
        <f t="shared" si="198"/>
        <v>0</v>
      </c>
      <c r="BE119" s="711">
        <f t="shared" si="199"/>
        <v>0</v>
      </c>
      <c r="BF119" s="711">
        <f t="shared" si="200"/>
        <v>0</v>
      </c>
      <c r="BG119" s="711">
        <f t="shared" si="201"/>
        <v>0</v>
      </c>
      <c r="BH119" s="711">
        <f t="shared" si="202"/>
        <v>0</v>
      </c>
      <c r="BI119" s="711">
        <f t="shared" si="203"/>
        <v>0</v>
      </c>
      <c r="BJ119" s="711">
        <f t="shared" si="204"/>
        <v>0</v>
      </c>
      <c r="BK119" s="711">
        <f t="shared" si="205"/>
        <v>0</v>
      </c>
      <c r="BL119" s="711">
        <f t="shared" si="206"/>
        <v>0</v>
      </c>
      <c r="BM119" s="711">
        <f t="shared" si="207"/>
        <v>0</v>
      </c>
      <c r="BN119" s="711">
        <f t="shared" si="208"/>
        <v>0</v>
      </c>
      <c r="BO119" s="711">
        <f t="shared" si="209"/>
        <v>0</v>
      </c>
      <c r="BP119" s="711">
        <f t="shared" si="210"/>
        <v>0</v>
      </c>
      <c r="BQ119" s="711">
        <f t="shared" si="211"/>
        <v>0</v>
      </c>
      <c r="BR119" s="711">
        <f t="shared" si="212"/>
        <v>0</v>
      </c>
      <c r="BS119" s="711">
        <f t="shared" si="213"/>
        <v>0</v>
      </c>
      <c r="BT119" s="711">
        <f t="shared" si="217"/>
        <v>0</v>
      </c>
      <c r="BU119" s="711">
        <f t="shared" si="218"/>
        <v>0</v>
      </c>
      <c r="BV119" s="711">
        <f t="shared" si="219"/>
        <v>0</v>
      </c>
      <c r="BW119" s="711">
        <f t="shared" ref="BW119:BW137" si="220">BV119</f>
        <v>0</v>
      </c>
      <c r="BX119" s="711"/>
      <c r="BY119" s="711"/>
      <c r="BZ119" s="711"/>
      <c r="CA119" s="711"/>
    </row>
    <row r="120" spans="1:79">
      <c r="A120" s="694" t="s">
        <v>424</v>
      </c>
      <c r="AW120" s="700">
        <f>AW$109/28</f>
        <v>0</v>
      </c>
      <c r="AX120" s="711">
        <f>AW120</f>
        <v>0</v>
      </c>
      <c r="AY120" s="711">
        <f t="shared" si="214"/>
        <v>0</v>
      </c>
      <c r="AZ120" s="711">
        <f t="shared" si="215"/>
        <v>0</v>
      </c>
      <c r="BA120" s="711">
        <f t="shared" si="216"/>
        <v>0</v>
      </c>
      <c r="BB120" s="711">
        <f t="shared" si="196"/>
        <v>0</v>
      </c>
      <c r="BC120" s="711">
        <f t="shared" si="197"/>
        <v>0</v>
      </c>
      <c r="BD120" s="711">
        <f t="shared" si="198"/>
        <v>0</v>
      </c>
      <c r="BE120" s="711">
        <f t="shared" si="199"/>
        <v>0</v>
      </c>
      <c r="BF120" s="711">
        <f t="shared" si="200"/>
        <v>0</v>
      </c>
      <c r="BG120" s="711">
        <f t="shared" si="201"/>
        <v>0</v>
      </c>
      <c r="BH120" s="711">
        <f t="shared" si="202"/>
        <v>0</v>
      </c>
      <c r="BI120" s="711">
        <f t="shared" si="203"/>
        <v>0</v>
      </c>
      <c r="BJ120" s="711">
        <f t="shared" si="204"/>
        <v>0</v>
      </c>
      <c r="BK120" s="711">
        <f t="shared" si="205"/>
        <v>0</v>
      </c>
      <c r="BL120" s="711">
        <f t="shared" si="206"/>
        <v>0</v>
      </c>
      <c r="BM120" s="711">
        <f t="shared" si="207"/>
        <v>0</v>
      </c>
      <c r="BN120" s="711">
        <f t="shared" si="208"/>
        <v>0</v>
      </c>
      <c r="BO120" s="711">
        <f t="shared" si="209"/>
        <v>0</v>
      </c>
      <c r="BP120" s="711">
        <f t="shared" si="210"/>
        <v>0</v>
      </c>
      <c r="BQ120" s="711">
        <f t="shared" si="211"/>
        <v>0</v>
      </c>
      <c r="BR120" s="711">
        <f t="shared" si="212"/>
        <v>0</v>
      </c>
      <c r="BS120" s="711">
        <f t="shared" si="213"/>
        <v>0</v>
      </c>
      <c r="BT120" s="711">
        <f t="shared" si="217"/>
        <v>0</v>
      </c>
      <c r="BU120" s="711">
        <f t="shared" si="218"/>
        <v>0</v>
      </c>
      <c r="BV120" s="711">
        <f t="shared" si="219"/>
        <v>0</v>
      </c>
      <c r="BW120" s="711">
        <f t="shared" si="220"/>
        <v>0</v>
      </c>
      <c r="BX120" s="711">
        <f t="shared" ref="BX120:BX137" si="221">BW120</f>
        <v>0</v>
      </c>
      <c r="BY120" s="711"/>
      <c r="BZ120" s="711"/>
      <c r="CA120" s="711"/>
    </row>
    <row r="121" spans="1:79">
      <c r="A121" s="694" t="s">
        <v>946</v>
      </c>
      <c r="AX121" s="700">
        <f>AX$109/28</f>
        <v>0</v>
      </c>
      <c r="AY121" s="711">
        <f t="shared" si="214"/>
        <v>0</v>
      </c>
      <c r="AZ121" s="711">
        <f t="shared" si="215"/>
        <v>0</v>
      </c>
      <c r="BA121" s="711">
        <f t="shared" si="216"/>
        <v>0</v>
      </c>
      <c r="BB121" s="711">
        <f t="shared" ref="BB121:BE124" si="222">BA121</f>
        <v>0</v>
      </c>
      <c r="BC121" s="711">
        <f t="shared" si="222"/>
        <v>0</v>
      </c>
      <c r="BD121" s="711">
        <f t="shared" si="222"/>
        <v>0</v>
      </c>
      <c r="BE121" s="711">
        <f t="shared" si="222"/>
        <v>0</v>
      </c>
      <c r="BF121" s="711">
        <f t="shared" si="200"/>
        <v>0</v>
      </c>
      <c r="BG121" s="711">
        <f t="shared" si="201"/>
        <v>0</v>
      </c>
      <c r="BH121" s="711">
        <f t="shared" si="202"/>
        <v>0</v>
      </c>
      <c r="BI121" s="711">
        <f t="shared" si="203"/>
        <v>0</v>
      </c>
      <c r="BJ121" s="711">
        <f t="shared" si="204"/>
        <v>0</v>
      </c>
      <c r="BK121" s="711">
        <f t="shared" si="205"/>
        <v>0</v>
      </c>
      <c r="BL121" s="711">
        <f t="shared" si="206"/>
        <v>0</v>
      </c>
      <c r="BM121" s="711">
        <f t="shared" si="207"/>
        <v>0</v>
      </c>
      <c r="BN121" s="711">
        <f t="shared" si="208"/>
        <v>0</v>
      </c>
      <c r="BO121" s="711">
        <f t="shared" si="209"/>
        <v>0</v>
      </c>
      <c r="BP121" s="711">
        <f t="shared" si="210"/>
        <v>0</v>
      </c>
      <c r="BQ121" s="711">
        <f t="shared" si="211"/>
        <v>0</v>
      </c>
      <c r="BR121" s="711">
        <f t="shared" si="212"/>
        <v>0</v>
      </c>
      <c r="BS121" s="711">
        <f t="shared" si="213"/>
        <v>0</v>
      </c>
      <c r="BT121" s="711">
        <f t="shared" si="217"/>
        <v>0</v>
      </c>
      <c r="BU121" s="711">
        <f t="shared" si="218"/>
        <v>0</v>
      </c>
      <c r="BV121" s="711">
        <f t="shared" si="219"/>
        <v>0</v>
      </c>
      <c r="BW121" s="711">
        <f t="shared" si="220"/>
        <v>0</v>
      </c>
      <c r="BX121" s="711">
        <f t="shared" si="221"/>
        <v>0</v>
      </c>
      <c r="BY121" s="711">
        <f t="shared" ref="BY121:BY140" si="223">BX121</f>
        <v>0</v>
      </c>
      <c r="BZ121" s="711"/>
      <c r="CA121" s="711"/>
    </row>
    <row r="122" spans="1:79">
      <c r="A122" s="694" t="s">
        <v>947</v>
      </c>
      <c r="AY122" s="700">
        <f>AY$109/28</f>
        <v>0</v>
      </c>
      <c r="AZ122" s="711">
        <f t="shared" si="215"/>
        <v>0</v>
      </c>
      <c r="BA122" s="711">
        <f t="shared" si="216"/>
        <v>0</v>
      </c>
      <c r="BB122" s="711">
        <f t="shared" si="222"/>
        <v>0</v>
      </c>
      <c r="BC122" s="711">
        <f t="shared" si="222"/>
        <v>0</v>
      </c>
      <c r="BD122" s="711">
        <f t="shared" si="222"/>
        <v>0</v>
      </c>
      <c r="BE122" s="711">
        <f t="shared" si="222"/>
        <v>0</v>
      </c>
      <c r="BF122" s="711">
        <f t="shared" si="200"/>
        <v>0</v>
      </c>
      <c r="BG122" s="711">
        <f t="shared" si="201"/>
        <v>0</v>
      </c>
      <c r="BH122" s="711">
        <f t="shared" si="202"/>
        <v>0</v>
      </c>
      <c r="BI122" s="711">
        <f t="shared" si="203"/>
        <v>0</v>
      </c>
      <c r="BJ122" s="711">
        <f t="shared" si="204"/>
        <v>0</v>
      </c>
      <c r="BK122" s="711">
        <f t="shared" si="205"/>
        <v>0</v>
      </c>
      <c r="BL122" s="711">
        <f t="shared" si="206"/>
        <v>0</v>
      </c>
      <c r="BM122" s="711">
        <f t="shared" si="207"/>
        <v>0</v>
      </c>
      <c r="BN122" s="711">
        <f t="shared" si="208"/>
        <v>0</v>
      </c>
      <c r="BO122" s="711">
        <f t="shared" si="209"/>
        <v>0</v>
      </c>
      <c r="BP122" s="711">
        <f t="shared" si="210"/>
        <v>0</v>
      </c>
      <c r="BQ122" s="711">
        <f t="shared" si="211"/>
        <v>0</v>
      </c>
      <c r="BR122" s="711">
        <f t="shared" si="212"/>
        <v>0</v>
      </c>
      <c r="BS122" s="711">
        <f t="shared" si="213"/>
        <v>0</v>
      </c>
      <c r="BT122" s="711">
        <f t="shared" si="217"/>
        <v>0</v>
      </c>
      <c r="BU122" s="711">
        <f t="shared" si="218"/>
        <v>0</v>
      </c>
      <c r="BV122" s="711">
        <f t="shared" si="219"/>
        <v>0</v>
      </c>
      <c r="BW122" s="711">
        <f t="shared" si="220"/>
        <v>0</v>
      </c>
      <c r="BX122" s="711">
        <f t="shared" si="221"/>
        <v>0</v>
      </c>
      <c r="BY122" s="711">
        <f t="shared" si="223"/>
        <v>0</v>
      </c>
      <c r="BZ122" s="711"/>
      <c r="CA122" s="711"/>
    </row>
    <row r="123" spans="1:79">
      <c r="A123" s="694" t="s">
        <v>948</v>
      </c>
      <c r="AZ123" s="700">
        <f>AZ$109/28</f>
        <v>0</v>
      </c>
      <c r="BA123" s="711">
        <f t="shared" si="216"/>
        <v>0</v>
      </c>
      <c r="BB123" s="711">
        <f t="shared" si="222"/>
        <v>0</v>
      </c>
      <c r="BC123" s="711">
        <f t="shared" si="222"/>
        <v>0</v>
      </c>
      <c r="BD123" s="711">
        <f t="shared" si="222"/>
        <v>0</v>
      </c>
      <c r="BE123" s="711">
        <f t="shared" si="222"/>
        <v>0</v>
      </c>
      <c r="BF123" s="711">
        <f t="shared" si="200"/>
        <v>0</v>
      </c>
      <c r="BG123" s="711">
        <f t="shared" si="201"/>
        <v>0</v>
      </c>
      <c r="BH123" s="711">
        <f t="shared" si="202"/>
        <v>0</v>
      </c>
      <c r="BI123" s="711">
        <f t="shared" si="203"/>
        <v>0</v>
      </c>
      <c r="BJ123" s="711">
        <f t="shared" si="204"/>
        <v>0</v>
      </c>
      <c r="BK123" s="711">
        <f t="shared" si="205"/>
        <v>0</v>
      </c>
      <c r="BL123" s="711">
        <f t="shared" si="206"/>
        <v>0</v>
      </c>
      <c r="BM123" s="711">
        <f t="shared" si="207"/>
        <v>0</v>
      </c>
      <c r="BN123" s="711">
        <f t="shared" si="208"/>
        <v>0</v>
      </c>
      <c r="BO123" s="711">
        <f t="shared" si="209"/>
        <v>0</v>
      </c>
      <c r="BP123" s="711">
        <f t="shared" si="210"/>
        <v>0</v>
      </c>
      <c r="BQ123" s="711">
        <f t="shared" si="211"/>
        <v>0</v>
      </c>
      <c r="BR123" s="711">
        <f t="shared" si="212"/>
        <v>0</v>
      </c>
      <c r="BS123" s="711">
        <f t="shared" si="213"/>
        <v>0</v>
      </c>
      <c r="BT123" s="711">
        <f t="shared" si="217"/>
        <v>0</v>
      </c>
      <c r="BU123" s="711">
        <f t="shared" si="218"/>
        <v>0</v>
      </c>
      <c r="BV123" s="711">
        <f t="shared" si="219"/>
        <v>0</v>
      </c>
      <c r="BW123" s="711">
        <f t="shared" si="220"/>
        <v>0</v>
      </c>
      <c r="BX123" s="711">
        <f t="shared" si="221"/>
        <v>0</v>
      </c>
      <c r="BY123" s="711">
        <f t="shared" si="223"/>
        <v>0</v>
      </c>
      <c r="BZ123" s="711"/>
      <c r="CA123" s="711"/>
    </row>
    <row r="124" spans="1:79">
      <c r="A124" s="694" t="s">
        <v>949</v>
      </c>
      <c r="BA124" s="700">
        <f>BA$109/28</f>
        <v>0</v>
      </c>
      <c r="BB124" s="711">
        <f t="shared" si="222"/>
        <v>0</v>
      </c>
      <c r="BC124" s="711">
        <f t="shared" si="222"/>
        <v>0</v>
      </c>
      <c r="BD124" s="711">
        <f t="shared" si="222"/>
        <v>0</v>
      </c>
      <c r="BE124" s="711">
        <f t="shared" si="222"/>
        <v>0</v>
      </c>
      <c r="BF124" s="711">
        <f t="shared" si="200"/>
        <v>0</v>
      </c>
      <c r="BG124" s="711">
        <f t="shared" si="201"/>
        <v>0</v>
      </c>
      <c r="BH124" s="711">
        <f t="shared" si="202"/>
        <v>0</v>
      </c>
      <c r="BI124" s="711">
        <f t="shared" si="203"/>
        <v>0</v>
      </c>
      <c r="BJ124" s="711">
        <f t="shared" si="204"/>
        <v>0</v>
      </c>
      <c r="BK124" s="711">
        <f t="shared" si="205"/>
        <v>0</v>
      </c>
      <c r="BL124" s="711">
        <f t="shared" si="206"/>
        <v>0</v>
      </c>
      <c r="BM124" s="711">
        <f t="shared" si="207"/>
        <v>0</v>
      </c>
      <c r="BN124" s="711">
        <f t="shared" si="208"/>
        <v>0</v>
      </c>
      <c r="BO124" s="711">
        <f t="shared" si="209"/>
        <v>0</v>
      </c>
      <c r="BP124" s="711">
        <f t="shared" si="210"/>
        <v>0</v>
      </c>
      <c r="BQ124" s="711">
        <f t="shared" si="211"/>
        <v>0</v>
      </c>
      <c r="BR124" s="711">
        <f t="shared" si="212"/>
        <v>0</v>
      </c>
      <c r="BS124" s="711">
        <f t="shared" si="213"/>
        <v>0</v>
      </c>
      <c r="BT124" s="711">
        <f t="shared" si="217"/>
        <v>0</v>
      </c>
      <c r="BU124" s="711">
        <f t="shared" si="218"/>
        <v>0</v>
      </c>
      <c r="BV124" s="711">
        <f t="shared" si="219"/>
        <v>0</v>
      </c>
      <c r="BW124" s="711">
        <f t="shared" si="220"/>
        <v>0</v>
      </c>
      <c r="BX124" s="711">
        <f t="shared" si="221"/>
        <v>0</v>
      </c>
      <c r="BY124" s="711">
        <f t="shared" si="223"/>
        <v>0</v>
      </c>
      <c r="BZ124" s="711"/>
      <c r="CA124" s="711"/>
    </row>
    <row r="125" spans="1:79">
      <c r="A125" s="694" t="s">
        <v>1065</v>
      </c>
      <c r="BB125" s="700">
        <f>BB$109/28</f>
        <v>0</v>
      </c>
      <c r="BC125" s="711">
        <f t="shared" ref="BC125:BI125" si="224">BB125</f>
        <v>0</v>
      </c>
      <c r="BD125" s="711">
        <f t="shared" si="224"/>
        <v>0</v>
      </c>
      <c r="BE125" s="711">
        <f t="shared" si="224"/>
        <v>0</v>
      </c>
      <c r="BF125" s="711">
        <f t="shared" si="224"/>
        <v>0</v>
      </c>
      <c r="BG125" s="711">
        <f t="shared" si="224"/>
        <v>0</v>
      </c>
      <c r="BH125" s="711">
        <f t="shared" si="224"/>
        <v>0</v>
      </c>
      <c r="BI125" s="711">
        <f t="shared" si="224"/>
        <v>0</v>
      </c>
      <c r="BJ125" s="711">
        <f t="shared" si="204"/>
        <v>0</v>
      </c>
      <c r="BK125" s="711">
        <f t="shared" si="205"/>
        <v>0</v>
      </c>
      <c r="BL125" s="711">
        <f t="shared" si="206"/>
        <v>0</v>
      </c>
      <c r="BM125" s="711">
        <f t="shared" si="207"/>
        <v>0</v>
      </c>
      <c r="BN125" s="711">
        <f t="shared" si="208"/>
        <v>0</v>
      </c>
      <c r="BO125" s="711">
        <f t="shared" si="209"/>
        <v>0</v>
      </c>
      <c r="BP125" s="711">
        <f t="shared" si="210"/>
        <v>0</v>
      </c>
      <c r="BQ125" s="711">
        <f t="shared" si="211"/>
        <v>0</v>
      </c>
      <c r="BR125" s="711">
        <f t="shared" si="212"/>
        <v>0</v>
      </c>
      <c r="BS125" s="711">
        <f t="shared" si="213"/>
        <v>0</v>
      </c>
      <c r="BT125" s="711">
        <f t="shared" si="217"/>
        <v>0</v>
      </c>
      <c r="BU125" s="711">
        <f t="shared" si="218"/>
        <v>0</v>
      </c>
      <c r="BV125" s="711">
        <f t="shared" si="219"/>
        <v>0</v>
      </c>
      <c r="BW125" s="711">
        <f t="shared" si="220"/>
        <v>0</v>
      </c>
      <c r="BX125" s="711">
        <f t="shared" si="221"/>
        <v>0</v>
      </c>
      <c r="BY125" s="711">
        <f t="shared" si="223"/>
        <v>0</v>
      </c>
      <c r="BZ125" s="711"/>
      <c r="CA125" s="711"/>
    </row>
    <row r="126" spans="1:79">
      <c r="A126" s="694" t="s">
        <v>1066</v>
      </c>
      <c r="BC126" s="700">
        <f>BC$109/28</f>
        <v>0</v>
      </c>
      <c r="BD126" s="711">
        <f t="shared" ref="BD126:BI126" si="225">BC126</f>
        <v>0</v>
      </c>
      <c r="BE126" s="711">
        <f t="shared" si="225"/>
        <v>0</v>
      </c>
      <c r="BF126" s="711">
        <f t="shared" si="225"/>
        <v>0</v>
      </c>
      <c r="BG126" s="711">
        <f t="shared" si="225"/>
        <v>0</v>
      </c>
      <c r="BH126" s="711">
        <f t="shared" si="225"/>
        <v>0</v>
      </c>
      <c r="BI126" s="711">
        <f t="shared" si="225"/>
        <v>0</v>
      </c>
      <c r="BJ126" s="711">
        <f t="shared" si="204"/>
        <v>0</v>
      </c>
      <c r="BK126" s="711">
        <f t="shared" si="205"/>
        <v>0</v>
      </c>
      <c r="BL126" s="711">
        <f t="shared" si="206"/>
        <v>0</v>
      </c>
      <c r="BM126" s="711">
        <f t="shared" si="207"/>
        <v>0</v>
      </c>
      <c r="BN126" s="711">
        <f t="shared" si="208"/>
        <v>0</v>
      </c>
      <c r="BO126" s="711">
        <f t="shared" si="209"/>
        <v>0</v>
      </c>
      <c r="BP126" s="711">
        <f t="shared" si="210"/>
        <v>0</v>
      </c>
      <c r="BQ126" s="711">
        <f t="shared" si="211"/>
        <v>0</v>
      </c>
      <c r="BR126" s="711">
        <f t="shared" si="212"/>
        <v>0</v>
      </c>
      <c r="BS126" s="711">
        <f t="shared" si="213"/>
        <v>0</v>
      </c>
      <c r="BT126" s="711">
        <f t="shared" si="217"/>
        <v>0</v>
      </c>
      <c r="BU126" s="711">
        <f t="shared" si="218"/>
        <v>0</v>
      </c>
      <c r="BV126" s="711">
        <f t="shared" si="219"/>
        <v>0</v>
      </c>
      <c r="BW126" s="711">
        <f t="shared" si="220"/>
        <v>0</v>
      </c>
      <c r="BX126" s="711">
        <f t="shared" si="221"/>
        <v>0</v>
      </c>
      <c r="BY126" s="711">
        <f t="shared" si="223"/>
        <v>0</v>
      </c>
      <c r="BZ126" s="711"/>
      <c r="CA126" s="711"/>
    </row>
    <row r="127" spans="1:79">
      <c r="A127" s="694" t="s">
        <v>1067</v>
      </c>
      <c r="BD127" s="700">
        <f>BD$109/28</f>
        <v>0</v>
      </c>
      <c r="BE127" s="711">
        <f t="shared" ref="BE127:BM127" si="226">BD127</f>
        <v>0</v>
      </c>
      <c r="BF127" s="711">
        <f t="shared" si="226"/>
        <v>0</v>
      </c>
      <c r="BG127" s="711">
        <f t="shared" si="226"/>
        <v>0</v>
      </c>
      <c r="BH127" s="711">
        <f t="shared" si="226"/>
        <v>0</v>
      </c>
      <c r="BI127" s="711">
        <f t="shared" si="226"/>
        <v>0</v>
      </c>
      <c r="BJ127" s="711">
        <f t="shared" si="226"/>
        <v>0</v>
      </c>
      <c r="BK127" s="711">
        <f t="shared" si="226"/>
        <v>0</v>
      </c>
      <c r="BL127" s="711">
        <f t="shared" si="226"/>
        <v>0</v>
      </c>
      <c r="BM127" s="711">
        <f t="shared" si="226"/>
        <v>0</v>
      </c>
      <c r="BN127" s="711">
        <f t="shared" si="208"/>
        <v>0</v>
      </c>
      <c r="BO127" s="711">
        <f t="shared" si="209"/>
        <v>0</v>
      </c>
      <c r="BP127" s="711">
        <f t="shared" si="210"/>
        <v>0</v>
      </c>
      <c r="BQ127" s="711">
        <f t="shared" si="211"/>
        <v>0</v>
      </c>
      <c r="BR127" s="711">
        <f t="shared" si="212"/>
        <v>0</v>
      </c>
      <c r="BS127" s="711">
        <f t="shared" si="213"/>
        <v>0</v>
      </c>
      <c r="BT127" s="711">
        <f t="shared" si="217"/>
        <v>0</v>
      </c>
      <c r="BU127" s="711">
        <f t="shared" si="218"/>
        <v>0</v>
      </c>
      <c r="BV127" s="711">
        <f t="shared" si="219"/>
        <v>0</v>
      </c>
      <c r="BW127" s="711">
        <f t="shared" si="220"/>
        <v>0</v>
      </c>
      <c r="BX127" s="711">
        <f t="shared" si="221"/>
        <v>0</v>
      </c>
      <c r="BY127" s="711">
        <f t="shared" si="223"/>
        <v>0</v>
      </c>
      <c r="BZ127" s="711"/>
      <c r="CA127" s="711"/>
    </row>
    <row r="128" spans="1:79">
      <c r="A128" s="694" t="s">
        <v>1064</v>
      </c>
      <c r="BE128" s="700">
        <f>BE$109/28</f>
        <v>0</v>
      </c>
      <c r="BF128" s="711">
        <f t="shared" ref="BF128:BM135" si="227">BE128</f>
        <v>0</v>
      </c>
      <c r="BG128" s="711">
        <f t="shared" si="227"/>
        <v>0</v>
      </c>
      <c r="BH128" s="711">
        <f t="shared" si="227"/>
        <v>0</v>
      </c>
      <c r="BI128" s="711">
        <f t="shared" si="227"/>
        <v>0</v>
      </c>
      <c r="BJ128" s="711">
        <f t="shared" si="227"/>
        <v>0</v>
      </c>
      <c r="BK128" s="711">
        <f t="shared" si="227"/>
        <v>0</v>
      </c>
      <c r="BL128" s="711">
        <f t="shared" si="227"/>
        <v>0</v>
      </c>
      <c r="BM128" s="711">
        <f t="shared" si="227"/>
        <v>0</v>
      </c>
      <c r="BN128" s="711">
        <f t="shared" si="208"/>
        <v>0</v>
      </c>
      <c r="BO128" s="711">
        <f t="shared" si="209"/>
        <v>0</v>
      </c>
      <c r="BP128" s="711">
        <f t="shared" si="210"/>
        <v>0</v>
      </c>
      <c r="BQ128" s="711">
        <f t="shared" si="211"/>
        <v>0</v>
      </c>
      <c r="BR128" s="711">
        <f t="shared" si="212"/>
        <v>0</v>
      </c>
      <c r="BS128" s="711">
        <f t="shared" si="213"/>
        <v>0</v>
      </c>
      <c r="BT128" s="711">
        <f t="shared" si="217"/>
        <v>0</v>
      </c>
      <c r="BU128" s="711">
        <f t="shared" si="218"/>
        <v>0</v>
      </c>
      <c r="BV128" s="711">
        <f t="shared" si="219"/>
        <v>0</v>
      </c>
      <c r="BW128" s="711">
        <f t="shared" si="220"/>
        <v>0</v>
      </c>
      <c r="BX128" s="711">
        <f t="shared" si="221"/>
        <v>0</v>
      </c>
      <c r="BY128" s="711">
        <f t="shared" si="223"/>
        <v>0</v>
      </c>
      <c r="BZ128" s="711"/>
      <c r="CA128" s="711"/>
    </row>
    <row r="129" spans="1:80" hidden="1" outlineLevel="1">
      <c r="A129" s="694" t="s">
        <v>1069</v>
      </c>
      <c r="BF129" s="700">
        <f>BF$109/28</f>
        <v>0</v>
      </c>
      <c r="BG129" s="698">
        <f t="shared" si="227"/>
        <v>0</v>
      </c>
      <c r="BH129" s="698">
        <f t="shared" si="227"/>
        <v>0</v>
      </c>
      <c r="BI129" s="698">
        <f t="shared" si="227"/>
        <v>0</v>
      </c>
      <c r="BJ129" s="698">
        <f t="shared" si="227"/>
        <v>0</v>
      </c>
      <c r="BK129" s="698">
        <f t="shared" si="227"/>
        <v>0</v>
      </c>
      <c r="BL129" s="698">
        <f t="shared" si="227"/>
        <v>0</v>
      </c>
      <c r="BM129" s="698">
        <f t="shared" si="227"/>
        <v>0</v>
      </c>
      <c r="BN129" s="698">
        <f t="shared" si="208"/>
        <v>0</v>
      </c>
      <c r="BO129" s="698">
        <f t="shared" si="209"/>
        <v>0</v>
      </c>
      <c r="BP129" s="698">
        <f t="shared" si="210"/>
        <v>0</v>
      </c>
      <c r="BQ129" s="698">
        <f t="shared" si="211"/>
        <v>0</v>
      </c>
      <c r="BR129" s="698">
        <f t="shared" ref="BR129:BR135" si="228">BQ129</f>
        <v>0</v>
      </c>
      <c r="BS129" s="698">
        <f t="shared" ref="BS129:BS135" si="229">BR129</f>
        <v>0</v>
      </c>
      <c r="BT129" s="698">
        <f t="shared" ref="BT129:BT135" si="230">BS129</f>
        <v>0</v>
      </c>
      <c r="BU129" s="698">
        <f t="shared" ref="BU129:BU143" si="231">BT129</f>
        <v>0</v>
      </c>
      <c r="BV129" s="698">
        <f t="shared" si="219"/>
        <v>0</v>
      </c>
      <c r="BW129" s="698">
        <f t="shared" si="220"/>
        <v>0</v>
      </c>
      <c r="BX129" s="698">
        <f t="shared" si="221"/>
        <v>0</v>
      </c>
      <c r="BY129" s="698">
        <f t="shared" si="223"/>
        <v>0</v>
      </c>
      <c r="BZ129" s="1083"/>
      <c r="CA129" s="1083"/>
    </row>
    <row r="130" spans="1:80" hidden="1" outlineLevel="1">
      <c r="A130" s="694" t="s">
        <v>1070</v>
      </c>
      <c r="BG130" s="700">
        <f>BG$109/28</f>
        <v>0</v>
      </c>
      <c r="BH130" s="698">
        <f t="shared" si="227"/>
        <v>0</v>
      </c>
      <c r="BI130" s="698">
        <f t="shared" si="227"/>
        <v>0</v>
      </c>
      <c r="BJ130" s="698">
        <f t="shared" si="227"/>
        <v>0</v>
      </c>
      <c r="BK130" s="698">
        <f t="shared" si="227"/>
        <v>0</v>
      </c>
      <c r="BL130" s="698">
        <f t="shared" si="227"/>
        <v>0</v>
      </c>
      <c r="BM130" s="698">
        <f t="shared" si="227"/>
        <v>0</v>
      </c>
      <c r="BN130" s="698">
        <f t="shared" si="208"/>
        <v>0</v>
      </c>
      <c r="BO130" s="698">
        <f t="shared" si="209"/>
        <v>0</v>
      </c>
      <c r="BP130" s="698">
        <f t="shared" si="210"/>
        <v>0</v>
      </c>
      <c r="BQ130" s="698">
        <f t="shared" si="211"/>
        <v>0</v>
      </c>
      <c r="BR130" s="698">
        <f t="shared" si="228"/>
        <v>0</v>
      </c>
      <c r="BS130" s="698">
        <f t="shared" si="229"/>
        <v>0</v>
      </c>
      <c r="BT130" s="698">
        <f t="shared" si="230"/>
        <v>0</v>
      </c>
      <c r="BU130" s="698">
        <f t="shared" si="231"/>
        <v>0</v>
      </c>
      <c r="BV130" s="698">
        <f t="shared" si="219"/>
        <v>0</v>
      </c>
      <c r="BW130" s="698">
        <f t="shared" si="220"/>
        <v>0</v>
      </c>
      <c r="BX130" s="698">
        <f t="shared" si="221"/>
        <v>0</v>
      </c>
      <c r="BY130" s="698">
        <f t="shared" si="223"/>
        <v>0</v>
      </c>
      <c r="BZ130" s="1083"/>
      <c r="CA130" s="1083"/>
    </row>
    <row r="131" spans="1:80" hidden="1" outlineLevel="1">
      <c r="A131" s="694" t="s">
        <v>1071</v>
      </c>
      <c r="BH131" s="700">
        <f>BH$109/28</f>
        <v>0</v>
      </c>
      <c r="BI131" s="698">
        <f t="shared" si="227"/>
        <v>0</v>
      </c>
      <c r="BJ131" s="698">
        <f t="shared" si="227"/>
        <v>0</v>
      </c>
      <c r="BK131" s="698">
        <f t="shared" si="227"/>
        <v>0</v>
      </c>
      <c r="BL131" s="698">
        <f t="shared" si="227"/>
        <v>0</v>
      </c>
      <c r="BM131" s="698">
        <f t="shared" si="227"/>
        <v>0</v>
      </c>
      <c r="BN131" s="698">
        <f t="shared" si="208"/>
        <v>0</v>
      </c>
      <c r="BO131" s="698">
        <f t="shared" si="209"/>
        <v>0</v>
      </c>
      <c r="BP131" s="698">
        <f t="shared" si="210"/>
        <v>0</v>
      </c>
      <c r="BQ131" s="698">
        <f t="shared" si="211"/>
        <v>0</v>
      </c>
      <c r="BR131" s="698">
        <f t="shared" si="228"/>
        <v>0</v>
      </c>
      <c r="BS131" s="698">
        <f t="shared" si="229"/>
        <v>0</v>
      </c>
      <c r="BT131" s="698">
        <f t="shared" si="230"/>
        <v>0</v>
      </c>
      <c r="BU131" s="698">
        <f t="shared" si="231"/>
        <v>0</v>
      </c>
      <c r="BV131" s="698">
        <f t="shared" si="219"/>
        <v>0</v>
      </c>
      <c r="BW131" s="698">
        <f t="shared" si="220"/>
        <v>0</v>
      </c>
      <c r="BX131" s="698">
        <f t="shared" si="221"/>
        <v>0</v>
      </c>
      <c r="BY131" s="698">
        <f t="shared" si="223"/>
        <v>0</v>
      </c>
      <c r="BZ131" s="1083"/>
      <c r="CA131" s="1083"/>
    </row>
    <row r="132" spans="1:80" hidden="1" outlineLevel="1">
      <c r="A132" s="694" t="s">
        <v>1072</v>
      </c>
      <c r="BI132" s="700">
        <f>BI$109/28</f>
        <v>0</v>
      </c>
      <c r="BJ132" s="698">
        <f t="shared" si="227"/>
        <v>0</v>
      </c>
      <c r="BK132" s="698">
        <f t="shared" si="227"/>
        <v>0</v>
      </c>
      <c r="BL132" s="698">
        <f t="shared" si="227"/>
        <v>0</v>
      </c>
      <c r="BM132" s="698">
        <f t="shared" si="227"/>
        <v>0</v>
      </c>
      <c r="BN132" s="698">
        <f t="shared" si="208"/>
        <v>0</v>
      </c>
      <c r="BO132" s="698">
        <f t="shared" si="209"/>
        <v>0</v>
      </c>
      <c r="BP132" s="698">
        <f t="shared" si="210"/>
        <v>0</v>
      </c>
      <c r="BQ132" s="698">
        <f t="shared" si="211"/>
        <v>0</v>
      </c>
      <c r="BR132" s="698">
        <f t="shared" si="228"/>
        <v>0</v>
      </c>
      <c r="BS132" s="698">
        <f t="shared" si="229"/>
        <v>0</v>
      </c>
      <c r="BT132" s="698">
        <f t="shared" si="230"/>
        <v>0</v>
      </c>
      <c r="BU132" s="698">
        <f t="shared" si="231"/>
        <v>0</v>
      </c>
      <c r="BV132" s="698">
        <f t="shared" si="219"/>
        <v>0</v>
      </c>
      <c r="BW132" s="698">
        <f t="shared" si="220"/>
        <v>0</v>
      </c>
      <c r="BX132" s="698">
        <f t="shared" si="221"/>
        <v>0</v>
      </c>
      <c r="BY132" s="698">
        <f t="shared" si="223"/>
        <v>0</v>
      </c>
      <c r="BZ132" s="1083"/>
      <c r="CA132" s="1083"/>
    </row>
    <row r="133" spans="1:80" hidden="1" outlineLevel="1">
      <c r="A133" s="694" t="s">
        <v>1073</v>
      </c>
      <c r="BJ133" s="700">
        <f>BJ$109/28</f>
        <v>0</v>
      </c>
      <c r="BK133" s="698">
        <f t="shared" si="227"/>
        <v>0</v>
      </c>
      <c r="BL133" s="698">
        <f t="shared" si="227"/>
        <v>0</v>
      </c>
      <c r="BM133" s="698">
        <f t="shared" si="227"/>
        <v>0</v>
      </c>
      <c r="BN133" s="698">
        <f t="shared" si="208"/>
        <v>0</v>
      </c>
      <c r="BO133" s="698">
        <f t="shared" si="209"/>
        <v>0</v>
      </c>
      <c r="BP133" s="698">
        <f t="shared" si="210"/>
        <v>0</v>
      </c>
      <c r="BQ133" s="698">
        <f t="shared" si="211"/>
        <v>0</v>
      </c>
      <c r="BR133" s="698">
        <f t="shared" si="228"/>
        <v>0</v>
      </c>
      <c r="BS133" s="698">
        <f t="shared" si="229"/>
        <v>0</v>
      </c>
      <c r="BT133" s="698">
        <f t="shared" si="230"/>
        <v>0</v>
      </c>
      <c r="BU133" s="698">
        <f t="shared" si="231"/>
        <v>0</v>
      </c>
      <c r="BV133" s="698">
        <f t="shared" si="219"/>
        <v>0</v>
      </c>
      <c r="BW133" s="698">
        <f t="shared" si="220"/>
        <v>0</v>
      </c>
      <c r="BX133" s="698">
        <f t="shared" si="221"/>
        <v>0</v>
      </c>
      <c r="BY133" s="698">
        <f t="shared" si="223"/>
        <v>0</v>
      </c>
      <c r="BZ133" s="1083"/>
      <c r="CA133" s="1083"/>
    </row>
    <row r="134" spans="1:80" hidden="1" outlineLevel="1">
      <c r="A134" s="694" t="s">
        <v>1074</v>
      </c>
      <c r="BK134" s="700">
        <f>BK$109/28</f>
        <v>0</v>
      </c>
      <c r="BL134" s="698">
        <f t="shared" si="227"/>
        <v>0</v>
      </c>
      <c r="BM134" s="698">
        <f t="shared" si="227"/>
        <v>0</v>
      </c>
      <c r="BN134" s="698">
        <f t="shared" si="208"/>
        <v>0</v>
      </c>
      <c r="BO134" s="698">
        <f t="shared" si="209"/>
        <v>0</v>
      </c>
      <c r="BP134" s="698">
        <f t="shared" si="210"/>
        <v>0</v>
      </c>
      <c r="BQ134" s="698">
        <f t="shared" si="211"/>
        <v>0</v>
      </c>
      <c r="BR134" s="698">
        <f t="shared" si="228"/>
        <v>0</v>
      </c>
      <c r="BS134" s="698">
        <f t="shared" si="229"/>
        <v>0</v>
      </c>
      <c r="BT134" s="698">
        <f t="shared" si="230"/>
        <v>0</v>
      </c>
      <c r="BU134" s="698">
        <f t="shared" si="231"/>
        <v>0</v>
      </c>
      <c r="BV134" s="698">
        <f t="shared" si="219"/>
        <v>0</v>
      </c>
      <c r="BW134" s="698">
        <f t="shared" si="220"/>
        <v>0</v>
      </c>
      <c r="BX134" s="698">
        <f t="shared" si="221"/>
        <v>0</v>
      </c>
      <c r="BY134" s="698">
        <f t="shared" si="223"/>
        <v>0</v>
      </c>
      <c r="BZ134" s="1083"/>
      <c r="CA134" s="1083"/>
    </row>
    <row r="135" spans="1:80" hidden="1" outlineLevel="1">
      <c r="A135" s="694" t="s">
        <v>1075</v>
      </c>
      <c r="BL135" s="700">
        <f>BL$109/28</f>
        <v>0</v>
      </c>
      <c r="BM135" s="698">
        <f t="shared" si="227"/>
        <v>0</v>
      </c>
      <c r="BN135" s="698">
        <f t="shared" si="208"/>
        <v>0</v>
      </c>
      <c r="BO135" s="698">
        <f t="shared" si="209"/>
        <v>0</v>
      </c>
      <c r="BP135" s="698">
        <f t="shared" si="210"/>
        <v>0</v>
      </c>
      <c r="BQ135" s="698">
        <f t="shared" si="211"/>
        <v>0</v>
      </c>
      <c r="BR135" s="698">
        <f t="shared" si="228"/>
        <v>0</v>
      </c>
      <c r="BS135" s="698">
        <f t="shared" si="229"/>
        <v>0</v>
      </c>
      <c r="BT135" s="698">
        <f t="shared" si="230"/>
        <v>0</v>
      </c>
      <c r="BU135" s="698">
        <f t="shared" si="231"/>
        <v>0</v>
      </c>
      <c r="BV135" s="698">
        <f t="shared" si="219"/>
        <v>0</v>
      </c>
      <c r="BW135" s="698">
        <f t="shared" si="220"/>
        <v>0</v>
      </c>
      <c r="BX135" s="698">
        <f t="shared" si="221"/>
        <v>0</v>
      </c>
      <c r="BY135" s="698">
        <f t="shared" si="223"/>
        <v>0</v>
      </c>
      <c r="BZ135" s="1083"/>
      <c r="CA135" s="1083"/>
    </row>
    <row r="136" spans="1:80" hidden="1" outlineLevel="1">
      <c r="A136" s="694" t="s">
        <v>1076</v>
      </c>
      <c r="BM136" s="700">
        <f>BM$109/28</f>
        <v>0</v>
      </c>
      <c r="BN136" s="698">
        <f t="shared" ref="BN136:BT136" si="232">BM136</f>
        <v>0</v>
      </c>
      <c r="BO136" s="698">
        <f t="shared" si="232"/>
        <v>0</v>
      </c>
      <c r="BP136" s="698">
        <f t="shared" si="232"/>
        <v>0</v>
      </c>
      <c r="BQ136" s="698">
        <f t="shared" si="232"/>
        <v>0</v>
      </c>
      <c r="BR136" s="698">
        <f t="shared" si="232"/>
        <v>0</v>
      </c>
      <c r="BS136" s="698">
        <f t="shared" si="232"/>
        <v>0</v>
      </c>
      <c r="BT136" s="698">
        <f t="shared" si="232"/>
        <v>0</v>
      </c>
      <c r="BU136" s="698">
        <f t="shared" si="231"/>
        <v>0</v>
      </c>
      <c r="BV136" s="698">
        <f t="shared" si="219"/>
        <v>0</v>
      </c>
      <c r="BW136" s="698">
        <f t="shared" si="220"/>
        <v>0</v>
      </c>
      <c r="BX136" s="698">
        <f t="shared" si="221"/>
        <v>0</v>
      </c>
      <c r="BY136" s="698">
        <f t="shared" si="223"/>
        <v>0</v>
      </c>
      <c r="BZ136" s="1083"/>
      <c r="CA136" s="1083"/>
    </row>
    <row r="137" spans="1:80" hidden="1" outlineLevel="1">
      <c r="A137" s="694" t="s">
        <v>1077</v>
      </c>
      <c r="BN137" s="700">
        <f>BN$109/28</f>
        <v>0</v>
      </c>
      <c r="BO137" s="698">
        <f t="shared" ref="BO137:BT137" si="233">BN137</f>
        <v>0</v>
      </c>
      <c r="BP137" s="698">
        <f t="shared" si="233"/>
        <v>0</v>
      </c>
      <c r="BQ137" s="698">
        <f t="shared" si="233"/>
        <v>0</v>
      </c>
      <c r="BR137" s="698">
        <f t="shared" si="233"/>
        <v>0</v>
      </c>
      <c r="BS137" s="698">
        <f t="shared" si="233"/>
        <v>0</v>
      </c>
      <c r="BT137" s="698">
        <f t="shared" si="233"/>
        <v>0</v>
      </c>
      <c r="BU137" s="698">
        <f t="shared" si="231"/>
        <v>0</v>
      </c>
      <c r="BV137" s="698">
        <f t="shared" si="219"/>
        <v>0</v>
      </c>
      <c r="BW137" s="698">
        <f t="shared" si="220"/>
        <v>0</v>
      </c>
      <c r="BX137" s="698">
        <f t="shared" si="221"/>
        <v>0</v>
      </c>
      <c r="BY137" s="698">
        <f t="shared" si="223"/>
        <v>0</v>
      </c>
      <c r="BZ137" s="1083"/>
      <c r="CA137" s="1083"/>
    </row>
    <row r="138" spans="1:80" hidden="1" outlineLevel="1">
      <c r="A138" s="694" t="s">
        <v>1078</v>
      </c>
      <c r="BN138" s="698"/>
      <c r="BO138" s="700">
        <f>BO$109/28</f>
        <v>0</v>
      </c>
      <c r="BP138" s="698">
        <f>BO138</f>
        <v>0</v>
      </c>
      <c r="BQ138" s="698">
        <f>BP138</f>
        <v>0</v>
      </c>
      <c r="BR138" s="698">
        <f>BQ138</f>
        <v>0</v>
      </c>
      <c r="BS138" s="698">
        <f>BR138</f>
        <v>0</v>
      </c>
      <c r="BT138" s="698">
        <f>BS138</f>
        <v>0</v>
      </c>
      <c r="BU138" s="698">
        <f t="shared" si="231"/>
        <v>0</v>
      </c>
      <c r="BV138" s="698">
        <f t="shared" ref="BV138:BX140" si="234">BU138</f>
        <v>0</v>
      </c>
      <c r="BW138" s="698">
        <f t="shared" si="234"/>
        <v>0</v>
      </c>
      <c r="BX138" s="698">
        <f t="shared" si="234"/>
        <v>0</v>
      </c>
      <c r="BY138" s="698">
        <f t="shared" si="223"/>
        <v>0</v>
      </c>
      <c r="BZ138" s="1083"/>
      <c r="CA138" s="1083"/>
      <c r="CB138" s="698"/>
    </row>
    <row r="139" spans="1:80" hidden="1" outlineLevel="1">
      <c r="A139" s="694" t="s">
        <v>1079</v>
      </c>
      <c r="BN139" s="698"/>
      <c r="BO139" s="698"/>
      <c r="BP139" s="700">
        <f>BP$109/28</f>
        <v>0</v>
      </c>
      <c r="BQ139" s="698">
        <f>BP139</f>
        <v>0</v>
      </c>
      <c r="BR139" s="698">
        <f>BQ139</f>
        <v>0</v>
      </c>
      <c r="BS139" s="698">
        <f>BR139</f>
        <v>0</v>
      </c>
      <c r="BT139" s="698">
        <f>BS139</f>
        <v>0</v>
      </c>
      <c r="BU139" s="698">
        <f t="shared" si="231"/>
        <v>0</v>
      </c>
      <c r="BV139" s="698">
        <f t="shared" si="234"/>
        <v>0</v>
      </c>
      <c r="BW139" s="698">
        <f t="shared" si="234"/>
        <v>0</v>
      </c>
      <c r="BX139" s="698">
        <f t="shared" si="234"/>
        <v>0</v>
      </c>
      <c r="BY139" s="698">
        <f t="shared" si="223"/>
        <v>0</v>
      </c>
      <c r="BZ139" s="1083"/>
      <c r="CA139" s="1083"/>
      <c r="CB139" s="698"/>
    </row>
    <row r="140" spans="1:80" hidden="1" outlineLevel="1">
      <c r="A140" s="694" t="s">
        <v>1080</v>
      </c>
      <c r="BN140" s="698"/>
      <c r="BO140" s="698"/>
      <c r="BP140" s="698"/>
      <c r="BQ140" s="700">
        <f>BQ$109/28</f>
        <v>0</v>
      </c>
      <c r="BR140" s="698">
        <f>BQ140</f>
        <v>0</v>
      </c>
      <c r="BS140" s="698">
        <f>BR140</f>
        <v>0</v>
      </c>
      <c r="BT140" s="698">
        <f>BS140</f>
        <v>0</v>
      </c>
      <c r="BU140" s="698">
        <f t="shared" ref="BU140" si="235">BT140</f>
        <v>0</v>
      </c>
      <c r="BV140" s="698">
        <f t="shared" si="234"/>
        <v>0</v>
      </c>
      <c r="BW140" s="698">
        <f t="shared" si="234"/>
        <v>0</v>
      </c>
      <c r="BX140" s="698">
        <f t="shared" si="234"/>
        <v>0</v>
      </c>
      <c r="BY140" s="698">
        <f t="shared" si="223"/>
        <v>0</v>
      </c>
      <c r="BZ140" s="1083"/>
      <c r="CA140" s="1083"/>
      <c r="CB140" s="698"/>
    </row>
    <row r="141" spans="1:80" hidden="1" outlineLevel="1">
      <c r="A141" s="694" t="s">
        <v>1081</v>
      </c>
      <c r="BN141" s="698"/>
      <c r="BO141" s="698"/>
      <c r="BP141" s="698"/>
      <c r="BQ141" s="698"/>
      <c r="BR141" s="700">
        <f>BR$109/28</f>
        <v>0</v>
      </c>
      <c r="BS141" s="698">
        <f>BR141</f>
        <v>0</v>
      </c>
      <c r="BT141" s="698">
        <f>BS141</f>
        <v>0</v>
      </c>
      <c r="BU141" s="698">
        <f t="shared" si="231"/>
        <v>0</v>
      </c>
      <c r="BV141" s="698">
        <f t="shared" ref="BV141:BX141" si="236">BU141</f>
        <v>0</v>
      </c>
      <c r="BW141" s="698">
        <f t="shared" si="236"/>
        <v>0</v>
      </c>
      <c r="BX141" s="698">
        <f t="shared" si="236"/>
        <v>0</v>
      </c>
      <c r="BY141" s="698">
        <f t="shared" ref="BY141:BY144" si="237">BX141</f>
        <v>0</v>
      </c>
      <c r="BZ141" s="1083"/>
      <c r="CA141" s="1083"/>
      <c r="CB141" s="698"/>
    </row>
    <row r="142" spans="1:80" hidden="1" outlineLevel="1">
      <c r="A142" s="694" t="s">
        <v>1082</v>
      </c>
      <c r="BN142" s="698"/>
      <c r="BO142" s="698"/>
      <c r="BP142" s="698"/>
      <c r="BQ142" s="698"/>
      <c r="BR142" s="698"/>
      <c r="BS142" s="700">
        <f>BS$109/28</f>
        <v>0</v>
      </c>
      <c r="BT142" s="698">
        <f>BS142</f>
        <v>0</v>
      </c>
      <c r="BU142" s="698">
        <f t="shared" si="231"/>
        <v>0</v>
      </c>
      <c r="BV142" s="698">
        <f t="shared" ref="BV142:BX142" si="238">BU142</f>
        <v>0</v>
      </c>
      <c r="BW142" s="698">
        <f t="shared" si="238"/>
        <v>0</v>
      </c>
      <c r="BX142" s="698">
        <f t="shared" si="238"/>
        <v>0</v>
      </c>
      <c r="BY142" s="698">
        <f t="shared" si="237"/>
        <v>0</v>
      </c>
      <c r="BZ142" s="1083"/>
      <c r="CA142" s="1083"/>
      <c r="CB142" s="698"/>
    </row>
    <row r="143" spans="1:80" hidden="1" outlineLevel="1">
      <c r="A143" s="694" t="s">
        <v>1083</v>
      </c>
      <c r="BN143" s="698"/>
      <c r="BO143" s="698"/>
      <c r="BP143" s="698"/>
      <c r="BQ143" s="698"/>
      <c r="BR143" s="698"/>
      <c r="BS143" s="698"/>
      <c r="BT143" s="700">
        <f>BT$109/28</f>
        <v>0</v>
      </c>
      <c r="BU143" s="698">
        <f t="shared" si="231"/>
        <v>0</v>
      </c>
      <c r="BV143" s="698">
        <f t="shared" ref="BV143:BX143" si="239">BU143</f>
        <v>0</v>
      </c>
      <c r="BW143" s="698">
        <f t="shared" si="239"/>
        <v>0</v>
      </c>
      <c r="BX143" s="698">
        <f t="shared" si="239"/>
        <v>0</v>
      </c>
      <c r="BY143" s="698">
        <f t="shared" si="237"/>
        <v>0</v>
      </c>
      <c r="BZ143" s="1083"/>
      <c r="CA143" s="1083"/>
      <c r="CB143" s="698"/>
    </row>
    <row r="144" spans="1:80" hidden="1" outlineLevel="1">
      <c r="A144" s="694" t="s">
        <v>1084</v>
      </c>
      <c r="BN144" s="698"/>
      <c r="BO144" s="698"/>
      <c r="BP144" s="698"/>
      <c r="BQ144" s="698"/>
      <c r="BR144" s="698"/>
      <c r="BS144" s="698"/>
      <c r="BT144" s="698"/>
      <c r="BU144" s="700">
        <f>BU$109/28</f>
        <v>0</v>
      </c>
      <c r="BV144" s="698">
        <f t="shared" ref="BV144:BX145" si="240">BU144</f>
        <v>0</v>
      </c>
      <c r="BW144" s="698">
        <f t="shared" si="240"/>
        <v>0</v>
      </c>
      <c r="BX144" s="698">
        <f t="shared" si="240"/>
        <v>0</v>
      </c>
      <c r="BY144" s="698">
        <f t="shared" si="237"/>
        <v>0</v>
      </c>
      <c r="BZ144" s="1083"/>
      <c r="CA144" s="1083"/>
      <c r="CB144" s="698"/>
    </row>
    <row r="145" spans="1:99" hidden="1" outlineLevel="1">
      <c r="A145" s="694" t="s">
        <v>1085</v>
      </c>
      <c r="BN145" s="698"/>
      <c r="BO145" s="698"/>
      <c r="BP145" s="698"/>
      <c r="BQ145" s="698"/>
      <c r="BR145" s="698"/>
      <c r="BS145" s="698"/>
      <c r="BT145" s="698"/>
      <c r="BU145" s="698"/>
      <c r="BV145" s="700">
        <f>BV$109/28</f>
        <v>0</v>
      </c>
      <c r="BW145" s="698">
        <f t="shared" si="240"/>
        <v>0</v>
      </c>
      <c r="BX145" s="698">
        <f t="shared" ref="BX145" si="241">BW145</f>
        <v>0</v>
      </c>
      <c r="BY145" s="698">
        <f t="shared" ref="BY145:BY147" si="242">BX145</f>
        <v>0</v>
      </c>
      <c r="BZ145" s="1083"/>
      <c r="CA145" s="1083"/>
      <c r="CB145" s="698"/>
    </row>
    <row r="146" spans="1:99" hidden="1" outlineLevel="1">
      <c r="A146" s="694" t="s">
        <v>1086</v>
      </c>
      <c r="BN146" s="698"/>
      <c r="BO146" s="698"/>
      <c r="BP146" s="698"/>
      <c r="BQ146" s="698"/>
      <c r="BR146" s="698"/>
      <c r="BS146" s="698"/>
      <c r="BT146" s="698"/>
      <c r="BU146" s="698"/>
      <c r="BV146" s="698"/>
      <c r="BW146" s="700">
        <f>BW$109/28</f>
        <v>0</v>
      </c>
      <c r="BX146" s="698">
        <f t="shared" ref="BX146" si="243">BW146</f>
        <v>0</v>
      </c>
      <c r="BY146" s="698">
        <f t="shared" si="242"/>
        <v>0</v>
      </c>
      <c r="BZ146" s="1083"/>
      <c r="CA146" s="1083"/>
      <c r="CB146" s="698"/>
    </row>
    <row r="147" spans="1:99" hidden="1" outlineLevel="1">
      <c r="A147" s="694" t="s">
        <v>1087</v>
      </c>
      <c r="BN147" s="698"/>
      <c r="BO147" s="698"/>
      <c r="BP147" s="698"/>
      <c r="BQ147" s="698"/>
      <c r="BR147" s="698"/>
      <c r="BS147" s="698"/>
      <c r="BT147" s="698"/>
      <c r="BU147" s="698"/>
      <c r="BV147" s="698"/>
      <c r="BW147" s="698"/>
      <c r="BX147" s="700">
        <f>BX$109/28</f>
        <v>0</v>
      </c>
      <c r="BY147" s="698">
        <f t="shared" si="242"/>
        <v>0</v>
      </c>
      <c r="BZ147" s="1083"/>
      <c r="CA147" s="1083"/>
      <c r="CB147" s="698"/>
    </row>
    <row r="148" spans="1:99" hidden="1" outlineLevel="1">
      <c r="A148" s="694" t="s">
        <v>1088</v>
      </c>
      <c r="BN148" s="698"/>
      <c r="BO148" s="698"/>
      <c r="BP148" s="698"/>
      <c r="BQ148" s="698"/>
      <c r="BR148" s="698"/>
      <c r="BS148" s="698"/>
      <c r="BT148" s="698"/>
      <c r="BU148" s="698"/>
      <c r="BV148" s="698"/>
      <c r="BW148" s="698"/>
      <c r="BX148" s="698"/>
      <c r="BY148" s="700">
        <f>BY$109/28</f>
        <v>0</v>
      </c>
      <c r="BZ148" s="1083"/>
      <c r="CA148" s="1083"/>
      <c r="CB148" s="698"/>
    </row>
    <row r="149" spans="1:99" collapsed="1">
      <c r="A149" s="701" t="s">
        <v>837</v>
      </c>
      <c r="AL149" s="714"/>
      <c r="AM149" s="714"/>
      <c r="AN149" s="714"/>
      <c r="AO149" s="702">
        <f>SUM(AO112:AO148)</f>
        <v>13.928571428571429</v>
      </c>
      <c r="AP149" s="702">
        <f t="shared" ref="AP149:BY149" si="244">SUM(AP112:AP148)</f>
        <v>18.571428571428573</v>
      </c>
      <c r="AQ149" s="702">
        <f t="shared" si="244"/>
        <v>27.857142857142861</v>
      </c>
      <c r="AR149" s="702">
        <f t="shared" si="244"/>
        <v>41.785714285714292</v>
      </c>
      <c r="AS149" s="702">
        <f t="shared" si="244"/>
        <v>69.642857142857153</v>
      </c>
      <c r="AT149" s="702">
        <f t="shared" si="244"/>
        <v>69.642857142857153</v>
      </c>
      <c r="AU149" s="702">
        <f t="shared" si="244"/>
        <v>69.642857142857153</v>
      </c>
      <c r="AV149" s="702">
        <f t="shared" si="244"/>
        <v>69.642857142857153</v>
      </c>
      <c r="AW149" s="702">
        <f t="shared" si="244"/>
        <v>69.642857142857153</v>
      </c>
      <c r="AX149" s="702">
        <f t="shared" si="244"/>
        <v>69.642857142857153</v>
      </c>
      <c r="AY149" s="702">
        <f t="shared" si="244"/>
        <v>69.642857142857153</v>
      </c>
      <c r="AZ149" s="702">
        <f t="shared" si="244"/>
        <v>69.642857142857153</v>
      </c>
      <c r="BA149" s="702">
        <f t="shared" si="244"/>
        <v>69.642857142857153</v>
      </c>
      <c r="BB149" s="702">
        <f t="shared" si="244"/>
        <v>69.642857142857153</v>
      </c>
      <c r="BC149" s="702">
        <f t="shared" si="244"/>
        <v>69.642857142857153</v>
      </c>
      <c r="BD149" s="702">
        <f t="shared" si="244"/>
        <v>69.642857142857153</v>
      </c>
      <c r="BE149" s="702">
        <f t="shared" si="244"/>
        <v>69.642857142857153</v>
      </c>
      <c r="BF149" s="702">
        <f t="shared" si="244"/>
        <v>69.642857142857153</v>
      </c>
      <c r="BG149" s="702">
        <f t="shared" si="244"/>
        <v>69.642857142857153</v>
      </c>
      <c r="BH149" s="702">
        <f t="shared" si="244"/>
        <v>69.642857142857153</v>
      </c>
      <c r="BI149" s="702">
        <f t="shared" si="244"/>
        <v>69.642857142857153</v>
      </c>
      <c r="BJ149" s="702">
        <f t="shared" si="244"/>
        <v>69.642857142857153</v>
      </c>
      <c r="BK149" s="702">
        <f t="shared" si="244"/>
        <v>69.642857142857153</v>
      </c>
      <c r="BL149" s="702">
        <f t="shared" si="244"/>
        <v>69.642857142857153</v>
      </c>
      <c r="BM149" s="702">
        <f t="shared" si="244"/>
        <v>69.642857142857153</v>
      </c>
      <c r="BN149" s="702">
        <f t="shared" si="244"/>
        <v>69.642857142857153</v>
      </c>
      <c r="BO149" s="702">
        <f t="shared" si="244"/>
        <v>69.642857142857153</v>
      </c>
      <c r="BP149" s="702">
        <f t="shared" si="244"/>
        <v>69.642857142857153</v>
      </c>
      <c r="BQ149" s="702">
        <f t="shared" si="244"/>
        <v>55.714285714285722</v>
      </c>
      <c r="BR149" s="702">
        <f t="shared" si="244"/>
        <v>51.071428571428569</v>
      </c>
      <c r="BS149" s="702">
        <f t="shared" si="244"/>
        <v>41.785714285714285</v>
      </c>
      <c r="BT149" s="702">
        <f t="shared" si="244"/>
        <v>27.857142857142858</v>
      </c>
      <c r="BU149" s="702">
        <f t="shared" si="244"/>
        <v>0</v>
      </c>
      <c r="BV149" s="702">
        <f t="shared" si="244"/>
        <v>0</v>
      </c>
      <c r="BW149" s="702">
        <f t="shared" si="244"/>
        <v>0</v>
      </c>
      <c r="BX149" s="702">
        <f t="shared" si="244"/>
        <v>0</v>
      </c>
      <c r="BY149" s="702">
        <f t="shared" si="244"/>
        <v>0</v>
      </c>
      <c r="BZ149" s="702"/>
      <c r="CA149" s="702"/>
      <c r="CL149" s="693">
        <f>SUM(AL149:AO149)</f>
        <v>13.928571428571429</v>
      </c>
      <c r="CM149" s="693">
        <f>SUM(AP149:AS149)</f>
        <v>157.85714285714289</v>
      </c>
      <c r="CN149" s="693">
        <f>SUM(AT149:AW149)</f>
        <v>278.57142857142861</v>
      </c>
      <c r="CO149" s="693">
        <f>SUM(AX149:BA149)</f>
        <v>278.57142857142861</v>
      </c>
      <c r="CP149" s="693">
        <f>SUM(BB149:BE149)</f>
        <v>278.57142857142861</v>
      </c>
      <c r="CQ149" s="693">
        <f>SUM(BF149:BI149)</f>
        <v>278.57142857142861</v>
      </c>
      <c r="CR149" s="693">
        <f>SUM(BG149:BJ149)</f>
        <v>278.57142857142861</v>
      </c>
    </row>
    <row r="150" spans="1:99">
      <c r="A150" s="701" t="s">
        <v>838</v>
      </c>
      <c r="AL150" s="715"/>
      <c r="AM150" s="698"/>
      <c r="AN150" s="698"/>
      <c r="AO150" s="698">
        <f>AO149*(AO95/AO93)*AO100</f>
        <v>6.8786316768306826</v>
      </c>
      <c r="AP150" s="698">
        <f>AP149*(AP95/AP93)*AP100</f>
        <v>9.3483163425659388</v>
      </c>
      <c r="AQ150" s="698">
        <f t="shared" ref="AQ150:AW150" si="245">AQ149*(AQ95/AQ93)*AQ100</f>
        <v>12.637857266063561</v>
      </c>
      <c r="AR150" s="698">
        <f t="shared" si="245"/>
        <v>19.465305704397238</v>
      </c>
      <c r="AS150" s="698">
        <f t="shared" si="245"/>
        <v>29.226180244153273</v>
      </c>
      <c r="AT150" s="698">
        <f t="shared" si="245"/>
        <v>32.914277945129882</v>
      </c>
      <c r="AU150" s="698">
        <f t="shared" si="245"/>
        <v>39.206129890195491</v>
      </c>
      <c r="AV150" s="698">
        <f t="shared" si="245"/>
        <v>39.33546060715517</v>
      </c>
      <c r="AW150" s="698">
        <f t="shared" si="245"/>
        <v>38.387925901413993</v>
      </c>
      <c r="AX150" s="698">
        <f t="shared" ref="AX150:BI150" si="246">AX149*(AX95/AX93)*AX100</f>
        <v>37.305074250313936</v>
      </c>
      <c r="AY150" s="698">
        <f t="shared" si="246"/>
        <v>36.862102528331228</v>
      </c>
      <c r="AZ150" s="698">
        <f t="shared" si="246"/>
        <v>34.365554166293464</v>
      </c>
      <c r="BA150" s="698">
        <f t="shared" si="246"/>
        <v>32.154455437892778</v>
      </c>
      <c r="BB150" s="698">
        <f t="shared" si="246"/>
        <v>36.237021163862096</v>
      </c>
      <c r="BC150" s="698">
        <f t="shared" si="246"/>
        <v>38.816036051628558</v>
      </c>
      <c r="BD150" s="698">
        <f t="shared" si="246"/>
        <v>36.291673673288386</v>
      </c>
      <c r="BE150" s="698">
        <f t="shared" si="246"/>
        <v>39.591996409898037</v>
      </c>
      <c r="BF150" s="698">
        <f t="shared" si="246"/>
        <v>39.338336370497167</v>
      </c>
      <c r="BG150" s="698">
        <f t="shared" si="246"/>
        <v>41.603082618065386</v>
      </c>
      <c r="BH150" s="698">
        <f t="shared" si="246"/>
        <v>40.105964474102407</v>
      </c>
      <c r="BI150" s="698">
        <f t="shared" si="246"/>
        <v>44.39477600124733</v>
      </c>
      <c r="BJ150" s="698">
        <f t="shared" ref="BJ150:BQ150" si="247">BJ149*(BJ95/BJ93)*BJ100</f>
        <v>43.745539814182862</v>
      </c>
      <c r="BK150" s="698">
        <f t="shared" si="247"/>
        <v>39.638718632891816</v>
      </c>
      <c r="BL150" s="698">
        <f t="shared" si="247"/>
        <v>40.384656938345586</v>
      </c>
      <c r="BM150" s="698">
        <f t="shared" si="247"/>
        <v>44.327264186133498</v>
      </c>
      <c r="BN150" s="698">
        <f t="shared" si="247"/>
        <v>40.973864057548049</v>
      </c>
      <c r="BO150" s="698">
        <f t="shared" si="247"/>
        <v>45.013901191457563</v>
      </c>
      <c r="BP150" s="698">
        <f t="shared" si="247"/>
        <v>45.013901191457563</v>
      </c>
      <c r="BQ150" s="698">
        <f t="shared" si="247"/>
        <v>36.011120953166056</v>
      </c>
      <c r="BR150" s="698">
        <f t="shared" ref="BR150:BU150" si="248">BR149*(BR95/BR93)*BR100</f>
        <v>33.010194207068878</v>
      </c>
      <c r="BS150" s="698">
        <f t="shared" si="248"/>
        <v>27.008340714874535</v>
      </c>
      <c r="BT150" s="698">
        <f t="shared" si="248"/>
        <v>18.005560476583025</v>
      </c>
      <c r="BU150" s="698">
        <f t="shared" si="248"/>
        <v>0</v>
      </c>
      <c r="BV150" s="698">
        <f t="shared" ref="BV150:BY150" si="249">BV149*(BV95/BV93)*BV100</f>
        <v>0</v>
      </c>
      <c r="BW150" s="698">
        <f t="shared" si="249"/>
        <v>0</v>
      </c>
      <c r="BX150" s="698">
        <f t="shared" si="249"/>
        <v>0</v>
      </c>
      <c r="BY150" s="698">
        <f t="shared" si="249"/>
        <v>0</v>
      </c>
      <c r="BZ150" s="698"/>
      <c r="CA150" s="698"/>
      <c r="CL150" s="693">
        <f>SUM(AL150:AO150)</f>
        <v>6.8786316768306826</v>
      </c>
      <c r="CM150" s="693">
        <f>SUM(AP150:AS150)</f>
        <v>70.677659557180007</v>
      </c>
      <c r="CN150" s="693">
        <f>SUM(AT150:AW150)</f>
        <v>149.84379434389456</v>
      </c>
      <c r="CO150" s="693">
        <f>SUM(AX150:BA150)</f>
        <v>140.68718638283141</v>
      </c>
      <c r="CP150" s="693">
        <f>SUM(BB150:BE150)</f>
        <v>150.93672729867708</v>
      </c>
      <c r="CQ150" s="693">
        <f>SUM(BF150:BI150)</f>
        <v>165.4421594639123</v>
      </c>
      <c r="CR150" s="693">
        <f>SUM(BG150:BJ150)</f>
        <v>169.84936290759799</v>
      </c>
      <c r="CS150" s="693"/>
      <c r="CT150" s="693"/>
      <c r="CU150" s="693"/>
    </row>
    <row r="151" spans="1:99">
      <c r="CB151" s="715"/>
      <c r="CS151" s="693"/>
      <c r="CT151" s="693"/>
      <c r="CU151" s="693"/>
    </row>
    <row r="153" spans="1:99" s="688" customFormat="1">
      <c r="A153" s="687" t="s">
        <v>956</v>
      </c>
      <c r="B153" s="689"/>
      <c r="C153" s="689"/>
      <c r="D153" s="689"/>
      <c r="E153" s="689"/>
      <c r="F153" s="689"/>
      <c r="G153" s="689"/>
      <c r="H153" s="689"/>
      <c r="I153" s="689"/>
      <c r="J153" s="689"/>
      <c r="K153" s="689"/>
      <c r="L153" s="689"/>
      <c r="M153" s="689"/>
      <c r="N153" s="689"/>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t="str">
        <f>AL105</f>
        <v>1Q19</v>
      </c>
      <c r="AM153" s="689" t="str">
        <f t="shared" ref="AM153:BY153" si="250">AM105</f>
        <v>2Q19</v>
      </c>
      <c r="AN153" s="689" t="str">
        <f t="shared" si="250"/>
        <v>3Q19</v>
      </c>
      <c r="AO153" s="689" t="str">
        <f t="shared" si="250"/>
        <v>4Q19</v>
      </c>
      <c r="AP153" s="689" t="str">
        <f t="shared" si="250"/>
        <v>1Q20</v>
      </c>
      <c r="AQ153" s="689" t="str">
        <f t="shared" si="250"/>
        <v>2Q20</v>
      </c>
      <c r="AR153" s="689" t="str">
        <f t="shared" si="250"/>
        <v>3Q20</v>
      </c>
      <c r="AS153" s="689" t="str">
        <f t="shared" si="250"/>
        <v>4Q20</v>
      </c>
      <c r="AT153" s="689" t="str">
        <f t="shared" si="250"/>
        <v>1Q21</v>
      </c>
      <c r="AU153" s="689" t="str">
        <f t="shared" si="250"/>
        <v>2Q21</v>
      </c>
      <c r="AV153" s="689" t="str">
        <f t="shared" si="250"/>
        <v>3Q21</v>
      </c>
      <c r="AW153" s="689" t="str">
        <f t="shared" si="250"/>
        <v>4Q21</v>
      </c>
      <c r="AX153" s="689" t="str">
        <f t="shared" si="250"/>
        <v>1Q22</v>
      </c>
      <c r="AY153" s="689" t="str">
        <f t="shared" si="250"/>
        <v>2Q22</v>
      </c>
      <c r="AZ153" s="689" t="str">
        <f t="shared" si="250"/>
        <v>3Q22</v>
      </c>
      <c r="BA153" s="689" t="str">
        <f t="shared" si="250"/>
        <v>4Q22</v>
      </c>
      <c r="BB153" s="689" t="str">
        <f t="shared" si="250"/>
        <v>1Q23</v>
      </c>
      <c r="BC153" s="689" t="str">
        <f t="shared" si="250"/>
        <v>2Q23</v>
      </c>
      <c r="BD153" s="689" t="str">
        <f t="shared" si="250"/>
        <v>3Q23</v>
      </c>
      <c r="BE153" s="689" t="str">
        <f t="shared" si="250"/>
        <v>4Q23</v>
      </c>
      <c r="BF153" s="689" t="str">
        <f t="shared" si="250"/>
        <v>1Q24</v>
      </c>
      <c r="BG153" s="689" t="str">
        <f t="shared" si="250"/>
        <v>2Q24</v>
      </c>
      <c r="BH153" s="689" t="str">
        <f t="shared" si="250"/>
        <v>3Q24</v>
      </c>
      <c r="BI153" s="689" t="str">
        <f t="shared" si="250"/>
        <v>4Q24</v>
      </c>
      <c r="BJ153" s="689" t="str">
        <f t="shared" si="250"/>
        <v>1Q25</v>
      </c>
      <c r="BK153" s="689" t="str">
        <f t="shared" si="250"/>
        <v>2Q25</v>
      </c>
      <c r="BL153" s="689" t="str">
        <f t="shared" si="250"/>
        <v>3Q25</v>
      </c>
      <c r="BM153" s="689" t="str">
        <f t="shared" si="250"/>
        <v>4Q25</v>
      </c>
      <c r="BN153" s="689" t="str">
        <f t="shared" si="250"/>
        <v>1Q26</v>
      </c>
      <c r="BO153" s="689" t="str">
        <f t="shared" si="250"/>
        <v>2Q26</v>
      </c>
      <c r="BP153" s="689" t="str">
        <f t="shared" si="250"/>
        <v>3Q26</v>
      </c>
      <c r="BQ153" s="689" t="str">
        <f t="shared" si="250"/>
        <v>4Q26</v>
      </c>
      <c r="BR153" s="689" t="str">
        <f t="shared" si="250"/>
        <v>1Q27</v>
      </c>
      <c r="BS153" s="689" t="str">
        <f t="shared" si="250"/>
        <v>2Q27</v>
      </c>
      <c r="BT153" s="689" t="str">
        <f t="shared" si="250"/>
        <v>3Q27</v>
      </c>
      <c r="BU153" s="689" t="str">
        <f t="shared" si="250"/>
        <v>4Q27</v>
      </c>
      <c r="BV153" s="689" t="str">
        <f t="shared" si="250"/>
        <v>1Q28</v>
      </c>
      <c r="BW153" s="689" t="str">
        <f t="shared" si="250"/>
        <v>2Q28</v>
      </c>
      <c r="BX153" s="689" t="str">
        <f t="shared" si="250"/>
        <v>3Q28</v>
      </c>
      <c r="BY153" s="689" t="str">
        <f t="shared" si="250"/>
        <v>4Q28</v>
      </c>
      <c r="BZ153" s="689"/>
      <c r="CA153" s="689"/>
    </row>
    <row r="154" spans="1:99">
      <c r="A154" s="694" t="s">
        <v>957</v>
      </c>
      <c r="AQ154" s="1090"/>
      <c r="AR154" s="1090"/>
      <c r="AS154" s="1090">
        <f>Assumption!Q121/3/2.25</f>
        <v>0</v>
      </c>
      <c r="AT154" s="1090">
        <f>Assumption!R121/3/2.25</f>
        <v>3</v>
      </c>
      <c r="AU154" s="1090">
        <f>Assumption!S121/3/2.25</f>
        <v>6</v>
      </c>
      <c r="AV154" s="1090">
        <f>Assumption!T121/3/2.25</f>
        <v>8</v>
      </c>
      <c r="AW154" s="1090">
        <f>Assumption!U121/3/2.25</f>
        <v>10</v>
      </c>
      <c r="AX154" s="1090">
        <f>Assumption!V121/3/2.25</f>
        <v>10</v>
      </c>
      <c r="AY154" s="1090">
        <f>Assumption!W121/3/2.25</f>
        <v>10</v>
      </c>
      <c r="AZ154" s="1090">
        <f>Assumption!X121/3/2.25</f>
        <v>10</v>
      </c>
      <c r="BA154" s="1090">
        <f>Assumption!Y121/3/2.25</f>
        <v>10</v>
      </c>
      <c r="BB154" s="1090">
        <f>Assumption!Z121/3/2.25</f>
        <v>10</v>
      </c>
      <c r="BC154" s="1090">
        <f>Assumption!AA121/3/2.25</f>
        <v>14.444444444444445</v>
      </c>
      <c r="BD154" s="1090">
        <f>Assumption!AB121/3/2.25</f>
        <v>18.888888888888889</v>
      </c>
      <c r="BE154" s="1090">
        <f>Assumption!AC121/3/2.25</f>
        <v>20.222222222222221</v>
      </c>
      <c r="BF154" s="1090">
        <f>Assumption!AD121/3/2.25</f>
        <v>20.222222222222221</v>
      </c>
      <c r="BG154" s="1090">
        <f>Assumption!AE121/3/2.25</f>
        <v>20.222222222222221</v>
      </c>
      <c r="BH154" s="1090">
        <f>Assumption!AF121/3/2.25</f>
        <v>20.222222222222221</v>
      </c>
      <c r="BI154" s="1090">
        <f>Assumption!AG121/3/2.25</f>
        <v>20.222222222222221</v>
      </c>
      <c r="BJ154" s="1090">
        <f>Assumption!AH121/3/2.25</f>
        <v>20.222222222222221</v>
      </c>
      <c r="BK154" s="1090">
        <f>Assumption!AI121/3/2.25</f>
        <v>20.222222222222221</v>
      </c>
      <c r="BL154" s="1090">
        <f>Assumption!AJ121/3/2.25</f>
        <v>20.222222222222221</v>
      </c>
      <c r="BM154" s="1090">
        <f>Assumption!AK121/3/2.25</f>
        <v>20.222222222222221</v>
      </c>
      <c r="BN154" s="1090">
        <f>Assumption!AL121/3/2.25</f>
        <v>22.722222222222221</v>
      </c>
      <c r="BO154" s="1090">
        <f>Assumption!AM121/3/2.25</f>
        <v>25.222222222222221</v>
      </c>
      <c r="BP154" s="1090">
        <f>Assumption!AN121/3/2.25</f>
        <v>27.722222222222221</v>
      </c>
      <c r="BQ154" s="1090">
        <f>Assumption!AO121/3/2.25</f>
        <v>30.222222222222221</v>
      </c>
      <c r="BR154" s="1090">
        <f>Assumption!AP121/3/2.25</f>
        <v>32.722222222222221</v>
      </c>
      <c r="BS154" s="1090">
        <f>Assumption!AQ121/3/2.25</f>
        <v>35.222222222222221</v>
      </c>
      <c r="BT154" s="1090">
        <f>Assumption!AR121/3/2.25</f>
        <v>37.722222222222221</v>
      </c>
      <c r="BU154" s="1090">
        <f>Assumption!AS121/3/2.25</f>
        <v>40.222222222222221</v>
      </c>
      <c r="BV154" s="1090">
        <f>Assumption!AT121/3/2.25</f>
        <v>42.722222222222221</v>
      </c>
      <c r="BW154" s="1090">
        <f>Assumption!AU121/3/2.25</f>
        <v>45.222222222222221</v>
      </c>
      <c r="BX154" s="1090">
        <f>Assumption!AV121/3/2.25</f>
        <v>47.722222222222221</v>
      </c>
      <c r="BY154" s="1090">
        <f>Assumption!AW121/3/2.25</f>
        <v>50.222222222222221</v>
      </c>
      <c r="BZ154" s="697"/>
      <c r="CA154" s="697"/>
    </row>
    <row r="155" spans="1:99">
      <c r="A155" s="694" t="s">
        <v>825</v>
      </c>
      <c r="AT155" s="1090">
        <f>AT154-AS154</f>
        <v>3</v>
      </c>
      <c r="AU155" s="1090">
        <f t="shared" ref="AU155:BA155" si="251">AU154-AT154</f>
        <v>3</v>
      </c>
      <c r="AV155" s="1090">
        <f t="shared" si="251"/>
        <v>2</v>
      </c>
      <c r="AW155" s="1090">
        <f t="shared" si="251"/>
        <v>2</v>
      </c>
      <c r="AX155" s="1090">
        <f t="shared" si="251"/>
        <v>0</v>
      </c>
      <c r="AY155" s="1090">
        <f t="shared" si="251"/>
        <v>0</v>
      </c>
      <c r="AZ155" s="1090">
        <f t="shared" si="251"/>
        <v>0</v>
      </c>
      <c r="BA155" s="1090">
        <f t="shared" si="251"/>
        <v>0</v>
      </c>
      <c r="BB155" s="1090">
        <f t="shared" ref="BB155:BQ155" si="252">BB154-BA154</f>
        <v>0</v>
      </c>
      <c r="BC155" s="1090">
        <f t="shared" si="252"/>
        <v>4.4444444444444446</v>
      </c>
      <c r="BD155" s="1090">
        <f t="shared" si="252"/>
        <v>4.4444444444444446</v>
      </c>
      <c r="BE155" s="1090">
        <f t="shared" si="252"/>
        <v>1.3333333333333321</v>
      </c>
      <c r="BF155" s="1090">
        <f t="shared" si="252"/>
        <v>0</v>
      </c>
      <c r="BG155" s="1090">
        <f t="shared" si="252"/>
        <v>0</v>
      </c>
      <c r="BH155" s="1090">
        <f t="shared" si="252"/>
        <v>0</v>
      </c>
      <c r="BI155" s="1090">
        <f t="shared" si="252"/>
        <v>0</v>
      </c>
      <c r="BJ155" s="1090">
        <f t="shared" si="252"/>
        <v>0</v>
      </c>
      <c r="BK155" s="1090">
        <f t="shared" si="252"/>
        <v>0</v>
      </c>
      <c r="BL155" s="1090">
        <f t="shared" si="252"/>
        <v>0</v>
      </c>
      <c r="BM155" s="1090">
        <f t="shared" si="252"/>
        <v>0</v>
      </c>
      <c r="BN155" s="1090">
        <f t="shared" si="252"/>
        <v>2.5</v>
      </c>
      <c r="BO155" s="1090">
        <f t="shared" si="252"/>
        <v>2.5</v>
      </c>
      <c r="BP155" s="1090">
        <f t="shared" si="252"/>
        <v>2.5</v>
      </c>
      <c r="BQ155" s="1090">
        <f t="shared" si="252"/>
        <v>2.5</v>
      </c>
      <c r="BR155" s="1090">
        <f t="shared" ref="BR155" si="253">BR154-BQ154</f>
        <v>2.5</v>
      </c>
      <c r="BS155" s="1090">
        <f t="shared" ref="BS155" si="254">BS154-BR154</f>
        <v>2.5</v>
      </c>
      <c r="BT155" s="1090">
        <f t="shared" ref="BT155" si="255">BT154-BS154</f>
        <v>2.5</v>
      </c>
      <c r="BU155" s="1090">
        <f t="shared" ref="BU155" si="256">BU154-BT154</f>
        <v>2.5</v>
      </c>
      <c r="BV155" s="1090">
        <f t="shared" ref="BV155" si="257">BV154-BU154</f>
        <v>2.5</v>
      </c>
      <c r="BW155" s="1090">
        <f t="shared" ref="BW155" si="258">BW154-BV154</f>
        <v>2.5</v>
      </c>
      <c r="BX155" s="1090">
        <f t="shared" ref="BX155" si="259">BX154-BW154</f>
        <v>2.5</v>
      </c>
      <c r="BY155" s="1090">
        <f t="shared" ref="BY155" si="260">BY154-BX154</f>
        <v>2.5</v>
      </c>
    </row>
    <row r="156" spans="1:99">
      <c r="A156" s="694" t="s">
        <v>826</v>
      </c>
      <c r="AL156" s="713"/>
      <c r="AT156" s="712">
        <v>150</v>
      </c>
      <c r="AU156" s="712">
        <v>150</v>
      </c>
      <c r="AV156" s="712">
        <v>150</v>
      </c>
      <c r="AW156" s="712">
        <v>150</v>
      </c>
      <c r="AX156" s="712">
        <v>150</v>
      </c>
      <c r="AY156" s="712">
        <v>150</v>
      </c>
      <c r="AZ156" s="712">
        <v>150</v>
      </c>
      <c r="BA156" s="712">
        <v>150</v>
      </c>
      <c r="BB156" s="712">
        <v>150</v>
      </c>
      <c r="BC156" s="712">
        <v>150</v>
      </c>
      <c r="BD156" s="712">
        <v>150</v>
      </c>
      <c r="BE156" s="712">
        <v>150</v>
      </c>
      <c r="BF156" s="712">
        <v>150</v>
      </c>
      <c r="BG156" s="712">
        <v>150</v>
      </c>
      <c r="BH156" s="712">
        <v>150</v>
      </c>
      <c r="BI156" s="712">
        <v>150</v>
      </c>
      <c r="BJ156" s="712">
        <v>180</v>
      </c>
      <c r="BK156" s="712">
        <f>BJ156</f>
        <v>180</v>
      </c>
      <c r="BL156" s="712">
        <f t="shared" ref="BL156:BY156" si="261">BK156</f>
        <v>180</v>
      </c>
      <c r="BM156" s="712">
        <f t="shared" si="261"/>
        <v>180</v>
      </c>
      <c r="BN156" s="712">
        <v>190</v>
      </c>
      <c r="BO156" s="712">
        <f t="shared" si="261"/>
        <v>190</v>
      </c>
      <c r="BP156" s="712">
        <f t="shared" si="261"/>
        <v>190</v>
      </c>
      <c r="BQ156" s="712">
        <f t="shared" si="261"/>
        <v>190</v>
      </c>
      <c r="BR156" s="712">
        <v>200</v>
      </c>
      <c r="BS156" s="712">
        <f t="shared" si="261"/>
        <v>200</v>
      </c>
      <c r="BT156" s="712">
        <f t="shared" si="261"/>
        <v>200</v>
      </c>
      <c r="BU156" s="712">
        <f t="shared" si="261"/>
        <v>200</v>
      </c>
      <c r="BV156" s="712">
        <f t="shared" si="261"/>
        <v>200</v>
      </c>
      <c r="BW156" s="712">
        <f t="shared" si="261"/>
        <v>200</v>
      </c>
      <c r="BX156" s="712">
        <f t="shared" si="261"/>
        <v>200</v>
      </c>
      <c r="BY156" s="712">
        <f t="shared" si="261"/>
        <v>200</v>
      </c>
    </row>
    <row r="157" spans="1:99">
      <c r="A157" s="694" t="s">
        <v>818</v>
      </c>
      <c r="AL157" s="713"/>
      <c r="AT157" s="1090">
        <f>AT156*AT155</f>
        <v>450</v>
      </c>
      <c r="AU157" s="1090">
        <f t="shared" ref="AU157:BC157" si="262">AU156*AU155</f>
        <v>450</v>
      </c>
      <c r="AV157" s="1090">
        <f t="shared" si="262"/>
        <v>300</v>
      </c>
      <c r="AW157" s="1090">
        <f t="shared" si="262"/>
        <v>300</v>
      </c>
      <c r="AX157" s="1090">
        <f t="shared" si="262"/>
        <v>0</v>
      </c>
      <c r="AY157" s="1090">
        <f t="shared" si="262"/>
        <v>0</v>
      </c>
      <c r="AZ157" s="1090">
        <f t="shared" si="262"/>
        <v>0</v>
      </c>
      <c r="BA157" s="1090">
        <f t="shared" si="262"/>
        <v>0</v>
      </c>
      <c r="BB157" s="1090">
        <f t="shared" si="262"/>
        <v>0</v>
      </c>
      <c r="BC157" s="1090">
        <f t="shared" si="262"/>
        <v>666.66666666666674</v>
      </c>
      <c r="BD157" s="1090">
        <f t="shared" ref="BD157:BY157" si="263">BD156*BD155</f>
        <v>666.66666666666674</v>
      </c>
      <c r="BE157" s="1090">
        <f t="shared" si="263"/>
        <v>199.99999999999983</v>
      </c>
      <c r="BF157" s="1090">
        <f t="shared" si="263"/>
        <v>0</v>
      </c>
      <c r="BG157" s="1090">
        <f t="shared" si="263"/>
        <v>0</v>
      </c>
      <c r="BH157" s="1090">
        <f t="shared" si="263"/>
        <v>0</v>
      </c>
      <c r="BI157" s="1090">
        <f t="shared" si="263"/>
        <v>0</v>
      </c>
      <c r="BJ157" s="1090">
        <f t="shared" si="263"/>
        <v>0</v>
      </c>
      <c r="BK157" s="1090">
        <f t="shared" si="263"/>
        <v>0</v>
      </c>
      <c r="BL157" s="1090">
        <f t="shared" si="263"/>
        <v>0</v>
      </c>
      <c r="BM157" s="1090">
        <f t="shared" si="263"/>
        <v>0</v>
      </c>
      <c r="BN157" s="1090">
        <f t="shared" si="263"/>
        <v>475</v>
      </c>
      <c r="BO157" s="1090">
        <f t="shared" si="263"/>
        <v>475</v>
      </c>
      <c r="BP157" s="1090">
        <f t="shared" si="263"/>
        <v>475</v>
      </c>
      <c r="BQ157" s="1090">
        <f t="shared" si="263"/>
        <v>475</v>
      </c>
      <c r="BR157" s="1090">
        <f t="shared" si="263"/>
        <v>500</v>
      </c>
      <c r="BS157" s="1090">
        <f t="shared" si="263"/>
        <v>500</v>
      </c>
      <c r="BT157" s="1090">
        <f t="shared" si="263"/>
        <v>500</v>
      </c>
      <c r="BU157" s="1090">
        <f t="shared" si="263"/>
        <v>500</v>
      </c>
      <c r="BV157" s="1090">
        <f t="shared" si="263"/>
        <v>500</v>
      </c>
      <c r="BW157" s="1090">
        <f t="shared" si="263"/>
        <v>500</v>
      </c>
      <c r="BX157" s="1090">
        <f t="shared" si="263"/>
        <v>500</v>
      </c>
      <c r="BY157" s="1090">
        <f t="shared" si="263"/>
        <v>500</v>
      </c>
    </row>
    <row r="158" spans="1:99">
      <c r="CO158" s="693"/>
      <c r="CP158" s="693"/>
      <c r="CQ158" s="693"/>
      <c r="CR158" s="693"/>
      <c r="CS158" s="693"/>
      <c r="CT158" s="693"/>
      <c r="CU158" s="693"/>
    </row>
    <row r="159" spans="1:99">
      <c r="A159" s="701" t="s">
        <v>821</v>
      </c>
    </row>
    <row r="160" spans="1:99">
      <c r="A160" s="694" t="s">
        <v>421</v>
      </c>
      <c r="AT160" s="1091">
        <f>AT$157/28</f>
        <v>16.071428571428573</v>
      </c>
      <c r="AU160" s="1092">
        <f t="shared" ref="AU160" si="264">AT160</f>
        <v>16.071428571428573</v>
      </c>
      <c r="AV160" s="1092">
        <f t="shared" ref="AV160:AV161" si="265">AU160</f>
        <v>16.071428571428573</v>
      </c>
      <c r="AW160" s="1092">
        <f t="shared" ref="AW160:AW162" si="266">AV160</f>
        <v>16.071428571428573</v>
      </c>
      <c r="AX160" s="1092">
        <f>AW160</f>
        <v>16.071428571428573</v>
      </c>
      <c r="AY160" s="1092">
        <f t="shared" ref="AY160:AY164" si="267">AX160</f>
        <v>16.071428571428573</v>
      </c>
      <c r="AZ160" s="1092">
        <f t="shared" ref="AZ160:AZ165" si="268">AY160</f>
        <v>16.071428571428573</v>
      </c>
      <c r="BA160" s="1092">
        <f t="shared" ref="BA160:BA166" si="269">AZ160</f>
        <v>16.071428571428573</v>
      </c>
      <c r="BB160" s="1092">
        <f t="shared" ref="BB160:BB167" si="270">BA160</f>
        <v>16.071428571428573</v>
      </c>
      <c r="BC160" s="1092">
        <f t="shared" ref="BC160:BC168" si="271">BB160</f>
        <v>16.071428571428573</v>
      </c>
      <c r="BD160" s="1092">
        <f t="shared" ref="BD160:BD169" si="272">BC160</f>
        <v>16.071428571428573</v>
      </c>
      <c r="BE160" s="1092">
        <f t="shared" ref="BE160:BE170" si="273">BD160</f>
        <v>16.071428571428573</v>
      </c>
      <c r="BF160" s="1092">
        <f t="shared" ref="BF160:BF171" si="274">BE160</f>
        <v>16.071428571428573</v>
      </c>
      <c r="BG160" s="1092">
        <f t="shared" ref="BG160:BG172" si="275">BF160</f>
        <v>16.071428571428573</v>
      </c>
      <c r="BH160" s="1092">
        <f t="shared" ref="BH160:BH173" si="276">BG160</f>
        <v>16.071428571428573</v>
      </c>
      <c r="BI160" s="1092">
        <f t="shared" ref="BI160:BI174" si="277">BH160</f>
        <v>16.071428571428573</v>
      </c>
      <c r="BJ160" s="1092">
        <f t="shared" ref="BJ160:BJ175" si="278">BI160</f>
        <v>16.071428571428573</v>
      </c>
      <c r="BK160" s="1092">
        <f t="shared" ref="BK160:BK176" si="279">BJ160</f>
        <v>16.071428571428573</v>
      </c>
      <c r="BL160" s="1092">
        <f t="shared" ref="BL160:BL177" si="280">BK160</f>
        <v>16.071428571428573</v>
      </c>
      <c r="BM160" s="1092">
        <f t="shared" ref="BM160:BM178" si="281">BL160</f>
        <v>16.071428571428573</v>
      </c>
      <c r="BN160" s="1092">
        <f t="shared" ref="BN160:BN179" si="282">BM160</f>
        <v>16.071428571428573</v>
      </c>
      <c r="BO160" s="1092">
        <f t="shared" ref="BO160:BO180" si="283">BN160</f>
        <v>16.071428571428573</v>
      </c>
      <c r="BP160" s="1092">
        <f t="shared" ref="BP160:BP180" si="284">BO160</f>
        <v>16.071428571428573</v>
      </c>
      <c r="BQ160" s="1092">
        <f t="shared" ref="BQ160:BQ180" si="285">BP160</f>
        <v>16.071428571428573</v>
      </c>
      <c r="BR160" s="1092">
        <f t="shared" ref="BR160:BR180" si="286">BQ160</f>
        <v>16.071428571428573</v>
      </c>
      <c r="BS160" s="1092">
        <f t="shared" ref="BS160:BS180" si="287">BR160</f>
        <v>16.071428571428573</v>
      </c>
      <c r="BT160" s="1092">
        <f t="shared" ref="BT160:BT180" si="288">BS160</f>
        <v>16.071428571428573</v>
      </c>
      <c r="BU160" s="1092">
        <f t="shared" ref="BU160:BX184" si="289">BT160</f>
        <v>16.071428571428573</v>
      </c>
      <c r="BV160" s="1092"/>
      <c r="BW160" s="1092"/>
      <c r="BX160" s="1092"/>
      <c r="BY160" s="1092"/>
      <c r="BZ160" s="711"/>
      <c r="CA160" s="711"/>
    </row>
    <row r="161" spans="1:79">
      <c r="A161" s="694" t="s">
        <v>422</v>
      </c>
      <c r="AT161" s="704"/>
      <c r="AU161" s="1091">
        <f>AU$157/28</f>
        <v>16.071428571428573</v>
      </c>
      <c r="AV161" s="1092">
        <f t="shared" si="265"/>
        <v>16.071428571428573</v>
      </c>
      <c r="AW161" s="1092">
        <f t="shared" si="266"/>
        <v>16.071428571428573</v>
      </c>
      <c r="AX161" s="1092">
        <f>AW161</f>
        <v>16.071428571428573</v>
      </c>
      <c r="AY161" s="1092">
        <f t="shared" si="267"/>
        <v>16.071428571428573</v>
      </c>
      <c r="AZ161" s="1092">
        <f t="shared" si="268"/>
        <v>16.071428571428573</v>
      </c>
      <c r="BA161" s="1092">
        <f t="shared" si="269"/>
        <v>16.071428571428573</v>
      </c>
      <c r="BB161" s="1092">
        <f t="shared" si="270"/>
        <v>16.071428571428573</v>
      </c>
      <c r="BC161" s="1092">
        <f t="shared" si="271"/>
        <v>16.071428571428573</v>
      </c>
      <c r="BD161" s="1092">
        <f t="shared" si="272"/>
        <v>16.071428571428573</v>
      </c>
      <c r="BE161" s="1092">
        <f t="shared" si="273"/>
        <v>16.071428571428573</v>
      </c>
      <c r="BF161" s="1092">
        <f t="shared" si="274"/>
        <v>16.071428571428573</v>
      </c>
      <c r="BG161" s="1092">
        <f t="shared" si="275"/>
        <v>16.071428571428573</v>
      </c>
      <c r="BH161" s="1092">
        <f t="shared" si="276"/>
        <v>16.071428571428573</v>
      </c>
      <c r="BI161" s="1092">
        <f t="shared" si="277"/>
        <v>16.071428571428573</v>
      </c>
      <c r="BJ161" s="1092">
        <f t="shared" si="278"/>
        <v>16.071428571428573</v>
      </c>
      <c r="BK161" s="1092">
        <f t="shared" si="279"/>
        <v>16.071428571428573</v>
      </c>
      <c r="BL161" s="1092">
        <f t="shared" si="280"/>
        <v>16.071428571428573</v>
      </c>
      <c r="BM161" s="1092">
        <f t="shared" si="281"/>
        <v>16.071428571428573</v>
      </c>
      <c r="BN161" s="1092">
        <f t="shared" si="282"/>
        <v>16.071428571428573</v>
      </c>
      <c r="BO161" s="1092">
        <f t="shared" si="283"/>
        <v>16.071428571428573</v>
      </c>
      <c r="BP161" s="1092">
        <f t="shared" si="284"/>
        <v>16.071428571428573</v>
      </c>
      <c r="BQ161" s="1092">
        <f t="shared" si="285"/>
        <v>16.071428571428573</v>
      </c>
      <c r="BR161" s="1092">
        <f t="shared" si="286"/>
        <v>16.071428571428573</v>
      </c>
      <c r="BS161" s="1092">
        <f t="shared" si="287"/>
        <v>16.071428571428573</v>
      </c>
      <c r="BT161" s="1092">
        <f t="shared" si="288"/>
        <v>16.071428571428573</v>
      </c>
      <c r="BU161" s="1092">
        <f t="shared" si="289"/>
        <v>16.071428571428573</v>
      </c>
      <c r="BV161" s="1092">
        <f t="shared" ref="BV161:BV180" si="290">BU161</f>
        <v>16.071428571428573</v>
      </c>
      <c r="BW161" s="1092"/>
      <c r="BX161" s="1092"/>
      <c r="BY161" s="1092"/>
      <c r="BZ161" s="711"/>
      <c r="CA161" s="711"/>
    </row>
    <row r="162" spans="1:79">
      <c r="A162" s="694" t="s">
        <v>423</v>
      </c>
      <c r="AT162" s="704"/>
      <c r="AU162" s="1092"/>
      <c r="AV162" s="1091">
        <f>AV$157/28</f>
        <v>10.714285714285714</v>
      </c>
      <c r="AW162" s="1092">
        <f t="shared" si="266"/>
        <v>10.714285714285714</v>
      </c>
      <c r="AX162" s="1092">
        <f>AW162</f>
        <v>10.714285714285714</v>
      </c>
      <c r="AY162" s="1092">
        <f t="shared" si="267"/>
        <v>10.714285714285714</v>
      </c>
      <c r="AZ162" s="1092">
        <f t="shared" si="268"/>
        <v>10.714285714285714</v>
      </c>
      <c r="BA162" s="1092">
        <f t="shared" si="269"/>
        <v>10.714285714285714</v>
      </c>
      <c r="BB162" s="1092">
        <f t="shared" si="270"/>
        <v>10.714285714285714</v>
      </c>
      <c r="BC162" s="1092">
        <f t="shared" si="271"/>
        <v>10.714285714285714</v>
      </c>
      <c r="BD162" s="1092">
        <f t="shared" si="272"/>
        <v>10.714285714285714</v>
      </c>
      <c r="BE162" s="1092">
        <f t="shared" si="273"/>
        <v>10.714285714285714</v>
      </c>
      <c r="BF162" s="1092">
        <f t="shared" si="274"/>
        <v>10.714285714285714</v>
      </c>
      <c r="BG162" s="1092">
        <f t="shared" si="275"/>
        <v>10.714285714285714</v>
      </c>
      <c r="BH162" s="1092">
        <f t="shared" si="276"/>
        <v>10.714285714285714</v>
      </c>
      <c r="BI162" s="1092">
        <f t="shared" si="277"/>
        <v>10.714285714285714</v>
      </c>
      <c r="BJ162" s="1092">
        <f t="shared" si="278"/>
        <v>10.714285714285714</v>
      </c>
      <c r="BK162" s="1092">
        <f t="shared" si="279"/>
        <v>10.714285714285714</v>
      </c>
      <c r="BL162" s="1092">
        <f t="shared" si="280"/>
        <v>10.714285714285714</v>
      </c>
      <c r="BM162" s="1092">
        <f t="shared" si="281"/>
        <v>10.714285714285714</v>
      </c>
      <c r="BN162" s="1092">
        <f t="shared" si="282"/>
        <v>10.714285714285714</v>
      </c>
      <c r="BO162" s="1092">
        <f t="shared" si="283"/>
        <v>10.714285714285714</v>
      </c>
      <c r="BP162" s="1092">
        <f t="shared" si="284"/>
        <v>10.714285714285714</v>
      </c>
      <c r="BQ162" s="1092">
        <f t="shared" si="285"/>
        <v>10.714285714285714</v>
      </c>
      <c r="BR162" s="1092">
        <f t="shared" si="286"/>
        <v>10.714285714285714</v>
      </c>
      <c r="BS162" s="1092">
        <f t="shared" si="287"/>
        <v>10.714285714285714</v>
      </c>
      <c r="BT162" s="1092">
        <f t="shared" si="288"/>
        <v>10.714285714285714</v>
      </c>
      <c r="BU162" s="1092">
        <f t="shared" si="289"/>
        <v>10.714285714285714</v>
      </c>
      <c r="BV162" s="1092">
        <f t="shared" si="290"/>
        <v>10.714285714285714</v>
      </c>
      <c r="BW162" s="1092">
        <f t="shared" ref="BW162:BW180" si="291">BV162</f>
        <v>10.714285714285714</v>
      </c>
      <c r="BX162" s="1092"/>
      <c r="BY162" s="1092"/>
      <c r="BZ162" s="711"/>
      <c r="CA162" s="711"/>
    </row>
    <row r="163" spans="1:79">
      <c r="A163" s="694" t="s">
        <v>424</v>
      </c>
      <c r="AT163" s="704"/>
      <c r="AU163" s="1092"/>
      <c r="AV163" s="1092"/>
      <c r="AW163" s="1091">
        <f>AW$157/28</f>
        <v>10.714285714285714</v>
      </c>
      <c r="AX163" s="1092">
        <f>AW163</f>
        <v>10.714285714285714</v>
      </c>
      <c r="AY163" s="1092">
        <f t="shared" si="267"/>
        <v>10.714285714285714</v>
      </c>
      <c r="AZ163" s="1092">
        <f t="shared" si="268"/>
        <v>10.714285714285714</v>
      </c>
      <c r="BA163" s="1092">
        <f t="shared" si="269"/>
        <v>10.714285714285714</v>
      </c>
      <c r="BB163" s="1092">
        <f t="shared" si="270"/>
        <v>10.714285714285714</v>
      </c>
      <c r="BC163" s="1092">
        <f t="shared" si="271"/>
        <v>10.714285714285714</v>
      </c>
      <c r="BD163" s="1092">
        <f t="shared" si="272"/>
        <v>10.714285714285714</v>
      </c>
      <c r="BE163" s="1092">
        <f t="shared" si="273"/>
        <v>10.714285714285714</v>
      </c>
      <c r="BF163" s="1092">
        <f t="shared" si="274"/>
        <v>10.714285714285714</v>
      </c>
      <c r="BG163" s="1092">
        <f t="shared" si="275"/>
        <v>10.714285714285714</v>
      </c>
      <c r="BH163" s="1092">
        <f t="shared" si="276"/>
        <v>10.714285714285714</v>
      </c>
      <c r="BI163" s="1092">
        <f t="shared" si="277"/>
        <v>10.714285714285714</v>
      </c>
      <c r="BJ163" s="1092">
        <f t="shared" si="278"/>
        <v>10.714285714285714</v>
      </c>
      <c r="BK163" s="1092">
        <f t="shared" si="279"/>
        <v>10.714285714285714</v>
      </c>
      <c r="BL163" s="1092">
        <f t="shared" si="280"/>
        <v>10.714285714285714</v>
      </c>
      <c r="BM163" s="1092">
        <f t="shared" si="281"/>
        <v>10.714285714285714</v>
      </c>
      <c r="BN163" s="1092">
        <f t="shared" si="282"/>
        <v>10.714285714285714</v>
      </c>
      <c r="BO163" s="1092">
        <f t="shared" si="283"/>
        <v>10.714285714285714</v>
      </c>
      <c r="BP163" s="1092">
        <f t="shared" si="284"/>
        <v>10.714285714285714</v>
      </c>
      <c r="BQ163" s="1092">
        <f t="shared" si="285"/>
        <v>10.714285714285714</v>
      </c>
      <c r="BR163" s="1092">
        <f t="shared" si="286"/>
        <v>10.714285714285714</v>
      </c>
      <c r="BS163" s="1092">
        <f t="shared" si="287"/>
        <v>10.714285714285714</v>
      </c>
      <c r="BT163" s="1092">
        <f t="shared" si="288"/>
        <v>10.714285714285714</v>
      </c>
      <c r="BU163" s="1092">
        <f t="shared" si="289"/>
        <v>10.714285714285714</v>
      </c>
      <c r="BV163" s="1092">
        <f t="shared" si="290"/>
        <v>10.714285714285714</v>
      </c>
      <c r="BW163" s="1092">
        <f t="shared" si="291"/>
        <v>10.714285714285714</v>
      </c>
      <c r="BX163" s="1092">
        <f t="shared" ref="BX163:BX180" si="292">BW163</f>
        <v>10.714285714285714</v>
      </c>
      <c r="BY163" s="1092"/>
      <c r="BZ163" s="711"/>
      <c r="CA163" s="711"/>
    </row>
    <row r="164" spans="1:79">
      <c r="A164" s="694" t="s">
        <v>946</v>
      </c>
      <c r="AT164" s="704"/>
      <c r="AU164" s="1092"/>
      <c r="AV164" s="1092"/>
      <c r="AW164" s="1092"/>
      <c r="AX164" s="1091">
        <f>AX$157/28</f>
        <v>0</v>
      </c>
      <c r="AY164" s="1092">
        <f t="shared" si="267"/>
        <v>0</v>
      </c>
      <c r="AZ164" s="1092">
        <f t="shared" si="268"/>
        <v>0</v>
      </c>
      <c r="BA164" s="1092">
        <f t="shared" si="269"/>
        <v>0</v>
      </c>
      <c r="BB164" s="1092">
        <f t="shared" si="270"/>
        <v>0</v>
      </c>
      <c r="BC164" s="1092">
        <f t="shared" si="271"/>
        <v>0</v>
      </c>
      <c r="BD164" s="1092">
        <f t="shared" si="272"/>
        <v>0</v>
      </c>
      <c r="BE164" s="1092">
        <f t="shared" si="273"/>
        <v>0</v>
      </c>
      <c r="BF164" s="1092">
        <f t="shared" si="274"/>
        <v>0</v>
      </c>
      <c r="BG164" s="1092">
        <f t="shared" si="275"/>
        <v>0</v>
      </c>
      <c r="BH164" s="1092">
        <f t="shared" si="276"/>
        <v>0</v>
      </c>
      <c r="BI164" s="1092">
        <f t="shared" si="277"/>
        <v>0</v>
      </c>
      <c r="BJ164" s="1092">
        <f t="shared" si="278"/>
        <v>0</v>
      </c>
      <c r="BK164" s="1092">
        <f t="shared" si="279"/>
        <v>0</v>
      </c>
      <c r="BL164" s="1092">
        <f t="shared" si="280"/>
        <v>0</v>
      </c>
      <c r="BM164" s="1092">
        <f t="shared" si="281"/>
        <v>0</v>
      </c>
      <c r="BN164" s="1092">
        <f t="shared" si="282"/>
        <v>0</v>
      </c>
      <c r="BO164" s="1092">
        <f t="shared" si="283"/>
        <v>0</v>
      </c>
      <c r="BP164" s="1092">
        <f t="shared" si="284"/>
        <v>0</v>
      </c>
      <c r="BQ164" s="1092">
        <f t="shared" si="285"/>
        <v>0</v>
      </c>
      <c r="BR164" s="1092">
        <f t="shared" si="286"/>
        <v>0</v>
      </c>
      <c r="BS164" s="1092">
        <f t="shared" si="287"/>
        <v>0</v>
      </c>
      <c r="BT164" s="1092">
        <f t="shared" si="288"/>
        <v>0</v>
      </c>
      <c r="BU164" s="1092">
        <f t="shared" si="289"/>
        <v>0</v>
      </c>
      <c r="BV164" s="1092">
        <f t="shared" si="290"/>
        <v>0</v>
      </c>
      <c r="BW164" s="1092">
        <f t="shared" si="291"/>
        <v>0</v>
      </c>
      <c r="BX164" s="1092">
        <f t="shared" si="292"/>
        <v>0</v>
      </c>
      <c r="BY164" s="1092">
        <f t="shared" ref="BY164:BY190" si="293">BX164</f>
        <v>0</v>
      </c>
      <c r="BZ164" s="711"/>
      <c r="CA164" s="711"/>
    </row>
    <row r="165" spans="1:79">
      <c r="A165" s="694" t="s">
        <v>947</v>
      </c>
      <c r="AT165" s="704"/>
      <c r="AU165" s="1092"/>
      <c r="AV165" s="1092"/>
      <c r="AW165" s="1092"/>
      <c r="AX165" s="1092"/>
      <c r="AY165" s="1091">
        <f>AY$157/28</f>
        <v>0</v>
      </c>
      <c r="AZ165" s="1092">
        <f t="shared" si="268"/>
        <v>0</v>
      </c>
      <c r="BA165" s="1092">
        <f t="shared" si="269"/>
        <v>0</v>
      </c>
      <c r="BB165" s="1092">
        <f t="shared" si="270"/>
        <v>0</v>
      </c>
      <c r="BC165" s="1092">
        <f t="shared" si="271"/>
        <v>0</v>
      </c>
      <c r="BD165" s="1092">
        <f t="shared" si="272"/>
        <v>0</v>
      </c>
      <c r="BE165" s="1092">
        <f t="shared" si="273"/>
        <v>0</v>
      </c>
      <c r="BF165" s="1092">
        <f t="shared" si="274"/>
        <v>0</v>
      </c>
      <c r="BG165" s="1092">
        <f t="shared" si="275"/>
        <v>0</v>
      </c>
      <c r="BH165" s="1092">
        <f t="shared" si="276"/>
        <v>0</v>
      </c>
      <c r="BI165" s="1092">
        <f t="shared" si="277"/>
        <v>0</v>
      </c>
      <c r="BJ165" s="1092">
        <f t="shared" si="278"/>
        <v>0</v>
      </c>
      <c r="BK165" s="1092">
        <f t="shared" si="279"/>
        <v>0</v>
      </c>
      <c r="BL165" s="1092">
        <f t="shared" si="280"/>
        <v>0</v>
      </c>
      <c r="BM165" s="1092">
        <f t="shared" si="281"/>
        <v>0</v>
      </c>
      <c r="BN165" s="1092">
        <f t="shared" si="282"/>
        <v>0</v>
      </c>
      <c r="BO165" s="1092">
        <f t="shared" si="283"/>
        <v>0</v>
      </c>
      <c r="BP165" s="1092">
        <f t="shared" si="284"/>
        <v>0</v>
      </c>
      <c r="BQ165" s="1092">
        <f t="shared" si="285"/>
        <v>0</v>
      </c>
      <c r="BR165" s="1092">
        <f t="shared" si="286"/>
        <v>0</v>
      </c>
      <c r="BS165" s="1092">
        <f t="shared" si="287"/>
        <v>0</v>
      </c>
      <c r="BT165" s="1092">
        <f t="shared" si="288"/>
        <v>0</v>
      </c>
      <c r="BU165" s="1092">
        <f t="shared" si="289"/>
        <v>0</v>
      </c>
      <c r="BV165" s="1092">
        <f t="shared" si="290"/>
        <v>0</v>
      </c>
      <c r="BW165" s="1092">
        <f t="shared" si="291"/>
        <v>0</v>
      </c>
      <c r="BX165" s="1092">
        <f t="shared" si="292"/>
        <v>0</v>
      </c>
      <c r="BY165" s="1092">
        <f t="shared" si="293"/>
        <v>0</v>
      </c>
      <c r="BZ165" s="711"/>
      <c r="CA165" s="711"/>
    </row>
    <row r="166" spans="1:79">
      <c r="A166" s="694" t="s">
        <v>948</v>
      </c>
      <c r="AT166" s="704"/>
      <c r="AU166" s="1092"/>
      <c r="AV166" s="1092"/>
      <c r="AW166" s="1092"/>
      <c r="AX166" s="1092"/>
      <c r="AY166" s="1092"/>
      <c r="AZ166" s="1091">
        <f>AZ$157/28</f>
        <v>0</v>
      </c>
      <c r="BA166" s="1092">
        <f t="shared" si="269"/>
        <v>0</v>
      </c>
      <c r="BB166" s="1092">
        <f t="shared" si="270"/>
        <v>0</v>
      </c>
      <c r="BC166" s="1092">
        <f t="shared" si="271"/>
        <v>0</v>
      </c>
      <c r="BD166" s="1092">
        <f t="shared" si="272"/>
        <v>0</v>
      </c>
      <c r="BE166" s="1092">
        <f t="shared" si="273"/>
        <v>0</v>
      </c>
      <c r="BF166" s="1092">
        <f t="shared" si="274"/>
        <v>0</v>
      </c>
      <c r="BG166" s="1092">
        <f t="shared" si="275"/>
        <v>0</v>
      </c>
      <c r="BH166" s="1092">
        <f t="shared" si="276"/>
        <v>0</v>
      </c>
      <c r="BI166" s="1092">
        <f t="shared" si="277"/>
        <v>0</v>
      </c>
      <c r="BJ166" s="1092">
        <f t="shared" si="278"/>
        <v>0</v>
      </c>
      <c r="BK166" s="1092">
        <f t="shared" si="279"/>
        <v>0</v>
      </c>
      <c r="BL166" s="1092">
        <f t="shared" si="280"/>
        <v>0</v>
      </c>
      <c r="BM166" s="1092">
        <f t="shared" si="281"/>
        <v>0</v>
      </c>
      <c r="BN166" s="1092">
        <f t="shared" si="282"/>
        <v>0</v>
      </c>
      <c r="BO166" s="1092">
        <f t="shared" si="283"/>
        <v>0</v>
      </c>
      <c r="BP166" s="1092">
        <f t="shared" si="284"/>
        <v>0</v>
      </c>
      <c r="BQ166" s="1092">
        <f t="shared" si="285"/>
        <v>0</v>
      </c>
      <c r="BR166" s="1092">
        <f t="shared" si="286"/>
        <v>0</v>
      </c>
      <c r="BS166" s="1092">
        <f t="shared" si="287"/>
        <v>0</v>
      </c>
      <c r="BT166" s="1092">
        <f t="shared" si="288"/>
        <v>0</v>
      </c>
      <c r="BU166" s="1092">
        <f t="shared" si="289"/>
        <v>0</v>
      </c>
      <c r="BV166" s="1092">
        <f t="shared" si="290"/>
        <v>0</v>
      </c>
      <c r="BW166" s="1092">
        <f t="shared" si="291"/>
        <v>0</v>
      </c>
      <c r="BX166" s="1092">
        <f t="shared" si="292"/>
        <v>0</v>
      </c>
      <c r="BY166" s="1092">
        <f t="shared" si="293"/>
        <v>0</v>
      </c>
      <c r="BZ166" s="711"/>
      <c r="CA166" s="711"/>
    </row>
    <row r="167" spans="1:79">
      <c r="A167" s="694" t="s">
        <v>949</v>
      </c>
      <c r="AT167" s="704"/>
      <c r="AU167" s="1092"/>
      <c r="AV167" s="1092"/>
      <c r="AW167" s="1092"/>
      <c r="AX167" s="1092"/>
      <c r="AY167" s="1092"/>
      <c r="AZ167" s="1092"/>
      <c r="BA167" s="1091">
        <f>BA$157/28</f>
        <v>0</v>
      </c>
      <c r="BB167" s="1092">
        <f t="shared" si="270"/>
        <v>0</v>
      </c>
      <c r="BC167" s="1092">
        <f t="shared" si="271"/>
        <v>0</v>
      </c>
      <c r="BD167" s="1092">
        <f t="shared" si="272"/>
        <v>0</v>
      </c>
      <c r="BE167" s="1092">
        <f t="shared" si="273"/>
        <v>0</v>
      </c>
      <c r="BF167" s="1092">
        <f t="shared" si="274"/>
        <v>0</v>
      </c>
      <c r="BG167" s="1092">
        <f t="shared" si="275"/>
        <v>0</v>
      </c>
      <c r="BH167" s="1092">
        <f t="shared" si="276"/>
        <v>0</v>
      </c>
      <c r="BI167" s="1092">
        <f t="shared" si="277"/>
        <v>0</v>
      </c>
      <c r="BJ167" s="1092">
        <f t="shared" si="278"/>
        <v>0</v>
      </c>
      <c r="BK167" s="1092">
        <f t="shared" si="279"/>
        <v>0</v>
      </c>
      <c r="BL167" s="1092">
        <f t="shared" si="280"/>
        <v>0</v>
      </c>
      <c r="BM167" s="1092">
        <f t="shared" si="281"/>
        <v>0</v>
      </c>
      <c r="BN167" s="1092">
        <f t="shared" si="282"/>
        <v>0</v>
      </c>
      <c r="BO167" s="1092">
        <f t="shared" si="283"/>
        <v>0</v>
      </c>
      <c r="BP167" s="1092">
        <f t="shared" si="284"/>
        <v>0</v>
      </c>
      <c r="BQ167" s="1092">
        <f t="shared" si="285"/>
        <v>0</v>
      </c>
      <c r="BR167" s="1092">
        <f t="shared" si="286"/>
        <v>0</v>
      </c>
      <c r="BS167" s="1092">
        <f t="shared" si="287"/>
        <v>0</v>
      </c>
      <c r="BT167" s="1092">
        <f t="shared" si="288"/>
        <v>0</v>
      </c>
      <c r="BU167" s="1092">
        <f t="shared" si="289"/>
        <v>0</v>
      </c>
      <c r="BV167" s="1092">
        <f t="shared" si="290"/>
        <v>0</v>
      </c>
      <c r="BW167" s="1092">
        <f t="shared" si="291"/>
        <v>0</v>
      </c>
      <c r="BX167" s="1092">
        <f t="shared" si="292"/>
        <v>0</v>
      </c>
      <c r="BY167" s="1092">
        <f t="shared" si="293"/>
        <v>0</v>
      </c>
      <c r="BZ167" s="711"/>
      <c r="CA167" s="711"/>
    </row>
    <row r="168" spans="1:79">
      <c r="A168" s="694" t="s">
        <v>1065</v>
      </c>
      <c r="AT168" s="704"/>
      <c r="AU168" s="1092"/>
      <c r="AV168" s="1092"/>
      <c r="AW168" s="1092"/>
      <c r="AX168" s="1092"/>
      <c r="AY168" s="1092"/>
      <c r="AZ168" s="1092"/>
      <c r="BA168" s="1092"/>
      <c r="BB168" s="1091">
        <f>BB$157/28</f>
        <v>0</v>
      </c>
      <c r="BC168" s="1092">
        <f t="shared" si="271"/>
        <v>0</v>
      </c>
      <c r="BD168" s="1092">
        <f t="shared" si="272"/>
        <v>0</v>
      </c>
      <c r="BE168" s="1092">
        <f t="shared" si="273"/>
        <v>0</v>
      </c>
      <c r="BF168" s="1092">
        <f t="shared" si="274"/>
        <v>0</v>
      </c>
      <c r="BG168" s="1092">
        <f t="shared" si="275"/>
        <v>0</v>
      </c>
      <c r="BH168" s="1092">
        <f t="shared" si="276"/>
        <v>0</v>
      </c>
      <c r="BI168" s="1092">
        <f t="shared" si="277"/>
        <v>0</v>
      </c>
      <c r="BJ168" s="1092">
        <f t="shared" si="278"/>
        <v>0</v>
      </c>
      <c r="BK168" s="1092">
        <f t="shared" si="279"/>
        <v>0</v>
      </c>
      <c r="BL168" s="1092">
        <f t="shared" si="280"/>
        <v>0</v>
      </c>
      <c r="BM168" s="1092">
        <f t="shared" si="281"/>
        <v>0</v>
      </c>
      <c r="BN168" s="1092">
        <f t="shared" si="282"/>
        <v>0</v>
      </c>
      <c r="BO168" s="1092">
        <f t="shared" si="283"/>
        <v>0</v>
      </c>
      <c r="BP168" s="1092">
        <f t="shared" si="284"/>
        <v>0</v>
      </c>
      <c r="BQ168" s="1092">
        <f t="shared" si="285"/>
        <v>0</v>
      </c>
      <c r="BR168" s="1092">
        <f t="shared" si="286"/>
        <v>0</v>
      </c>
      <c r="BS168" s="1092">
        <f t="shared" si="287"/>
        <v>0</v>
      </c>
      <c r="BT168" s="1092">
        <f t="shared" si="288"/>
        <v>0</v>
      </c>
      <c r="BU168" s="1092">
        <f t="shared" si="289"/>
        <v>0</v>
      </c>
      <c r="BV168" s="1092">
        <f t="shared" si="290"/>
        <v>0</v>
      </c>
      <c r="BW168" s="1092">
        <f t="shared" si="291"/>
        <v>0</v>
      </c>
      <c r="BX168" s="1092">
        <f t="shared" si="292"/>
        <v>0</v>
      </c>
      <c r="BY168" s="1092">
        <f t="shared" si="293"/>
        <v>0</v>
      </c>
      <c r="BZ168" s="711"/>
      <c r="CA168" s="711"/>
    </row>
    <row r="169" spans="1:79">
      <c r="A169" s="694" t="s">
        <v>1066</v>
      </c>
      <c r="AT169" s="704"/>
      <c r="AU169" s="1092"/>
      <c r="AV169" s="1092"/>
      <c r="AW169" s="1092"/>
      <c r="AX169" s="1092"/>
      <c r="AY169" s="1092"/>
      <c r="AZ169" s="1092"/>
      <c r="BA169" s="1092"/>
      <c r="BB169" s="1092"/>
      <c r="BC169" s="1091">
        <f>BC$157/28</f>
        <v>23.809523809523814</v>
      </c>
      <c r="BD169" s="1092">
        <f t="shared" si="272"/>
        <v>23.809523809523814</v>
      </c>
      <c r="BE169" s="1092">
        <f t="shared" si="273"/>
        <v>23.809523809523814</v>
      </c>
      <c r="BF169" s="1092">
        <f t="shared" si="274"/>
        <v>23.809523809523814</v>
      </c>
      <c r="BG169" s="1092">
        <f t="shared" si="275"/>
        <v>23.809523809523814</v>
      </c>
      <c r="BH169" s="1092">
        <f t="shared" si="276"/>
        <v>23.809523809523814</v>
      </c>
      <c r="BI169" s="1092">
        <f t="shared" si="277"/>
        <v>23.809523809523814</v>
      </c>
      <c r="BJ169" s="1092">
        <f t="shared" si="278"/>
        <v>23.809523809523814</v>
      </c>
      <c r="BK169" s="1092">
        <f t="shared" si="279"/>
        <v>23.809523809523814</v>
      </c>
      <c r="BL169" s="1092">
        <f t="shared" si="280"/>
        <v>23.809523809523814</v>
      </c>
      <c r="BM169" s="1092">
        <f t="shared" si="281"/>
        <v>23.809523809523814</v>
      </c>
      <c r="BN169" s="1092">
        <f t="shared" si="282"/>
        <v>23.809523809523814</v>
      </c>
      <c r="BO169" s="1092">
        <f t="shared" si="283"/>
        <v>23.809523809523814</v>
      </c>
      <c r="BP169" s="1092">
        <f t="shared" si="284"/>
        <v>23.809523809523814</v>
      </c>
      <c r="BQ169" s="1092">
        <f t="shared" si="285"/>
        <v>23.809523809523814</v>
      </c>
      <c r="BR169" s="1092">
        <f t="shared" si="286"/>
        <v>23.809523809523814</v>
      </c>
      <c r="BS169" s="1092">
        <f t="shared" si="287"/>
        <v>23.809523809523814</v>
      </c>
      <c r="BT169" s="1092">
        <f t="shared" si="288"/>
        <v>23.809523809523814</v>
      </c>
      <c r="BU169" s="1092">
        <f t="shared" si="289"/>
        <v>23.809523809523814</v>
      </c>
      <c r="BV169" s="1092">
        <f t="shared" si="290"/>
        <v>23.809523809523814</v>
      </c>
      <c r="BW169" s="1092">
        <f t="shared" si="291"/>
        <v>23.809523809523814</v>
      </c>
      <c r="BX169" s="1092">
        <f t="shared" si="292"/>
        <v>23.809523809523814</v>
      </c>
      <c r="BY169" s="1092">
        <f t="shared" si="293"/>
        <v>23.809523809523814</v>
      </c>
      <c r="BZ169" s="711"/>
      <c r="CA169" s="711"/>
    </row>
    <row r="170" spans="1:79">
      <c r="A170" s="694" t="s">
        <v>1067</v>
      </c>
      <c r="AT170" s="704"/>
      <c r="AU170" s="1092"/>
      <c r="AV170" s="1092"/>
      <c r="AW170" s="1092"/>
      <c r="AX170" s="1092"/>
      <c r="AY170" s="1092"/>
      <c r="AZ170" s="1092"/>
      <c r="BA170" s="1092"/>
      <c r="BB170" s="1092"/>
      <c r="BC170" s="1092"/>
      <c r="BD170" s="1091">
        <f>BD$157/28</f>
        <v>23.809523809523814</v>
      </c>
      <c r="BE170" s="1092">
        <f t="shared" si="273"/>
        <v>23.809523809523814</v>
      </c>
      <c r="BF170" s="1092">
        <f t="shared" si="274"/>
        <v>23.809523809523814</v>
      </c>
      <c r="BG170" s="1092">
        <f t="shared" si="275"/>
        <v>23.809523809523814</v>
      </c>
      <c r="BH170" s="1092">
        <f t="shared" si="276"/>
        <v>23.809523809523814</v>
      </c>
      <c r="BI170" s="1092">
        <f t="shared" si="277"/>
        <v>23.809523809523814</v>
      </c>
      <c r="BJ170" s="1092">
        <f t="shared" si="278"/>
        <v>23.809523809523814</v>
      </c>
      <c r="BK170" s="1092">
        <f t="shared" si="279"/>
        <v>23.809523809523814</v>
      </c>
      <c r="BL170" s="1092">
        <f t="shared" si="280"/>
        <v>23.809523809523814</v>
      </c>
      <c r="BM170" s="1092">
        <f t="shared" si="281"/>
        <v>23.809523809523814</v>
      </c>
      <c r="BN170" s="1092">
        <f t="shared" si="282"/>
        <v>23.809523809523814</v>
      </c>
      <c r="BO170" s="1092">
        <f t="shared" si="283"/>
        <v>23.809523809523814</v>
      </c>
      <c r="BP170" s="1092">
        <f t="shared" si="284"/>
        <v>23.809523809523814</v>
      </c>
      <c r="BQ170" s="1092">
        <f t="shared" si="285"/>
        <v>23.809523809523814</v>
      </c>
      <c r="BR170" s="1092">
        <f t="shared" si="286"/>
        <v>23.809523809523814</v>
      </c>
      <c r="BS170" s="1092">
        <f t="shared" si="287"/>
        <v>23.809523809523814</v>
      </c>
      <c r="BT170" s="1092">
        <f t="shared" si="288"/>
        <v>23.809523809523814</v>
      </c>
      <c r="BU170" s="1092">
        <f t="shared" si="289"/>
        <v>23.809523809523814</v>
      </c>
      <c r="BV170" s="1092">
        <f t="shared" si="290"/>
        <v>23.809523809523814</v>
      </c>
      <c r="BW170" s="1092">
        <f t="shared" si="291"/>
        <v>23.809523809523814</v>
      </c>
      <c r="BX170" s="1092">
        <f t="shared" si="292"/>
        <v>23.809523809523814</v>
      </c>
      <c r="BY170" s="1092">
        <f t="shared" si="293"/>
        <v>23.809523809523814</v>
      </c>
      <c r="BZ170" s="711"/>
      <c r="CA170" s="711"/>
    </row>
    <row r="171" spans="1:79">
      <c r="A171" s="694" t="s">
        <v>1064</v>
      </c>
      <c r="AT171" s="704"/>
      <c r="AU171" s="1092"/>
      <c r="AV171" s="1092"/>
      <c r="AW171" s="1092"/>
      <c r="AX171" s="1092"/>
      <c r="AY171" s="1092"/>
      <c r="AZ171" s="1092"/>
      <c r="BA171" s="1092"/>
      <c r="BB171" s="1092"/>
      <c r="BC171" s="1092"/>
      <c r="BD171" s="1092"/>
      <c r="BE171" s="1091">
        <f>BE$157/28</f>
        <v>7.142857142857137</v>
      </c>
      <c r="BF171" s="1092">
        <f t="shared" si="274"/>
        <v>7.142857142857137</v>
      </c>
      <c r="BG171" s="1092">
        <f t="shared" si="275"/>
        <v>7.142857142857137</v>
      </c>
      <c r="BH171" s="1092">
        <f t="shared" si="276"/>
        <v>7.142857142857137</v>
      </c>
      <c r="BI171" s="1092">
        <f t="shared" si="277"/>
        <v>7.142857142857137</v>
      </c>
      <c r="BJ171" s="1092">
        <f t="shared" si="278"/>
        <v>7.142857142857137</v>
      </c>
      <c r="BK171" s="1092">
        <f t="shared" si="279"/>
        <v>7.142857142857137</v>
      </c>
      <c r="BL171" s="1092">
        <f t="shared" si="280"/>
        <v>7.142857142857137</v>
      </c>
      <c r="BM171" s="1092">
        <f t="shared" si="281"/>
        <v>7.142857142857137</v>
      </c>
      <c r="BN171" s="1092">
        <f t="shared" si="282"/>
        <v>7.142857142857137</v>
      </c>
      <c r="BO171" s="1092">
        <f t="shared" si="283"/>
        <v>7.142857142857137</v>
      </c>
      <c r="BP171" s="1092">
        <f t="shared" si="284"/>
        <v>7.142857142857137</v>
      </c>
      <c r="BQ171" s="1092">
        <f t="shared" si="285"/>
        <v>7.142857142857137</v>
      </c>
      <c r="BR171" s="1092">
        <f t="shared" si="286"/>
        <v>7.142857142857137</v>
      </c>
      <c r="BS171" s="1092">
        <f t="shared" si="287"/>
        <v>7.142857142857137</v>
      </c>
      <c r="BT171" s="1092">
        <f t="shared" si="288"/>
        <v>7.142857142857137</v>
      </c>
      <c r="BU171" s="1092">
        <f t="shared" si="289"/>
        <v>7.142857142857137</v>
      </c>
      <c r="BV171" s="1092">
        <f t="shared" si="290"/>
        <v>7.142857142857137</v>
      </c>
      <c r="BW171" s="1092">
        <f t="shared" si="291"/>
        <v>7.142857142857137</v>
      </c>
      <c r="BX171" s="1092">
        <f t="shared" si="292"/>
        <v>7.142857142857137</v>
      </c>
      <c r="BY171" s="1092">
        <f t="shared" si="293"/>
        <v>7.142857142857137</v>
      </c>
      <c r="BZ171" s="711"/>
      <c r="CA171" s="711"/>
    </row>
    <row r="172" spans="1:79" hidden="1" outlineLevel="1">
      <c r="A172" s="694" t="s">
        <v>1069</v>
      </c>
      <c r="AT172" s="704"/>
      <c r="AU172" s="1092"/>
      <c r="AV172" s="1092"/>
      <c r="AW172" s="1092"/>
      <c r="AX172" s="1092"/>
      <c r="AY172" s="1092"/>
      <c r="AZ172" s="1092"/>
      <c r="BA172" s="1092"/>
      <c r="BB172" s="1092"/>
      <c r="BC172" s="1092"/>
      <c r="BD172" s="1092"/>
      <c r="BE172" s="1092"/>
      <c r="BF172" s="1091">
        <f>BF$157/28</f>
        <v>0</v>
      </c>
      <c r="BG172" s="1092">
        <f t="shared" si="275"/>
        <v>0</v>
      </c>
      <c r="BH172" s="1092">
        <f t="shared" si="276"/>
        <v>0</v>
      </c>
      <c r="BI172" s="1092">
        <f t="shared" si="277"/>
        <v>0</v>
      </c>
      <c r="BJ172" s="1092">
        <f t="shared" si="278"/>
        <v>0</v>
      </c>
      <c r="BK172" s="1092">
        <f t="shared" si="279"/>
        <v>0</v>
      </c>
      <c r="BL172" s="1092">
        <f t="shared" si="280"/>
        <v>0</v>
      </c>
      <c r="BM172" s="1092">
        <f t="shared" si="281"/>
        <v>0</v>
      </c>
      <c r="BN172" s="1092">
        <f t="shared" si="282"/>
        <v>0</v>
      </c>
      <c r="BO172" s="1092">
        <f t="shared" si="283"/>
        <v>0</v>
      </c>
      <c r="BP172" s="1092">
        <f t="shared" si="284"/>
        <v>0</v>
      </c>
      <c r="BQ172" s="1092">
        <f t="shared" si="285"/>
        <v>0</v>
      </c>
      <c r="BR172" s="1092">
        <f t="shared" si="286"/>
        <v>0</v>
      </c>
      <c r="BS172" s="1092">
        <f t="shared" si="287"/>
        <v>0</v>
      </c>
      <c r="BT172" s="1092">
        <f t="shared" si="288"/>
        <v>0</v>
      </c>
      <c r="BU172" s="1092">
        <f t="shared" si="289"/>
        <v>0</v>
      </c>
      <c r="BV172" s="1092">
        <f t="shared" si="290"/>
        <v>0</v>
      </c>
      <c r="BW172" s="1092">
        <f t="shared" si="291"/>
        <v>0</v>
      </c>
      <c r="BX172" s="1092">
        <f t="shared" si="292"/>
        <v>0</v>
      </c>
      <c r="BY172" s="1092">
        <f t="shared" si="293"/>
        <v>0</v>
      </c>
      <c r="BZ172" s="1083"/>
      <c r="CA172" s="1083"/>
    </row>
    <row r="173" spans="1:79" hidden="1" outlineLevel="1">
      <c r="A173" s="694" t="s">
        <v>1070</v>
      </c>
      <c r="AT173" s="704"/>
      <c r="AU173" s="1092"/>
      <c r="AV173" s="1092"/>
      <c r="AW173" s="1092"/>
      <c r="AX173" s="1092"/>
      <c r="AY173" s="1092"/>
      <c r="AZ173" s="1092"/>
      <c r="BA173" s="1092"/>
      <c r="BB173" s="1092"/>
      <c r="BC173" s="1092"/>
      <c r="BD173" s="1092"/>
      <c r="BE173" s="1092"/>
      <c r="BF173" s="1092"/>
      <c r="BG173" s="1091">
        <f>BG$157/28</f>
        <v>0</v>
      </c>
      <c r="BH173" s="1092">
        <f t="shared" si="276"/>
        <v>0</v>
      </c>
      <c r="BI173" s="1092">
        <f t="shared" si="277"/>
        <v>0</v>
      </c>
      <c r="BJ173" s="1092">
        <f t="shared" si="278"/>
        <v>0</v>
      </c>
      <c r="BK173" s="1092">
        <f t="shared" si="279"/>
        <v>0</v>
      </c>
      <c r="BL173" s="1092">
        <f t="shared" si="280"/>
        <v>0</v>
      </c>
      <c r="BM173" s="1092">
        <f t="shared" si="281"/>
        <v>0</v>
      </c>
      <c r="BN173" s="1092">
        <f t="shared" si="282"/>
        <v>0</v>
      </c>
      <c r="BO173" s="1092">
        <f t="shared" si="283"/>
        <v>0</v>
      </c>
      <c r="BP173" s="1092">
        <f t="shared" si="284"/>
        <v>0</v>
      </c>
      <c r="BQ173" s="1092">
        <f t="shared" si="285"/>
        <v>0</v>
      </c>
      <c r="BR173" s="1092">
        <f t="shared" si="286"/>
        <v>0</v>
      </c>
      <c r="BS173" s="1092">
        <f t="shared" si="287"/>
        <v>0</v>
      </c>
      <c r="BT173" s="1092">
        <f t="shared" si="288"/>
        <v>0</v>
      </c>
      <c r="BU173" s="1092">
        <f t="shared" si="289"/>
        <v>0</v>
      </c>
      <c r="BV173" s="1092">
        <f t="shared" si="290"/>
        <v>0</v>
      </c>
      <c r="BW173" s="1092">
        <f t="shared" si="291"/>
        <v>0</v>
      </c>
      <c r="BX173" s="1092">
        <f t="shared" si="292"/>
        <v>0</v>
      </c>
      <c r="BY173" s="1092">
        <f t="shared" si="293"/>
        <v>0</v>
      </c>
      <c r="BZ173" s="1083"/>
      <c r="CA173" s="1083"/>
    </row>
    <row r="174" spans="1:79" hidden="1" outlineLevel="1">
      <c r="A174" s="694" t="s">
        <v>1071</v>
      </c>
      <c r="AT174" s="704"/>
      <c r="AU174" s="1092"/>
      <c r="AV174" s="1092"/>
      <c r="AW174" s="1092"/>
      <c r="AX174" s="1092"/>
      <c r="AY174" s="1092"/>
      <c r="AZ174" s="1092"/>
      <c r="BA174" s="1092"/>
      <c r="BB174" s="1092"/>
      <c r="BC174" s="1092"/>
      <c r="BD174" s="1092"/>
      <c r="BE174" s="1092"/>
      <c r="BF174" s="1092"/>
      <c r="BG174" s="1092"/>
      <c r="BH174" s="1091">
        <f>BH$157/28</f>
        <v>0</v>
      </c>
      <c r="BI174" s="1092">
        <f t="shared" si="277"/>
        <v>0</v>
      </c>
      <c r="BJ174" s="1092">
        <f t="shared" si="278"/>
        <v>0</v>
      </c>
      <c r="BK174" s="1092">
        <f t="shared" si="279"/>
        <v>0</v>
      </c>
      <c r="BL174" s="1092">
        <f t="shared" si="280"/>
        <v>0</v>
      </c>
      <c r="BM174" s="1092">
        <f t="shared" si="281"/>
        <v>0</v>
      </c>
      <c r="BN174" s="1092">
        <f t="shared" si="282"/>
        <v>0</v>
      </c>
      <c r="BO174" s="1092">
        <f t="shared" si="283"/>
        <v>0</v>
      </c>
      <c r="BP174" s="1092">
        <f t="shared" si="284"/>
        <v>0</v>
      </c>
      <c r="BQ174" s="1092">
        <f t="shared" si="285"/>
        <v>0</v>
      </c>
      <c r="BR174" s="1092">
        <f t="shared" si="286"/>
        <v>0</v>
      </c>
      <c r="BS174" s="1092">
        <f t="shared" si="287"/>
        <v>0</v>
      </c>
      <c r="BT174" s="1092">
        <f t="shared" si="288"/>
        <v>0</v>
      </c>
      <c r="BU174" s="1092">
        <f t="shared" si="289"/>
        <v>0</v>
      </c>
      <c r="BV174" s="1092">
        <f t="shared" si="290"/>
        <v>0</v>
      </c>
      <c r="BW174" s="1092">
        <f t="shared" si="291"/>
        <v>0</v>
      </c>
      <c r="BX174" s="1092">
        <f t="shared" si="292"/>
        <v>0</v>
      </c>
      <c r="BY174" s="1092">
        <f t="shared" si="293"/>
        <v>0</v>
      </c>
      <c r="BZ174" s="1083"/>
      <c r="CA174" s="1083"/>
    </row>
    <row r="175" spans="1:79" hidden="1" outlineLevel="1">
      <c r="A175" s="694" t="s">
        <v>1072</v>
      </c>
      <c r="AT175" s="704"/>
      <c r="AU175" s="1092"/>
      <c r="AV175" s="1092"/>
      <c r="AW175" s="1092"/>
      <c r="AX175" s="1092"/>
      <c r="AY175" s="1092"/>
      <c r="AZ175" s="1092"/>
      <c r="BA175" s="1092"/>
      <c r="BB175" s="1092"/>
      <c r="BC175" s="1092"/>
      <c r="BD175" s="1092"/>
      <c r="BE175" s="1092"/>
      <c r="BF175" s="1092"/>
      <c r="BG175" s="1092"/>
      <c r="BH175" s="1092"/>
      <c r="BI175" s="1091">
        <f>BI$157/28</f>
        <v>0</v>
      </c>
      <c r="BJ175" s="1092">
        <f t="shared" si="278"/>
        <v>0</v>
      </c>
      <c r="BK175" s="1092">
        <f t="shared" si="279"/>
        <v>0</v>
      </c>
      <c r="BL175" s="1092">
        <f t="shared" si="280"/>
        <v>0</v>
      </c>
      <c r="BM175" s="1092">
        <f t="shared" si="281"/>
        <v>0</v>
      </c>
      <c r="BN175" s="1092">
        <f t="shared" si="282"/>
        <v>0</v>
      </c>
      <c r="BO175" s="1092">
        <f t="shared" si="283"/>
        <v>0</v>
      </c>
      <c r="BP175" s="1092">
        <f t="shared" si="284"/>
        <v>0</v>
      </c>
      <c r="BQ175" s="1092">
        <f t="shared" si="285"/>
        <v>0</v>
      </c>
      <c r="BR175" s="1092">
        <f t="shared" si="286"/>
        <v>0</v>
      </c>
      <c r="BS175" s="1092">
        <f t="shared" si="287"/>
        <v>0</v>
      </c>
      <c r="BT175" s="1092">
        <f t="shared" si="288"/>
        <v>0</v>
      </c>
      <c r="BU175" s="1092">
        <f t="shared" si="289"/>
        <v>0</v>
      </c>
      <c r="BV175" s="1092">
        <f t="shared" si="290"/>
        <v>0</v>
      </c>
      <c r="BW175" s="1092">
        <f t="shared" si="291"/>
        <v>0</v>
      </c>
      <c r="BX175" s="1092">
        <f t="shared" si="292"/>
        <v>0</v>
      </c>
      <c r="BY175" s="1092">
        <f t="shared" si="293"/>
        <v>0</v>
      </c>
      <c r="BZ175" s="1083"/>
      <c r="CA175" s="1083"/>
    </row>
    <row r="176" spans="1:79" hidden="1" outlineLevel="1">
      <c r="A176" s="694" t="s">
        <v>1073</v>
      </c>
      <c r="AT176" s="704"/>
      <c r="AU176" s="1092"/>
      <c r="AV176" s="1092"/>
      <c r="AW176" s="1092"/>
      <c r="AX176" s="1092"/>
      <c r="AY176" s="1092"/>
      <c r="AZ176" s="1092"/>
      <c r="BA176" s="1092"/>
      <c r="BB176" s="1092"/>
      <c r="BC176" s="1092"/>
      <c r="BD176" s="1092"/>
      <c r="BE176" s="1092"/>
      <c r="BF176" s="1092"/>
      <c r="BG176" s="1092"/>
      <c r="BH176" s="1092"/>
      <c r="BI176" s="1092"/>
      <c r="BJ176" s="1091">
        <f>BJ$157/28</f>
        <v>0</v>
      </c>
      <c r="BK176" s="1092">
        <f t="shared" si="279"/>
        <v>0</v>
      </c>
      <c r="BL176" s="1092">
        <f t="shared" si="280"/>
        <v>0</v>
      </c>
      <c r="BM176" s="1092">
        <f t="shared" si="281"/>
        <v>0</v>
      </c>
      <c r="BN176" s="1092">
        <f t="shared" si="282"/>
        <v>0</v>
      </c>
      <c r="BO176" s="1092">
        <f t="shared" si="283"/>
        <v>0</v>
      </c>
      <c r="BP176" s="1092">
        <f t="shared" si="284"/>
        <v>0</v>
      </c>
      <c r="BQ176" s="1092">
        <f t="shared" si="285"/>
        <v>0</v>
      </c>
      <c r="BR176" s="1092">
        <f t="shared" si="286"/>
        <v>0</v>
      </c>
      <c r="BS176" s="1092">
        <f t="shared" si="287"/>
        <v>0</v>
      </c>
      <c r="BT176" s="1092">
        <f t="shared" si="288"/>
        <v>0</v>
      </c>
      <c r="BU176" s="1092">
        <f t="shared" si="289"/>
        <v>0</v>
      </c>
      <c r="BV176" s="1092">
        <f t="shared" si="290"/>
        <v>0</v>
      </c>
      <c r="BW176" s="1092">
        <f t="shared" si="291"/>
        <v>0</v>
      </c>
      <c r="BX176" s="1092">
        <f t="shared" si="292"/>
        <v>0</v>
      </c>
      <c r="BY176" s="1092">
        <f t="shared" si="293"/>
        <v>0</v>
      </c>
      <c r="BZ176" s="1083"/>
      <c r="CA176" s="1083"/>
    </row>
    <row r="177" spans="1:80" hidden="1" outlineLevel="1">
      <c r="A177" s="694" t="s">
        <v>1074</v>
      </c>
      <c r="AT177" s="704"/>
      <c r="AU177" s="1092"/>
      <c r="AV177" s="1092"/>
      <c r="AW177" s="1092"/>
      <c r="AX177" s="1092"/>
      <c r="AY177" s="1092"/>
      <c r="AZ177" s="1092"/>
      <c r="BA177" s="1092"/>
      <c r="BB177" s="1092"/>
      <c r="BC177" s="1092"/>
      <c r="BD177" s="1092"/>
      <c r="BE177" s="1092"/>
      <c r="BF177" s="1092"/>
      <c r="BG177" s="1092"/>
      <c r="BH177" s="1092"/>
      <c r="BI177" s="1092"/>
      <c r="BJ177" s="1092"/>
      <c r="BK177" s="1091">
        <f>BK$157/28</f>
        <v>0</v>
      </c>
      <c r="BL177" s="1092">
        <f t="shared" si="280"/>
        <v>0</v>
      </c>
      <c r="BM177" s="1092">
        <f t="shared" si="281"/>
        <v>0</v>
      </c>
      <c r="BN177" s="1092">
        <f t="shared" si="282"/>
        <v>0</v>
      </c>
      <c r="BO177" s="1092">
        <f t="shared" si="283"/>
        <v>0</v>
      </c>
      <c r="BP177" s="1092">
        <f t="shared" si="284"/>
        <v>0</v>
      </c>
      <c r="BQ177" s="1092">
        <f t="shared" si="285"/>
        <v>0</v>
      </c>
      <c r="BR177" s="1092">
        <f t="shared" si="286"/>
        <v>0</v>
      </c>
      <c r="BS177" s="1092">
        <f t="shared" si="287"/>
        <v>0</v>
      </c>
      <c r="BT177" s="1092">
        <f t="shared" si="288"/>
        <v>0</v>
      </c>
      <c r="BU177" s="1092">
        <f t="shared" si="289"/>
        <v>0</v>
      </c>
      <c r="BV177" s="1092">
        <f t="shared" si="290"/>
        <v>0</v>
      </c>
      <c r="BW177" s="1092">
        <f t="shared" si="291"/>
        <v>0</v>
      </c>
      <c r="BX177" s="1092">
        <f t="shared" si="292"/>
        <v>0</v>
      </c>
      <c r="BY177" s="1092">
        <f t="shared" si="293"/>
        <v>0</v>
      </c>
      <c r="BZ177" s="1083"/>
      <c r="CA177" s="1083"/>
    </row>
    <row r="178" spans="1:80" hidden="1" outlineLevel="1">
      <c r="A178" s="694" t="s">
        <v>1075</v>
      </c>
      <c r="AT178" s="704"/>
      <c r="AU178" s="1092"/>
      <c r="AV178" s="1092"/>
      <c r="AW178" s="1092"/>
      <c r="AX178" s="1092"/>
      <c r="AY178" s="1092"/>
      <c r="AZ178" s="1092"/>
      <c r="BA178" s="1092"/>
      <c r="BB178" s="1092"/>
      <c r="BC178" s="1092"/>
      <c r="BD178" s="1092"/>
      <c r="BE178" s="1092"/>
      <c r="BF178" s="1092"/>
      <c r="BG178" s="1092"/>
      <c r="BH178" s="1092"/>
      <c r="BI178" s="1092"/>
      <c r="BJ178" s="1092"/>
      <c r="BK178" s="1092"/>
      <c r="BL178" s="1091">
        <f>BL$157/28</f>
        <v>0</v>
      </c>
      <c r="BM178" s="1092">
        <f t="shared" si="281"/>
        <v>0</v>
      </c>
      <c r="BN178" s="1092">
        <f t="shared" si="282"/>
        <v>0</v>
      </c>
      <c r="BO178" s="1092">
        <f t="shared" si="283"/>
        <v>0</v>
      </c>
      <c r="BP178" s="1092">
        <f t="shared" si="284"/>
        <v>0</v>
      </c>
      <c r="BQ178" s="1092">
        <f t="shared" si="285"/>
        <v>0</v>
      </c>
      <c r="BR178" s="1092">
        <f t="shared" si="286"/>
        <v>0</v>
      </c>
      <c r="BS178" s="1092">
        <f t="shared" si="287"/>
        <v>0</v>
      </c>
      <c r="BT178" s="1092">
        <f t="shared" si="288"/>
        <v>0</v>
      </c>
      <c r="BU178" s="1092">
        <f t="shared" si="289"/>
        <v>0</v>
      </c>
      <c r="BV178" s="1092">
        <f t="shared" si="290"/>
        <v>0</v>
      </c>
      <c r="BW178" s="1092">
        <f t="shared" si="291"/>
        <v>0</v>
      </c>
      <c r="BX178" s="1092">
        <f t="shared" si="292"/>
        <v>0</v>
      </c>
      <c r="BY178" s="1092">
        <f t="shared" si="293"/>
        <v>0</v>
      </c>
      <c r="BZ178" s="1083"/>
      <c r="CA178" s="1083"/>
    </row>
    <row r="179" spans="1:80" hidden="1" outlineLevel="1">
      <c r="A179" s="694" t="s">
        <v>1076</v>
      </c>
      <c r="AT179" s="704"/>
      <c r="AU179" s="1092"/>
      <c r="AV179" s="1092"/>
      <c r="AW179" s="1092"/>
      <c r="AX179" s="1092"/>
      <c r="AY179" s="1092"/>
      <c r="AZ179" s="1092"/>
      <c r="BA179" s="1092"/>
      <c r="BB179" s="1092"/>
      <c r="BC179" s="1092"/>
      <c r="BD179" s="1092"/>
      <c r="BE179" s="1092"/>
      <c r="BF179" s="1092"/>
      <c r="BG179" s="1092"/>
      <c r="BH179" s="1092"/>
      <c r="BI179" s="1092"/>
      <c r="BJ179" s="1092"/>
      <c r="BK179" s="1092"/>
      <c r="BL179" s="1092"/>
      <c r="BM179" s="1091">
        <f>BM$157/28</f>
        <v>0</v>
      </c>
      <c r="BN179" s="1092">
        <f t="shared" si="282"/>
        <v>0</v>
      </c>
      <c r="BO179" s="1092">
        <f t="shared" si="283"/>
        <v>0</v>
      </c>
      <c r="BP179" s="1092">
        <f t="shared" si="284"/>
        <v>0</v>
      </c>
      <c r="BQ179" s="1092">
        <f t="shared" si="285"/>
        <v>0</v>
      </c>
      <c r="BR179" s="1092">
        <f t="shared" si="286"/>
        <v>0</v>
      </c>
      <c r="BS179" s="1092">
        <f t="shared" si="287"/>
        <v>0</v>
      </c>
      <c r="BT179" s="1092">
        <f t="shared" si="288"/>
        <v>0</v>
      </c>
      <c r="BU179" s="1092">
        <f t="shared" si="289"/>
        <v>0</v>
      </c>
      <c r="BV179" s="1092">
        <f t="shared" si="290"/>
        <v>0</v>
      </c>
      <c r="BW179" s="1092">
        <f t="shared" si="291"/>
        <v>0</v>
      </c>
      <c r="BX179" s="1092">
        <f t="shared" si="292"/>
        <v>0</v>
      </c>
      <c r="BY179" s="1092">
        <f t="shared" si="293"/>
        <v>0</v>
      </c>
      <c r="BZ179" s="1083"/>
      <c r="CA179" s="1083"/>
    </row>
    <row r="180" spans="1:80" hidden="1" outlineLevel="1">
      <c r="A180" s="694" t="s">
        <v>1077</v>
      </c>
      <c r="AT180" s="704"/>
      <c r="AU180" s="1092"/>
      <c r="AV180" s="1092"/>
      <c r="AW180" s="1092"/>
      <c r="AX180" s="1092"/>
      <c r="AY180" s="1092"/>
      <c r="AZ180" s="1092"/>
      <c r="BA180" s="1092"/>
      <c r="BB180" s="1092"/>
      <c r="BC180" s="1092"/>
      <c r="BD180" s="1092"/>
      <c r="BE180" s="1092"/>
      <c r="BF180" s="1092"/>
      <c r="BG180" s="1092"/>
      <c r="BH180" s="1092"/>
      <c r="BI180" s="1092"/>
      <c r="BJ180" s="1092"/>
      <c r="BK180" s="1092"/>
      <c r="BL180" s="1092"/>
      <c r="BM180" s="1092"/>
      <c r="BN180" s="1091">
        <f>BN$157/28</f>
        <v>16.964285714285715</v>
      </c>
      <c r="BO180" s="1092">
        <f t="shared" si="283"/>
        <v>16.964285714285715</v>
      </c>
      <c r="BP180" s="1092">
        <f t="shared" si="284"/>
        <v>16.964285714285715</v>
      </c>
      <c r="BQ180" s="1092">
        <f t="shared" si="285"/>
        <v>16.964285714285715</v>
      </c>
      <c r="BR180" s="1092">
        <f t="shared" si="286"/>
        <v>16.964285714285715</v>
      </c>
      <c r="BS180" s="1092">
        <f t="shared" si="287"/>
        <v>16.964285714285715</v>
      </c>
      <c r="BT180" s="1092">
        <f t="shared" si="288"/>
        <v>16.964285714285715</v>
      </c>
      <c r="BU180" s="1092">
        <f t="shared" si="289"/>
        <v>16.964285714285715</v>
      </c>
      <c r="BV180" s="1092">
        <f t="shared" si="290"/>
        <v>16.964285714285715</v>
      </c>
      <c r="BW180" s="1092">
        <f t="shared" si="291"/>
        <v>16.964285714285715</v>
      </c>
      <c r="BX180" s="1092">
        <f t="shared" si="292"/>
        <v>16.964285714285715</v>
      </c>
      <c r="BY180" s="1092">
        <f t="shared" si="293"/>
        <v>16.964285714285715</v>
      </c>
      <c r="BZ180" s="1083"/>
      <c r="CA180" s="1083"/>
    </row>
    <row r="181" spans="1:80" hidden="1" outlineLevel="1">
      <c r="A181" s="694" t="s">
        <v>1078</v>
      </c>
      <c r="AT181" s="704"/>
      <c r="AU181" s="1092"/>
      <c r="AV181" s="1092"/>
      <c r="AW181" s="1092"/>
      <c r="AX181" s="1092"/>
      <c r="AY181" s="1092"/>
      <c r="AZ181" s="1092"/>
      <c r="BA181" s="1092"/>
      <c r="BB181" s="1092"/>
      <c r="BC181" s="1092"/>
      <c r="BD181" s="1092"/>
      <c r="BE181" s="1092"/>
      <c r="BF181" s="1092"/>
      <c r="BG181" s="1092"/>
      <c r="BH181" s="1092"/>
      <c r="BI181" s="1092"/>
      <c r="BJ181" s="1092"/>
      <c r="BK181" s="1092"/>
      <c r="BL181" s="1092"/>
      <c r="BM181" s="1092"/>
      <c r="BN181" s="1092"/>
      <c r="BO181" s="1091">
        <f>BO$157/28</f>
        <v>16.964285714285715</v>
      </c>
      <c r="BP181" s="1092">
        <f>BO181</f>
        <v>16.964285714285715</v>
      </c>
      <c r="BQ181" s="1092">
        <f>BP181</f>
        <v>16.964285714285715</v>
      </c>
      <c r="BR181" s="1092">
        <f>BQ181</f>
        <v>16.964285714285715</v>
      </c>
      <c r="BS181" s="1092">
        <f>BR181</f>
        <v>16.964285714285715</v>
      </c>
      <c r="BT181" s="1092">
        <f>BS181</f>
        <v>16.964285714285715</v>
      </c>
      <c r="BU181" s="1092">
        <f t="shared" si="289"/>
        <v>16.964285714285715</v>
      </c>
      <c r="BV181" s="1092">
        <f t="shared" ref="BV181:BX183" si="294">BU181</f>
        <v>16.964285714285715</v>
      </c>
      <c r="BW181" s="1092">
        <f t="shared" si="294"/>
        <v>16.964285714285715</v>
      </c>
      <c r="BX181" s="1092">
        <f t="shared" si="294"/>
        <v>16.964285714285715</v>
      </c>
      <c r="BY181" s="1092">
        <f t="shared" si="293"/>
        <v>16.964285714285715</v>
      </c>
      <c r="BZ181" s="1083"/>
      <c r="CA181" s="1083"/>
      <c r="CB181" s="698"/>
    </row>
    <row r="182" spans="1:80" hidden="1" outlineLevel="1">
      <c r="A182" s="694" t="s">
        <v>1079</v>
      </c>
      <c r="AT182" s="704"/>
      <c r="AU182" s="1092"/>
      <c r="AV182" s="1092"/>
      <c r="AW182" s="1092"/>
      <c r="AX182" s="1092"/>
      <c r="AY182" s="1092"/>
      <c r="AZ182" s="1092"/>
      <c r="BA182" s="1092"/>
      <c r="BB182" s="1092"/>
      <c r="BC182" s="1092"/>
      <c r="BD182" s="1092"/>
      <c r="BE182" s="1092"/>
      <c r="BF182" s="1092"/>
      <c r="BG182" s="1092"/>
      <c r="BH182" s="1092"/>
      <c r="BI182" s="1092"/>
      <c r="BJ182" s="1092"/>
      <c r="BK182" s="1092"/>
      <c r="BL182" s="1092"/>
      <c r="BM182" s="1092"/>
      <c r="BN182" s="1092"/>
      <c r="BO182" s="1092"/>
      <c r="BP182" s="1091">
        <f>BP$157/28</f>
        <v>16.964285714285715</v>
      </c>
      <c r="BQ182" s="1092">
        <f>BP182</f>
        <v>16.964285714285715</v>
      </c>
      <c r="BR182" s="1092">
        <f>BQ182</f>
        <v>16.964285714285715</v>
      </c>
      <c r="BS182" s="1092">
        <f>BR182</f>
        <v>16.964285714285715</v>
      </c>
      <c r="BT182" s="1092">
        <f>BS182</f>
        <v>16.964285714285715</v>
      </c>
      <c r="BU182" s="1092">
        <f t="shared" si="289"/>
        <v>16.964285714285715</v>
      </c>
      <c r="BV182" s="1092">
        <f t="shared" si="294"/>
        <v>16.964285714285715</v>
      </c>
      <c r="BW182" s="1092">
        <f t="shared" si="294"/>
        <v>16.964285714285715</v>
      </c>
      <c r="BX182" s="1092">
        <f t="shared" si="294"/>
        <v>16.964285714285715</v>
      </c>
      <c r="BY182" s="1092">
        <f t="shared" si="293"/>
        <v>16.964285714285715</v>
      </c>
      <c r="BZ182" s="1083"/>
      <c r="CA182" s="1083"/>
      <c r="CB182" s="698"/>
    </row>
    <row r="183" spans="1:80" hidden="1" outlineLevel="1">
      <c r="A183" s="694" t="s">
        <v>1080</v>
      </c>
      <c r="AT183" s="704"/>
      <c r="AU183" s="1092"/>
      <c r="AV183" s="1092"/>
      <c r="AW183" s="1092"/>
      <c r="AX183" s="1092"/>
      <c r="AY183" s="1092"/>
      <c r="AZ183" s="1092"/>
      <c r="BA183" s="1092"/>
      <c r="BB183" s="1092"/>
      <c r="BC183" s="1092"/>
      <c r="BD183" s="1092"/>
      <c r="BE183" s="1092"/>
      <c r="BF183" s="1092"/>
      <c r="BG183" s="1092"/>
      <c r="BH183" s="1092"/>
      <c r="BI183" s="1092"/>
      <c r="BJ183" s="1092"/>
      <c r="BK183" s="1092"/>
      <c r="BL183" s="1092"/>
      <c r="BM183" s="1092"/>
      <c r="BN183" s="1092"/>
      <c r="BO183" s="1092"/>
      <c r="BP183" s="1092"/>
      <c r="BQ183" s="1091">
        <f>BQ$157/28</f>
        <v>16.964285714285715</v>
      </c>
      <c r="BR183" s="1092">
        <f>BQ183</f>
        <v>16.964285714285715</v>
      </c>
      <c r="BS183" s="1092">
        <f>BR183</f>
        <v>16.964285714285715</v>
      </c>
      <c r="BT183" s="1092">
        <f>BS183</f>
        <v>16.964285714285715</v>
      </c>
      <c r="BU183" s="1092">
        <f t="shared" si="289"/>
        <v>16.964285714285715</v>
      </c>
      <c r="BV183" s="1092">
        <f t="shared" si="294"/>
        <v>16.964285714285715</v>
      </c>
      <c r="BW183" s="1092">
        <f t="shared" si="294"/>
        <v>16.964285714285715</v>
      </c>
      <c r="BX183" s="1092">
        <f t="shared" si="294"/>
        <v>16.964285714285715</v>
      </c>
      <c r="BY183" s="1092">
        <f t="shared" si="293"/>
        <v>16.964285714285715</v>
      </c>
      <c r="BZ183" s="1083"/>
      <c r="CA183" s="1083"/>
      <c r="CB183" s="698"/>
    </row>
    <row r="184" spans="1:80" hidden="1" outlineLevel="1">
      <c r="A184" s="694" t="s">
        <v>1081</v>
      </c>
      <c r="AT184" s="704"/>
      <c r="AU184" s="1092"/>
      <c r="AV184" s="1092"/>
      <c r="AW184" s="1092"/>
      <c r="AX184" s="1092"/>
      <c r="AY184" s="1092"/>
      <c r="AZ184" s="1092"/>
      <c r="BA184" s="1092"/>
      <c r="BB184" s="1092"/>
      <c r="BC184" s="1092"/>
      <c r="BD184" s="1092"/>
      <c r="BE184" s="1092"/>
      <c r="BF184" s="1092"/>
      <c r="BG184" s="1092"/>
      <c r="BH184" s="1092"/>
      <c r="BI184" s="1092"/>
      <c r="BJ184" s="1092"/>
      <c r="BK184" s="1092"/>
      <c r="BL184" s="1092"/>
      <c r="BM184" s="1092"/>
      <c r="BN184" s="1092"/>
      <c r="BO184" s="1092"/>
      <c r="BP184" s="1092"/>
      <c r="BQ184" s="1092"/>
      <c r="BR184" s="1091">
        <f>BR$157/28</f>
        <v>17.857142857142858</v>
      </c>
      <c r="BS184" s="1092">
        <f>BR184</f>
        <v>17.857142857142858</v>
      </c>
      <c r="BT184" s="1092">
        <f>BS184</f>
        <v>17.857142857142858</v>
      </c>
      <c r="BU184" s="1092">
        <f t="shared" si="289"/>
        <v>17.857142857142858</v>
      </c>
      <c r="BV184" s="1092">
        <f t="shared" si="289"/>
        <v>17.857142857142858</v>
      </c>
      <c r="BW184" s="1092">
        <f t="shared" si="289"/>
        <v>17.857142857142858</v>
      </c>
      <c r="BX184" s="1092">
        <f t="shared" si="289"/>
        <v>17.857142857142858</v>
      </c>
      <c r="BY184" s="1092">
        <f t="shared" si="293"/>
        <v>17.857142857142858</v>
      </c>
      <c r="BZ184" s="1083"/>
      <c r="CA184" s="1083"/>
      <c r="CB184" s="698"/>
    </row>
    <row r="185" spans="1:80" hidden="1" outlineLevel="1">
      <c r="A185" s="694" t="s">
        <v>1082</v>
      </c>
      <c r="AT185" s="704"/>
      <c r="AU185" s="1092"/>
      <c r="AV185" s="1092"/>
      <c r="AW185" s="1092"/>
      <c r="AX185" s="1092"/>
      <c r="AY185" s="1092"/>
      <c r="AZ185" s="1092"/>
      <c r="BA185" s="1092"/>
      <c r="BB185" s="1092"/>
      <c r="BC185" s="1092"/>
      <c r="BD185" s="1092"/>
      <c r="BE185" s="1092"/>
      <c r="BF185" s="1092"/>
      <c r="BG185" s="1092"/>
      <c r="BH185" s="1092"/>
      <c r="BI185" s="1092"/>
      <c r="BJ185" s="1092"/>
      <c r="BK185" s="1092"/>
      <c r="BL185" s="1092"/>
      <c r="BM185" s="1092"/>
      <c r="BN185" s="1092"/>
      <c r="BO185" s="1092"/>
      <c r="BP185" s="1092"/>
      <c r="BQ185" s="1092"/>
      <c r="BR185" s="1092"/>
      <c r="BS185" s="1091">
        <f>BS$157/28</f>
        <v>17.857142857142858</v>
      </c>
      <c r="BT185" s="1092">
        <f>BS185</f>
        <v>17.857142857142858</v>
      </c>
      <c r="BU185" s="1092">
        <f t="shared" ref="BU185:BX186" si="295">BT185</f>
        <v>17.857142857142858</v>
      </c>
      <c r="BV185" s="1092">
        <f t="shared" si="295"/>
        <v>17.857142857142858</v>
      </c>
      <c r="BW185" s="1092">
        <f t="shared" si="295"/>
        <v>17.857142857142858</v>
      </c>
      <c r="BX185" s="1092">
        <f t="shared" si="295"/>
        <v>17.857142857142858</v>
      </c>
      <c r="BY185" s="1092">
        <f t="shared" si="293"/>
        <v>17.857142857142858</v>
      </c>
      <c r="BZ185" s="1083"/>
      <c r="CA185" s="1083"/>
      <c r="CB185" s="698"/>
    </row>
    <row r="186" spans="1:80" hidden="1" outlineLevel="1">
      <c r="A186" s="694" t="s">
        <v>1083</v>
      </c>
      <c r="AT186" s="704"/>
      <c r="AU186" s="1092"/>
      <c r="AV186" s="1092"/>
      <c r="AW186" s="1092"/>
      <c r="AX186" s="1092"/>
      <c r="AY186" s="1092"/>
      <c r="AZ186" s="1092"/>
      <c r="BA186" s="1092"/>
      <c r="BB186" s="1092"/>
      <c r="BC186" s="1092"/>
      <c r="BD186" s="1092"/>
      <c r="BE186" s="1092"/>
      <c r="BF186" s="1092"/>
      <c r="BG186" s="1092"/>
      <c r="BH186" s="1092"/>
      <c r="BI186" s="1092"/>
      <c r="BJ186" s="1092"/>
      <c r="BK186" s="1092"/>
      <c r="BL186" s="1092"/>
      <c r="BM186" s="1092"/>
      <c r="BN186" s="1092"/>
      <c r="BO186" s="1092"/>
      <c r="BP186" s="1092"/>
      <c r="BQ186" s="1092"/>
      <c r="BR186" s="1092"/>
      <c r="BS186" s="1092"/>
      <c r="BT186" s="1091">
        <f>BT$157/28</f>
        <v>17.857142857142858</v>
      </c>
      <c r="BU186" s="1092">
        <f t="shared" si="295"/>
        <v>17.857142857142858</v>
      </c>
      <c r="BV186" s="1092">
        <f t="shared" si="295"/>
        <v>17.857142857142858</v>
      </c>
      <c r="BW186" s="1092">
        <f t="shared" si="295"/>
        <v>17.857142857142858</v>
      </c>
      <c r="BX186" s="1092">
        <f t="shared" si="295"/>
        <v>17.857142857142858</v>
      </c>
      <c r="BY186" s="1092">
        <f t="shared" si="293"/>
        <v>17.857142857142858</v>
      </c>
      <c r="BZ186" s="1083"/>
      <c r="CA186" s="1083"/>
      <c r="CB186" s="698"/>
    </row>
    <row r="187" spans="1:80" hidden="1" outlineLevel="1">
      <c r="A187" s="694" t="s">
        <v>1084</v>
      </c>
      <c r="AT187" s="704"/>
      <c r="AU187" s="1092"/>
      <c r="AV187" s="1092"/>
      <c r="AW187" s="1092"/>
      <c r="AX187" s="1092"/>
      <c r="AY187" s="1092"/>
      <c r="AZ187" s="1092"/>
      <c r="BA187" s="1092"/>
      <c r="BB187" s="1092"/>
      <c r="BC187" s="1092"/>
      <c r="BD187" s="1092"/>
      <c r="BE187" s="1092"/>
      <c r="BF187" s="1092"/>
      <c r="BG187" s="1092"/>
      <c r="BH187" s="1092"/>
      <c r="BI187" s="1092"/>
      <c r="BJ187" s="1092"/>
      <c r="BK187" s="1092"/>
      <c r="BL187" s="1092"/>
      <c r="BM187" s="1092"/>
      <c r="BN187" s="1092"/>
      <c r="BO187" s="1092"/>
      <c r="BP187" s="1092"/>
      <c r="BQ187" s="1092"/>
      <c r="BR187" s="1092"/>
      <c r="BS187" s="1092"/>
      <c r="BT187" s="1092"/>
      <c r="BU187" s="1091">
        <f>BU$157/28</f>
        <v>17.857142857142858</v>
      </c>
      <c r="BV187" s="1092">
        <f t="shared" ref="BV187:BX187" si="296">BU187</f>
        <v>17.857142857142858</v>
      </c>
      <c r="BW187" s="1092">
        <f t="shared" si="296"/>
        <v>17.857142857142858</v>
      </c>
      <c r="BX187" s="1092">
        <f t="shared" si="296"/>
        <v>17.857142857142858</v>
      </c>
      <c r="BY187" s="1092">
        <f t="shared" si="293"/>
        <v>17.857142857142858</v>
      </c>
      <c r="BZ187" s="1083"/>
      <c r="CA187" s="1083"/>
      <c r="CB187" s="698"/>
    </row>
    <row r="188" spans="1:80" hidden="1" outlineLevel="1">
      <c r="A188" s="694" t="s">
        <v>1085</v>
      </c>
      <c r="AT188" s="704"/>
      <c r="AU188" s="1092"/>
      <c r="AV188" s="1092"/>
      <c r="AW188" s="1092"/>
      <c r="AX188" s="1092"/>
      <c r="AY188" s="1092"/>
      <c r="AZ188" s="1092"/>
      <c r="BA188" s="1092"/>
      <c r="BB188" s="1092"/>
      <c r="BC188" s="1092"/>
      <c r="BD188" s="1092"/>
      <c r="BE188" s="1092"/>
      <c r="BF188" s="1092"/>
      <c r="BG188" s="1092"/>
      <c r="BH188" s="1092"/>
      <c r="BI188" s="1092"/>
      <c r="BJ188" s="1092"/>
      <c r="BK188" s="1092"/>
      <c r="BL188" s="1092"/>
      <c r="BM188" s="1092"/>
      <c r="BN188" s="1092"/>
      <c r="BO188" s="1092"/>
      <c r="BP188" s="1092"/>
      <c r="BQ188" s="1092"/>
      <c r="BR188" s="1092"/>
      <c r="BS188" s="1092"/>
      <c r="BT188" s="1092"/>
      <c r="BU188" s="1092"/>
      <c r="BV188" s="1091">
        <f>BV$157/28</f>
        <v>17.857142857142858</v>
      </c>
      <c r="BW188" s="1092">
        <f t="shared" ref="BW188:BX188" si="297">BV188</f>
        <v>17.857142857142858</v>
      </c>
      <c r="BX188" s="1092">
        <f t="shared" si="297"/>
        <v>17.857142857142858</v>
      </c>
      <c r="BY188" s="1092">
        <f t="shared" si="293"/>
        <v>17.857142857142858</v>
      </c>
      <c r="BZ188" s="1083"/>
      <c r="CA188" s="1083"/>
      <c r="CB188" s="698"/>
    </row>
    <row r="189" spans="1:80" hidden="1" outlineLevel="1">
      <c r="A189" s="694" t="s">
        <v>1086</v>
      </c>
      <c r="AT189" s="704"/>
      <c r="AU189" s="1092"/>
      <c r="AV189" s="1092"/>
      <c r="AW189" s="1092"/>
      <c r="AX189" s="1092"/>
      <c r="AY189" s="1092"/>
      <c r="AZ189" s="1092"/>
      <c r="BA189" s="1092"/>
      <c r="BB189" s="1092"/>
      <c r="BC189" s="1092"/>
      <c r="BD189" s="1092"/>
      <c r="BE189" s="1092"/>
      <c r="BF189" s="1092"/>
      <c r="BG189" s="1092"/>
      <c r="BH189" s="1092"/>
      <c r="BI189" s="1092"/>
      <c r="BJ189" s="1092"/>
      <c r="BK189" s="1092"/>
      <c r="BL189" s="1092"/>
      <c r="BM189" s="1092"/>
      <c r="BN189" s="1092"/>
      <c r="BO189" s="1092"/>
      <c r="BP189" s="1092"/>
      <c r="BQ189" s="1092"/>
      <c r="BR189" s="1092"/>
      <c r="BS189" s="1092"/>
      <c r="BT189" s="1092"/>
      <c r="BU189" s="1092"/>
      <c r="BV189" s="1092"/>
      <c r="BW189" s="1091">
        <f>BW$157/28</f>
        <v>17.857142857142858</v>
      </c>
      <c r="BX189" s="1092">
        <f t="shared" ref="BX189" si="298">BW189</f>
        <v>17.857142857142858</v>
      </c>
      <c r="BY189" s="1092">
        <f t="shared" si="293"/>
        <v>17.857142857142858</v>
      </c>
      <c r="BZ189" s="1083"/>
      <c r="CA189" s="1083"/>
      <c r="CB189" s="698"/>
    </row>
    <row r="190" spans="1:80" hidden="1" outlineLevel="1">
      <c r="A190" s="694" t="s">
        <v>1087</v>
      </c>
      <c r="AT190" s="704"/>
      <c r="AU190" s="1092"/>
      <c r="AV190" s="1092"/>
      <c r="AW190" s="1092"/>
      <c r="AX190" s="1092"/>
      <c r="AY190" s="1092"/>
      <c r="AZ190" s="1092"/>
      <c r="BA190" s="1092"/>
      <c r="BB190" s="1092"/>
      <c r="BC190" s="1092"/>
      <c r="BD190" s="1092"/>
      <c r="BE190" s="1092"/>
      <c r="BF190" s="1092"/>
      <c r="BG190" s="1092"/>
      <c r="BH190" s="1092"/>
      <c r="BI190" s="1092"/>
      <c r="BJ190" s="1092"/>
      <c r="BK190" s="1092"/>
      <c r="BL190" s="1092"/>
      <c r="BM190" s="1092"/>
      <c r="BN190" s="1092"/>
      <c r="BO190" s="1092"/>
      <c r="BP190" s="1092"/>
      <c r="BQ190" s="1092"/>
      <c r="BR190" s="1092"/>
      <c r="BS190" s="1092"/>
      <c r="BT190" s="1092"/>
      <c r="BU190" s="1092"/>
      <c r="BV190" s="1092"/>
      <c r="BW190" s="1092"/>
      <c r="BX190" s="1091">
        <f>BX$157/28</f>
        <v>17.857142857142858</v>
      </c>
      <c r="BY190" s="1092">
        <f t="shared" si="293"/>
        <v>17.857142857142858</v>
      </c>
      <c r="BZ190" s="1083"/>
      <c r="CA190" s="1083"/>
      <c r="CB190" s="698"/>
    </row>
    <row r="191" spans="1:80" hidden="1" outlineLevel="1">
      <c r="A191" s="694" t="s">
        <v>1088</v>
      </c>
      <c r="AT191" s="704"/>
      <c r="AU191" s="1092"/>
      <c r="AV191" s="1092"/>
      <c r="AW191" s="1092"/>
      <c r="AX191" s="1092"/>
      <c r="AY191" s="1092"/>
      <c r="AZ191" s="1092"/>
      <c r="BA191" s="1092"/>
      <c r="BB191" s="1092"/>
      <c r="BC191" s="1092"/>
      <c r="BD191" s="1092"/>
      <c r="BE191" s="1092"/>
      <c r="BF191" s="1092"/>
      <c r="BG191" s="1092"/>
      <c r="BH191" s="1092"/>
      <c r="BI191" s="1092"/>
      <c r="BJ191" s="1092"/>
      <c r="BK191" s="1092"/>
      <c r="BL191" s="1092"/>
      <c r="BM191" s="1092"/>
      <c r="BN191" s="1092"/>
      <c r="BO191" s="1092"/>
      <c r="BP191" s="1092"/>
      <c r="BQ191" s="1092"/>
      <c r="BR191" s="1092"/>
      <c r="BS191" s="1092"/>
      <c r="BT191" s="1092"/>
      <c r="BU191" s="1092"/>
      <c r="BV191" s="1092"/>
      <c r="BW191" s="1092"/>
      <c r="BX191" s="1092"/>
      <c r="BY191" s="1091">
        <f>BY$157/28</f>
        <v>17.857142857142858</v>
      </c>
      <c r="BZ191" s="1083"/>
      <c r="CA191" s="1083"/>
      <c r="CB191" s="698"/>
    </row>
    <row r="192" spans="1:80" collapsed="1">
      <c r="A192" s="701" t="s">
        <v>837</v>
      </c>
      <c r="AL192" s="714"/>
      <c r="AM192" s="714"/>
      <c r="AN192" s="714"/>
      <c r="AO192" s="702"/>
      <c r="AP192" s="702"/>
      <c r="AQ192" s="702"/>
      <c r="AR192" s="702"/>
      <c r="AS192" s="702"/>
      <c r="AT192" s="702">
        <f>SUM(AT160:AT191)</f>
        <v>16.071428571428573</v>
      </c>
      <c r="AU192" s="702">
        <f t="shared" ref="AU192:BY192" si="299">SUM(AU160:AU191)</f>
        <v>32.142857142857146</v>
      </c>
      <c r="AV192" s="702">
        <f t="shared" si="299"/>
        <v>42.857142857142861</v>
      </c>
      <c r="AW192" s="702">
        <f t="shared" si="299"/>
        <v>53.571428571428577</v>
      </c>
      <c r="AX192" s="702">
        <f t="shared" si="299"/>
        <v>53.571428571428577</v>
      </c>
      <c r="AY192" s="702">
        <f t="shared" si="299"/>
        <v>53.571428571428577</v>
      </c>
      <c r="AZ192" s="702">
        <f t="shared" si="299"/>
        <v>53.571428571428577</v>
      </c>
      <c r="BA192" s="702">
        <f t="shared" si="299"/>
        <v>53.571428571428577</v>
      </c>
      <c r="BB192" s="702">
        <f t="shared" si="299"/>
        <v>53.571428571428577</v>
      </c>
      <c r="BC192" s="702">
        <f t="shared" si="299"/>
        <v>77.380952380952394</v>
      </c>
      <c r="BD192" s="702">
        <f t="shared" si="299"/>
        <v>101.1904761904762</v>
      </c>
      <c r="BE192" s="702">
        <f t="shared" si="299"/>
        <v>108.33333333333334</v>
      </c>
      <c r="BF192" s="702">
        <f t="shared" si="299"/>
        <v>108.33333333333334</v>
      </c>
      <c r="BG192" s="702">
        <f t="shared" si="299"/>
        <v>108.33333333333334</v>
      </c>
      <c r="BH192" s="702">
        <f t="shared" si="299"/>
        <v>108.33333333333334</v>
      </c>
      <c r="BI192" s="702">
        <f t="shared" si="299"/>
        <v>108.33333333333334</v>
      </c>
      <c r="BJ192" s="702">
        <f t="shared" si="299"/>
        <v>108.33333333333334</v>
      </c>
      <c r="BK192" s="702">
        <f t="shared" si="299"/>
        <v>108.33333333333334</v>
      </c>
      <c r="BL192" s="702">
        <f t="shared" si="299"/>
        <v>108.33333333333334</v>
      </c>
      <c r="BM192" s="702">
        <f t="shared" si="299"/>
        <v>108.33333333333334</v>
      </c>
      <c r="BN192" s="702">
        <f t="shared" si="299"/>
        <v>125.29761904761907</v>
      </c>
      <c r="BO192" s="702">
        <f t="shared" si="299"/>
        <v>142.26190476190479</v>
      </c>
      <c r="BP192" s="702">
        <f t="shared" si="299"/>
        <v>159.22619047619051</v>
      </c>
      <c r="BQ192" s="702">
        <f t="shared" si="299"/>
        <v>176.19047619047623</v>
      </c>
      <c r="BR192" s="702">
        <f t="shared" si="299"/>
        <v>194.04761904761909</v>
      </c>
      <c r="BS192" s="702">
        <f t="shared" si="299"/>
        <v>211.90476190476195</v>
      </c>
      <c r="BT192" s="702">
        <f t="shared" si="299"/>
        <v>229.76190476190482</v>
      </c>
      <c r="BU192" s="702">
        <f t="shared" si="299"/>
        <v>247.61904761904768</v>
      </c>
      <c r="BV192" s="702">
        <f t="shared" si="299"/>
        <v>249.40476190476195</v>
      </c>
      <c r="BW192" s="702">
        <f t="shared" si="299"/>
        <v>251.19047619047623</v>
      </c>
      <c r="BX192" s="702">
        <f t="shared" si="299"/>
        <v>258.33333333333337</v>
      </c>
      <c r="BY192" s="702">
        <f t="shared" si="299"/>
        <v>265.47619047619054</v>
      </c>
    </row>
    <row r="193" spans="1:77">
      <c r="A193" s="701" t="s">
        <v>838</v>
      </c>
      <c r="AL193" s="715"/>
      <c r="AM193" s="698"/>
      <c r="AN193" s="698"/>
      <c r="AO193" s="698"/>
      <c r="AP193" s="698"/>
      <c r="AQ193" s="698"/>
      <c r="AR193" s="698"/>
      <c r="AS193" s="698"/>
      <c r="AT193" s="698"/>
      <c r="AU193" s="698"/>
      <c r="AV193" s="698"/>
      <c r="AW193" s="698"/>
      <c r="AX193" s="698"/>
      <c r="AY193" s="698"/>
      <c r="AZ193" s="698"/>
      <c r="BA193" s="698">
        <f t="shared" ref="BA193:BY193" si="300">BA192*(BA95/BA93)*BA100</f>
        <v>24.734196490686752</v>
      </c>
      <c r="BB193" s="698">
        <f t="shared" si="300"/>
        <v>27.874631664509305</v>
      </c>
      <c r="BC193" s="698">
        <f t="shared" si="300"/>
        <v>43.128928946253957</v>
      </c>
      <c r="BD193" s="698">
        <f t="shared" si="300"/>
        <v>52.731491662042949</v>
      </c>
      <c r="BE193" s="698">
        <f t="shared" si="300"/>
        <v>61.587549970952502</v>
      </c>
      <c r="BF193" s="698">
        <f t="shared" si="300"/>
        <v>61.192967687440039</v>
      </c>
      <c r="BG193" s="698">
        <f t="shared" si="300"/>
        <v>64.715906294768374</v>
      </c>
      <c r="BH193" s="698">
        <f t="shared" si="300"/>
        <v>62.387055848603744</v>
      </c>
      <c r="BI193" s="698">
        <f t="shared" si="300"/>
        <v>69.05854044638474</v>
      </c>
      <c r="BJ193" s="698">
        <f t="shared" si="300"/>
        <v>68.048617488728894</v>
      </c>
      <c r="BK193" s="698">
        <f t="shared" si="300"/>
        <v>61.660228984498367</v>
      </c>
      <c r="BL193" s="698">
        <f t="shared" si="300"/>
        <v>62.820577459648682</v>
      </c>
      <c r="BM193" s="698">
        <f t="shared" si="300"/>
        <v>68.953522067318772</v>
      </c>
      <c r="BN193" s="698">
        <f t="shared" si="300"/>
        <v>73.717934906956103</v>
      </c>
      <c r="BO193" s="698">
        <f t="shared" si="300"/>
        <v>91.951473374003072</v>
      </c>
      <c r="BP193" s="698">
        <f t="shared" si="300"/>
        <v>102.91639802320427</v>
      </c>
      <c r="BQ193" s="698">
        <f t="shared" si="300"/>
        <v>113.88132267240547</v>
      </c>
      <c r="BR193" s="698">
        <f t="shared" si="300"/>
        <v>125.42334861893308</v>
      </c>
      <c r="BS193" s="698">
        <f t="shared" si="300"/>
        <v>136.96537456546065</v>
      </c>
      <c r="BT193" s="698">
        <f t="shared" si="300"/>
        <v>148.50740051198821</v>
      </c>
      <c r="BU193" s="698">
        <f t="shared" si="300"/>
        <v>160.0494264585158</v>
      </c>
      <c r="BV193" s="698">
        <f t="shared" si="300"/>
        <v>161.20362905316856</v>
      </c>
      <c r="BW193" s="698">
        <f t="shared" si="300"/>
        <v>162.35783164782131</v>
      </c>
      <c r="BX193" s="698">
        <f t="shared" si="300"/>
        <v>166.97464202643235</v>
      </c>
      <c r="BY193" s="698">
        <f t="shared" si="300"/>
        <v>171.59145240504338</v>
      </c>
    </row>
  </sheetData>
  <phoneticPr fontId="14" type="noConversion"/>
  <pageMargins left="0.7" right="0.7" top="0.75" bottom="0.75" header="0.3" footer="0.3"/>
  <pageSetup paperSize="9" orientation="portrait" horizontalDpi="300" verticalDpi="300" r:id="rId1"/>
  <customProperties>
    <customPr name="Qube.Worksheet.Visibility" r:id="rId2"/>
    <customPr name="SHEET_UNIQUE_ID" r:id="rId3"/>
  </customProperties>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B1:BD256"/>
  <sheetViews>
    <sheetView showGridLines="0" showOutlineSymbols="0" showWhiteSpace="0" workbookViewId="0">
      <selection activeCell="M58" sqref="M58"/>
    </sheetView>
  </sheetViews>
  <sheetFormatPr defaultColWidth="8.85546875" defaultRowHeight="12.75" outlineLevelRow="1"/>
  <cols>
    <col min="1" max="1" width="1.140625" style="1166" customWidth="1"/>
    <col min="2" max="2" width="22.7109375" style="1166" customWidth="1"/>
    <col min="3" max="14" width="7.5703125" style="1166" customWidth="1"/>
    <col min="15" max="15" width="8.28515625" style="1166" customWidth="1"/>
    <col min="16" max="23" width="8.85546875" style="1166"/>
    <col min="24" max="51" width="8.85546875" style="1165"/>
    <col min="52" max="16384" width="8.85546875" style="1166"/>
  </cols>
  <sheetData>
    <row r="1" spans="2:21">
      <c r="C1" s="1152"/>
      <c r="D1" s="1152"/>
      <c r="E1" s="1152"/>
      <c r="F1" s="1180">
        <v>0.5</v>
      </c>
      <c r="G1" s="1180">
        <f t="shared" ref="G1:O1" si="0">F1+1</f>
        <v>1.5</v>
      </c>
      <c r="H1" s="1180">
        <f t="shared" si="0"/>
        <v>2.5</v>
      </c>
      <c r="I1" s="1180">
        <f t="shared" si="0"/>
        <v>3.5</v>
      </c>
      <c r="J1" s="1180">
        <f t="shared" si="0"/>
        <v>4.5</v>
      </c>
      <c r="K1" s="1180">
        <f t="shared" si="0"/>
        <v>5.5</v>
      </c>
      <c r="L1" s="1180">
        <f t="shared" si="0"/>
        <v>6.5</v>
      </c>
      <c r="M1" s="1180">
        <f t="shared" si="0"/>
        <v>7.5</v>
      </c>
      <c r="N1" s="1180">
        <f t="shared" si="0"/>
        <v>8.5</v>
      </c>
      <c r="O1" s="1180">
        <f t="shared" si="0"/>
        <v>9.5</v>
      </c>
    </row>
    <row r="2" spans="2:21">
      <c r="B2" s="1166" t="s">
        <v>918</v>
      </c>
      <c r="C2" s="1167" t="s">
        <v>873</v>
      </c>
      <c r="D2" s="1169" t="s">
        <v>1025</v>
      </c>
      <c r="E2" s="1167" t="s">
        <v>430</v>
      </c>
      <c r="F2" s="1167" t="s">
        <v>431</v>
      </c>
      <c r="G2" s="1167" t="s">
        <v>890</v>
      </c>
      <c r="H2" s="1167" t="s">
        <v>891</v>
      </c>
      <c r="I2" s="1167" t="s">
        <v>892</v>
      </c>
      <c r="J2" s="1167" t="s">
        <v>893</v>
      </c>
      <c r="K2" s="1167" t="s">
        <v>894</v>
      </c>
      <c r="L2" s="1167" t="s">
        <v>895</v>
      </c>
      <c r="M2" s="1167" t="s">
        <v>896</v>
      </c>
      <c r="N2" s="1167" t="s">
        <v>945</v>
      </c>
      <c r="O2" s="1167" t="s">
        <v>960</v>
      </c>
      <c r="P2" s="1170"/>
    </row>
    <row r="3" spans="2:21">
      <c r="B3" s="1170" t="s">
        <v>917</v>
      </c>
      <c r="C3" s="1167" t="s">
        <v>712</v>
      </c>
      <c r="D3" s="1167" t="s">
        <v>713</v>
      </c>
      <c r="E3" s="1167" t="s">
        <v>963</v>
      </c>
      <c r="F3" s="1167"/>
      <c r="G3" s="1167" t="s">
        <v>952</v>
      </c>
      <c r="H3" s="1171"/>
      <c r="I3" s="1167" t="s">
        <v>916</v>
      </c>
      <c r="J3" s="1167"/>
      <c r="K3" s="1167" t="s">
        <v>953</v>
      </c>
      <c r="L3" s="1167"/>
      <c r="M3" s="1167" t="s">
        <v>973</v>
      </c>
      <c r="N3" s="1167"/>
      <c r="O3" s="1167"/>
      <c r="P3" s="1170"/>
    </row>
    <row r="4" spans="2:21">
      <c r="B4" s="1170" t="s">
        <v>1028</v>
      </c>
      <c r="C4" s="1149">
        <f ca="1">TP!C5</f>
        <v>3359.9839999999999</v>
      </c>
      <c r="D4" s="1149">
        <f>TP!D5</f>
        <v>3115.672</v>
      </c>
      <c r="E4" s="1149">
        <f>TP!E5</f>
        <v>3906.9750000000004</v>
      </c>
      <c r="F4" s="1149">
        <f>TP!F5</f>
        <v>5443.1120000000001</v>
      </c>
      <c r="G4" s="1149">
        <f>TP!G5</f>
        <v>7273.2839999999997</v>
      </c>
      <c r="H4" s="1149">
        <f>TP!H5</f>
        <v>6321.56</v>
      </c>
      <c r="I4" s="1149">
        <f>TP!I5</f>
        <v>8029.9210000000003</v>
      </c>
      <c r="J4" s="1149">
        <f>TP!J5</f>
        <v>9326.7989999999991</v>
      </c>
      <c r="K4" s="1149">
        <f>TP!K5</f>
        <v>11578.49117131698</v>
      </c>
      <c r="L4" s="1149">
        <f>TP!L5</f>
        <v>13869.187434829972</v>
      </c>
      <c r="M4" s="1149">
        <f>TP!M5</f>
        <v>16753.01980557973</v>
      </c>
      <c r="N4" s="1149">
        <f>TP!O5</f>
        <v>0</v>
      </c>
      <c r="O4" s="1167"/>
      <c r="P4" s="1170"/>
    </row>
    <row r="5" spans="2:21">
      <c r="O5" s="1149">
        <f>SUM(O6:O12)</f>
        <v>21667.02860556341</v>
      </c>
      <c r="P5" s="1151"/>
      <c r="Q5" s="1152">
        <f>('10y capex'!N4/'10y capex'!G4)^(1/7)-1</f>
        <v>0.1551897579590773</v>
      </c>
      <c r="R5" s="1152"/>
      <c r="S5" s="1152"/>
      <c r="T5" s="1152"/>
    </row>
    <row r="6" spans="2:21" outlineLevel="1">
      <c r="O6" s="1150">
        <f>'10y capex'!N5*(1+O14)</f>
        <v>0</v>
      </c>
      <c r="P6" s="1151"/>
      <c r="Q6" s="1152"/>
      <c r="S6" s="1153"/>
    </row>
    <row r="7" spans="2:21" outlineLevel="1">
      <c r="O7" s="1150">
        <f>'10y capex'!N6*(1+O15)</f>
        <v>0</v>
      </c>
      <c r="P7" s="1170"/>
    </row>
    <row r="8" spans="2:21" outlineLevel="1">
      <c r="O8" s="1150">
        <f>'10y capex'!N7*(1+O16)</f>
        <v>0</v>
      </c>
      <c r="P8" s="1170"/>
    </row>
    <row r="9" spans="2:21" outlineLevel="1">
      <c r="O9" s="1150">
        <f>'10y capex'!N8*(1+O17)</f>
        <v>4094.0802558956057</v>
      </c>
      <c r="P9" s="1183"/>
      <c r="Q9" s="1152"/>
      <c r="S9" s="1184"/>
    </row>
    <row r="10" spans="2:21" outlineLevel="1">
      <c r="O10" s="1150">
        <f>'10y capex'!N9*(1+O18)</f>
        <v>783.36993932029088</v>
      </c>
      <c r="P10" s="1170"/>
      <c r="Q10" s="1152"/>
      <c r="S10" s="1152">
        <f>SUM('10y capex'!J5:J9)/'10y capex'!J4</f>
        <v>0.13190279588928652</v>
      </c>
      <c r="T10" s="1152"/>
      <c r="U10" s="1152"/>
    </row>
    <row r="11" spans="2:21" outlineLevel="1">
      <c r="O11" s="1150">
        <f>'10y capex'!N10*(1+O19)</f>
        <v>13322.931625739904</v>
      </c>
      <c r="P11" s="1170"/>
      <c r="Q11" s="1152">
        <f>('10y capex'!N10/'10y capex'!G10)^(1/7)-1</f>
        <v>0.17238086722604518</v>
      </c>
    </row>
    <row r="12" spans="2:21" outlineLevel="1">
      <c r="O12" s="1150">
        <f>'10y capex'!N11*(1+O20)</f>
        <v>3466.6467846076098</v>
      </c>
      <c r="P12" s="1170"/>
      <c r="Q12" s="1152">
        <f>('10y capex'!N11/'10y capex'!G11)^(1/7)-1</f>
        <v>5.3111429668326382E-2</v>
      </c>
      <c r="S12" s="1152"/>
      <c r="T12" s="1152"/>
      <c r="U12" s="1152"/>
    </row>
    <row r="13" spans="2:21">
      <c r="O13" s="1151">
        <f>O5/'10y capex'!N4-1</f>
        <v>8.5164312287838939E-2</v>
      </c>
      <c r="P13" s="1170"/>
      <c r="Q13" s="1152"/>
    </row>
    <row r="14" spans="2:21" outlineLevel="1">
      <c r="O14" s="1152">
        <f>'10y capex'!M14</f>
        <v>0</v>
      </c>
      <c r="P14" s="1170"/>
      <c r="Q14" s="1152"/>
      <c r="S14" s="1152"/>
      <c r="T14" s="1152"/>
      <c r="U14" s="1152"/>
    </row>
    <row r="15" spans="2:21" outlineLevel="1">
      <c r="O15" s="1152">
        <f>'10y capex'!M15</f>
        <v>0</v>
      </c>
      <c r="P15" s="1170"/>
      <c r="Q15" s="1152"/>
    </row>
    <row r="16" spans="2:21" outlineLevel="1">
      <c r="O16" s="1152">
        <f>'10y capex'!M16</f>
        <v>0.61575851752164823</v>
      </c>
      <c r="P16" s="1170"/>
      <c r="Q16" s="1152"/>
      <c r="S16" s="1152"/>
      <c r="T16" s="1152"/>
      <c r="U16" s="1152"/>
    </row>
    <row r="17" spans="2:23" outlineLevel="1">
      <c r="O17" s="1152">
        <f>'10y capex'!L17</f>
        <v>-4.3400345108025595E-3</v>
      </c>
      <c r="P17" s="1170"/>
      <c r="Q17" s="1152"/>
    </row>
    <row r="18" spans="2:23" outlineLevel="1">
      <c r="O18" s="1152">
        <f>'10y capex'!O33-5%</f>
        <v>-0.05</v>
      </c>
      <c r="P18" s="1170"/>
      <c r="Q18" s="1152"/>
      <c r="S18" s="1152"/>
      <c r="T18" s="1152"/>
      <c r="U18" s="1152"/>
    </row>
    <row r="19" spans="2:23" outlineLevel="1">
      <c r="O19" s="1152">
        <v>0.13</v>
      </c>
      <c r="P19" s="1170"/>
      <c r="Q19" s="1152"/>
    </row>
    <row r="20" spans="2:23" outlineLevel="1">
      <c r="O20" s="1152">
        <v>7.0000000000000007E-2</v>
      </c>
      <c r="P20" s="1170"/>
      <c r="Q20" s="1152"/>
      <c r="S20" s="1152"/>
      <c r="T20" s="1152"/>
      <c r="U20" s="1152"/>
    </row>
    <row r="21" spans="2:23" s="1170" customFormat="1" ht="12">
      <c r="B21" s="1170" t="s">
        <v>859</v>
      </c>
      <c r="C21" s="1181">
        <f ca="1">Model!I18</f>
        <v>0.22222635583978961</v>
      </c>
      <c r="D21" s="1181">
        <f>Model!J18</f>
        <v>0.20620238587373776</v>
      </c>
      <c r="E21" s="1181">
        <f>Model!K18</f>
        <v>0.23570998022766973</v>
      </c>
      <c r="F21" s="1181">
        <f>Model!L18</f>
        <v>0.30786983622604136</v>
      </c>
      <c r="G21" s="1181">
        <f>Model!M18</f>
        <v>0.37969753415376056</v>
      </c>
      <c r="H21" s="1181">
        <f>H29/'10y capex'!H4</f>
        <v>0.21438630788457277</v>
      </c>
      <c r="I21" s="1181">
        <f>I29/'10y capex'!I4</f>
        <v>0.18032157477016267</v>
      </c>
      <c r="J21" s="1181">
        <f>J29/'10y capex'!J4</f>
        <v>0.20978247735369873</v>
      </c>
      <c r="K21" s="1181" t="e">
        <f>K29/'10y capex'!K4</f>
        <v>#VALUE!</v>
      </c>
      <c r="L21" s="1181" t="e">
        <f>L29/'10y capex'!L4</f>
        <v>#VALUE!</v>
      </c>
      <c r="M21" s="1181" t="e">
        <f>M29/'10y capex'!M4</f>
        <v>#VALUE!</v>
      </c>
      <c r="N21" s="1181">
        <f>N29/'10y capex'!N4</f>
        <v>0.16136805621628147</v>
      </c>
      <c r="O21" s="1181">
        <f>O29/O5</f>
        <v>0.2314496952213812</v>
      </c>
      <c r="Q21" s="1152"/>
      <c r="R21" s="1166"/>
      <c r="S21" s="1166"/>
      <c r="T21" s="1166"/>
      <c r="U21" s="1166"/>
      <c r="V21" s="1166"/>
      <c r="W21" s="1166"/>
    </row>
    <row r="22" spans="2:23" s="1170" customFormat="1" ht="12" outlineLevel="1">
      <c r="B22" s="1166" t="str">
        <f>'10y capex'!B13</f>
        <v>2nm</v>
      </c>
      <c r="C22" s="1181"/>
      <c r="D22" s="1181"/>
      <c r="E22" s="1181"/>
      <c r="F22" s="1181"/>
      <c r="G22" s="1181"/>
      <c r="H22" s="1181"/>
      <c r="I22" s="1181"/>
      <c r="J22" s="1181"/>
      <c r="K22" s="1181"/>
      <c r="L22" s="1181"/>
      <c r="M22" s="1161" t="str">
        <f>'10y capex'!M102</f>
        <v/>
      </c>
      <c r="N22" s="1161" t="str">
        <f>'10y capex'!N102</f>
        <v/>
      </c>
      <c r="O22" s="1181"/>
      <c r="Q22" s="1152"/>
      <c r="R22" s="1166"/>
      <c r="S22" s="1152"/>
      <c r="T22" s="1152"/>
      <c r="U22" s="1152"/>
      <c r="V22" s="1166"/>
      <c r="W22" s="1166"/>
    </row>
    <row r="23" spans="2:23" outlineLevel="1">
      <c r="B23" s="1166" t="str">
        <f>'10y capex'!B14</f>
        <v>3nm</v>
      </c>
      <c r="C23" s="1161"/>
      <c r="D23" s="1161"/>
      <c r="E23" s="1161"/>
      <c r="F23" s="1161"/>
      <c r="G23" s="1161"/>
      <c r="H23" s="1161"/>
      <c r="I23" s="1161"/>
      <c r="J23" s="1161"/>
      <c r="K23" s="1161" t="str">
        <f>'10y capex'!K103</f>
        <v/>
      </c>
      <c r="L23" s="1161" t="str">
        <f>'10y capex'!L103</f>
        <v/>
      </c>
      <c r="M23" s="1161" t="str">
        <f>'10y capex'!M103</f>
        <v/>
      </c>
      <c r="N23" s="1161" t="str">
        <f>'10y capex'!N103</f>
        <v/>
      </c>
      <c r="O23" s="1161">
        <v>0.24</v>
      </c>
      <c r="P23" s="1170"/>
      <c r="Q23" s="1152"/>
    </row>
    <row r="24" spans="2:23" outlineLevel="1">
      <c r="B24" s="1166" t="str">
        <f>'10y capex'!B15</f>
        <v>5nm</v>
      </c>
      <c r="C24" s="1161"/>
      <c r="D24" s="1161"/>
      <c r="E24" s="1161"/>
      <c r="F24" s="1161"/>
      <c r="G24" s="1161"/>
      <c r="H24" s="1161"/>
      <c r="I24" s="1161" t="str">
        <f>'10y capex'!I104</f>
        <v/>
      </c>
      <c r="J24" s="1161" t="str">
        <f>'10y capex'!J104</f>
        <v/>
      </c>
      <c r="K24" s="1161" t="str">
        <f>'10y capex'!K104</f>
        <v/>
      </c>
      <c r="L24" s="1161" t="str">
        <f>'10y capex'!L104</f>
        <v/>
      </c>
      <c r="M24" s="1161" t="str">
        <f>'10y capex'!M104</f>
        <v/>
      </c>
      <c r="N24" s="1161" t="str">
        <f>'10y capex'!N104</f>
        <v/>
      </c>
      <c r="O24" s="1161">
        <v>0.32</v>
      </c>
      <c r="P24" s="1170"/>
      <c r="Q24" s="1152"/>
      <c r="S24" s="1152"/>
      <c r="T24" s="1152"/>
      <c r="U24" s="1152"/>
    </row>
    <row r="25" spans="2:23" outlineLevel="1">
      <c r="B25" s="1166" t="str">
        <f>'10y capex'!B16</f>
        <v>7/8nm</v>
      </c>
      <c r="C25" s="1161"/>
      <c r="D25" s="1161"/>
      <c r="E25" s="1161"/>
      <c r="F25" s="1161"/>
      <c r="G25" s="1161"/>
      <c r="H25" s="1161">
        <f>'10y capex'!H105</f>
        <v>-0.56842575788700089</v>
      </c>
      <c r="I25" s="1161">
        <f>'10y capex'!I105</f>
        <v>-0.34530179605761813</v>
      </c>
      <c r="J25" s="1161">
        <f>'10y capex'!J105</f>
        <v>3.5000000000000031E-2</v>
      </c>
      <c r="K25" s="1161">
        <f>'10y capex'!K105</f>
        <v>0.11710526315924508</v>
      </c>
      <c r="L25" s="1161">
        <f>'10y capex'!L105</f>
        <v>0.2587571532550127</v>
      </c>
      <c r="M25" s="1161">
        <f>'10y capex'!M105</f>
        <v>0.43263066571807263</v>
      </c>
      <c r="N25" s="1161">
        <f>'10y capex'!N105</f>
        <v>0.62260888350546562</v>
      </c>
      <c r="O25" s="1161">
        <v>0.33500000000000002</v>
      </c>
      <c r="P25" s="1170"/>
      <c r="Q25" s="1152"/>
    </row>
    <row r="26" spans="2:23" outlineLevel="1">
      <c r="B26" s="1166" t="str">
        <f>'10y capex'!B17</f>
        <v>14/12nm</v>
      </c>
      <c r="C26" s="1161"/>
      <c r="D26" s="1161">
        <f>D34/'10y capex'!D9</f>
        <v>-0.05</v>
      </c>
      <c r="E26" s="1161">
        <f>E34/'10y capex'!E9</f>
        <v>-0.23223819431229667</v>
      </c>
      <c r="F26" s="1161">
        <f>F34/'10y capex'!F9</f>
        <v>-1.561258809892853E-2</v>
      </c>
      <c r="G26" s="1161">
        <f>G34/'10y capex'!G9</f>
        <v>0.14705046438808875</v>
      </c>
      <c r="H26" s="1161">
        <f>'10y capex'!H106</f>
        <v>-1.9175695080610122E-2</v>
      </c>
      <c r="I26" s="1161">
        <f>'10y capex'!I106</f>
        <v>-3.1942372905639616E-2</v>
      </c>
      <c r="J26" s="1161">
        <f>'10y capex'!J106</f>
        <v>3.9999999999999925E-2</v>
      </c>
      <c r="K26" s="1161">
        <f>'10y capex'!K106</f>
        <v>8.0683470273800184E-2</v>
      </c>
      <c r="L26" s="1161">
        <f>'10y capex'!L106</f>
        <v>0.20736613824783257</v>
      </c>
      <c r="M26" s="1161">
        <f>'10y capex'!M106</f>
        <v>0.2940155845412743</v>
      </c>
      <c r="N26" s="1161">
        <f>'10y capex'!N106</f>
        <v>0.27476146411967262</v>
      </c>
      <c r="O26" s="1161">
        <f>N26+0.5%</f>
        <v>0.27976146411967262</v>
      </c>
      <c r="P26" s="1170"/>
      <c r="Q26" s="1152"/>
      <c r="S26" s="1152"/>
      <c r="T26" s="1152"/>
      <c r="U26" s="1152"/>
    </row>
    <row r="27" spans="2:23" outlineLevel="1">
      <c r="B27" s="1166" t="str">
        <f>'10y capex'!B18</f>
        <v>90-28nm</v>
      </c>
      <c r="C27" s="1161">
        <f>C35/'10y capex'!C10</f>
        <v>0.15931419499300661</v>
      </c>
      <c r="D27" s="1161">
        <f>D35/'10y capex'!D10</f>
        <v>0.19645652844724115</v>
      </c>
      <c r="E27" s="1161">
        <f>E35/'10y capex'!E10</f>
        <v>0.25615949408271255</v>
      </c>
      <c r="F27" s="1161">
        <f>F35/'10y capex'!F10</f>
        <v>0.34948993073722967</v>
      </c>
      <c r="G27" s="1161">
        <f>G35/'10y capex'!G10</f>
        <v>0.43876433912055041</v>
      </c>
      <c r="H27" s="1161">
        <f>'10y capex'!H107</f>
        <v>0.25059731498020021</v>
      </c>
      <c r="I27" s="1161">
        <f>'10y capex'!I107</f>
        <v>0.22933510663963241</v>
      </c>
      <c r="J27" s="1161">
        <f>'10y capex'!J107</f>
        <v>0.23481842848430723</v>
      </c>
      <c r="K27" s="1161">
        <f>'10y capex'!K107</f>
        <v>0.21163079289790165</v>
      </c>
      <c r="L27" s="1161">
        <f>'10y capex'!L107</f>
        <v>0.22114042399560174</v>
      </c>
      <c r="M27" s="1161">
        <f>'10y capex'!M107</f>
        <v>0.21872463542159892</v>
      </c>
      <c r="N27" s="1161">
        <f>'10y capex'!N107</f>
        <v>0.19101504938557357</v>
      </c>
      <c r="O27" s="1161">
        <f>N27+0.5%</f>
        <v>0.19601504938557357</v>
      </c>
      <c r="P27" s="1170"/>
      <c r="Q27" s="1152"/>
    </row>
    <row r="28" spans="2:23" outlineLevel="1">
      <c r="B28" s="1166" t="str">
        <f>'10y capex'!B19</f>
        <v>8" fabs/others</v>
      </c>
      <c r="C28" s="1161">
        <f>C36/'10y capex'!C11</f>
        <v>0.27428122806011151</v>
      </c>
      <c r="D28" s="1161">
        <f>D36/'10y capex'!D11</f>
        <v>0.2160407023452198</v>
      </c>
      <c r="E28" s="1161">
        <f>E36/'10y capex'!E11</f>
        <v>0.24485249571439874</v>
      </c>
      <c r="F28" s="1161">
        <f>F36/'10y capex'!F11</f>
        <v>0.38861199197949914</v>
      </c>
      <c r="G28" s="1161">
        <f>G36/'10y capex'!G11</f>
        <v>0.42589499910864509</v>
      </c>
      <c r="H28" s="1161">
        <f>'10y capex'!H108</f>
        <v>0.26815941670513366</v>
      </c>
      <c r="I28" s="1161">
        <f>'10y capex'!I108</f>
        <v>0.24029517750270524</v>
      </c>
      <c r="J28" s="1161">
        <f>'10y capex'!J108</f>
        <v>0.23886659953160616</v>
      </c>
      <c r="K28" s="1161">
        <f>'10y capex'!K108</f>
        <v>0.31697197563933199</v>
      </c>
      <c r="L28" s="1161">
        <f>'10y capex'!L108</f>
        <v>0.3105081645334653</v>
      </c>
      <c r="M28" s="1161">
        <f>'10y capex'!M108</f>
        <v>0.27661384649153842</v>
      </c>
      <c r="N28" s="1161">
        <f>'10y capex'!N108</f>
        <v>0.22942205396935056</v>
      </c>
      <c r="O28" s="1161">
        <f>N28+0.5%</f>
        <v>0.23442205396935056</v>
      </c>
      <c r="P28" s="1170"/>
      <c r="Q28" s="1152"/>
      <c r="S28" s="1152"/>
      <c r="T28" s="1152"/>
      <c r="U28" s="1152"/>
    </row>
    <row r="29" spans="2:23" s="1170" customFormat="1" ht="12">
      <c r="B29" s="1170" t="s">
        <v>745</v>
      </c>
      <c r="C29" s="1149">
        <f>Assumption!BA25</f>
        <v>746.67699999999991</v>
      </c>
      <c r="D29" s="1149">
        <f>Assumption!BB25</f>
        <v>642.45899999999995</v>
      </c>
      <c r="E29" s="1149">
        <f>Assumption!BC25</f>
        <v>920.91300000000012</v>
      </c>
      <c r="F29" s="1149">
        <f>Assumption!BD25</f>
        <v>1675.7699999999998</v>
      </c>
      <c r="G29" s="1149">
        <f>Assumption!BE25</f>
        <v>2761.6480000000001</v>
      </c>
      <c r="H29" s="1149">
        <f t="shared" ref="H29:N29" si="1">SUM(H30:H36)</f>
        <v>1355.2559084708</v>
      </c>
      <c r="I29" s="1149">
        <f t="shared" si="1"/>
        <v>1447.9679999999994</v>
      </c>
      <c r="J29" s="1149">
        <f t="shared" si="1"/>
        <v>1956.5989999999997</v>
      </c>
      <c r="K29" s="1149" t="e">
        <f t="shared" si="1"/>
        <v>#VALUE!</v>
      </c>
      <c r="L29" s="1149" t="e">
        <f t="shared" si="1"/>
        <v>#VALUE!</v>
      </c>
      <c r="M29" s="1149" t="e">
        <f t="shared" si="1"/>
        <v>#VALUE!</v>
      </c>
      <c r="N29" s="1149">
        <f t="shared" si="1"/>
        <v>3221.9694754714042</v>
      </c>
      <c r="O29" s="1149">
        <f>SUM(O31:O36)</f>
        <v>5014.8271671105995</v>
      </c>
      <c r="Q29" s="1152"/>
      <c r="R29" s="1166"/>
      <c r="S29" s="1166"/>
      <c r="T29" s="1166"/>
      <c r="U29" s="1166"/>
      <c r="V29" s="1166"/>
      <c r="W29" s="1166"/>
    </row>
    <row r="30" spans="2:23" s="1170" customFormat="1" ht="12" outlineLevel="1">
      <c r="B30" s="1166" t="str">
        <f t="shared" ref="B30:B36" si="2">B22</f>
        <v>2nm</v>
      </c>
      <c r="C30" s="1149"/>
      <c r="D30" s="1149"/>
      <c r="E30" s="1149"/>
      <c r="F30" s="1149"/>
      <c r="G30" s="1149"/>
      <c r="H30" s="1149"/>
      <c r="I30" s="1149"/>
      <c r="J30" s="1149"/>
      <c r="K30" s="1149"/>
      <c r="L30" s="1149"/>
      <c r="M30" s="1150"/>
      <c r="N30" s="1150"/>
      <c r="O30" s="1149"/>
      <c r="Q30" s="1152"/>
      <c r="R30" s="1166"/>
      <c r="S30" s="1152"/>
      <c r="T30" s="1152"/>
      <c r="U30" s="1152"/>
      <c r="V30" s="1166"/>
      <c r="W30" s="1166"/>
    </row>
    <row r="31" spans="2:23" outlineLevel="1">
      <c r="B31" s="1166" t="str">
        <f t="shared" si="2"/>
        <v>3nm</v>
      </c>
      <c r="C31" s="1150"/>
      <c r="D31" s="1150"/>
      <c r="E31" s="1150"/>
      <c r="F31" s="1150"/>
      <c r="G31" s="1150"/>
      <c r="H31" s="1150"/>
      <c r="I31" s="1150"/>
      <c r="J31" s="1150"/>
      <c r="K31" s="1150"/>
      <c r="L31" s="1150"/>
      <c r="M31" s="1150" t="e">
        <f>'10y capex'!M6*M23</f>
        <v>#VALUE!</v>
      </c>
      <c r="N31" s="1150"/>
      <c r="O31" s="1150">
        <f t="shared" ref="O31:O36" si="3">O7*O23</f>
        <v>0</v>
      </c>
      <c r="P31" s="1170"/>
      <c r="Q31" s="1152"/>
    </row>
    <row r="32" spans="2:23" outlineLevel="1">
      <c r="B32" s="1166" t="str">
        <f t="shared" si="2"/>
        <v>5nm</v>
      </c>
      <c r="C32" s="1150"/>
      <c r="D32" s="1150"/>
      <c r="E32" s="1150"/>
      <c r="F32" s="1150"/>
      <c r="G32" s="1150"/>
      <c r="H32" s="1150"/>
      <c r="I32" s="1150"/>
      <c r="J32" s="1150"/>
      <c r="K32" s="1150" t="e">
        <f>'10y capex'!K7*K24</f>
        <v>#VALUE!</v>
      </c>
      <c r="L32" s="1150" t="e">
        <f>'10y capex'!L7*L24</f>
        <v>#VALUE!</v>
      </c>
      <c r="M32" s="1150" t="e">
        <f>'10y capex'!M7*M24</f>
        <v>#VALUE!</v>
      </c>
      <c r="N32" s="1150"/>
      <c r="O32" s="1150">
        <f t="shared" si="3"/>
        <v>0</v>
      </c>
      <c r="P32" s="1170"/>
      <c r="Q32" s="1152"/>
      <c r="S32" s="1152"/>
      <c r="T32" s="1152"/>
      <c r="U32" s="1152"/>
    </row>
    <row r="33" spans="2:56" outlineLevel="1">
      <c r="B33" s="1166" t="str">
        <f t="shared" si="2"/>
        <v>7/8nm</v>
      </c>
      <c r="C33" s="1150"/>
      <c r="D33" s="1150"/>
      <c r="E33" s="1150"/>
      <c r="F33" s="1150"/>
      <c r="G33" s="1150"/>
      <c r="H33" s="1150"/>
      <c r="I33" s="1150">
        <f>'10y capex'!I8*I25</f>
        <v>-133.77084282100012</v>
      </c>
      <c r="J33" s="1150">
        <f>'10y capex'!J8*J25</f>
        <v>18.578352763040016</v>
      </c>
      <c r="K33" s="1150">
        <f>'10y capex'!K8*K25</f>
        <v>103.56465036398554</v>
      </c>
      <c r="L33" s="1150">
        <f>'10y capex'!L8*L25</f>
        <v>411.56765356870324</v>
      </c>
      <c r="M33" s="1150">
        <f>'10y capex'!M8*M25</f>
        <v>1111.8408442667205</v>
      </c>
      <c r="N33" s="1150"/>
      <c r="O33" s="1150">
        <f t="shared" si="3"/>
        <v>1371.516885725028</v>
      </c>
      <c r="P33" s="1170"/>
      <c r="Q33" s="1152"/>
    </row>
    <row r="34" spans="2:56" outlineLevel="1">
      <c r="B34" s="1166" t="str">
        <f t="shared" si="2"/>
        <v>14/12nm</v>
      </c>
      <c r="C34" s="1150">
        <f>Assumption!BA208</f>
        <v>0</v>
      </c>
      <c r="D34" s="1150">
        <f>Assumption!BB208</f>
        <v>-0.38446306200000002</v>
      </c>
      <c r="E34" s="1150">
        <f>Assumption!BC208</f>
        <v>-27.857172806579996</v>
      </c>
      <c r="F34" s="1150">
        <f>Assumption!BD208</f>
        <v>-8.4813973287422328</v>
      </c>
      <c r="G34" s="1150">
        <f>Assumption!BE208</f>
        <v>128.76036743699999</v>
      </c>
      <c r="H34" s="1150">
        <f>'10y capex'!H9*H26</f>
        <v>-14.202759991280006</v>
      </c>
      <c r="I34" s="1150">
        <f>'10y capex'!I9*I26</f>
        <v>-24.056615103939684</v>
      </c>
      <c r="J34" s="1150">
        <f>'10y capex'!J9*J26</f>
        <v>27.976831434135999</v>
      </c>
      <c r="K34" s="1150">
        <f>'10y capex'!K9*K26</f>
        <v>56.732335587460391</v>
      </c>
      <c r="L34" s="1150">
        <f>'10y capex'!L9*L26</f>
        <v>145.17605097065692</v>
      </c>
      <c r="M34" s="1150">
        <f>'10y capex'!M9*M26</f>
        <v>220.40475657542382</v>
      </c>
      <c r="N34" s="1150">
        <f>'10y capex'!N9*N26</f>
        <v>226.56828576313919</v>
      </c>
      <c r="O34" s="1150">
        <f t="shared" si="3"/>
        <v>219.15672117158368</v>
      </c>
      <c r="P34" s="1170"/>
      <c r="Q34" s="1152"/>
      <c r="R34" s="1152">
        <f>SUM(J33:J34)/SUM('10y capex'!J8:J9)</f>
        <v>3.7842640376969314E-2</v>
      </c>
      <c r="S34" s="1152"/>
      <c r="T34" s="1152"/>
      <c r="U34" s="1152"/>
    </row>
    <row r="35" spans="2:56" outlineLevel="1">
      <c r="B35" s="1166" t="str">
        <f t="shared" si="2"/>
        <v>90-28nm</v>
      </c>
      <c r="C35" s="1150">
        <f>SUM(Assumption!BA209:BA212)</f>
        <v>241.206471626</v>
      </c>
      <c r="D35" s="1150">
        <f>SUM(Assumption!BB209:BB212)</f>
        <v>286.97115216241127</v>
      </c>
      <c r="E35" s="1150">
        <f>SUM(Assumption!BC209:BC212)</f>
        <v>487.25957262638497</v>
      </c>
      <c r="F35" s="1150">
        <f>SUM(Assumption!BD209:BD212)</f>
        <v>878.23512918701954</v>
      </c>
      <c r="G35" s="1150">
        <f>SUM(Assumption!BE209:BE212)</f>
        <v>1699.3061223595037</v>
      </c>
      <c r="H35" s="1150">
        <f>'10y capex'!H10*H27</f>
        <v>888.09591459935393</v>
      </c>
      <c r="I35" s="1150">
        <f>'10y capex'!I10*I27</f>
        <v>1039.7939423263545</v>
      </c>
      <c r="J35" s="1150">
        <f>'10y capex'!J10*J27</f>
        <v>1389.5862162649548</v>
      </c>
      <c r="K35" s="1150">
        <f>'10y capex'!K10*K27</f>
        <v>1546.4226818738528</v>
      </c>
      <c r="L35" s="1150">
        <f>'10y capex'!L10*L27</f>
        <v>1908.2822265661043</v>
      </c>
      <c r="M35" s="1150">
        <f>'10y capex'!M10*M27</f>
        <v>2262.1125311184992</v>
      </c>
      <c r="N35" s="1150">
        <f>'10y capex'!N10*N27</f>
        <v>2252.1065862401133</v>
      </c>
      <c r="O35" s="1150">
        <f t="shared" si="3"/>
        <v>2611.4951005800272</v>
      </c>
      <c r="P35" s="1170"/>
      <c r="Q35" s="1152"/>
      <c r="R35" s="1152">
        <f>SUM(J35:J36)/SUM('10y capex'!J10:J11)</f>
        <v>0.23590782957760278</v>
      </c>
    </row>
    <row r="36" spans="2:56" outlineLevel="1">
      <c r="B36" s="1166" t="str">
        <f t="shared" si="2"/>
        <v>8" fabs/others</v>
      </c>
      <c r="C36" s="1150">
        <f>SUM(Assumption!BA213:BA215,Assumption!BA33)</f>
        <v>506.31052837399989</v>
      </c>
      <c r="D36" s="1150">
        <f>SUM(Assumption!BB213:BB215,Assumption!BB33)</f>
        <v>355.87231089958874</v>
      </c>
      <c r="E36" s="1150">
        <f>SUM(Assumption!BC213:BC215,Assumption!BC33)</f>
        <v>461.51060018019513</v>
      </c>
      <c r="F36" s="1150">
        <f>SUM(Assumption!BD213:BD215,Assumption!BD33)</f>
        <v>904.51490036172243</v>
      </c>
      <c r="G36" s="1150">
        <f>SUM(Assumption!BE213:BE215,Assumption!BE33)</f>
        <v>960.52367237949613</v>
      </c>
      <c r="H36" s="1150">
        <f>'10y capex'!H11*H28</f>
        <v>481.36275386272615</v>
      </c>
      <c r="I36" s="1150">
        <f>'10y capex'!I11*I28</f>
        <v>566.00151559858466</v>
      </c>
      <c r="J36" s="1150">
        <f>'10y capex'!J11*J28</f>
        <v>520.45759953786899</v>
      </c>
      <c r="K36" s="1150">
        <f>'10y capex'!K11*K28</f>
        <v>850.68925022857866</v>
      </c>
      <c r="L36" s="1150">
        <f>'10y capex'!L11*L28</f>
        <v>915.7688054099234</v>
      </c>
      <c r="M36" s="1150">
        <f>'10y capex'!M11*M28</f>
        <v>855.05339310858983</v>
      </c>
      <c r="N36" s="1150">
        <f>'10y capex'!N11*N28</f>
        <v>743.29460346815188</v>
      </c>
      <c r="O36" s="1150">
        <f t="shared" si="3"/>
        <v>812.65845963396066</v>
      </c>
      <c r="P36" s="1170"/>
      <c r="Q36" s="1152"/>
      <c r="S36" s="1152"/>
      <c r="T36" s="1152"/>
      <c r="U36" s="1152"/>
    </row>
    <row r="37" spans="2:56" outlineLevel="1" collapsed="1">
      <c r="B37" s="1166" t="s">
        <v>939</v>
      </c>
      <c r="C37" s="1166">
        <f ca="1">'10y capex'!C4*C39</f>
        <v>732.03700000000003</v>
      </c>
      <c r="D37" s="1166">
        <f>'10y capex'!D4*D39</f>
        <v>593.54900000000009</v>
      </c>
      <c r="E37" s="1166">
        <f>'10y capex'!E4*E39</f>
        <v>608.96699999999998</v>
      </c>
      <c r="F37" s="1166">
        <f>'10y capex'!F4*F39</f>
        <v>283.20799999999997</v>
      </c>
      <c r="G37" s="1166">
        <f>'10y capex'!G4*G39</f>
        <v>925.96900000000005</v>
      </c>
      <c r="H37" s="1166">
        <f t="shared" ref="H37:O37" si="4">G37*(1+H38)</f>
        <v>758.50562359866615</v>
      </c>
      <c r="I37" s="1166">
        <f t="shared" si="4"/>
        <v>925.56161692006492</v>
      </c>
      <c r="J37" s="1166">
        <f t="shared" si="4"/>
        <v>1028.7670115189708</v>
      </c>
      <c r="K37" s="1166">
        <f t="shared" si="4"/>
        <v>1225.6953970489933</v>
      </c>
      <c r="L37" s="1166">
        <f t="shared" si="4"/>
        <v>1406.9030059255281</v>
      </c>
      <c r="M37" s="1166">
        <f t="shared" si="4"/>
        <v>1636.1309530421609</v>
      </c>
      <c r="N37" s="1166">
        <f t="shared" si="4"/>
        <v>1868.1674174157965</v>
      </c>
      <c r="O37" s="1166">
        <f t="shared" si="4"/>
        <v>1998.9391366349023</v>
      </c>
      <c r="P37" s="1170"/>
      <c r="Q37" s="1152"/>
    </row>
    <row r="38" spans="2:56" outlineLevel="1">
      <c r="B38" s="1166" t="s">
        <v>897</v>
      </c>
      <c r="D38" s="1152">
        <f ca="1">D37/C37-1</f>
        <v>-0.18918169436790755</v>
      </c>
      <c r="E38" s="1152">
        <f>E37/D37-1</f>
        <v>2.5975951437876121E-2</v>
      </c>
      <c r="F38" s="1152">
        <f>F37/E37-1</f>
        <v>-0.53493703271277426</v>
      </c>
      <c r="G38" s="1152">
        <f>G37/F37-1</f>
        <v>2.2695721872263501</v>
      </c>
      <c r="H38" s="1152">
        <f>'10y capex'!H12-5%</f>
        <v>-0.18085203327685256</v>
      </c>
      <c r="I38" s="1152">
        <f>'10y capex'!I12-5%</f>
        <v>0.22024357911654718</v>
      </c>
      <c r="J38" s="1152">
        <f>'10y capex'!J12-5%</f>
        <v>0.11150569849939988</v>
      </c>
      <c r="K38" s="1152">
        <f>'10y capex'!K12-5%</f>
        <v>0.19142175373533649</v>
      </c>
      <c r="L38" s="1152">
        <f>'10y capex'!L12-5%</f>
        <v>0.14784065381400119</v>
      </c>
      <c r="M38" s="1152">
        <f>'10y capex'!M12-4.5%</f>
        <v>0.16293088162523012</v>
      </c>
      <c r="N38" s="1152">
        <f>'10y capex'!N12-5%</f>
        <v>0.14182022774044817</v>
      </c>
      <c r="O38" s="1152">
        <v>7.0000000000000007E-2</v>
      </c>
      <c r="P38" s="1170"/>
      <c r="Q38" s="1152"/>
      <c r="S38" s="1152"/>
      <c r="T38" s="1152"/>
      <c r="U38" s="1152"/>
    </row>
    <row r="39" spans="2:56">
      <c r="B39" s="1166" t="s">
        <v>910</v>
      </c>
      <c r="C39" s="1161">
        <f ca="1">Model!I69</f>
        <v>0.21786919223424875</v>
      </c>
      <c r="D39" s="1161">
        <f>Model!J69</f>
        <v>0.19050432779830487</v>
      </c>
      <c r="E39" s="1161">
        <f>Model!K69</f>
        <v>0.15586662315474245</v>
      </c>
      <c r="F39" s="1161">
        <f>Model!L69</f>
        <v>5.2030529594099838E-2</v>
      </c>
      <c r="G39" s="1161">
        <f>Model!M69</f>
        <v>0.12731099184357439</v>
      </c>
      <c r="H39" s="1161">
        <f>H37/'10y capex'!H4</f>
        <v>0.11998709552684245</v>
      </c>
      <c r="I39" s="1161">
        <f>I37/'10y capex'!I4</f>
        <v>0.11526409997309624</v>
      </c>
      <c r="J39" s="1161">
        <f>J37/'10y capex'!J4</f>
        <v>0.11030226034880465</v>
      </c>
      <c r="K39" s="1161">
        <f>K37/'10y capex'!K4</f>
        <v>0.10585968231209336</v>
      </c>
      <c r="L39" s="1161">
        <f>L37/'10y capex'!L4</f>
        <v>0.10144091083464227</v>
      </c>
      <c r="M39" s="1161">
        <f>M37/'10y capex'!M4</f>
        <v>9.7661852730409476E-2</v>
      </c>
      <c r="N39" s="1161">
        <f>N37/'10y capex'!N4</f>
        <v>9.3564680587444382E-2</v>
      </c>
      <c r="O39" s="1161">
        <f>O37/O5</f>
        <v>9.2257188238614216E-2</v>
      </c>
      <c r="P39" s="1170"/>
      <c r="Q39" s="1152"/>
    </row>
    <row r="40" spans="2:56">
      <c r="B40" s="1170" t="s">
        <v>911</v>
      </c>
      <c r="C40" s="1170">
        <f ca="1">Model!I33</f>
        <v>14.639999999999674</v>
      </c>
      <c r="D40" s="1170">
        <f>Model!J33</f>
        <v>48.910000000000423</v>
      </c>
      <c r="E40" s="1170">
        <f>Model!K33</f>
        <v>311.94600000000014</v>
      </c>
      <c r="F40" s="1170">
        <f>Model!L33</f>
        <v>1392.5620000000004</v>
      </c>
      <c r="G40" s="1170">
        <f>Model!M33</f>
        <v>1835.6790000000001</v>
      </c>
      <c r="H40" s="1170">
        <f>'10y capex'!H4*H21-'10y capex'!H4*H39</f>
        <v>596.75028487213388</v>
      </c>
      <c r="I40" s="1170">
        <f>'10y capex'!I4*I21-'10y capex'!I4*I39</f>
        <v>522.40638307993447</v>
      </c>
      <c r="J40" s="1170">
        <f>'10y capex'!J4*J21-'10y capex'!J4*J39</f>
        <v>927.83198848102893</v>
      </c>
      <c r="K40" s="1170" t="e">
        <f>'10y capex'!K4*K21-'10y capex'!K4*K39</f>
        <v>#VALUE!</v>
      </c>
      <c r="L40" s="1170" t="e">
        <f>'10y capex'!L4*L21-'10y capex'!L4*L39</f>
        <v>#VALUE!</v>
      </c>
      <c r="M40" s="1170" t="e">
        <f>'10y capex'!M4*M21-'10y capex'!M4*M39</f>
        <v>#VALUE!</v>
      </c>
      <c r="N40" s="1170">
        <f>'10y capex'!N4*N21-'10y capex'!N4*N39</f>
        <v>1353.8020580556072</v>
      </c>
      <c r="O40" s="1170">
        <f>O5*O21-O5*O39</f>
        <v>3015.8880304756972</v>
      </c>
      <c r="P40" s="1170"/>
      <c r="Q40" s="1152"/>
      <c r="S40" s="1152"/>
      <c r="T40" s="1152"/>
      <c r="U40" s="1152"/>
    </row>
    <row r="41" spans="2:56">
      <c r="B41" s="1166" t="s">
        <v>704</v>
      </c>
      <c r="C41" s="1161">
        <f ca="1">C40/'10y capex'!C4</f>
        <v>4.357163605540882E-3</v>
      </c>
      <c r="D41" s="1161">
        <f>D40/'10y capex'!D4</f>
        <v>1.569805807543298E-2</v>
      </c>
      <c r="E41" s="1161">
        <f>E40/'10y capex'!E4</f>
        <v>7.9843357072927293E-2</v>
      </c>
      <c r="F41" s="1161">
        <f>F40/'10y capex'!F4</f>
        <v>0.25583930663194149</v>
      </c>
      <c r="G41" s="1161">
        <f>G40/'10y capex'!G4</f>
        <v>0.2523865423101862</v>
      </c>
      <c r="H41" s="1161">
        <f>H40/'10y capex'!H4</f>
        <v>9.4399212357730342E-2</v>
      </c>
      <c r="I41" s="1161">
        <f>I40/'10y capex'!I4</f>
        <v>6.5057474797066431E-2</v>
      </c>
      <c r="J41" s="1161">
        <f>J40/'10y capex'!J4</f>
        <v>9.9480217004894067E-2</v>
      </c>
      <c r="K41" s="1161" t="e">
        <f>K40/'10y capex'!K4</f>
        <v>#VALUE!</v>
      </c>
      <c r="L41" s="1161" t="e">
        <f>L40/'10y capex'!L4</f>
        <v>#VALUE!</v>
      </c>
      <c r="M41" s="1161" t="e">
        <f>M40/'10y capex'!M4</f>
        <v>#VALUE!</v>
      </c>
      <c r="N41" s="1161">
        <f>N40/'10y capex'!N4</f>
        <v>6.7803375628837079E-2</v>
      </c>
      <c r="O41" s="1161">
        <f>O40/O5</f>
        <v>0.139192506982767</v>
      </c>
      <c r="P41" s="1170"/>
      <c r="Q41" s="1152"/>
    </row>
    <row r="42" spans="2:56" outlineLevel="1">
      <c r="B42" s="1166" t="s">
        <v>881</v>
      </c>
      <c r="C42" s="1166">
        <f ca="1">Model!I44</f>
        <v>77.046999999999969</v>
      </c>
      <c r="D42" s="1166">
        <f>Model!J44</f>
        <v>133.36599999999999</v>
      </c>
      <c r="E42" s="1166">
        <f>Model!K44</f>
        <v>425.46199999999999</v>
      </c>
      <c r="F42" s="1166">
        <f>Model!L44</f>
        <v>447.76199999999994</v>
      </c>
      <c r="G42" s="1166">
        <f>Model!M44</f>
        <v>378.42600000000004</v>
      </c>
      <c r="H42" s="1166">
        <f>Model!N44</f>
        <v>829.702</v>
      </c>
      <c r="I42" s="1166">
        <f>Model!O44</f>
        <v>385.65800000000007</v>
      </c>
      <c r="J42" s="1166">
        <f>Model!P44</f>
        <v>-36.680000000000007</v>
      </c>
      <c r="K42" s="1166">
        <f>Model!Q44</f>
        <v>21.942200000000014</v>
      </c>
      <c r="L42" s="1166">
        <f>Model!R44</f>
        <v>12.729043284325371</v>
      </c>
      <c r="M42" s="1166">
        <f>Model!S44</f>
        <v>21.565030927586349</v>
      </c>
      <c r="N42" s="1166">
        <f>Model!T44</f>
        <v>21.565030927586349</v>
      </c>
      <c r="O42" s="1166">
        <f>N42</f>
        <v>21.565030927586349</v>
      </c>
      <c r="P42" s="1170"/>
    </row>
    <row r="43" spans="2:56" outlineLevel="1">
      <c r="B43" s="1166" t="s">
        <v>186</v>
      </c>
      <c r="C43" s="1166">
        <f ca="1">C40+C42</f>
        <v>91.686999999999642</v>
      </c>
      <c r="D43" s="1166">
        <f t="shared" ref="D43:O43" si="5">D40+D42</f>
        <v>182.27600000000041</v>
      </c>
      <c r="E43" s="1166">
        <f t="shared" si="5"/>
        <v>737.40800000000013</v>
      </c>
      <c r="F43" s="1166">
        <f t="shared" si="5"/>
        <v>1840.3240000000003</v>
      </c>
      <c r="G43" s="1166">
        <f t="shared" si="5"/>
        <v>2214.105</v>
      </c>
      <c r="H43" s="1166">
        <f t="shared" si="5"/>
        <v>1426.452284872134</v>
      </c>
      <c r="I43" s="1166">
        <f t="shared" si="5"/>
        <v>908.06438307993449</v>
      </c>
      <c r="J43" s="1166">
        <f t="shared" si="5"/>
        <v>891.15198848102887</v>
      </c>
      <c r="K43" s="1166" t="e">
        <f t="shared" si="5"/>
        <v>#VALUE!</v>
      </c>
      <c r="L43" s="1166" t="e">
        <f t="shared" si="5"/>
        <v>#VALUE!</v>
      </c>
      <c r="M43" s="1166" t="e">
        <f t="shared" si="5"/>
        <v>#VALUE!</v>
      </c>
      <c r="N43" s="1166">
        <f t="shared" si="5"/>
        <v>1375.3670889831935</v>
      </c>
      <c r="O43" s="1166">
        <f t="shared" si="5"/>
        <v>3037.4530614032838</v>
      </c>
      <c r="P43" s="1170"/>
    </row>
    <row r="44" spans="2:56" outlineLevel="1">
      <c r="B44" s="1166" t="s">
        <v>913</v>
      </c>
      <c r="C44" s="1166">
        <f ca="1">Model!I48</f>
        <v>-14.475999999999999</v>
      </c>
      <c r="D44" s="1166">
        <f>Model!J48</f>
        <v>-23.416</v>
      </c>
      <c r="E44" s="1166">
        <f>Model!K48</f>
        <v>-68.31</v>
      </c>
      <c r="F44" s="1166">
        <f>Model!L48</f>
        <v>-65.165999999999997</v>
      </c>
      <c r="G44" s="1166">
        <f>Model!M48</f>
        <v>-16.023000000000003</v>
      </c>
      <c r="H44" s="1166">
        <f>H43*-15%</f>
        <v>-213.96784273082008</v>
      </c>
      <c r="I44" s="1166">
        <f t="shared" ref="I44:N44" si="6">I43*-15%</f>
        <v>-136.20965746199016</v>
      </c>
      <c r="J44" s="1166">
        <f t="shared" si="6"/>
        <v>-133.67279827215432</v>
      </c>
      <c r="K44" s="1166" t="e">
        <f t="shared" si="6"/>
        <v>#VALUE!</v>
      </c>
      <c r="L44" s="1166" t="e">
        <f t="shared" si="6"/>
        <v>#VALUE!</v>
      </c>
      <c r="M44" s="1166" t="e">
        <f t="shared" si="6"/>
        <v>#VALUE!</v>
      </c>
      <c r="N44" s="1166">
        <f t="shared" si="6"/>
        <v>-206.30506334747903</v>
      </c>
      <c r="O44" s="1166">
        <f>O43*-2%</f>
        <v>-60.749061228065678</v>
      </c>
      <c r="P44" s="1170"/>
    </row>
    <row r="45" spans="2:56" outlineLevel="1">
      <c r="B45" s="1166" t="s">
        <v>912</v>
      </c>
      <c r="C45" s="1166">
        <f ca="1">Model!I49</f>
        <v>-56.843999999999994</v>
      </c>
      <c r="D45" s="1166">
        <f>Model!J49</f>
        <v>-75.820999999999998</v>
      </c>
      <c r="E45" s="1166">
        <f>Model!K49</f>
        <v>-46.451999999999998</v>
      </c>
      <c r="F45" s="1166">
        <f>Model!L49</f>
        <v>73.35499999999999</v>
      </c>
      <c r="G45" s="1166">
        <f>Model!M49</f>
        <v>380.14000000000004</v>
      </c>
      <c r="H45" s="1166">
        <f>G45</f>
        <v>380.14000000000004</v>
      </c>
      <c r="I45" s="1166">
        <f>H45</f>
        <v>380.14000000000004</v>
      </c>
      <c r="J45" s="1166">
        <f t="shared" ref="J45:O45" si="7">I45*0.95</f>
        <v>361.13300000000004</v>
      </c>
      <c r="K45" s="1166">
        <f t="shared" si="7"/>
        <v>343.07635000000005</v>
      </c>
      <c r="L45" s="1166">
        <f t="shared" si="7"/>
        <v>325.92253250000005</v>
      </c>
      <c r="M45" s="1166">
        <f t="shared" si="7"/>
        <v>309.62640587500005</v>
      </c>
      <c r="N45" s="1166">
        <f t="shared" si="7"/>
        <v>294.14508558125004</v>
      </c>
      <c r="O45" s="1166">
        <f t="shared" si="7"/>
        <v>279.43783130218753</v>
      </c>
      <c r="P45" s="1170"/>
    </row>
    <row r="46" spans="2:56">
      <c r="B46" s="1170" t="s">
        <v>850</v>
      </c>
      <c r="C46" s="1170">
        <f ca="1">Model!I52</f>
        <v>134.05499999999964</v>
      </c>
      <c r="D46" s="1170">
        <f>Model!J52</f>
        <v>234.68100000000041</v>
      </c>
      <c r="E46" s="1170">
        <f>Model!K52</f>
        <v>715.55000000000018</v>
      </c>
      <c r="F46" s="1170">
        <f>Model!L52</f>
        <v>1701.8030000000003</v>
      </c>
      <c r="G46" s="1170">
        <f>Model!M52</f>
        <v>1817.9419999999998</v>
      </c>
      <c r="H46" s="1170">
        <f t="shared" ref="H46:O46" si="8">H43+H44-H45</f>
        <v>832.34444214131372</v>
      </c>
      <c r="I46" s="1170">
        <f t="shared" si="8"/>
        <v>391.71472561794423</v>
      </c>
      <c r="J46" s="1170">
        <f t="shared" si="8"/>
        <v>396.34619020887453</v>
      </c>
      <c r="K46" s="1170" t="e">
        <f t="shared" si="8"/>
        <v>#VALUE!</v>
      </c>
      <c r="L46" s="1170" t="e">
        <f t="shared" si="8"/>
        <v>#VALUE!</v>
      </c>
      <c r="M46" s="1170" t="e">
        <f t="shared" si="8"/>
        <v>#VALUE!</v>
      </c>
      <c r="N46" s="1170">
        <f t="shared" si="8"/>
        <v>874.91694005446448</v>
      </c>
      <c r="O46" s="1170">
        <f t="shared" si="8"/>
        <v>2697.2661688730304</v>
      </c>
      <c r="P46" s="1170"/>
      <c r="AS46" s="1185"/>
      <c r="AT46" s="1185"/>
      <c r="AU46" s="1185"/>
      <c r="AV46" s="1185"/>
      <c r="AW46" s="1185"/>
      <c r="AX46" s="1185"/>
      <c r="AY46" s="1185"/>
      <c r="AZ46" s="1185"/>
      <c r="BA46" s="1185"/>
      <c r="BB46" s="1185"/>
      <c r="BC46" s="1185"/>
      <c r="BD46" s="1185"/>
    </row>
    <row r="47" spans="2:56">
      <c r="B47" s="1170" t="s">
        <v>887</v>
      </c>
      <c r="C47" s="1186">
        <f ca="1">Model!I56</f>
        <v>2.699E-2</v>
      </c>
      <c r="D47" s="1186">
        <f>Model!J56</f>
        <v>4.6449868400516896E-2</v>
      </c>
      <c r="E47" s="1186">
        <f>Model!K56</f>
        <v>0.10715987542813658</v>
      </c>
      <c r="F47" s="1186">
        <f>Model!L56</f>
        <v>0.21541809847172519</v>
      </c>
      <c r="G47" s="1186">
        <f>Model!M56</f>
        <v>0.22990191139204391</v>
      </c>
      <c r="H47" s="1186">
        <f>H46/Model!$J$63</f>
        <v>0.16466612370593023</v>
      </c>
      <c r="I47" s="1186">
        <f>I46/Model!$J$63</f>
        <v>7.7494534954902577E-2</v>
      </c>
      <c r="J47" s="1186">
        <f>J46/Model!$J$63</f>
        <v>7.8410796640158459E-2</v>
      </c>
      <c r="K47" s="1186" t="e">
        <f>K46/Model!$J$63</f>
        <v>#VALUE!</v>
      </c>
      <c r="L47" s="1186" t="e">
        <f>L46/Model!$J$63</f>
        <v>#VALUE!</v>
      </c>
      <c r="M47" s="1186" t="e">
        <f>M46/Model!$J$63</f>
        <v>#VALUE!</v>
      </c>
      <c r="N47" s="1186">
        <f>N46/Model!$J$63</f>
        <v>0.17308841603217268</v>
      </c>
      <c r="O47" s="1186">
        <f>O46/Model!$J$63</f>
        <v>0.53361125772503248</v>
      </c>
      <c r="P47" s="1170"/>
      <c r="Q47" s="1152">
        <f>(N47/G47)^(1/7)-1</f>
        <v>-3.9738878070831873E-2</v>
      </c>
    </row>
    <row r="48" spans="2:56">
      <c r="B48" s="1173" t="s">
        <v>897</v>
      </c>
      <c r="C48" s="1174"/>
      <c r="D48" s="1174">
        <f ca="1">D47/C47-1</f>
        <v>0.72100290479869944</v>
      </c>
      <c r="E48" s="1174">
        <f t="shared" ref="E48:O48" si="9">E47/D47-1</f>
        <v>1.3070006249349051</v>
      </c>
      <c r="F48" s="1174">
        <f t="shared" si="9"/>
        <v>1.0102496163891921</v>
      </c>
      <c r="G48" s="1174">
        <f t="shared" si="9"/>
        <v>6.7235821980945687E-2</v>
      </c>
      <c r="H48" s="1174">
        <f t="shared" si="9"/>
        <v>-0.28375487307223524</v>
      </c>
      <c r="I48" s="1174">
        <f t="shared" si="9"/>
        <v>-0.52938386347578958</v>
      </c>
      <c r="J48" s="1174">
        <f t="shared" si="9"/>
        <v>1.1823565181584561E-2</v>
      </c>
      <c r="K48" s="1174" t="e">
        <f t="shared" si="9"/>
        <v>#VALUE!</v>
      </c>
      <c r="L48" s="1174" t="e">
        <f t="shared" si="9"/>
        <v>#VALUE!</v>
      </c>
      <c r="M48" s="1174" t="e">
        <f t="shared" si="9"/>
        <v>#VALUE!</v>
      </c>
      <c r="N48" s="1174" t="e">
        <f t="shared" si="9"/>
        <v>#VALUE!</v>
      </c>
      <c r="O48" s="1174">
        <f t="shared" si="9"/>
        <v>2.082882551919869</v>
      </c>
      <c r="P48" s="1187"/>
    </row>
    <row r="49" spans="2:56">
      <c r="B49" s="1188" t="s">
        <v>898</v>
      </c>
      <c r="C49" s="1189"/>
      <c r="D49" s="1189"/>
      <c r="E49" s="1189"/>
      <c r="F49" s="1189"/>
      <c r="G49" s="1189"/>
      <c r="H49" s="1189"/>
      <c r="I49" s="1189"/>
      <c r="J49" s="1189"/>
      <c r="K49" s="1189"/>
      <c r="L49" s="1189"/>
      <c r="M49" s="1190" t="e">
        <f>M47*7.8*$C$64</f>
        <v>#VALUE!</v>
      </c>
      <c r="N49" s="1189"/>
      <c r="O49" s="1189"/>
      <c r="P49" s="1187"/>
    </row>
    <row r="50" spans="2:56">
      <c r="B50" s="1188" t="s">
        <v>941</v>
      </c>
      <c r="C50" s="1188"/>
      <c r="D50" s="1188"/>
      <c r="E50" s="1188"/>
      <c r="F50" s="1188"/>
      <c r="G50" s="1188"/>
      <c r="H50" s="1188"/>
      <c r="I50" s="1188"/>
      <c r="J50" s="1188"/>
      <c r="K50" s="1188"/>
      <c r="L50" s="1188"/>
      <c r="M50" s="1190" t="e">
        <f>M49/(1+$C$58)^M1</f>
        <v>#VALUE!</v>
      </c>
      <c r="N50" s="1188"/>
      <c r="O50" s="1188"/>
      <c r="P50" s="1187"/>
      <c r="AZ50" s="1165"/>
      <c r="BA50" s="1165"/>
      <c r="BB50" s="1165"/>
      <c r="BC50" s="1165"/>
      <c r="BD50" s="1165"/>
    </row>
    <row r="51" spans="2:56">
      <c r="B51" s="1191" t="s">
        <v>905</v>
      </c>
      <c r="C51" s="1192" t="e">
        <f>ROUND(M50,1)</f>
        <v>#VALUE!</v>
      </c>
      <c r="D51" s="1187"/>
      <c r="E51" s="1187"/>
      <c r="F51" s="1187"/>
      <c r="G51" s="1187"/>
      <c r="H51" s="1187"/>
      <c r="I51" s="1187"/>
      <c r="J51" s="1187"/>
      <c r="K51" s="1187"/>
      <c r="L51" s="1187"/>
      <c r="M51" s="1187"/>
      <c r="N51" s="1187"/>
      <c r="O51" s="1187"/>
      <c r="P51" s="1187"/>
    </row>
    <row r="52" spans="2:56">
      <c r="B52" s="1191" t="s">
        <v>937</v>
      </c>
      <c r="C52" s="1193" t="e">
        <f>C51/(Q53*7.8)</f>
        <v>#VALUE!</v>
      </c>
      <c r="D52" s="1187"/>
      <c r="E52" s="1187"/>
      <c r="F52" s="1187"/>
      <c r="G52" s="1187"/>
      <c r="H52" s="1187"/>
      <c r="I52" s="1187"/>
      <c r="J52" s="1187"/>
      <c r="K52" s="1187"/>
      <c r="L52" s="1187"/>
      <c r="M52" s="1187"/>
      <c r="N52" s="1187"/>
      <c r="O52" s="1187"/>
      <c r="P52" s="1187"/>
      <c r="Q52" s="1166" t="s">
        <v>938</v>
      </c>
    </row>
    <row r="53" spans="2:56">
      <c r="D53" s="1187"/>
      <c r="E53" s="1187"/>
      <c r="F53" s="1187"/>
      <c r="G53" s="1187"/>
      <c r="H53" s="1187"/>
      <c r="I53" s="1187"/>
      <c r="J53" s="1187"/>
      <c r="K53" s="1187"/>
      <c r="L53" s="1187"/>
      <c r="M53" s="1187"/>
      <c r="N53" s="1187"/>
      <c r="O53" s="1187"/>
      <c r="P53" s="1187"/>
      <c r="Q53" s="1179" t="e">
        <f>#REF!</f>
        <v>#REF!</v>
      </c>
    </row>
    <row r="54" spans="2:56">
      <c r="B54" s="1166" t="s">
        <v>899</v>
      </c>
      <c r="P54" s="1187"/>
    </row>
    <row r="55" spans="2:56">
      <c r="B55" s="1166" t="s">
        <v>30</v>
      </c>
      <c r="C55" s="1194">
        <v>1.06</v>
      </c>
      <c r="Q55" s="1180"/>
    </row>
    <row r="56" spans="2:56">
      <c r="B56" s="1166" t="s">
        <v>900</v>
      </c>
      <c r="C56" s="1161">
        <v>2.81E-2</v>
      </c>
    </row>
    <row r="57" spans="2:56">
      <c r="B57" s="1166" t="s">
        <v>901</v>
      </c>
      <c r="C57" s="1161">
        <v>0.10100000000000001</v>
      </c>
    </row>
    <row r="58" spans="2:56">
      <c r="B58" s="1170" t="s">
        <v>902</v>
      </c>
      <c r="C58" s="1181">
        <v>0.13469999999999999</v>
      </c>
      <c r="P58" s="1195" t="s">
        <v>959</v>
      </c>
      <c r="Q58" s="1167" t="s">
        <v>841</v>
      </c>
      <c r="R58" s="1167" t="s">
        <v>841</v>
      </c>
      <c r="S58" s="1167" t="s">
        <v>841</v>
      </c>
      <c r="T58" s="1167" t="s">
        <v>426</v>
      </c>
      <c r="U58" s="1167" t="s">
        <v>426</v>
      </c>
    </row>
    <row r="59" spans="2:56">
      <c r="Q59" s="1167" t="s">
        <v>430</v>
      </c>
      <c r="R59" s="1167" t="s">
        <v>431</v>
      </c>
      <c r="S59" s="1167" t="s">
        <v>961</v>
      </c>
      <c r="T59" s="1167" t="s">
        <v>430</v>
      </c>
      <c r="U59" s="1167" t="s">
        <v>431</v>
      </c>
    </row>
    <row r="60" spans="2:56">
      <c r="B60" s="1182" t="s">
        <v>1016</v>
      </c>
      <c r="C60" s="1182"/>
      <c r="P60" s="1166" t="s">
        <v>702</v>
      </c>
      <c r="Q60" s="1166">
        <v>44.232134955360074</v>
      </c>
      <c r="R60" s="1166">
        <v>29.196298181743394</v>
      </c>
      <c r="S60" s="1166">
        <f>AVERAGE(Q60:R60)</f>
        <v>36.714216568551734</v>
      </c>
      <c r="T60" s="1152">
        <v>0.35560879491359199</v>
      </c>
      <c r="U60" s="1152">
        <v>0.51499120470754312</v>
      </c>
    </row>
    <row r="61" spans="2:56">
      <c r="B61" s="1166" t="s">
        <v>907</v>
      </c>
      <c r="C61" s="1196">
        <f>AVERAGE(Q62:R62)</f>
        <v>17.589477242051963</v>
      </c>
      <c r="P61" s="1166" t="s">
        <v>906</v>
      </c>
      <c r="Q61" s="1166">
        <v>17.905674419227907</v>
      </c>
      <c r="R61" s="1166">
        <v>15.562378559970252</v>
      </c>
      <c r="S61" s="1166">
        <f>AVERAGE(Q61:R61)</f>
        <v>16.734026489599081</v>
      </c>
      <c r="T61" s="1152">
        <v>0.12032503003841555</v>
      </c>
      <c r="U61" s="1152">
        <v>0.15057440289269852</v>
      </c>
    </row>
    <row r="62" spans="2:56">
      <c r="B62" s="1166" t="s">
        <v>908</v>
      </c>
      <c r="C62" s="1196">
        <f>AVERAGE(Q63:R63)</f>
        <v>10.814617570283929</v>
      </c>
      <c r="P62" s="1166" t="s">
        <v>907</v>
      </c>
      <c r="Q62" s="1166">
        <v>19.048936291681503</v>
      </c>
      <c r="R62" s="1166">
        <v>16.130018192422423</v>
      </c>
      <c r="S62" s="1166">
        <f>AVERAGE(Q62:R62)</f>
        <v>17.589477242051963</v>
      </c>
      <c r="T62" s="1152">
        <v>0.29121483306347606</v>
      </c>
      <c r="U62" s="1152">
        <v>0.18096186033009776</v>
      </c>
    </row>
    <row r="63" spans="2:56">
      <c r="B63" s="1166" t="s">
        <v>909</v>
      </c>
      <c r="C63" s="1196">
        <f>AVERAGE(Q64:R64)</f>
        <v>19.584333778484918</v>
      </c>
      <c r="P63" s="1166" t="s">
        <v>908</v>
      </c>
      <c r="Q63" s="1166">
        <v>12.523785813932776</v>
      </c>
      <c r="R63" s="1166">
        <v>9.1054493266350818</v>
      </c>
      <c r="S63" s="1166">
        <f>AVERAGE(Q63:R63)</f>
        <v>10.814617570283929</v>
      </c>
      <c r="T63" s="1152">
        <v>0.49271110950129571</v>
      </c>
      <c r="U63" s="1152">
        <v>0.37541656261799661</v>
      </c>
    </row>
    <row r="64" spans="2:56">
      <c r="B64" s="1191" t="s">
        <v>904</v>
      </c>
      <c r="C64" s="1197">
        <f>AVERAGE(C61:C63)</f>
        <v>15.996142863606936</v>
      </c>
      <c r="P64" s="1166" t="s">
        <v>909</v>
      </c>
      <c r="Q64" s="1166">
        <v>20.500167661049037</v>
      </c>
      <c r="R64" s="1166">
        <v>18.6684998959208</v>
      </c>
      <c r="S64" s="1166">
        <f>AVERAGE(Q64:R64)</f>
        <v>19.584333778484918</v>
      </c>
      <c r="T64" s="1161">
        <v>3.809691864929432E-2</v>
      </c>
      <c r="U64" s="1161">
        <v>9.8115423057021811E-2</v>
      </c>
    </row>
    <row r="65" spans="2:21">
      <c r="Q65" s="1153"/>
      <c r="R65" s="1153"/>
      <c r="S65" s="1153"/>
      <c r="T65" s="1152">
        <f>AVERAGE(T62:T64)</f>
        <v>0.27400762040468868</v>
      </c>
      <c r="U65" s="1152">
        <f>AVERAGE(U62:U64)</f>
        <v>0.21816461533503873</v>
      </c>
    </row>
    <row r="66" spans="2:21">
      <c r="C66" s="1167" t="s">
        <v>873</v>
      </c>
      <c r="D66" s="1167" t="s">
        <v>429</v>
      </c>
      <c r="E66" s="1167" t="s">
        <v>430</v>
      </c>
      <c r="F66" s="1167" t="s">
        <v>431</v>
      </c>
      <c r="G66" s="1167" t="s">
        <v>890</v>
      </c>
      <c r="H66" s="1167" t="s">
        <v>891</v>
      </c>
      <c r="I66" s="1167" t="s">
        <v>892</v>
      </c>
      <c r="J66" s="1167" t="s">
        <v>893</v>
      </c>
      <c r="K66" s="1167" t="s">
        <v>894</v>
      </c>
      <c r="L66" s="1167" t="s">
        <v>895</v>
      </c>
      <c r="M66" s="1167" t="s">
        <v>896</v>
      </c>
      <c r="N66" s="1167" t="s">
        <v>945</v>
      </c>
    </row>
    <row r="67" spans="2:21">
      <c r="B67" s="1166" t="s">
        <v>1021</v>
      </c>
      <c r="C67" s="1166" t="e">
        <f ca="1">$C$51/(C47*7.8)</f>
        <v>#VALUE!</v>
      </c>
      <c r="D67" s="1166" t="e">
        <f t="shared" ref="D67:N67" si="10">$C$51/(D47*7.8)</f>
        <v>#VALUE!</v>
      </c>
      <c r="E67" s="1166" t="e">
        <f t="shared" si="10"/>
        <v>#VALUE!</v>
      </c>
      <c r="F67" s="1166" t="e">
        <f t="shared" si="10"/>
        <v>#VALUE!</v>
      </c>
      <c r="G67" s="1166" t="e">
        <f t="shared" si="10"/>
        <v>#VALUE!</v>
      </c>
      <c r="H67" s="1166" t="e">
        <f t="shared" si="10"/>
        <v>#VALUE!</v>
      </c>
      <c r="I67" s="1166" t="e">
        <f t="shared" si="10"/>
        <v>#VALUE!</v>
      </c>
      <c r="J67" s="1166" t="e">
        <f t="shared" si="10"/>
        <v>#VALUE!</v>
      </c>
      <c r="K67" s="1166" t="e">
        <f t="shared" si="10"/>
        <v>#VALUE!</v>
      </c>
      <c r="L67" s="1166" t="e">
        <f t="shared" si="10"/>
        <v>#VALUE!</v>
      </c>
      <c r="M67" s="1166" t="e">
        <f t="shared" si="10"/>
        <v>#VALUE!</v>
      </c>
      <c r="N67" s="1166" t="e">
        <f t="shared" si="10"/>
        <v>#VALUE!</v>
      </c>
    </row>
    <row r="68" spans="2:21">
      <c r="H68" s="1152"/>
      <c r="I68" s="1152"/>
      <c r="J68" s="1153">
        <f t="shared" ref="J68:O68" si="11">J47*7.8*$C$64</f>
        <v>9.7833083798206015</v>
      </c>
      <c r="K68" s="1153" t="e">
        <f t="shared" si="11"/>
        <v>#VALUE!</v>
      </c>
      <c r="L68" s="1153" t="e">
        <f t="shared" si="11"/>
        <v>#VALUE!</v>
      </c>
      <c r="M68" s="1153" t="e">
        <f t="shared" si="11"/>
        <v>#VALUE!</v>
      </c>
      <c r="N68" s="1153">
        <f t="shared" si="11"/>
        <v>21.596226840911324</v>
      </c>
      <c r="O68" s="1153">
        <f t="shared" si="11"/>
        <v>66.578630915149077</v>
      </c>
    </row>
    <row r="69" spans="2:21">
      <c r="J69" s="1180">
        <f t="shared" ref="J69:O69" si="12">J68/(1+$C$58)^J1</f>
        <v>5.5401432749079627</v>
      </c>
      <c r="K69" s="1180" t="e">
        <f t="shared" si="12"/>
        <v>#VALUE!</v>
      </c>
      <c r="L69" s="1180" t="e">
        <f t="shared" si="12"/>
        <v>#VALUE!</v>
      </c>
      <c r="M69" s="1180" t="e">
        <f t="shared" si="12"/>
        <v>#VALUE!</v>
      </c>
      <c r="N69" s="1180">
        <f t="shared" si="12"/>
        <v>7.3771550979804124</v>
      </c>
      <c r="O69" s="1180">
        <f t="shared" si="12"/>
        <v>20.043097500987511</v>
      </c>
    </row>
    <row r="70" spans="2:21">
      <c r="B70" s="1166" t="s">
        <v>962</v>
      </c>
      <c r="C70" s="1180">
        <v>17.36</v>
      </c>
      <c r="J70" s="1152">
        <f t="shared" ref="J70:O70" si="13">J69/$C$70-1</f>
        <v>-0.68086732287396523</v>
      </c>
      <c r="K70" s="1152" t="e">
        <f t="shared" si="13"/>
        <v>#VALUE!</v>
      </c>
      <c r="L70" s="1152" t="e">
        <f t="shared" si="13"/>
        <v>#VALUE!</v>
      </c>
      <c r="M70" s="1152" t="e">
        <f t="shared" si="13"/>
        <v>#VALUE!</v>
      </c>
      <c r="N70" s="1152">
        <f t="shared" si="13"/>
        <v>-0.57504866947117439</v>
      </c>
      <c r="O70" s="1152">
        <f t="shared" si="13"/>
        <v>0.15455630766057094</v>
      </c>
    </row>
    <row r="71" spans="2:21">
      <c r="C71" s="1152" t="e">
        <f>C51/C70-1</f>
        <v>#VALUE!</v>
      </c>
      <c r="D71" s="1152"/>
      <c r="E71" s="1152"/>
      <c r="F71" s="1152"/>
      <c r="G71" s="1152"/>
      <c r="H71" s="1152"/>
      <c r="I71" s="1152"/>
      <c r="J71" s="1152">
        <f t="shared" ref="J71:O71" si="14">J69/18.3-1</f>
        <v>-0.69725993033289824</v>
      </c>
      <c r="K71" s="1152" t="e">
        <f t="shared" si="14"/>
        <v>#VALUE!</v>
      </c>
      <c r="L71" s="1152" t="e">
        <f t="shared" si="14"/>
        <v>#VALUE!</v>
      </c>
      <c r="M71" s="1152" t="e">
        <f t="shared" si="14"/>
        <v>#VALUE!</v>
      </c>
      <c r="N71" s="1152">
        <f t="shared" si="14"/>
        <v>-0.59687677060216326</v>
      </c>
      <c r="O71" s="1152">
        <f t="shared" si="14"/>
        <v>9.5251229562159034E-2</v>
      </c>
    </row>
    <row r="72" spans="2:21">
      <c r="F72" s="1152"/>
      <c r="G72" s="1152"/>
      <c r="H72" s="1152"/>
      <c r="I72" s="1152"/>
      <c r="J72" s="1152"/>
      <c r="K72" s="1152"/>
      <c r="L72" s="1152"/>
      <c r="M72" s="1152"/>
      <c r="N72" s="1152"/>
      <c r="O72" s="1152"/>
    </row>
    <row r="73" spans="2:21">
      <c r="B73" s="1166" t="s">
        <v>1015</v>
      </c>
      <c r="C73" s="1180" t="e">
        <f>#REF!</f>
        <v>#REF!</v>
      </c>
      <c r="D73" s="1166" t="e">
        <f>C73*1.13</f>
        <v>#REF!</v>
      </c>
    </row>
    <row r="74" spans="2:21">
      <c r="C74" s="1152" t="e">
        <f>C51/C73-1</f>
        <v>#VALUE!</v>
      </c>
    </row>
    <row r="75" spans="2:21">
      <c r="M75" s="1152"/>
      <c r="N75" s="1152"/>
    </row>
    <row r="78" spans="2:21">
      <c r="B78" s="1166" t="s">
        <v>95</v>
      </c>
      <c r="C78" s="1150">
        <f>Model!I145</f>
        <v>6017.8140000000003</v>
      </c>
      <c r="D78" s="1150">
        <f>Model!J145</f>
        <v>6233.244999999999</v>
      </c>
      <c r="E78" s="1150">
        <f>Model!K145</f>
        <v>15174.594000000001</v>
      </c>
      <c r="F78" s="1150">
        <f>Model!L145</f>
        <v>17149.664000000001</v>
      </c>
      <c r="G78" s="1150">
        <f>Model!M145</f>
        <v>19149.975999999999</v>
      </c>
      <c r="H78" s="1150">
        <f t="shared" ref="H78:O78" si="15">G78+H46</f>
        <v>19982.320442141314</v>
      </c>
      <c r="I78" s="1150">
        <f t="shared" si="15"/>
        <v>20374.035167759259</v>
      </c>
      <c r="J78" s="1150">
        <f t="shared" si="15"/>
        <v>20770.381357968134</v>
      </c>
      <c r="K78" s="1150" t="e">
        <f t="shared" si="15"/>
        <v>#VALUE!</v>
      </c>
      <c r="L78" s="1150" t="e">
        <f t="shared" si="15"/>
        <v>#VALUE!</v>
      </c>
      <c r="M78" s="1150" t="e">
        <f t="shared" si="15"/>
        <v>#VALUE!</v>
      </c>
      <c r="N78" s="1150" t="e">
        <f t="shared" si="15"/>
        <v>#VALUE!</v>
      </c>
      <c r="O78" s="1150" t="e">
        <f t="shared" si="15"/>
        <v>#VALUE!</v>
      </c>
    </row>
    <row r="79" spans="2:21">
      <c r="B79" s="1166" t="s">
        <v>914</v>
      </c>
      <c r="C79" s="1198">
        <f>Model!I157</f>
        <v>1.1940540698203923</v>
      </c>
      <c r="D79" s="1198">
        <f>Model!J157</f>
        <v>1.2331484903278902</v>
      </c>
      <c r="E79" s="1198">
        <f>Model!K157</f>
        <v>1.9707264935064936</v>
      </c>
      <c r="F79" s="1198">
        <f>Model!L157</f>
        <v>2.1698451776630949</v>
      </c>
      <c r="G79" s="1198">
        <f>Model!M157</f>
        <v>2.4194605925823565</v>
      </c>
      <c r="H79" s="1198">
        <f>H78/Model!$J$63</f>
        <v>3.9531846231737569</v>
      </c>
      <c r="I79" s="1198">
        <f>I78/Model!$J$63</f>
        <v>4.0306791581286596</v>
      </c>
      <c r="J79" s="1198">
        <f>J78/Model!$J$63</f>
        <v>4.1090899547688178</v>
      </c>
      <c r="K79" s="1198" t="e">
        <f>K78/Model!$J$63</f>
        <v>#VALUE!</v>
      </c>
      <c r="L79" s="1198" t="e">
        <f>L78/Model!$J$63</f>
        <v>#VALUE!</v>
      </c>
      <c r="M79" s="1198" t="e">
        <f>M78/Model!$J$63</f>
        <v>#VALUE!</v>
      </c>
      <c r="N79" s="1198" t="e">
        <f>N78/Model!$J$63</f>
        <v>#VALUE!</v>
      </c>
      <c r="O79" s="1198" t="e">
        <f>O78/Model!$J$63</f>
        <v>#VALUE!</v>
      </c>
    </row>
    <row r="80" spans="2:21">
      <c r="B80" s="1166" t="s">
        <v>839</v>
      </c>
      <c r="C80" s="1161">
        <f ca="1">Model!I224</f>
        <v>2.3830205850279472E-2</v>
      </c>
      <c r="D80" s="1161">
        <f>Model!J224</f>
        <v>3.8311953276855562E-2</v>
      </c>
      <c r="E80" s="1161">
        <f>Model!K224</f>
        <v>6.6849344298600163E-2</v>
      </c>
      <c r="F80" s="1161">
        <f>Model!L224</f>
        <v>0.10529571939439415</v>
      </c>
      <c r="G80" s="1161">
        <f>Model!M224</f>
        <v>0.10016308701684093</v>
      </c>
      <c r="H80" s="1161">
        <f t="shared" ref="H80:O80" si="16">H46/AVERAGE(G78:H78)</f>
        <v>4.2540025391659228E-2</v>
      </c>
      <c r="I80" s="1161">
        <f t="shared" si="16"/>
        <v>1.9412789866577813E-2</v>
      </c>
      <c r="J80" s="1161">
        <f t="shared" si="16"/>
        <v>1.9266098473460731E-2</v>
      </c>
      <c r="K80" s="1161" t="e">
        <f t="shared" si="16"/>
        <v>#VALUE!</v>
      </c>
      <c r="L80" s="1161" t="e">
        <f t="shared" si="16"/>
        <v>#VALUE!</v>
      </c>
      <c r="M80" s="1161" t="e">
        <f t="shared" si="16"/>
        <v>#VALUE!</v>
      </c>
      <c r="N80" s="1161" t="e">
        <f t="shared" si="16"/>
        <v>#VALUE!</v>
      </c>
      <c r="O80" s="1161" t="e">
        <f t="shared" si="16"/>
        <v>#VALUE!</v>
      </c>
    </row>
    <row r="84" spans="2:14">
      <c r="B84" s="1166" t="s">
        <v>965</v>
      </c>
      <c r="C84" s="1166" t="str">
        <f>'[4]Discounted PE'!C4</f>
        <v>28nm</v>
      </c>
      <c r="D84" s="1166" t="str">
        <f>'[4]Discounted PE'!D4</f>
        <v>14nm</v>
      </c>
      <c r="E84" s="1166" t="str">
        <f>'[4]Discounted PE'!E4</f>
        <v>12nm</v>
      </c>
      <c r="F84" s="1166">
        <f>'[4]Discounted PE'!F4</f>
        <v>0</v>
      </c>
      <c r="G84" s="1166">
        <f>'[4]Discounted PE'!G4</f>
        <v>0</v>
      </c>
      <c r="H84" s="1166">
        <f>'[4]Discounted PE'!H4</f>
        <v>0</v>
      </c>
      <c r="I84" s="1166">
        <f>'[4]Discounted PE'!I4</f>
        <v>0</v>
      </c>
      <c r="J84" s="1166">
        <f>'[4]Discounted PE'!J4</f>
        <v>0</v>
      </c>
      <c r="K84" s="1166">
        <f>'[4]Discounted PE'!K4</f>
        <v>0</v>
      </c>
      <c r="L84" s="1166">
        <f>'[4]Discounted PE'!L4</f>
        <v>0</v>
      </c>
      <c r="M84" s="1166">
        <f>'[4]Discounted PE'!M4</f>
        <v>0</v>
      </c>
      <c r="N84" s="1166">
        <f>'[4]Discounted PE'!N4</f>
        <v>0</v>
      </c>
    </row>
    <row r="85" spans="2:14">
      <c r="C85" s="1152" t="e">
        <f ca="1">'10y capex'!C4/C84-1</f>
        <v>#VALUE!</v>
      </c>
      <c r="D85" s="1152" t="e">
        <f>'10y capex'!D4/D84-1</f>
        <v>#VALUE!</v>
      </c>
      <c r="E85" s="1152" t="e">
        <f>'10y capex'!E4/E84-1</f>
        <v>#VALUE!</v>
      </c>
      <c r="F85" s="1152" t="e">
        <f>'10y capex'!F4/F84-1</f>
        <v>#DIV/0!</v>
      </c>
      <c r="G85" s="1152" t="e">
        <f>'10y capex'!G4/G84-1</f>
        <v>#DIV/0!</v>
      </c>
      <c r="H85" s="1152" t="e">
        <f>'10y capex'!H4/H84-1</f>
        <v>#DIV/0!</v>
      </c>
      <c r="I85" s="1152" t="e">
        <f>'10y capex'!I4/I84-1</f>
        <v>#DIV/0!</v>
      </c>
      <c r="J85" s="1152" t="e">
        <f>'10y capex'!J4/J84-1</f>
        <v>#DIV/0!</v>
      </c>
      <c r="K85" s="1152" t="e">
        <f>'10y capex'!K4/K84-1</f>
        <v>#DIV/0!</v>
      </c>
      <c r="L85" s="1152" t="e">
        <f>'10y capex'!L4/L84-1</f>
        <v>#DIV/0!</v>
      </c>
      <c r="M85" s="1152" t="e">
        <f>'10y capex'!M4/M84-1</f>
        <v>#DIV/0!</v>
      </c>
    </row>
    <row r="86" spans="2:14">
      <c r="B86" s="1166" t="s">
        <v>930</v>
      </c>
      <c r="C86" s="1161">
        <f>'[4]Discounted PE'!C5</f>
        <v>3359.9839999999999</v>
      </c>
      <c r="D86" s="1161">
        <f>'[4]Discounted PE'!D5</f>
        <v>3115.672</v>
      </c>
      <c r="E86" s="1161">
        <f>'[4]Discounted PE'!E5</f>
        <v>3906.9750000000004</v>
      </c>
      <c r="F86" s="1161">
        <f>'[4]Discounted PE'!F5</f>
        <v>5443.1120000000001</v>
      </c>
      <c r="G86" s="1161">
        <f>'[4]Discounted PE'!G5</f>
        <v>7273.2839999999997</v>
      </c>
      <c r="H86" s="1161">
        <f>'[4]Discounted PE'!H5</f>
        <v>6346.8571262674286</v>
      </c>
      <c r="I86" s="1161">
        <f>'[4]Discounted PE'!I5</f>
        <v>8678.3274948273938</v>
      </c>
      <c r="J86" s="1161">
        <f>'[4]Discounted PE'!J5</f>
        <v>10477.466288199452</v>
      </c>
      <c r="K86" s="1161">
        <f>'[4]Discounted PE'!K5</f>
        <v>12256.406855060715</v>
      </c>
      <c r="L86" s="1161">
        <f>'[4]Discounted PE'!L5</f>
        <v>14071.326635128942</v>
      </c>
      <c r="M86" s="1161">
        <f>'[4]Discounted PE'!M5</f>
        <v>15829.130068864681</v>
      </c>
      <c r="N86" s="1166">
        <f>'[4]Discounted PE'!N5</f>
        <v>0</v>
      </c>
    </row>
    <row r="87" spans="2:14">
      <c r="C87" s="1161">
        <f ca="1">C21-C86</f>
        <v>-3359.7617736441603</v>
      </c>
      <c r="D87" s="1161">
        <f t="shared" ref="D87:M87" si="17">D21-D86</f>
        <v>-3115.4657976141261</v>
      </c>
      <c r="E87" s="1161">
        <f t="shared" si="17"/>
        <v>-3906.7392900197729</v>
      </c>
      <c r="F87" s="1161">
        <f t="shared" si="17"/>
        <v>-5442.8041301637741</v>
      </c>
      <c r="G87" s="1161">
        <f t="shared" si="17"/>
        <v>-7272.9043024658458</v>
      </c>
      <c r="H87" s="1161">
        <f t="shared" si="17"/>
        <v>-6346.6427399595441</v>
      </c>
      <c r="I87" s="1161">
        <f t="shared" si="17"/>
        <v>-8678.1471732526243</v>
      </c>
      <c r="J87" s="1161">
        <f t="shared" si="17"/>
        <v>-10477.256505722098</v>
      </c>
      <c r="K87" s="1161" t="e">
        <f t="shared" si="17"/>
        <v>#VALUE!</v>
      </c>
      <c r="L87" s="1161" t="e">
        <f t="shared" si="17"/>
        <v>#VALUE!</v>
      </c>
      <c r="M87" s="1161" t="e">
        <f t="shared" si="17"/>
        <v>#VALUE!</v>
      </c>
    </row>
    <row r="88" spans="2:14">
      <c r="B88" s="1166" t="s">
        <v>964</v>
      </c>
      <c r="C88" s="1179">
        <f>'[4]Discounted PE'!C15</f>
        <v>-14.475999999999999</v>
      </c>
      <c r="D88" s="1179">
        <f>'[4]Discounted PE'!D15</f>
        <v>-23.416</v>
      </c>
      <c r="E88" s="1179">
        <f>'[4]Discounted PE'!E15</f>
        <v>-68.31</v>
      </c>
      <c r="F88" s="1179">
        <f>'[4]Discounted PE'!F15</f>
        <v>-65.165999999999997</v>
      </c>
      <c r="G88" s="1179">
        <f>'[4]Discounted PE'!G15</f>
        <v>-16.023000000000003</v>
      </c>
      <c r="H88" s="1179">
        <f>'[4]Discounted PE'!H15</f>
        <v>-78.495860219261019</v>
      </c>
      <c r="I88" s="1179">
        <f>'[4]Discounted PE'!I15</f>
        <v>-213.97850432718604</v>
      </c>
      <c r="J88" s="1179">
        <f>'[4]Discounted PE'!J15</f>
        <v>-336.87625775615942</v>
      </c>
      <c r="K88" s="1179">
        <f>'[4]Discounted PE'!K15</f>
        <v>-415.69406662654598</v>
      </c>
      <c r="L88" s="1179">
        <f>'[4]Discounted PE'!L15</f>
        <v>-504.6768062863456</v>
      </c>
      <c r="M88" s="1179">
        <f>'[4]Discounted PE'!M15</f>
        <v>-596.43609328630407</v>
      </c>
      <c r="N88" s="1179">
        <f>'[4]Discounted PE'!N15</f>
        <v>0</v>
      </c>
    </row>
    <row r="89" spans="2:14">
      <c r="C89" s="1152">
        <f ca="1">C47/C88-1</f>
        <v>-1.0018644653219122</v>
      </c>
      <c r="D89" s="1152">
        <f t="shared" ref="D89:M89" si="18">D47/D88-1</f>
        <v>-1.0019836807482285</v>
      </c>
      <c r="E89" s="1152">
        <f t="shared" si="18"/>
        <v>-1.0015687289624966</v>
      </c>
      <c r="F89" s="1152">
        <f t="shared" si="18"/>
        <v>-1.0033056823876212</v>
      </c>
      <c r="G89" s="1152">
        <f t="shared" si="18"/>
        <v>-1.0143482438614519</v>
      </c>
      <c r="H89" s="1152">
        <f t="shared" si="18"/>
        <v>-1.0020977682548604</v>
      </c>
      <c r="I89" s="1152">
        <f t="shared" si="18"/>
        <v>-1.0003621603730644</v>
      </c>
      <c r="J89" s="1152">
        <f t="shared" si="18"/>
        <v>-1.0002327584530961</v>
      </c>
      <c r="K89" s="1152" t="e">
        <f t="shared" si="18"/>
        <v>#VALUE!</v>
      </c>
      <c r="L89" s="1152" t="e">
        <f t="shared" si="18"/>
        <v>#VALUE!</v>
      </c>
      <c r="M89" s="1152" t="e">
        <f t="shared" si="18"/>
        <v>#VALUE!</v>
      </c>
      <c r="N89" s="1152"/>
    </row>
    <row r="96" spans="2:14">
      <c r="B96" s="1166" t="s">
        <v>1002</v>
      </c>
      <c r="C96" s="1152">
        <f ca="1">SUM(C102:C106)</f>
        <v>0</v>
      </c>
      <c r="D96" s="1152">
        <f t="shared" ref="D96:N96" si="19">SUM(D102:D106)</f>
        <v>2.4679302699385556E-3</v>
      </c>
      <c r="E96" s="1152">
        <f t="shared" si="19"/>
        <v>3.0701723765317154E-2</v>
      </c>
      <c r="F96" s="1152">
        <f t="shared" si="19"/>
        <v>9.9803376971482491E-2</v>
      </c>
      <c r="G96" s="1152">
        <f t="shared" si="19"/>
        <v>0.15743120885696202</v>
      </c>
      <c r="H96" s="1152">
        <f t="shared" si="19"/>
        <v>0.15543343290026512</v>
      </c>
      <c r="I96" s="1152">
        <f t="shared" si="19"/>
        <v>0.14203479339740799</v>
      </c>
      <c r="J96" s="1152">
        <f t="shared" si="19"/>
        <v>0.13190279588928649</v>
      </c>
      <c r="K96" s="1152">
        <f t="shared" si="19"/>
        <v>0.13710933628174837</v>
      </c>
      <c r="L96" s="1152">
        <f t="shared" si="19"/>
        <v>0.16516114796867493</v>
      </c>
      <c r="M96" s="1152">
        <f t="shared" si="19"/>
        <v>0.19814876317353275</v>
      </c>
      <c r="N96" s="1152">
        <f t="shared" si="19"/>
        <v>0.24723934420408297</v>
      </c>
    </row>
    <row r="97" spans="2:17">
      <c r="B97" s="1166" t="s">
        <v>918</v>
      </c>
      <c r="C97" s="1167" t="s">
        <v>873</v>
      </c>
      <c r="D97" s="1167" t="s">
        <v>429</v>
      </c>
      <c r="E97" s="1167" t="s">
        <v>430</v>
      </c>
      <c r="F97" s="1167" t="s">
        <v>431</v>
      </c>
      <c r="G97" s="1167" t="s">
        <v>890</v>
      </c>
      <c r="H97" s="1167" t="s">
        <v>891</v>
      </c>
      <c r="I97" s="1167" t="s">
        <v>892</v>
      </c>
      <c r="J97" s="1167" t="s">
        <v>893</v>
      </c>
      <c r="K97" s="1167" t="s">
        <v>894</v>
      </c>
      <c r="L97" s="1167" t="s">
        <v>895</v>
      </c>
      <c r="M97" s="1167" t="s">
        <v>896</v>
      </c>
      <c r="N97" s="1167" t="s">
        <v>945</v>
      </c>
    </row>
    <row r="98" spans="2:17">
      <c r="B98" s="1170" t="s">
        <v>917</v>
      </c>
      <c r="C98" s="1167" t="s">
        <v>712</v>
      </c>
      <c r="D98" s="1167" t="s">
        <v>713</v>
      </c>
      <c r="E98" s="1167" t="s">
        <v>963</v>
      </c>
      <c r="F98" s="1167"/>
      <c r="G98" s="1167" t="s">
        <v>952</v>
      </c>
      <c r="H98" s="1171"/>
      <c r="I98" s="1167" t="s">
        <v>916</v>
      </c>
      <c r="J98" s="1167"/>
      <c r="K98" s="1167" t="s">
        <v>953</v>
      </c>
      <c r="L98" s="1167"/>
      <c r="M98" s="1167" t="s">
        <v>973</v>
      </c>
      <c r="N98" s="1167"/>
    </row>
    <row r="99" spans="2:17">
      <c r="B99" s="1172" t="s">
        <v>385</v>
      </c>
      <c r="C99" s="1170">
        <f ca="1">'10y capex'!C4</f>
        <v>3359.9839999999999</v>
      </c>
      <c r="D99" s="1170">
        <f>'10y capex'!D4</f>
        <v>3115.672</v>
      </c>
      <c r="E99" s="1170">
        <f>'10y capex'!E4</f>
        <v>3906.9750000000004</v>
      </c>
      <c r="F99" s="1170">
        <f>'10y capex'!F4</f>
        <v>5443.1120000000001</v>
      </c>
      <c r="G99" s="1170">
        <f>'10y capex'!G4</f>
        <v>7273.2839999999997</v>
      </c>
      <c r="H99" s="1170">
        <f>'10y capex'!H4</f>
        <v>6321.56</v>
      </c>
      <c r="I99" s="1170">
        <f>'10y capex'!I4</f>
        <v>8029.9210000000003</v>
      </c>
      <c r="J99" s="1170">
        <f>'10y capex'!J4</f>
        <v>9326.7989999999991</v>
      </c>
      <c r="K99" s="1170">
        <f>'10y capex'!K4</f>
        <v>11578.49117131698</v>
      </c>
      <c r="L99" s="1170">
        <f>'10y capex'!L4</f>
        <v>13869.187434829972</v>
      </c>
      <c r="M99" s="1170">
        <f>'10y capex'!M4</f>
        <v>16753.01980557973</v>
      </c>
      <c r="N99" s="1170">
        <f>'10y capex'!N4</f>
        <v>19966.587880026273</v>
      </c>
      <c r="O99" s="1152">
        <f t="shared" ref="O99:O105" si="20">O6/O$5</f>
        <v>0</v>
      </c>
    </row>
    <row r="100" spans="2:17">
      <c r="B100" s="1173" t="s">
        <v>858</v>
      </c>
      <c r="C100" s="1173"/>
      <c r="D100" s="1174">
        <f ca="1">D99/C99-1</f>
        <v>-7.2712251010719098E-2</v>
      </c>
      <c r="E100" s="1174">
        <f t="shared" ref="E100:N100" si="21">E99/D99-1</f>
        <v>0.25397506541125003</v>
      </c>
      <c r="F100" s="1174">
        <f t="shared" si="21"/>
        <v>0.39317809814498417</v>
      </c>
      <c r="G100" s="1174">
        <f t="shared" si="21"/>
        <v>0.33623632951150006</v>
      </c>
      <c r="H100" s="1174">
        <f t="shared" si="21"/>
        <v>-0.13085203327685258</v>
      </c>
      <c r="I100" s="1174">
        <f t="shared" si="21"/>
        <v>0.27024357911654717</v>
      </c>
      <c r="J100" s="1174">
        <f t="shared" si="21"/>
        <v>0.16150569849939989</v>
      </c>
      <c r="K100" s="1174">
        <f t="shared" si="21"/>
        <v>0.24142175373533648</v>
      </c>
      <c r="L100" s="1174">
        <f t="shared" si="21"/>
        <v>0.19784065381400118</v>
      </c>
      <c r="M100" s="1174">
        <f t="shared" si="21"/>
        <v>0.2079308816252301</v>
      </c>
      <c r="N100" s="1174">
        <f t="shared" si="21"/>
        <v>0.19182022774044816</v>
      </c>
      <c r="O100" s="1152">
        <f t="shared" si="20"/>
        <v>0</v>
      </c>
    </row>
    <row r="101" spans="2:17">
      <c r="B101" s="1170" t="s">
        <v>1017</v>
      </c>
      <c r="O101" s="1152">
        <f t="shared" si="20"/>
        <v>0</v>
      </c>
    </row>
    <row r="102" spans="2:17">
      <c r="B102" s="1166" t="str">
        <f>'10y capex'!B13</f>
        <v>2nm</v>
      </c>
      <c r="C102" s="1152">
        <f ca="1">'10y capex'!C5/'10y capex'!C$4</f>
        <v>0</v>
      </c>
      <c r="D102" s="1152">
        <f>'10y capex'!D5/'10y capex'!D$4</f>
        <v>0</v>
      </c>
      <c r="E102" s="1152">
        <f>'10y capex'!E5/'10y capex'!E$4</f>
        <v>0</v>
      </c>
      <c r="F102" s="1152">
        <f>'10y capex'!F5/'10y capex'!F$4</f>
        <v>0</v>
      </c>
      <c r="G102" s="1152">
        <f>'10y capex'!G5/'10y capex'!G$4</f>
        <v>0</v>
      </c>
      <c r="H102" s="1152">
        <f>'10y capex'!H5/'10y capex'!H$4</f>
        <v>0</v>
      </c>
      <c r="I102" s="1152">
        <f>'10y capex'!I5/'10y capex'!I$4</f>
        <v>0</v>
      </c>
      <c r="J102" s="1152">
        <f>'10y capex'!J5/'10y capex'!J$4</f>
        <v>0</v>
      </c>
      <c r="K102" s="1152">
        <f>'10y capex'!K5/'10y capex'!K$4</f>
        <v>0</v>
      </c>
      <c r="L102" s="1152">
        <f>'10y capex'!L5/'10y capex'!L$4</f>
        <v>0</v>
      </c>
      <c r="M102" s="1152">
        <f>'10y capex'!M5/'10y capex'!M$4</f>
        <v>0</v>
      </c>
      <c r="N102" s="1152">
        <f>'10y capex'!N5/'10y capex'!N$4</f>
        <v>0</v>
      </c>
      <c r="O102" s="1152">
        <f t="shared" si="20"/>
        <v>0.18895439381311266</v>
      </c>
    </row>
    <row r="103" spans="2:17">
      <c r="B103" s="1166" t="str">
        <f>'10y capex'!B14</f>
        <v>3nm</v>
      </c>
      <c r="C103" s="1152">
        <f ca="1">'10y capex'!C6/'10y capex'!C$4</f>
        <v>0</v>
      </c>
      <c r="D103" s="1152">
        <f>'10y capex'!D6/'10y capex'!D$4</f>
        <v>0</v>
      </c>
      <c r="E103" s="1152">
        <f>'10y capex'!E6/'10y capex'!E$4</f>
        <v>0</v>
      </c>
      <c r="F103" s="1152">
        <f>'10y capex'!F6/'10y capex'!F$4</f>
        <v>0</v>
      </c>
      <c r="G103" s="1152">
        <f>'10y capex'!G6/'10y capex'!G$4</f>
        <v>0</v>
      </c>
      <c r="H103" s="1152">
        <f>'10y capex'!H6/'10y capex'!H$4</f>
        <v>0</v>
      </c>
      <c r="I103" s="1152">
        <f>'10y capex'!I6/'10y capex'!I$4</f>
        <v>0</v>
      </c>
      <c r="J103" s="1152">
        <f>'10y capex'!J6/'10y capex'!J$4</f>
        <v>0</v>
      </c>
      <c r="K103" s="1152">
        <f>'10y capex'!K6/'10y capex'!K$4</f>
        <v>0</v>
      </c>
      <c r="L103" s="1152">
        <f>'10y capex'!L6/'10y capex'!L$4</f>
        <v>0</v>
      </c>
      <c r="M103" s="1152">
        <f>'10y capex'!M6/'10y capex'!M$4</f>
        <v>0</v>
      </c>
      <c r="N103" s="1152">
        <f>'10y capex'!N6/'10y capex'!N$4</f>
        <v>0</v>
      </c>
      <c r="O103" s="1152">
        <f t="shared" si="20"/>
        <v>3.615493169742464E-2</v>
      </c>
    </row>
    <row r="104" spans="2:17">
      <c r="B104" s="1166" t="str">
        <f>'10y capex'!B15</f>
        <v>5nm</v>
      </c>
      <c r="C104" s="1152">
        <f ca="1">'10y capex'!C7/'10y capex'!C$4</f>
        <v>0</v>
      </c>
      <c r="D104" s="1152">
        <f>'10y capex'!D7/'10y capex'!D$4</f>
        <v>0</v>
      </c>
      <c r="E104" s="1152">
        <f>'10y capex'!E7/'10y capex'!E$4</f>
        <v>0</v>
      </c>
      <c r="F104" s="1152">
        <f>'10y capex'!F7/'10y capex'!F$4</f>
        <v>0</v>
      </c>
      <c r="G104" s="1152">
        <f>'10y capex'!G7/'10y capex'!G$4</f>
        <v>0</v>
      </c>
      <c r="H104" s="1152">
        <f>'10y capex'!H7/'10y capex'!H$4</f>
        <v>0</v>
      </c>
      <c r="I104" s="1152">
        <f>'10y capex'!I7/'10y capex'!I$4</f>
        <v>0</v>
      </c>
      <c r="J104" s="1152">
        <f>'10y capex'!J7/'10y capex'!J$4</f>
        <v>0</v>
      </c>
      <c r="K104" s="1152">
        <f>'10y capex'!K7/'10y capex'!K$4</f>
        <v>0</v>
      </c>
      <c r="L104" s="1152">
        <f>'10y capex'!L7/'10y capex'!L$4</f>
        <v>0</v>
      </c>
      <c r="M104" s="1152">
        <f>'10y capex'!M7/'10y capex'!M$4</f>
        <v>0</v>
      </c>
      <c r="N104" s="1152">
        <f>'10y capex'!N7/'10y capex'!N$4</f>
        <v>0</v>
      </c>
      <c r="O104" s="1152">
        <f t="shared" si="20"/>
        <v>0.61489426484252652</v>
      </c>
    </row>
    <row r="105" spans="2:17">
      <c r="B105" s="1166" t="str">
        <f>'10y capex'!B16</f>
        <v>7/8nm</v>
      </c>
      <c r="C105" s="1152">
        <f ca="1">'10y capex'!C8/'10y capex'!C$4</f>
        <v>0</v>
      </c>
      <c r="D105" s="1152">
        <f>'10y capex'!D8/'10y capex'!D$4</f>
        <v>0</v>
      </c>
      <c r="E105" s="1152">
        <f>'10y capex'!E8/'10y capex'!E$4</f>
        <v>0</v>
      </c>
      <c r="F105" s="1152">
        <f>'10y capex'!F8/'10y capex'!F$4</f>
        <v>0</v>
      </c>
      <c r="G105" s="1152">
        <f>'10y capex'!G8/'10y capex'!G$4</f>
        <v>3.7042637378108707E-2</v>
      </c>
      <c r="H105" s="1152">
        <f>'10y capex'!H8/'10y capex'!H$4</f>
        <v>3.8268575431222675E-2</v>
      </c>
      <c r="I105" s="1152">
        <f>'10y capex'!I8/'10y capex'!I$4</f>
        <v>4.8244893653374671E-2</v>
      </c>
      <c r="J105" s="1152">
        <f>'10y capex'!J8/'10y capex'!J$4</f>
        <v>5.6912353203280142E-2</v>
      </c>
      <c r="K105" s="1152">
        <f>'10y capex'!K8/'10y capex'!K$4</f>
        <v>7.6380616623317174E-2</v>
      </c>
      <c r="L105" s="1152">
        <f>'10y capex'!L8/'10y capex'!L$4</f>
        <v>0.11468268513908916</v>
      </c>
      <c r="M105" s="1152">
        <f>'10y capex'!M8/'10y capex'!M$4</f>
        <v>0.15340242404964632</v>
      </c>
      <c r="N105" s="1152">
        <f>'10y capex'!N8/'10y capex'!N$4</f>
        <v>0.20594035305539918</v>
      </c>
      <c r="O105" s="1152">
        <f t="shared" si="20"/>
        <v>0.15999640964693629</v>
      </c>
    </row>
    <row r="106" spans="2:17">
      <c r="B106" s="1166" t="str">
        <f>'10y capex'!B17</f>
        <v>14/12nm</v>
      </c>
      <c r="C106" s="1152">
        <f ca="1">'10y capex'!C9/'10y capex'!C$4</f>
        <v>0</v>
      </c>
      <c r="D106" s="1152">
        <f>'10y capex'!D9/'10y capex'!D$4</f>
        <v>2.4679302699385556E-3</v>
      </c>
      <c r="E106" s="1152">
        <f>'10y capex'!E9/'10y capex'!E$4</f>
        <v>3.0701723765317154E-2</v>
      </c>
      <c r="F106" s="1152">
        <f>'10y capex'!F9/'10y capex'!F$4</f>
        <v>9.9803376971482491E-2</v>
      </c>
      <c r="G106" s="1152">
        <f>'10y capex'!G9/'10y capex'!G$4</f>
        <v>0.1203885714788533</v>
      </c>
      <c r="H106" s="1152">
        <f>'10y capex'!H9/'10y capex'!H$4</f>
        <v>0.11716485746904245</v>
      </c>
      <c r="I106" s="1152">
        <f>'10y capex'!I9/'10y capex'!I$4</f>
        <v>9.3789899744033331E-2</v>
      </c>
      <c r="J106" s="1152">
        <f>'10y capex'!J9/'10y capex'!J$4</f>
        <v>7.4990442686006353E-2</v>
      </c>
      <c r="K106" s="1152">
        <f>'10y capex'!K9/'10y capex'!K$4</f>
        <v>6.0728719658431192E-2</v>
      </c>
      <c r="L106" s="1152">
        <f>'10y capex'!L9/'10y capex'!L$4</f>
        <v>5.0478462829585749E-2</v>
      </c>
      <c r="M106" s="1152">
        <f>'10y capex'!M9/'10y capex'!M$4</f>
        <v>4.4746339123886418E-2</v>
      </c>
      <c r="N106" s="1152">
        <f>'10y capex'!N9/'10y capex'!N$4</f>
        <v>4.1298991148683788E-2</v>
      </c>
    </row>
    <row r="107" spans="2:17">
      <c r="B107" s="1166" t="str">
        <f>'10y capex'!B18</f>
        <v>90-28nm</v>
      </c>
      <c r="C107" s="1152">
        <f ca="1">'10y capex'!C10/'10y capex'!C$4</f>
        <v>0.45060631424316311</v>
      </c>
      <c r="D107" s="1152">
        <f>'10y capex'!D10/'10y capex'!D$4</f>
        <v>0.4688350204077964</v>
      </c>
      <c r="E107" s="1152">
        <f>'10y capex'!E10/'10y capex'!E$4</f>
        <v>0.48686582505416587</v>
      </c>
      <c r="F107" s="1152">
        <f>'10y capex'!F10/'10y capex'!F$4</f>
        <v>0.46166703637000289</v>
      </c>
      <c r="G107" s="1152">
        <f>'10y capex'!G10/'10y capex'!G$4</f>
        <v>0.53248791231031267</v>
      </c>
      <c r="H107" s="1152">
        <f>'10y capex'!H10/'10y capex'!H$4</f>
        <v>0.56060787545614932</v>
      </c>
      <c r="I107" s="1152">
        <f>'10y capex'!I10/'10y capex'!I$4</f>
        <v>0.56463197522536701</v>
      </c>
      <c r="J107" s="1152">
        <f>'10y capex'!J10/'10y capex'!J$4</f>
        <v>0.63448404098214106</v>
      </c>
      <c r="K107" s="1152">
        <f>'10y capex'!K10/'10y capex'!K$4</f>
        <v>0.63109884171443242</v>
      </c>
      <c r="L107" s="1152">
        <f>'10y capex'!L10/'10y capex'!L$4</f>
        <v>0.62219060634543877</v>
      </c>
      <c r="M107" s="1152">
        <f>'10y capex'!M10/'10y capex'!M$4</f>
        <v>0.61733855680407912</v>
      </c>
      <c r="N107" s="1152">
        <f>'10y capex'!N10/'10y capex'!N$4</f>
        <v>0.59049673631643951</v>
      </c>
    </row>
    <row r="108" spans="2:17">
      <c r="B108" s="1166" t="str">
        <f>'10y capex'!B19</f>
        <v>8" fabs/others</v>
      </c>
      <c r="C108" s="1152">
        <f ca="1">'10y capex'!C11/'10y capex'!C$4</f>
        <v>0.549393685756837</v>
      </c>
      <c r="D108" s="1152">
        <f>'10y capex'!D11/'10y capex'!D$4</f>
        <v>0.52869704932226502</v>
      </c>
      <c r="E108" s="1152">
        <f>'10y capex'!E11/'10y capex'!E$4</f>
        <v>0.48243245118051686</v>
      </c>
      <c r="F108" s="1152">
        <f>'10y capex'!F11/'10y capex'!F$4</f>
        <v>0.42761433599308629</v>
      </c>
      <c r="G108" s="1152">
        <f>'10y capex'!G11/'10y capex'!G$4</f>
        <v>0.31008087883272539</v>
      </c>
      <c r="H108" s="1152">
        <f>'10y capex'!H11/'10y capex'!H$4</f>
        <v>0.28395869164358545</v>
      </c>
      <c r="I108" s="1152">
        <f>'10y capex'!I11/'10y capex'!I$4</f>
        <v>0.29333323137722489</v>
      </c>
      <c r="J108" s="1152">
        <f>'10y capex'!J11/'10y capex'!J$4</f>
        <v>0.23361316312857258</v>
      </c>
      <c r="K108" s="1152">
        <f>'10y capex'!K11/'10y capex'!K$4</f>
        <v>0.23179182200381923</v>
      </c>
      <c r="L108" s="1152">
        <f>'10y capex'!L11/'10y capex'!L$4</f>
        <v>0.21264824568588639</v>
      </c>
      <c r="M108" s="1152">
        <f>'10y capex'!M11/'10y capex'!M$4</f>
        <v>0.18451268002238805</v>
      </c>
      <c r="N108" s="1152">
        <f>'10y capex'!N11/'10y capex'!N$4</f>
        <v>0.16226391947947752</v>
      </c>
      <c r="Q108" s="1152"/>
    </row>
    <row r="109" spans="2:17">
      <c r="C109" s="1152"/>
      <c r="D109" s="1152"/>
      <c r="E109" s="1152"/>
      <c r="F109" s="1152"/>
      <c r="G109" s="1152"/>
      <c r="H109" s="1152"/>
      <c r="I109" s="1152"/>
      <c r="J109" s="1152"/>
      <c r="K109" s="1152"/>
      <c r="L109" s="1152"/>
      <c r="M109" s="1152"/>
      <c r="N109" s="1152"/>
    </row>
    <row r="110" spans="2:17">
      <c r="C110" s="1152"/>
      <c r="D110" s="1152"/>
      <c r="E110" s="1152"/>
      <c r="F110" s="1152"/>
      <c r="G110" s="1152"/>
      <c r="H110" s="1152"/>
      <c r="I110" s="1152"/>
      <c r="J110" s="1152"/>
      <c r="K110" s="1152"/>
      <c r="L110" s="1152"/>
      <c r="M110" s="1152"/>
      <c r="N110" s="1152"/>
    </row>
    <row r="111" spans="2:17">
      <c r="B111" s="1166" t="s">
        <v>918</v>
      </c>
      <c r="C111" s="1167" t="s">
        <v>873</v>
      </c>
      <c r="D111" s="1167" t="s">
        <v>429</v>
      </c>
      <c r="E111" s="1167" t="s">
        <v>430</v>
      </c>
      <c r="F111" s="1167" t="s">
        <v>431</v>
      </c>
      <c r="G111" s="1167" t="s">
        <v>890</v>
      </c>
      <c r="H111" s="1167" t="s">
        <v>891</v>
      </c>
      <c r="I111" s="1167" t="s">
        <v>892</v>
      </c>
      <c r="J111" s="1167" t="s">
        <v>893</v>
      </c>
      <c r="K111" s="1167" t="s">
        <v>894</v>
      </c>
      <c r="L111" s="1167" t="s">
        <v>895</v>
      </c>
      <c r="M111" s="1167" t="s">
        <v>896</v>
      </c>
      <c r="N111" s="1167" t="s">
        <v>945</v>
      </c>
    </row>
    <row r="112" spans="2:17">
      <c r="B112" s="1172" t="s">
        <v>385</v>
      </c>
      <c r="C112" s="1170">
        <f ca="1">'10y capex'!C4</f>
        <v>3359.9839999999999</v>
      </c>
      <c r="D112" s="1170">
        <f>'10y capex'!D4</f>
        <v>3115.672</v>
      </c>
      <c r="E112" s="1170">
        <f>'10y capex'!E4</f>
        <v>3906.9750000000004</v>
      </c>
      <c r="F112" s="1170">
        <f>'10y capex'!F4</f>
        <v>5443.1120000000001</v>
      </c>
      <c r="G112" s="1170">
        <f>'10y capex'!G4</f>
        <v>7273.2839999999997</v>
      </c>
      <c r="H112" s="1170">
        <f>'10y capex'!H4</f>
        <v>6321.56</v>
      </c>
      <c r="I112" s="1170">
        <f>'10y capex'!I4</f>
        <v>8029.9210000000003</v>
      </c>
      <c r="J112" s="1170">
        <f>'10y capex'!J4</f>
        <v>9326.7989999999991</v>
      </c>
      <c r="K112" s="1170">
        <f>'10y capex'!K4</f>
        <v>11578.49117131698</v>
      </c>
      <c r="L112" s="1170">
        <f>'10y capex'!L4</f>
        <v>13869.187434829972</v>
      </c>
      <c r="M112" s="1170">
        <f>'10y capex'!M4</f>
        <v>16753.01980557973</v>
      </c>
      <c r="N112" s="1170">
        <f>'10y capex'!N4</f>
        <v>19966.587880026273</v>
      </c>
    </row>
    <row r="113" spans="2:15">
      <c r="B113" s="1166" t="s">
        <v>858</v>
      </c>
      <c r="D113" s="1152">
        <f ca="1">D112/C112-1</f>
        <v>-7.2712251010719098E-2</v>
      </c>
      <c r="E113" s="1152">
        <f t="shared" ref="E113:N113" si="22">E112/D112-1</f>
        <v>0.25397506541125003</v>
      </c>
      <c r="F113" s="1152">
        <f t="shared" si="22"/>
        <v>0.39317809814498417</v>
      </c>
      <c r="G113" s="1152">
        <f t="shared" si="22"/>
        <v>0.33623632951150006</v>
      </c>
      <c r="H113" s="1152">
        <f t="shared" si="22"/>
        <v>-0.13085203327685258</v>
      </c>
      <c r="I113" s="1152">
        <f t="shared" si="22"/>
        <v>0.27024357911654717</v>
      </c>
      <c r="J113" s="1152">
        <f t="shared" si="22"/>
        <v>0.16150569849939989</v>
      </c>
      <c r="K113" s="1152">
        <f t="shared" si="22"/>
        <v>0.24142175373533648</v>
      </c>
      <c r="L113" s="1152">
        <f t="shared" si="22"/>
        <v>0.19784065381400118</v>
      </c>
      <c r="M113" s="1152">
        <f t="shared" si="22"/>
        <v>0.2079308816252301</v>
      </c>
      <c r="N113" s="1152">
        <f t="shared" si="22"/>
        <v>0.19182022774044816</v>
      </c>
    </row>
    <row r="114" spans="2:15">
      <c r="B114" s="1170" t="s">
        <v>991</v>
      </c>
    </row>
    <row r="115" spans="2:15">
      <c r="B115" s="1166" t="s">
        <v>861</v>
      </c>
      <c r="C115" s="1166" t="e">
        <f>Assumption!#REF!</f>
        <v>#REF!</v>
      </c>
      <c r="D115" s="1166" t="e">
        <f t="shared" ref="D115:N115" si="23">C115*(1+D119)</f>
        <v>#REF!</v>
      </c>
      <c r="E115" s="1166" t="e">
        <f t="shared" si="23"/>
        <v>#REF!</v>
      </c>
      <c r="F115" s="1166" t="e">
        <f t="shared" si="23"/>
        <v>#REF!</v>
      </c>
      <c r="G115" s="1166" t="e">
        <f t="shared" si="23"/>
        <v>#REF!</v>
      </c>
      <c r="H115" s="1166" t="e">
        <f t="shared" si="23"/>
        <v>#REF!</v>
      </c>
      <c r="I115" s="1166" t="e">
        <f t="shared" si="23"/>
        <v>#REF!</v>
      </c>
      <c r="J115" s="1166" t="e">
        <f t="shared" si="23"/>
        <v>#REF!</v>
      </c>
      <c r="K115" s="1166" t="e">
        <f t="shared" si="23"/>
        <v>#REF!</v>
      </c>
      <c r="L115" s="1166" t="e">
        <f t="shared" si="23"/>
        <v>#REF!</v>
      </c>
      <c r="M115" s="1166" t="e">
        <f t="shared" si="23"/>
        <v>#REF!</v>
      </c>
      <c r="N115" s="1166" t="e">
        <f t="shared" si="23"/>
        <v>#REF!</v>
      </c>
    </row>
    <row r="116" spans="2:15">
      <c r="B116" s="1166" t="s">
        <v>878</v>
      </c>
      <c r="C116" s="1166" t="e">
        <f>Assumption!#REF!</f>
        <v>#REF!</v>
      </c>
      <c r="D116" s="1166" t="e">
        <f t="shared" ref="D116:N116" si="24">C116*(1+D120)</f>
        <v>#REF!</v>
      </c>
      <c r="E116" s="1166" t="e">
        <f t="shared" si="24"/>
        <v>#REF!</v>
      </c>
      <c r="F116" s="1166" t="e">
        <f t="shared" si="24"/>
        <v>#REF!</v>
      </c>
      <c r="G116" s="1166" t="e">
        <f t="shared" si="24"/>
        <v>#REF!</v>
      </c>
      <c r="H116" s="1166" t="e">
        <f t="shared" si="24"/>
        <v>#REF!</v>
      </c>
      <c r="I116" s="1166" t="e">
        <f t="shared" si="24"/>
        <v>#REF!</v>
      </c>
      <c r="J116" s="1166" t="e">
        <f t="shared" si="24"/>
        <v>#REF!</v>
      </c>
      <c r="K116" s="1166" t="e">
        <f t="shared" si="24"/>
        <v>#REF!</v>
      </c>
      <c r="L116" s="1166" t="e">
        <f t="shared" si="24"/>
        <v>#REF!</v>
      </c>
      <c r="M116" s="1166" t="e">
        <f t="shared" si="24"/>
        <v>#REF!</v>
      </c>
      <c r="N116" s="1166" t="e">
        <f t="shared" si="24"/>
        <v>#REF!</v>
      </c>
      <c r="O116" s="1152"/>
    </row>
    <row r="117" spans="2:15">
      <c r="B117" s="1166" t="s">
        <v>862</v>
      </c>
      <c r="C117" s="1166" t="e">
        <f>Assumption!#REF!</f>
        <v>#REF!</v>
      </c>
      <c r="D117" s="1166" t="e">
        <f t="shared" ref="D117:N117" si="25">D112-SUM(D115:D116)</f>
        <v>#REF!</v>
      </c>
      <c r="E117" s="1166" t="e">
        <f t="shared" si="25"/>
        <v>#REF!</v>
      </c>
      <c r="F117" s="1166" t="e">
        <f t="shared" si="25"/>
        <v>#REF!</v>
      </c>
      <c r="G117" s="1166" t="e">
        <f t="shared" si="25"/>
        <v>#REF!</v>
      </c>
      <c r="H117" s="1166" t="e">
        <f t="shared" si="25"/>
        <v>#REF!</v>
      </c>
      <c r="I117" s="1166" t="e">
        <f t="shared" si="25"/>
        <v>#REF!</v>
      </c>
      <c r="J117" s="1166" t="e">
        <f t="shared" si="25"/>
        <v>#REF!</v>
      </c>
      <c r="K117" s="1166" t="e">
        <f t="shared" si="25"/>
        <v>#REF!</v>
      </c>
      <c r="L117" s="1166" t="e">
        <f t="shared" si="25"/>
        <v>#REF!</v>
      </c>
      <c r="M117" s="1166" t="e">
        <f t="shared" si="25"/>
        <v>#REF!</v>
      </c>
      <c r="N117" s="1166" t="e">
        <f t="shared" si="25"/>
        <v>#REF!</v>
      </c>
    </row>
    <row r="118" spans="2:15">
      <c r="B118" s="1170" t="s">
        <v>858</v>
      </c>
    </row>
    <row r="119" spans="2:15">
      <c r="B119" s="1166" t="s">
        <v>861</v>
      </c>
      <c r="D119" s="1152">
        <v>-0.01</v>
      </c>
      <c r="E119" s="1152">
        <v>0.38</v>
      </c>
      <c r="F119" s="1152">
        <v>0.29799999999999999</v>
      </c>
      <c r="G119" s="1152">
        <v>0.25</v>
      </c>
      <c r="H119" s="1152">
        <v>0.217</v>
      </c>
      <c r="I119" s="1152">
        <v>0.218</v>
      </c>
      <c r="J119" s="1152">
        <v>0.18099999999999999</v>
      </c>
      <c r="K119" s="1152">
        <v>0.19700000000000001</v>
      </c>
      <c r="L119" s="1152">
        <v>0.158</v>
      </c>
      <c r="M119" s="1152">
        <v>0.17799999999999999</v>
      </c>
      <c r="N119" s="1152">
        <v>0.14180000000000001</v>
      </c>
    </row>
    <row r="120" spans="2:15">
      <c r="B120" s="1166" t="s">
        <v>878</v>
      </c>
      <c r="D120" s="1152">
        <v>-0.2</v>
      </c>
      <c r="E120" s="1152">
        <v>-3.5000000000000003E-2</v>
      </c>
      <c r="F120" s="1152">
        <v>0</v>
      </c>
      <c r="G120" s="1152">
        <v>0</v>
      </c>
      <c r="H120" s="1152">
        <v>0</v>
      </c>
      <c r="I120" s="1152">
        <v>0</v>
      </c>
      <c r="J120" s="1152">
        <v>0</v>
      </c>
      <c r="K120" s="1152">
        <v>0</v>
      </c>
      <c r="L120" s="1152">
        <v>0</v>
      </c>
      <c r="M120" s="1152">
        <v>0</v>
      </c>
      <c r="N120" s="1152">
        <v>0</v>
      </c>
    </row>
    <row r="121" spans="2:15">
      <c r="B121" s="1166" t="s">
        <v>862</v>
      </c>
      <c r="D121" s="1152" t="e">
        <f t="shared" ref="D121:N121" si="26">D117/C117-1</f>
        <v>#REF!</v>
      </c>
      <c r="E121" s="1152" t="e">
        <f t="shared" si="26"/>
        <v>#REF!</v>
      </c>
      <c r="F121" s="1152" t="e">
        <f t="shared" si="26"/>
        <v>#REF!</v>
      </c>
      <c r="G121" s="1152" t="e">
        <f t="shared" si="26"/>
        <v>#REF!</v>
      </c>
      <c r="H121" s="1152" t="e">
        <f t="shared" si="26"/>
        <v>#REF!</v>
      </c>
      <c r="I121" s="1152" t="e">
        <f t="shared" si="26"/>
        <v>#REF!</v>
      </c>
      <c r="J121" s="1152" t="e">
        <f t="shared" si="26"/>
        <v>#REF!</v>
      </c>
      <c r="K121" s="1152" t="e">
        <f t="shared" si="26"/>
        <v>#REF!</v>
      </c>
      <c r="L121" s="1152" t="e">
        <f t="shared" si="26"/>
        <v>#REF!</v>
      </c>
      <c r="M121" s="1152" t="e">
        <f t="shared" si="26"/>
        <v>#REF!</v>
      </c>
      <c r="N121" s="1152" t="e">
        <f t="shared" si="26"/>
        <v>#REF!</v>
      </c>
    </row>
    <row r="122" spans="2:15">
      <c r="B122" s="1170" t="s">
        <v>1012</v>
      </c>
    </row>
    <row r="123" spans="2:15">
      <c r="B123" s="1166" t="s">
        <v>861</v>
      </c>
      <c r="C123" s="1152" t="e">
        <f ca="1">C115/C$112</f>
        <v>#REF!</v>
      </c>
      <c r="D123" s="1152" t="e">
        <f t="shared" ref="D123:N123" si="27">D115/D$112</f>
        <v>#REF!</v>
      </c>
      <c r="E123" s="1152" t="e">
        <f t="shared" si="27"/>
        <v>#REF!</v>
      </c>
      <c r="F123" s="1152" t="e">
        <f t="shared" si="27"/>
        <v>#REF!</v>
      </c>
      <c r="G123" s="1152" t="e">
        <f t="shared" si="27"/>
        <v>#REF!</v>
      </c>
      <c r="H123" s="1152" t="e">
        <f t="shared" si="27"/>
        <v>#REF!</v>
      </c>
      <c r="I123" s="1152" t="e">
        <f t="shared" si="27"/>
        <v>#REF!</v>
      </c>
      <c r="J123" s="1152" t="e">
        <f t="shared" si="27"/>
        <v>#REF!</v>
      </c>
      <c r="K123" s="1152" t="e">
        <f t="shared" si="27"/>
        <v>#REF!</v>
      </c>
      <c r="L123" s="1152" t="e">
        <f t="shared" si="27"/>
        <v>#REF!</v>
      </c>
      <c r="M123" s="1152" t="e">
        <f t="shared" si="27"/>
        <v>#REF!</v>
      </c>
      <c r="N123" s="1152" t="e">
        <f t="shared" si="27"/>
        <v>#REF!</v>
      </c>
    </row>
    <row r="124" spans="2:15">
      <c r="B124" s="1166" t="s">
        <v>878</v>
      </c>
      <c r="C124" s="1152" t="e">
        <f ca="1">C116/C$112</f>
        <v>#REF!</v>
      </c>
      <c r="D124" s="1152" t="e">
        <f t="shared" ref="D124:N124" si="28">D116/D$112</f>
        <v>#REF!</v>
      </c>
      <c r="E124" s="1152" t="e">
        <f t="shared" si="28"/>
        <v>#REF!</v>
      </c>
      <c r="F124" s="1152" t="e">
        <f t="shared" si="28"/>
        <v>#REF!</v>
      </c>
      <c r="G124" s="1152" t="e">
        <f t="shared" si="28"/>
        <v>#REF!</v>
      </c>
      <c r="H124" s="1152" t="e">
        <f t="shared" si="28"/>
        <v>#REF!</v>
      </c>
      <c r="I124" s="1152" t="e">
        <f t="shared" si="28"/>
        <v>#REF!</v>
      </c>
      <c r="J124" s="1152" t="e">
        <f t="shared" si="28"/>
        <v>#REF!</v>
      </c>
      <c r="K124" s="1152" t="e">
        <f t="shared" si="28"/>
        <v>#REF!</v>
      </c>
      <c r="L124" s="1152" t="e">
        <f t="shared" si="28"/>
        <v>#REF!</v>
      </c>
      <c r="M124" s="1152" t="e">
        <f t="shared" si="28"/>
        <v>#REF!</v>
      </c>
      <c r="N124" s="1152" t="e">
        <f t="shared" si="28"/>
        <v>#REF!</v>
      </c>
    </row>
    <row r="125" spans="2:15">
      <c r="B125" s="1166" t="s">
        <v>862</v>
      </c>
      <c r="C125" s="1152" t="e">
        <f ca="1">C117/C$112</f>
        <v>#REF!</v>
      </c>
      <c r="D125" s="1152" t="e">
        <f t="shared" ref="D125:N125" si="29">D117/D$112</f>
        <v>#REF!</v>
      </c>
      <c r="E125" s="1152" t="e">
        <f t="shared" si="29"/>
        <v>#REF!</v>
      </c>
      <c r="F125" s="1152" t="e">
        <f t="shared" si="29"/>
        <v>#REF!</v>
      </c>
      <c r="G125" s="1152" t="e">
        <f t="shared" si="29"/>
        <v>#REF!</v>
      </c>
      <c r="H125" s="1152" t="e">
        <f t="shared" si="29"/>
        <v>#REF!</v>
      </c>
      <c r="I125" s="1152" t="e">
        <f t="shared" si="29"/>
        <v>#REF!</v>
      </c>
      <c r="J125" s="1152" t="e">
        <f t="shared" si="29"/>
        <v>#REF!</v>
      </c>
      <c r="K125" s="1152" t="e">
        <f t="shared" si="29"/>
        <v>#REF!</v>
      </c>
      <c r="L125" s="1152" t="e">
        <f t="shared" si="29"/>
        <v>#REF!</v>
      </c>
      <c r="M125" s="1152" t="e">
        <f t="shared" si="29"/>
        <v>#REF!</v>
      </c>
      <c r="N125" s="1152" t="e">
        <f t="shared" si="29"/>
        <v>#REF!</v>
      </c>
    </row>
    <row r="126" spans="2:15" outlineLevel="1">
      <c r="B126" s="1170" t="s">
        <v>1020</v>
      </c>
      <c r="C126" s="1176" t="s">
        <v>873</v>
      </c>
      <c r="D126" s="1176" t="s">
        <v>429</v>
      </c>
      <c r="E126" s="1176" t="s">
        <v>430</v>
      </c>
      <c r="F126" s="1176" t="s">
        <v>431</v>
      </c>
      <c r="G126" s="1176" t="s">
        <v>890</v>
      </c>
      <c r="H126" s="1176" t="s">
        <v>891</v>
      </c>
      <c r="I126" s="1176" t="s">
        <v>892</v>
      </c>
      <c r="J126" s="1176" t="s">
        <v>893</v>
      </c>
      <c r="K126" s="1176" t="s">
        <v>894</v>
      </c>
      <c r="L126" s="1176" t="s">
        <v>895</v>
      </c>
      <c r="M126" s="1176" t="s">
        <v>896</v>
      </c>
      <c r="N126" s="1176" t="s">
        <v>945</v>
      </c>
    </row>
    <row r="127" spans="2:15" outlineLevel="1">
      <c r="B127" s="1166" t="str">
        <f>B152</f>
        <v>GigaDevice</v>
      </c>
      <c r="C127" s="1166">
        <f t="shared" ref="C127:N127" ca="1" si="30">C224</f>
        <v>151.19927999999999</v>
      </c>
      <c r="D127" s="1166">
        <f t="shared" ca="1" si="30"/>
        <v>179.1711468</v>
      </c>
      <c r="E127" s="1166">
        <f t="shared" ca="1" si="30"/>
        <v>259.79816285999999</v>
      </c>
      <c r="F127" s="1166">
        <f t="shared" ca="1" si="30"/>
        <v>329.94366683219999</v>
      </c>
      <c r="G127" s="1166">
        <f t="shared" ca="1" si="30"/>
        <v>412.42958354025001</v>
      </c>
      <c r="H127" s="1166">
        <f t="shared" ca="1" si="30"/>
        <v>515.53697942531255</v>
      </c>
      <c r="I127" s="1166">
        <f t="shared" ca="1" si="30"/>
        <v>634.11048469313448</v>
      </c>
      <c r="J127" s="1166">
        <f t="shared" ca="1" si="30"/>
        <v>760.93258163176131</v>
      </c>
      <c r="K127" s="1166">
        <f t="shared" ca="1" si="30"/>
        <v>913.11909795811357</v>
      </c>
      <c r="L127" s="1166">
        <f t="shared" ca="1" si="30"/>
        <v>1050.0869626518306</v>
      </c>
      <c r="M127" s="1166">
        <f t="shared" ca="1" si="30"/>
        <v>1207.6000070496052</v>
      </c>
      <c r="N127" s="1166">
        <f t="shared" ca="1" si="30"/>
        <v>1388.7400081070459</v>
      </c>
    </row>
    <row r="128" spans="2:15" outlineLevel="1">
      <c r="B128" s="1166" t="str">
        <f>B153</f>
        <v>Will Semi</v>
      </c>
      <c r="C128" s="1166">
        <f t="shared" ref="C128:N128" ca="1" si="31">C225</f>
        <v>34.104434742194186</v>
      </c>
      <c r="D128" s="1166">
        <f t="shared" ca="1" si="31"/>
        <v>40.92532169063302</v>
      </c>
      <c r="E128" s="1166">
        <f t="shared" ca="1" si="31"/>
        <v>163.70128676253208</v>
      </c>
      <c r="F128" s="1166">
        <f t="shared" ca="1" si="31"/>
        <v>299.5733547754337</v>
      </c>
      <c r="G128" s="1166">
        <f t="shared" ca="1" si="31"/>
        <v>402.47152481693115</v>
      </c>
      <c r="H128" s="1166">
        <f t="shared" ca="1" si="31"/>
        <v>583.32146632210004</v>
      </c>
      <c r="I128" s="1166">
        <f t="shared" ca="1" si="31"/>
        <v>804.83710244980659</v>
      </c>
      <c r="J128" s="1166">
        <f t="shared" ca="1" si="31"/>
        <v>1031.6793132671066</v>
      </c>
      <c r="K128" s="1166">
        <f t="shared" ca="1" si="31"/>
        <v>1290.0439213989621</v>
      </c>
      <c r="L128" s="1166">
        <f t="shared" ca="1" si="31"/>
        <v>1483.5505096088064</v>
      </c>
      <c r="M128" s="1166">
        <f t="shared" ca="1" si="31"/>
        <v>1706.0830860501271</v>
      </c>
      <c r="N128" s="1166">
        <f t="shared" ca="1" si="31"/>
        <v>1961.995548957646</v>
      </c>
    </row>
    <row r="129" spans="2:15" outlineLevel="1">
      <c r="B129" s="1166" t="str">
        <f>B172</f>
        <v>Qualcomm</v>
      </c>
      <c r="C129" s="1166" t="e">
        <f t="shared" ref="C129:N129" ca="1" si="32">C244</f>
        <v>#REF!</v>
      </c>
      <c r="D129" s="1166" t="e">
        <f t="shared" ca="1" si="32"/>
        <v>#REF!</v>
      </c>
      <c r="E129" s="1166" t="e">
        <f t="shared" ca="1" si="32"/>
        <v>#REF!</v>
      </c>
      <c r="F129" s="1166" t="e">
        <f t="shared" ca="1" si="32"/>
        <v>#REF!</v>
      </c>
      <c r="G129" s="1166" t="e">
        <f t="shared" ca="1" si="32"/>
        <v>#REF!</v>
      </c>
      <c r="H129" s="1166" t="e">
        <f t="shared" ca="1" si="32"/>
        <v>#REF!</v>
      </c>
      <c r="I129" s="1166" t="e">
        <f t="shared" ca="1" si="32"/>
        <v>#REF!</v>
      </c>
      <c r="J129" s="1166" t="e">
        <f t="shared" ca="1" si="32"/>
        <v>#REF!</v>
      </c>
      <c r="K129" s="1166" t="e">
        <f t="shared" ca="1" si="32"/>
        <v>#REF!</v>
      </c>
      <c r="L129" s="1166" t="e">
        <f t="shared" ca="1" si="32"/>
        <v>#REF!</v>
      </c>
      <c r="M129" s="1166" t="e">
        <f t="shared" ca="1" si="32"/>
        <v>#REF!</v>
      </c>
      <c r="N129" s="1166" t="e">
        <f t="shared" ca="1" si="32"/>
        <v>#REF!</v>
      </c>
      <c r="O129" s="1166">
        <f>O244</f>
        <v>0</v>
      </c>
    </row>
    <row r="130" spans="2:15" outlineLevel="1">
      <c r="B130" s="1166" t="str">
        <f>B173</f>
        <v>Broadcom</v>
      </c>
      <c r="C130" s="1166">
        <f t="shared" ref="C130:N130" ca="1" si="33">C245</f>
        <v>242.42284560000002</v>
      </c>
      <c r="D130" s="1166">
        <f t="shared" ca="1" si="33"/>
        <v>218.18056104000001</v>
      </c>
      <c r="E130" s="1166">
        <f t="shared" ca="1" si="33"/>
        <v>218.18056104000001</v>
      </c>
      <c r="F130" s="1166">
        <f t="shared" ca="1" si="33"/>
        <v>218.18056104000001</v>
      </c>
      <c r="G130" s="1166">
        <f t="shared" ca="1" si="33"/>
        <v>218.18056104000001</v>
      </c>
      <c r="H130" s="1166">
        <f t="shared" ca="1" si="33"/>
        <v>218.18056104000001</v>
      </c>
      <c r="I130" s="1166">
        <f t="shared" ca="1" si="33"/>
        <v>218.18056104000001</v>
      </c>
      <c r="J130" s="1166">
        <f t="shared" ca="1" si="33"/>
        <v>218.18056104000001</v>
      </c>
      <c r="K130" s="1166">
        <f t="shared" ca="1" si="33"/>
        <v>218.18056104000001</v>
      </c>
      <c r="L130" s="1166">
        <f t="shared" ca="1" si="33"/>
        <v>218.18056104000001</v>
      </c>
      <c r="M130" s="1166">
        <f t="shared" ca="1" si="33"/>
        <v>218.18056104000001</v>
      </c>
      <c r="N130" s="1166">
        <f t="shared" ca="1" si="33"/>
        <v>218.18056104000001</v>
      </c>
      <c r="O130" s="1166">
        <f>O245</f>
        <v>0</v>
      </c>
    </row>
    <row r="131" spans="2:15" outlineLevel="1">
      <c r="B131" s="1166" t="str">
        <f>B174</f>
        <v>On Semi</v>
      </c>
      <c r="C131" s="1166">
        <f t="shared" ref="C131:N131" ca="1" si="34">C246</f>
        <v>111.8874672</v>
      </c>
      <c r="D131" s="1166">
        <f t="shared" ca="1" si="34"/>
        <v>80.558976384000005</v>
      </c>
      <c r="E131" s="1166">
        <f t="shared" ca="1" si="34"/>
        <v>52.363334649600006</v>
      </c>
      <c r="F131" s="1166">
        <f t="shared" ca="1" si="34"/>
        <v>52.363334649600006</v>
      </c>
      <c r="G131" s="1166">
        <f t="shared" ca="1" si="34"/>
        <v>52.363334649600006</v>
      </c>
      <c r="H131" s="1166">
        <f t="shared" ca="1" si="34"/>
        <v>52.363334649600006</v>
      </c>
      <c r="I131" s="1166">
        <f t="shared" ca="1" si="34"/>
        <v>52.363334649600006</v>
      </c>
      <c r="J131" s="1166">
        <f t="shared" ca="1" si="34"/>
        <v>52.363334649600006</v>
      </c>
      <c r="K131" s="1166">
        <f t="shared" ca="1" si="34"/>
        <v>52.363334649600006</v>
      </c>
      <c r="L131" s="1166">
        <f t="shared" ca="1" si="34"/>
        <v>52.363334649600006</v>
      </c>
      <c r="M131" s="1166">
        <f t="shared" ca="1" si="34"/>
        <v>52.363334649600006</v>
      </c>
      <c r="N131" s="1166">
        <f t="shared" ca="1" si="34"/>
        <v>52.363334649600006</v>
      </c>
      <c r="O131" s="1166">
        <f>O246</f>
        <v>0</v>
      </c>
    </row>
    <row r="132" spans="2:15" outlineLevel="1">
      <c r="B132" s="1166" t="str">
        <f>B175</f>
        <v>Qorvo</v>
      </c>
      <c r="C132" s="1166">
        <f t="shared" ref="C132:N132" ca="1" si="35">C247</f>
        <v>59.673315840000001</v>
      </c>
      <c r="D132" s="1166">
        <f t="shared" ca="1" si="35"/>
        <v>53.705984256000001</v>
      </c>
      <c r="E132" s="1166">
        <f t="shared" ca="1" si="35"/>
        <v>53.705984256000001</v>
      </c>
      <c r="F132" s="1166">
        <f t="shared" ca="1" si="35"/>
        <v>53.705984256000001</v>
      </c>
      <c r="G132" s="1166">
        <f t="shared" ca="1" si="35"/>
        <v>53.705984256000001</v>
      </c>
      <c r="H132" s="1166">
        <f t="shared" ca="1" si="35"/>
        <v>53.705984256000001</v>
      </c>
      <c r="I132" s="1166">
        <f t="shared" ca="1" si="35"/>
        <v>53.705984256000001</v>
      </c>
      <c r="J132" s="1166">
        <f t="shared" ca="1" si="35"/>
        <v>53.705984256000001</v>
      </c>
      <c r="K132" s="1166">
        <f t="shared" ca="1" si="35"/>
        <v>53.705984256000001</v>
      </c>
      <c r="L132" s="1166">
        <f t="shared" ca="1" si="35"/>
        <v>53.705984256000001</v>
      </c>
      <c r="M132" s="1166">
        <f t="shared" ca="1" si="35"/>
        <v>53.705984256000001</v>
      </c>
      <c r="N132" s="1166">
        <f t="shared" ca="1" si="35"/>
        <v>53.705984256000001</v>
      </c>
      <c r="O132" s="1166">
        <f>O247</f>
        <v>0</v>
      </c>
    </row>
    <row r="133" spans="2:15" outlineLevel="1">
      <c r="B133" s="1170" t="s">
        <v>940</v>
      </c>
      <c r="C133" s="1152"/>
      <c r="D133" s="1152"/>
      <c r="E133" s="1152"/>
      <c r="F133" s="1152"/>
      <c r="G133" s="1152"/>
      <c r="H133" s="1152"/>
      <c r="I133" s="1152"/>
      <c r="J133" s="1152"/>
      <c r="K133" s="1152"/>
      <c r="L133" s="1152"/>
      <c r="M133" s="1152"/>
      <c r="N133" s="1152"/>
    </row>
    <row r="134" spans="2:15" outlineLevel="1">
      <c r="B134" s="1166" t="str">
        <f t="shared" ref="B134:B139" si="36">B127</f>
        <v>GigaDevice</v>
      </c>
      <c r="C134" s="1161">
        <f>C152</f>
        <v>4.4999999999999998E-2</v>
      </c>
      <c r="D134" s="1161">
        <f t="shared" ref="D134:N134" ca="1" si="37">D152</f>
        <v>5.7506421343453358E-2</v>
      </c>
      <c r="E134" s="1161">
        <f t="shared" ca="1" si="37"/>
        <v>6.6495988036780362E-2</v>
      </c>
      <c r="F134" s="1161">
        <f t="shared" ca="1" si="37"/>
        <v>6.061673300718412E-2</v>
      </c>
      <c r="G134" s="1161">
        <f t="shared" ca="1" si="37"/>
        <v>5.6704726989933299E-2</v>
      </c>
      <c r="H134" s="1161">
        <f t="shared" ca="1" si="37"/>
        <v>8.1552176903377099E-2</v>
      </c>
      <c r="I134" s="1161">
        <f t="shared" ca="1" si="37"/>
        <v>7.8968458680120826E-2</v>
      </c>
      <c r="J134" s="1161">
        <f t="shared" ca="1" si="37"/>
        <v>8.1585609557122588E-2</v>
      </c>
      <c r="K134" s="1161">
        <f t="shared" ca="1" si="37"/>
        <v>7.886339285900687E-2</v>
      </c>
      <c r="L134" s="1161">
        <f t="shared" ca="1" si="37"/>
        <v>7.5713661495029325E-2</v>
      </c>
      <c r="M134" s="1161">
        <f t="shared" ca="1" si="37"/>
        <v>7.2082527273524988E-2</v>
      </c>
      <c r="N134" s="1161">
        <f t="shared" ca="1" si="37"/>
        <v>6.9553196392473371E-2</v>
      </c>
    </row>
    <row r="135" spans="2:15" outlineLevel="1">
      <c r="B135" s="1166" t="str">
        <f t="shared" si="36"/>
        <v>Will Semi</v>
      </c>
      <c r="C135" s="1161">
        <f>C153</f>
        <v>1.0150177721737421E-2</v>
      </c>
      <c r="D135" s="1161">
        <f t="shared" ref="D135:N135" ca="1" si="38">D153</f>
        <v>1.3135311319879954E-2</v>
      </c>
      <c r="E135" s="1161">
        <f t="shared" ca="1" si="38"/>
        <v>4.1899752817085356E-2</v>
      </c>
      <c r="F135" s="1161">
        <f t="shared" ca="1" si="38"/>
        <v>5.5037146907032909E-2</v>
      </c>
      <c r="G135" s="1161">
        <f t="shared" ca="1" si="38"/>
        <v>5.5335598722245846E-2</v>
      </c>
      <c r="H135" s="1161">
        <f t="shared" ca="1" si="38"/>
        <v>9.2274923645761495E-2</v>
      </c>
      <c r="I135" s="1161">
        <f t="shared" ca="1" si="38"/>
        <v>0.10022976595284144</v>
      </c>
      <c r="J135" s="1161">
        <f t="shared" ca="1" si="38"/>
        <v>0.11061451128807501</v>
      </c>
      <c r="K135" s="1161">
        <f t="shared" ca="1" si="38"/>
        <v>0.11141727383225423</v>
      </c>
      <c r="L135" s="1161">
        <f t="shared" ca="1" si="38"/>
        <v>0.10696737040867556</v>
      </c>
      <c r="M135" s="1161">
        <f t="shared" ca="1" si="38"/>
        <v>0.10183734669029056</v>
      </c>
      <c r="N135" s="1161">
        <f t="shared" ca="1" si="38"/>
        <v>9.8263937771778373E-2</v>
      </c>
    </row>
    <row r="136" spans="2:15" outlineLevel="1">
      <c r="B136" s="1166" t="str">
        <f t="shared" si="36"/>
        <v>Qualcomm</v>
      </c>
      <c r="C136" s="1161" t="e">
        <f t="shared" ref="C136:N136" ca="1" si="39">C172</f>
        <v>#REF!</v>
      </c>
      <c r="D136" s="1161" t="e">
        <f t="shared" ca="1" si="39"/>
        <v>#REF!</v>
      </c>
      <c r="E136" s="1161" t="e">
        <f t="shared" ca="1" si="39"/>
        <v>#REF!</v>
      </c>
      <c r="F136" s="1161" t="e">
        <f t="shared" ca="1" si="39"/>
        <v>#REF!</v>
      </c>
      <c r="G136" s="1161" t="e">
        <f t="shared" ca="1" si="39"/>
        <v>#REF!</v>
      </c>
      <c r="H136" s="1161" t="e">
        <f t="shared" ca="1" si="39"/>
        <v>#REF!</v>
      </c>
      <c r="I136" s="1161" t="e">
        <f t="shared" ca="1" si="39"/>
        <v>#REF!</v>
      </c>
      <c r="J136" s="1161" t="e">
        <f t="shared" ca="1" si="39"/>
        <v>#REF!</v>
      </c>
      <c r="K136" s="1161" t="e">
        <f t="shared" ca="1" si="39"/>
        <v>#REF!</v>
      </c>
      <c r="L136" s="1161" t="e">
        <f t="shared" ca="1" si="39"/>
        <v>#REF!</v>
      </c>
      <c r="M136" s="1161" t="e">
        <f t="shared" ca="1" si="39"/>
        <v>#REF!</v>
      </c>
      <c r="N136" s="1161" t="e">
        <f t="shared" ca="1" si="39"/>
        <v>#REF!</v>
      </c>
    </row>
    <row r="137" spans="2:15" outlineLevel="1">
      <c r="B137" s="1166" t="str">
        <f t="shared" si="36"/>
        <v>Broadcom</v>
      </c>
      <c r="C137" s="1161">
        <f>C173</f>
        <v>7.2150000000000006E-2</v>
      </c>
      <c r="D137" s="1161">
        <f t="shared" ref="D137:N137" ca="1" si="40">D173</f>
        <v>7.0026806749876117E-2</v>
      </c>
      <c r="E137" s="1161">
        <f t="shared" ca="1" si="40"/>
        <v>5.5843859006008481E-2</v>
      </c>
      <c r="F137" s="1161">
        <f t="shared" ca="1" si="40"/>
        <v>4.0083790493379526E-2</v>
      </c>
      <c r="G137" s="1161">
        <f t="shared" ca="1" si="40"/>
        <v>2.9997530832014813E-2</v>
      </c>
      <c r="H137" s="1161">
        <f t="shared" ca="1" si="40"/>
        <v>3.4513721461158324E-2</v>
      </c>
      <c r="I137" s="1161">
        <f t="shared" ca="1" si="40"/>
        <v>2.7170947390391512E-2</v>
      </c>
      <c r="J137" s="1161">
        <f t="shared" ca="1" si="40"/>
        <v>2.3392866195572567E-2</v>
      </c>
      <c r="K137" s="1161">
        <f t="shared" ca="1" si="40"/>
        <v>1.8843609051625968E-2</v>
      </c>
      <c r="L137" s="1161">
        <f t="shared" ca="1" si="40"/>
        <v>1.5731315339504226E-2</v>
      </c>
      <c r="M137" s="1161">
        <f t="shared" ca="1" si="40"/>
        <v>1.3023357196016279E-2</v>
      </c>
      <c r="N137" s="1161">
        <f t="shared" ca="1" si="40"/>
        <v>1.0927283236924953E-2</v>
      </c>
    </row>
    <row r="138" spans="2:15" outlineLevel="1">
      <c r="B138" s="1166" t="str">
        <f t="shared" si="36"/>
        <v>On Semi</v>
      </c>
      <c r="C138" s="1161">
        <f>C174</f>
        <v>3.3300000000000003E-2</v>
      </c>
      <c r="D138" s="1161">
        <f t="shared" ref="D138:N138" ca="1" si="41">D174</f>
        <v>2.5856051723031181E-2</v>
      </c>
      <c r="E138" s="1161">
        <f t="shared" ca="1" si="41"/>
        <v>1.3402526161442036E-2</v>
      </c>
      <c r="F138" s="1161">
        <f t="shared" ca="1" si="41"/>
        <v>9.6201097184110858E-3</v>
      </c>
      <c r="G138" s="1161">
        <f t="shared" ca="1" si="41"/>
        <v>7.199407399683555E-3</v>
      </c>
      <c r="H138" s="1161">
        <f t="shared" ca="1" si="41"/>
        <v>8.2832931506779985E-3</v>
      </c>
      <c r="I138" s="1161">
        <f t="shared" ca="1" si="41"/>
        <v>6.5210273736939633E-3</v>
      </c>
      <c r="J138" s="1161">
        <f t="shared" ca="1" si="41"/>
        <v>5.6142878869374167E-3</v>
      </c>
      <c r="K138" s="1161">
        <f t="shared" ca="1" si="41"/>
        <v>4.5224661723902325E-3</v>
      </c>
      <c r="L138" s="1161">
        <f t="shared" ca="1" si="41"/>
        <v>3.7755156814810145E-3</v>
      </c>
      <c r="M138" s="1161">
        <f t="shared" ca="1" si="41"/>
        <v>3.1256057270439069E-3</v>
      </c>
      <c r="N138" s="1161">
        <f t="shared" ca="1" si="41"/>
        <v>2.6225479768619887E-3</v>
      </c>
    </row>
    <row r="139" spans="2:15" outlineLevel="1">
      <c r="B139" s="1166" t="str">
        <f t="shared" si="36"/>
        <v>Qorvo</v>
      </c>
      <c r="C139" s="1161">
        <f>C175</f>
        <v>1.7760000000000001E-2</v>
      </c>
      <c r="D139" s="1161">
        <f t="shared" ref="D139:N139" ca="1" si="42">D175</f>
        <v>1.7237367815354121E-2</v>
      </c>
      <c r="E139" s="1161">
        <f t="shared" ca="1" si="42"/>
        <v>1.3746180678402088E-2</v>
      </c>
      <c r="F139" s="1161">
        <f t="shared" ca="1" si="42"/>
        <v>9.8667791983703436E-3</v>
      </c>
      <c r="G139" s="1161">
        <f t="shared" ca="1" si="42"/>
        <v>7.3840075894190307E-3</v>
      </c>
      <c r="H139" s="1161">
        <f t="shared" ca="1" si="42"/>
        <v>8.495685282746664E-3</v>
      </c>
      <c r="I139" s="1161">
        <f t="shared" ca="1" si="42"/>
        <v>6.6882332037886795E-3</v>
      </c>
      <c r="J139" s="1161">
        <f t="shared" ca="1" si="42"/>
        <v>5.7582439866024782E-3</v>
      </c>
      <c r="K139" s="1161">
        <f t="shared" ca="1" si="42"/>
        <v>4.6384268434771616E-3</v>
      </c>
      <c r="L139" s="1161">
        <f t="shared" ca="1" si="42"/>
        <v>3.8723237758779634E-3</v>
      </c>
      <c r="M139" s="1161">
        <f t="shared" ca="1" si="42"/>
        <v>3.2057494636347763E-3</v>
      </c>
      <c r="N139" s="1161">
        <f t="shared" ca="1" si="42"/>
        <v>2.6897927967815265E-3</v>
      </c>
    </row>
    <row r="140" spans="2:15" outlineLevel="1">
      <c r="B140" s="1170" t="s">
        <v>858</v>
      </c>
      <c r="C140" s="1152"/>
      <c r="D140" s="1152"/>
      <c r="E140" s="1152"/>
      <c r="F140" s="1152"/>
      <c r="G140" s="1152"/>
      <c r="H140" s="1152"/>
      <c r="I140" s="1152"/>
      <c r="J140" s="1152"/>
      <c r="K140" s="1152"/>
      <c r="L140" s="1152"/>
      <c r="M140" s="1152"/>
      <c r="N140" s="1152"/>
    </row>
    <row r="141" spans="2:15" outlineLevel="1">
      <c r="B141" s="1166" t="str">
        <f t="shared" ref="B141:B146" si="43">B134</f>
        <v>GigaDevice</v>
      </c>
      <c r="C141" s="1152"/>
      <c r="D141" s="1152">
        <f t="shared" ref="D141:N141" ca="1" si="44">D127/C127-1</f>
        <v>0.18500000000000005</v>
      </c>
      <c r="E141" s="1152">
        <f t="shared" ca="1" si="44"/>
        <v>0.44999999999999996</v>
      </c>
      <c r="F141" s="1152">
        <f t="shared" ca="1" si="44"/>
        <v>0.27</v>
      </c>
      <c r="G141" s="1152">
        <f t="shared" ca="1" si="44"/>
        <v>0.25</v>
      </c>
      <c r="H141" s="1152">
        <f t="shared" ca="1" si="44"/>
        <v>0.25</v>
      </c>
      <c r="I141" s="1152">
        <f t="shared" ca="1" si="44"/>
        <v>0.22999999999999998</v>
      </c>
      <c r="J141" s="1152">
        <f t="shared" ca="1" si="44"/>
        <v>0.19999999999999996</v>
      </c>
      <c r="K141" s="1152">
        <f t="shared" ca="1" si="44"/>
        <v>0.19999999999999996</v>
      </c>
      <c r="L141" s="1152">
        <f t="shared" ca="1" si="44"/>
        <v>0.14999999999999991</v>
      </c>
      <c r="M141" s="1152">
        <f t="shared" ca="1" si="44"/>
        <v>0.14999999999999991</v>
      </c>
      <c r="N141" s="1152">
        <f t="shared" ca="1" si="44"/>
        <v>0.14999999999999991</v>
      </c>
    </row>
    <row r="142" spans="2:15" outlineLevel="1">
      <c r="B142" s="1166" t="str">
        <f t="shared" si="43"/>
        <v>Will Semi</v>
      </c>
      <c r="C142" s="1152"/>
      <c r="D142" s="1152">
        <f t="shared" ref="D142:N142" ca="1" si="45">D128/C128-1</f>
        <v>0.19999999999999996</v>
      </c>
      <c r="E142" s="1152">
        <f t="shared" ca="1" si="45"/>
        <v>3</v>
      </c>
      <c r="F142" s="1152">
        <f t="shared" ca="1" si="45"/>
        <v>0.83000000000000007</v>
      </c>
      <c r="G142" s="1152">
        <f t="shared" ca="1" si="45"/>
        <v>0.3434823838676575</v>
      </c>
      <c r="H142" s="1152">
        <f t="shared" ca="1" si="45"/>
        <v>0.44934841436901807</v>
      </c>
      <c r="I142" s="1152">
        <f t="shared" ca="1" si="45"/>
        <v>0.37974881590486409</v>
      </c>
      <c r="J142" s="1152">
        <f t="shared" ca="1" si="45"/>
        <v>0.28184860032772541</v>
      </c>
      <c r="K142" s="1152">
        <f t="shared" ca="1" si="45"/>
        <v>0.25043112216108154</v>
      </c>
      <c r="L142" s="1152">
        <f t="shared" ca="1" si="45"/>
        <v>0.14999999999999991</v>
      </c>
      <c r="M142" s="1152">
        <f t="shared" ca="1" si="45"/>
        <v>0.14999999999999991</v>
      </c>
      <c r="N142" s="1152">
        <f t="shared" ca="1" si="45"/>
        <v>0.14999999999999991</v>
      </c>
    </row>
    <row r="143" spans="2:15" outlineLevel="1">
      <c r="B143" s="1166" t="str">
        <f t="shared" si="43"/>
        <v>Qualcomm</v>
      </c>
      <c r="C143" s="1152"/>
      <c r="D143" s="1152" t="e">
        <f t="shared" ref="D143:N143" ca="1" si="46">D129/C129-1</f>
        <v>#REF!</v>
      </c>
      <c r="E143" s="1152" t="e">
        <f t="shared" ca="1" si="46"/>
        <v>#REF!</v>
      </c>
      <c r="F143" s="1152" t="e">
        <f t="shared" ca="1" si="46"/>
        <v>#REF!</v>
      </c>
      <c r="G143" s="1152" t="e">
        <f t="shared" ca="1" si="46"/>
        <v>#REF!</v>
      </c>
      <c r="H143" s="1152" t="e">
        <f t="shared" ca="1" si="46"/>
        <v>#REF!</v>
      </c>
      <c r="I143" s="1152" t="e">
        <f t="shared" ca="1" si="46"/>
        <v>#REF!</v>
      </c>
      <c r="J143" s="1152" t="e">
        <f t="shared" ca="1" si="46"/>
        <v>#REF!</v>
      </c>
      <c r="K143" s="1152" t="e">
        <f t="shared" ca="1" si="46"/>
        <v>#REF!</v>
      </c>
      <c r="L143" s="1152" t="e">
        <f t="shared" ca="1" si="46"/>
        <v>#REF!</v>
      </c>
      <c r="M143" s="1152" t="e">
        <f t="shared" ca="1" si="46"/>
        <v>#REF!</v>
      </c>
      <c r="N143" s="1152" t="e">
        <f t="shared" ca="1" si="46"/>
        <v>#REF!</v>
      </c>
    </row>
    <row r="144" spans="2:15" outlineLevel="1">
      <c r="B144" s="1166" t="str">
        <f t="shared" si="43"/>
        <v>Broadcom</v>
      </c>
      <c r="C144" s="1152"/>
      <c r="D144" s="1152">
        <f t="shared" ref="D144:N144" ca="1" si="47">D130/C130-1</f>
        <v>-9.9999999999999978E-2</v>
      </c>
      <c r="E144" s="1152">
        <f t="shared" ca="1" si="47"/>
        <v>0</v>
      </c>
      <c r="F144" s="1152">
        <f t="shared" ca="1" si="47"/>
        <v>0</v>
      </c>
      <c r="G144" s="1152">
        <f t="shared" ca="1" si="47"/>
        <v>0</v>
      </c>
      <c r="H144" s="1152">
        <f t="shared" ca="1" si="47"/>
        <v>0</v>
      </c>
      <c r="I144" s="1152">
        <f t="shared" ca="1" si="47"/>
        <v>0</v>
      </c>
      <c r="J144" s="1152">
        <f t="shared" ca="1" si="47"/>
        <v>0</v>
      </c>
      <c r="K144" s="1152">
        <f t="shared" ca="1" si="47"/>
        <v>0</v>
      </c>
      <c r="L144" s="1152">
        <f t="shared" ca="1" si="47"/>
        <v>0</v>
      </c>
      <c r="M144" s="1152">
        <f t="shared" ca="1" si="47"/>
        <v>0</v>
      </c>
      <c r="N144" s="1152">
        <f t="shared" ca="1" si="47"/>
        <v>0</v>
      </c>
    </row>
    <row r="145" spans="2:21" outlineLevel="1">
      <c r="B145" s="1166" t="str">
        <f t="shared" si="43"/>
        <v>On Semi</v>
      </c>
      <c r="C145" s="1152"/>
      <c r="D145" s="1152">
        <f t="shared" ref="D145:N145" ca="1" si="48">D131/C131-1</f>
        <v>-0.28000000000000003</v>
      </c>
      <c r="E145" s="1152">
        <f t="shared" ca="1" si="48"/>
        <v>-0.35</v>
      </c>
      <c r="F145" s="1152">
        <f t="shared" ca="1" si="48"/>
        <v>0</v>
      </c>
      <c r="G145" s="1152">
        <f t="shared" ca="1" si="48"/>
        <v>0</v>
      </c>
      <c r="H145" s="1152">
        <f t="shared" ca="1" si="48"/>
        <v>0</v>
      </c>
      <c r="I145" s="1152">
        <f t="shared" ca="1" si="48"/>
        <v>0</v>
      </c>
      <c r="J145" s="1152">
        <f t="shared" ca="1" si="48"/>
        <v>0</v>
      </c>
      <c r="K145" s="1152">
        <f t="shared" ca="1" si="48"/>
        <v>0</v>
      </c>
      <c r="L145" s="1152">
        <f t="shared" ca="1" si="48"/>
        <v>0</v>
      </c>
      <c r="M145" s="1152">
        <f t="shared" ca="1" si="48"/>
        <v>0</v>
      </c>
      <c r="N145" s="1152">
        <f t="shared" ca="1" si="48"/>
        <v>0</v>
      </c>
    </row>
    <row r="146" spans="2:21" outlineLevel="1">
      <c r="B146" s="1166" t="str">
        <f t="shared" si="43"/>
        <v>Qorvo</v>
      </c>
      <c r="C146" s="1152"/>
      <c r="D146" s="1152">
        <f t="shared" ref="D146:N146" ca="1" si="49">D132/C132-1</f>
        <v>-9.9999999999999978E-2</v>
      </c>
      <c r="E146" s="1152">
        <f t="shared" ca="1" si="49"/>
        <v>0</v>
      </c>
      <c r="F146" s="1152">
        <f t="shared" ca="1" si="49"/>
        <v>0</v>
      </c>
      <c r="G146" s="1152">
        <f t="shared" ca="1" si="49"/>
        <v>0</v>
      </c>
      <c r="H146" s="1152">
        <f t="shared" ca="1" si="49"/>
        <v>0</v>
      </c>
      <c r="I146" s="1152">
        <f t="shared" ca="1" si="49"/>
        <v>0</v>
      </c>
      <c r="J146" s="1152">
        <f t="shared" ca="1" si="49"/>
        <v>0</v>
      </c>
      <c r="K146" s="1152">
        <f t="shared" ca="1" si="49"/>
        <v>0</v>
      </c>
      <c r="L146" s="1152">
        <f t="shared" ca="1" si="49"/>
        <v>0</v>
      </c>
      <c r="M146" s="1152">
        <f t="shared" ca="1" si="49"/>
        <v>0</v>
      </c>
      <c r="N146" s="1152">
        <f t="shared" ca="1" si="49"/>
        <v>0</v>
      </c>
    </row>
    <row r="147" spans="2:21" outlineLevel="1">
      <c r="C147" s="1152"/>
      <c r="D147" s="1152"/>
      <c r="E147" s="1152"/>
      <c r="F147" s="1152"/>
      <c r="G147" s="1152"/>
      <c r="H147" s="1152"/>
      <c r="I147" s="1152"/>
      <c r="J147" s="1152"/>
      <c r="K147" s="1152"/>
      <c r="L147" s="1152"/>
      <c r="M147" s="1152"/>
      <c r="N147" s="1152"/>
    </row>
    <row r="148" spans="2:21">
      <c r="B148" s="1170" t="s">
        <v>1013</v>
      </c>
      <c r="C148" s="1176" t="s">
        <v>873</v>
      </c>
      <c r="D148" s="1176" t="s">
        <v>429</v>
      </c>
      <c r="E148" s="1176" t="s">
        <v>430</v>
      </c>
      <c r="F148" s="1176" t="s">
        <v>431</v>
      </c>
      <c r="G148" s="1176" t="s">
        <v>890</v>
      </c>
      <c r="H148" s="1176" t="s">
        <v>891</v>
      </c>
      <c r="I148" s="1176" t="s">
        <v>892</v>
      </c>
      <c r="J148" s="1176" t="s">
        <v>893</v>
      </c>
      <c r="K148" s="1176" t="s">
        <v>894</v>
      </c>
      <c r="L148" s="1176" t="s">
        <v>895</v>
      </c>
      <c r="M148" s="1176" t="s">
        <v>896</v>
      </c>
      <c r="N148" s="1176" t="s">
        <v>945</v>
      </c>
    </row>
    <row r="149" spans="2:21" outlineLevel="1">
      <c r="B149" s="1170" t="s">
        <v>994</v>
      </c>
      <c r="C149" s="1181" t="e">
        <f t="shared" ref="C149:N149" ca="1" si="50">SUM(C150:C170)</f>
        <v>#REF!</v>
      </c>
      <c r="D149" s="1181" t="e">
        <f t="shared" ca="1" si="50"/>
        <v>#REF!</v>
      </c>
      <c r="E149" s="1181" t="e">
        <f t="shared" ca="1" si="50"/>
        <v>#REF!</v>
      </c>
      <c r="F149" s="1181" t="e">
        <f t="shared" ca="1" si="50"/>
        <v>#REF!</v>
      </c>
      <c r="G149" s="1181" t="e">
        <f t="shared" ca="1" si="50"/>
        <v>#REF!</v>
      </c>
      <c r="H149" s="1181" t="e">
        <f t="shared" ca="1" si="50"/>
        <v>#REF!</v>
      </c>
      <c r="I149" s="1181" t="e">
        <f t="shared" ca="1" si="50"/>
        <v>#REF!</v>
      </c>
      <c r="J149" s="1181" t="e">
        <f t="shared" ca="1" si="50"/>
        <v>#REF!</v>
      </c>
      <c r="K149" s="1181" t="e">
        <f t="shared" ca="1" si="50"/>
        <v>#REF!</v>
      </c>
      <c r="L149" s="1181" t="e">
        <f t="shared" ca="1" si="50"/>
        <v>#REF!</v>
      </c>
      <c r="M149" s="1181" t="e">
        <f t="shared" ca="1" si="50"/>
        <v>#REF!</v>
      </c>
      <c r="N149" s="1181" t="e">
        <f t="shared" ca="1" si="50"/>
        <v>#REF!</v>
      </c>
      <c r="P149" s="1170"/>
      <c r="Q149" s="1170"/>
      <c r="R149" s="1170"/>
      <c r="S149" s="1170"/>
      <c r="T149" s="1170"/>
      <c r="U149" s="1170"/>
    </row>
    <row r="150" spans="2:21" outlineLevel="1">
      <c r="B150" s="1166" t="s">
        <v>975</v>
      </c>
      <c r="C150" s="1161" t="e">
        <f t="shared" ref="C150:N150" ca="1" si="51">C123-SUM(C151:C170)</f>
        <v>#REF!</v>
      </c>
      <c r="D150" s="1161" t="e">
        <f t="shared" ca="1" si="51"/>
        <v>#REF!</v>
      </c>
      <c r="E150" s="1161" t="e">
        <f t="shared" ca="1" si="51"/>
        <v>#REF!</v>
      </c>
      <c r="F150" s="1161" t="e">
        <f t="shared" ca="1" si="51"/>
        <v>#REF!</v>
      </c>
      <c r="G150" s="1161" t="e">
        <f t="shared" ca="1" si="51"/>
        <v>#REF!</v>
      </c>
      <c r="H150" s="1161" t="e">
        <f t="shared" ca="1" si="51"/>
        <v>#REF!</v>
      </c>
      <c r="I150" s="1161" t="e">
        <f t="shared" ca="1" si="51"/>
        <v>#REF!</v>
      </c>
      <c r="J150" s="1161" t="e">
        <f t="shared" ca="1" si="51"/>
        <v>#REF!</v>
      </c>
      <c r="K150" s="1161" t="e">
        <f t="shared" ca="1" si="51"/>
        <v>#REF!</v>
      </c>
      <c r="L150" s="1161" t="e">
        <f t="shared" ca="1" si="51"/>
        <v>#REF!</v>
      </c>
      <c r="M150" s="1161" t="e">
        <f t="shared" ca="1" si="51"/>
        <v>#REF!</v>
      </c>
      <c r="N150" s="1161" t="e">
        <f t="shared" ca="1" si="51"/>
        <v>#REF!</v>
      </c>
      <c r="P150" s="1170"/>
      <c r="Q150" s="1170"/>
      <c r="R150" s="1170"/>
      <c r="S150" s="1170"/>
      <c r="T150" s="1170"/>
      <c r="U150" s="1170"/>
    </row>
    <row r="151" spans="2:21" outlineLevel="1">
      <c r="B151" s="1166" t="s">
        <v>1005</v>
      </c>
      <c r="C151" s="1161">
        <v>5.4609999999999999E-2</v>
      </c>
      <c r="D151" s="1161">
        <f t="shared" ref="D151:N151" ca="1" si="52">D223/D$112</f>
        <v>5.8892183207988516E-2</v>
      </c>
      <c r="E151" s="1161">
        <f t="shared" ca="1" si="52"/>
        <v>5.8705496656620525E-2</v>
      </c>
      <c r="F151" s="1161">
        <f t="shared" ca="1" si="52"/>
        <v>5.2672282831953486E-2</v>
      </c>
      <c r="G151" s="1161">
        <f t="shared" ca="1" si="52"/>
        <v>4.9272985688101824E-2</v>
      </c>
      <c r="H151" s="1161">
        <f t="shared" ca="1" si="52"/>
        <v>6.8029363341485322E-2</v>
      </c>
      <c r="I151" s="1161">
        <f t="shared" ca="1" si="52"/>
        <v>6.4267387256985456E-2</v>
      </c>
      <c r="J151" s="1161">
        <f t="shared" ca="1" si="52"/>
        <v>6.3630764309652213E-2</v>
      </c>
      <c r="K151" s="1161">
        <f t="shared" ca="1" si="52"/>
        <v>5.8944817694648342E-2</v>
      </c>
      <c r="L151" s="1161">
        <f t="shared" ca="1" si="52"/>
        <v>5.6590615899542993E-2</v>
      </c>
      <c r="M151" s="1161">
        <f t="shared" ca="1" si="52"/>
        <v>5.3876599459823864E-2</v>
      </c>
      <c r="N151" s="1161">
        <f t="shared" ca="1" si="52"/>
        <v>5.1986103219831013E-2</v>
      </c>
    </row>
    <row r="152" spans="2:21" outlineLevel="1">
      <c r="B152" s="1166" t="s">
        <v>978</v>
      </c>
      <c r="C152" s="1161">
        <v>4.4999999999999998E-2</v>
      </c>
      <c r="D152" s="1161">
        <f t="shared" ref="D152:N152" ca="1" si="53">D224/D$112</f>
        <v>5.7506421343453358E-2</v>
      </c>
      <c r="E152" s="1161">
        <f t="shared" ca="1" si="53"/>
        <v>6.6495988036780362E-2</v>
      </c>
      <c r="F152" s="1161">
        <f t="shared" ca="1" si="53"/>
        <v>6.061673300718412E-2</v>
      </c>
      <c r="G152" s="1161">
        <f t="shared" ca="1" si="53"/>
        <v>5.6704726989933299E-2</v>
      </c>
      <c r="H152" s="1161">
        <f t="shared" ca="1" si="53"/>
        <v>8.1552176903377099E-2</v>
      </c>
      <c r="I152" s="1161">
        <f t="shared" ca="1" si="53"/>
        <v>7.8968458680120826E-2</v>
      </c>
      <c r="J152" s="1161">
        <f t="shared" ca="1" si="53"/>
        <v>8.1585609557122588E-2</v>
      </c>
      <c r="K152" s="1161">
        <f t="shared" ca="1" si="53"/>
        <v>7.886339285900687E-2</v>
      </c>
      <c r="L152" s="1161">
        <f t="shared" ca="1" si="53"/>
        <v>7.5713661495029325E-2</v>
      </c>
      <c r="M152" s="1161">
        <f t="shared" ca="1" si="53"/>
        <v>7.2082527273524988E-2</v>
      </c>
      <c r="N152" s="1161">
        <f t="shared" ca="1" si="53"/>
        <v>6.9553196392473371E-2</v>
      </c>
    </row>
    <row r="153" spans="2:21" outlineLevel="1">
      <c r="B153" s="1166" t="s">
        <v>989</v>
      </c>
      <c r="C153" s="1161">
        <v>1.0150177721737421E-2</v>
      </c>
      <c r="D153" s="1161">
        <f t="shared" ref="D153:N153" ca="1" si="54">D225/D$112</f>
        <v>1.3135311319879954E-2</v>
      </c>
      <c r="E153" s="1161">
        <f t="shared" ca="1" si="54"/>
        <v>4.1899752817085356E-2</v>
      </c>
      <c r="F153" s="1161">
        <f t="shared" ca="1" si="54"/>
        <v>5.5037146907032909E-2</v>
      </c>
      <c r="G153" s="1161">
        <f t="shared" ca="1" si="54"/>
        <v>5.5335598722245846E-2</v>
      </c>
      <c r="H153" s="1161">
        <f t="shared" ca="1" si="54"/>
        <v>9.2274923645761495E-2</v>
      </c>
      <c r="I153" s="1161">
        <f t="shared" ca="1" si="54"/>
        <v>0.10022976595284144</v>
      </c>
      <c r="J153" s="1161">
        <f t="shared" ca="1" si="54"/>
        <v>0.11061451128807501</v>
      </c>
      <c r="K153" s="1161">
        <f t="shared" ca="1" si="54"/>
        <v>0.11141727383225423</v>
      </c>
      <c r="L153" s="1161">
        <f t="shared" ca="1" si="54"/>
        <v>0.10696737040867556</v>
      </c>
      <c r="M153" s="1161">
        <f t="shared" ca="1" si="54"/>
        <v>0.10183734669029056</v>
      </c>
      <c r="N153" s="1161">
        <f t="shared" ca="1" si="54"/>
        <v>9.8263937771778373E-2</v>
      </c>
    </row>
    <row r="154" spans="2:21" outlineLevel="1">
      <c r="B154" s="1166" t="s">
        <v>1004</v>
      </c>
      <c r="C154" s="1161">
        <v>3.9370000000000002E-2</v>
      </c>
      <c r="D154" s="1161">
        <f t="shared" ref="D154:N154" ca="1" si="55">D226/D$112</f>
        <v>4.2457155335991724E-2</v>
      </c>
      <c r="E154" s="1161">
        <f t="shared" ca="1" si="55"/>
        <v>4.2322567357098523E-2</v>
      </c>
      <c r="F154" s="1161">
        <f t="shared" ca="1" si="55"/>
        <v>3.7973041111408326E-2</v>
      </c>
      <c r="G154" s="1161">
        <f t="shared" ca="1" si="55"/>
        <v>3.5522385030957136E-2</v>
      </c>
      <c r="H154" s="1161">
        <f t="shared" ca="1" si="55"/>
        <v>5.1087942431832484E-2</v>
      </c>
      <c r="I154" s="1161">
        <f t="shared" ca="1" si="55"/>
        <v>4.6251864416011222E-2</v>
      </c>
      <c r="J154" s="1161">
        <f t="shared" ca="1" si="55"/>
        <v>4.5793700493360415E-2</v>
      </c>
      <c r="K154" s="1161">
        <f t="shared" ca="1" si="55"/>
        <v>4.2421324911462645E-2</v>
      </c>
      <c r="L154" s="1161">
        <f t="shared" ca="1" si="55"/>
        <v>4.0727056218077921E-2</v>
      </c>
      <c r="M154" s="1161">
        <f t="shared" ca="1" si="55"/>
        <v>3.8773836618675728E-2</v>
      </c>
      <c r="N154" s="1161">
        <f t="shared" ca="1" si="55"/>
        <v>3.7413286898154388E-2</v>
      </c>
    </row>
    <row r="155" spans="2:21" outlineLevel="1">
      <c r="B155" s="1166" t="s">
        <v>980</v>
      </c>
      <c r="C155" s="1161">
        <v>3.5560000000000001E-2</v>
      </c>
      <c r="D155" s="1161">
        <f t="shared" ref="D155:N155" ca="1" si="56">D227/D$112</f>
        <v>3.8348398367992524E-2</v>
      </c>
      <c r="E155" s="1161">
        <f t="shared" ca="1" si="56"/>
        <v>3.8226835032218021E-2</v>
      </c>
      <c r="F155" s="1161">
        <f t="shared" ca="1" si="56"/>
        <v>3.4298230681272038E-2</v>
      </c>
      <c r="G155" s="1161">
        <f t="shared" ca="1" si="56"/>
        <v>3.0801345472004124E-2</v>
      </c>
      <c r="H155" s="1161">
        <f t="shared" ca="1" si="56"/>
        <v>4.2526262479514548E-2</v>
      </c>
      <c r="I155" s="1161">
        <f t="shared" ca="1" si="56"/>
        <v>4.0174589987622543E-2</v>
      </c>
      <c r="J155" s="1161">
        <f t="shared" ca="1" si="56"/>
        <v>4.1506045168294078E-2</v>
      </c>
      <c r="K155" s="1161">
        <f t="shared" ca="1" si="56"/>
        <v>3.8449424460234125E-2</v>
      </c>
      <c r="L155" s="1161">
        <f t="shared" ca="1" si="56"/>
        <v>3.6913789817101299E-2</v>
      </c>
      <c r="M155" s="1161">
        <f t="shared" ca="1" si="56"/>
        <v>3.5143449791225058E-2</v>
      </c>
      <c r="N155" s="1161">
        <f t="shared" ca="1" si="56"/>
        <v>3.3910288078035783E-2</v>
      </c>
      <c r="O155" s="1170"/>
    </row>
    <row r="156" spans="2:21" outlineLevel="1">
      <c r="B156" s="1166" t="s">
        <v>1007</v>
      </c>
      <c r="C156" s="1161">
        <v>3.175E-2</v>
      </c>
      <c r="D156" s="1161">
        <f t="shared" ref="D156:N156" ca="1" si="57">D228/D$112</f>
        <v>3.0815677259993991E-2</v>
      </c>
      <c r="E156" s="1161">
        <f t="shared" ca="1" si="57"/>
        <v>2.9489272739139611E-2</v>
      </c>
      <c r="F156" s="1161">
        <f t="shared" ca="1" si="57"/>
        <v>2.4341944289222782E-2</v>
      </c>
      <c r="G156" s="1161">
        <f t="shared" ca="1" si="57"/>
        <v>2.0949315113173082E-2</v>
      </c>
      <c r="H156" s="1161">
        <f t="shared" ca="1" si="57"/>
        <v>2.771876976365643E-2</v>
      </c>
      <c r="I156" s="1161">
        <f t="shared" ca="1" si="57"/>
        <v>2.5094860349835438E-2</v>
      </c>
      <c r="J156" s="1161">
        <f t="shared" ca="1" si="57"/>
        <v>2.484627448629402E-2</v>
      </c>
      <c r="K156" s="1161">
        <f t="shared" ca="1" si="57"/>
        <v>2.3016525667657793E-2</v>
      </c>
      <c r="L156" s="1161">
        <f t="shared" ca="1" si="57"/>
        <v>2.2097266805503269E-2</v>
      </c>
      <c r="M156" s="1161">
        <f t="shared" ca="1" si="57"/>
        <v>2.1037509027120798E-2</v>
      </c>
      <c r="N156" s="1161">
        <f t="shared" ca="1" si="57"/>
        <v>2.0299315969033574E-2</v>
      </c>
      <c r="O156" s="1170"/>
    </row>
    <row r="157" spans="2:21" outlineLevel="1">
      <c r="B157" s="1166" t="s">
        <v>990</v>
      </c>
      <c r="C157" s="1161">
        <v>2.6670000000000003E-2</v>
      </c>
      <c r="D157" s="1161">
        <f t="shared" ref="D157:N157" ca="1" si="58">D229/D$112</f>
        <v>3.1637428653593834E-2</v>
      </c>
      <c r="E157" s="1161">
        <f t="shared" ca="1" si="58"/>
        <v>3.1537138901579866E-2</v>
      </c>
      <c r="F157" s="1161">
        <f t="shared" ca="1" si="58"/>
        <v>2.8296040312049433E-2</v>
      </c>
      <c r="G157" s="1161">
        <f t="shared" ca="1" si="58"/>
        <v>2.5411110014403399E-2</v>
      </c>
      <c r="H157" s="1161">
        <f t="shared" ca="1" si="58"/>
        <v>3.5084166545599503E-2</v>
      </c>
      <c r="I157" s="1161">
        <f t="shared" ca="1" si="58"/>
        <v>3.176303520896407E-2</v>
      </c>
      <c r="J157" s="1161">
        <f t="shared" ca="1" si="58"/>
        <v>3.1448395421133229E-2</v>
      </c>
      <c r="K157" s="1161">
        <f t="shared" ca="1" si="58"/>
        <v>2.9132448038294581E-2</v>
      </c>
      <c r="L157" s="1161">
        <f t="shared" ca="1" si="58"/>
        <v>2.7968924862722979E-2</v>
      </c>
      <c r="M157" s="1161">
        <f t="shared" ca="1" si="58"/>
        <v>2.6627569574887846E-2</v>
      </c>
      <c r="N157" s="1161">
        <f t="shared" ca="1" si="58"/>
        <v>2.5693224782043004E-2</v>
      </c>
      <c r="P157" s="1170"/>
      <c r="Q157" s="1170"/>
      <c r="R157" s="1170"/>
      <c r="S157" s="1170"/>
      <c r="T157" s="1170"/>
      <c r="U157" s="1170"/>
    </row>
    <row r="158" spans="2:21" outlineLevel="1">
      <c r="B158" s="1166" t="s">
        <v>1003</v>
      </c>
      <c r="C158" s="1161">
        <v>1.9050000000000001E-2</v>
      </c>
      <c r="D158" s="1161">
        <f t="shared" ref="D158:N158" ca="1" si="59">D230/D$112</f>
        <v>2.0543784839995995E-2</v>
      </c>
      <c r="E158" s="1161">
        <f t="shared" ca="1" si="59"/>
        <v>1.9659515159426409E-2</v>
      </c>
      <c r="F158" s="1161">
        <f t="shared" ca="1" si="59"/>
        <v>1.693352646206802E-2</v>
      </c>
      <c r="G158" s="1161">
        <f t="shared" ca="1" si="59"/>
        <v>1.520706427874946E-2</v>
      </c>
      <c r="H158" s="1161">
        <f t="shared" ca="1" si="59"/>
        <v>2.0995823304171751E-2</v>
      </c>
      <c r="I158" s="1161">
        <f t="shared" ca="1" si="59"/>
        <v>1.9834768999603354E-2</v>
      </c>
      <c r="J158" s="1161">
        <f t="shared" ca="1" si="59"/>
        <v>2.0492127443089189E-2</v>
      </c>
      <c r="K158" s="1161">
        <f t="shared" ca="1" si="59"/>
        <v>1.9808379269749436E-2</v>
      </c>
      <c r="L158" s="1161">
        <f t="shared" ca="1" si="59"/>
        <v>1.9844087815865948E-2</v>
      </c>
      <c r="M158" s="1161">
        <f t="shared" ca="1" si="59"/>
        <v>1.9713797984036701E-2</v>
      </c>
      <c r="N158" s="1161">
        <f t="shared" ca="1" si="59"/>
        <v>1.9849098907889919E-2</v>
      </c>
      <c r="P158" s="1170"/>
      <c r="Q158" s="1170"/>
      <c r="R158" s="1170"/>
      <c r="S158" s="1170"/>
      <c r="T158" s="1170"/>
      <c r="U158" s="1170"/>
    </row>
    <row r="159" spans="2:21" outlineLevel="1">
      <c r="B159" s="1166" t="s">
        <v>993</v>
      </c>
      <c r="C159" s="1161">
        <v>1.2700000000000001E-2</v>
      </c>
      <c r="D159" s="1161">
        <f t="shared" ref="D159:N159" ca="1" si="60">D231/D$112</f>
        <v>1.2326270903997598E-2</v>
      </c>
      <c r="E159" s="1161">
        <f t="shared" ca="1" si="60"/>
        <v>1.1795709095655846E-2</v>
      </c>
      <c r="F159" s="1161">
        <f t="shared" ca="1" si="60"/>
        <v>1.0160115877240814E-2</v>
      </c>
      <c r="G159" s="1161">
        <f t="shared" ca="1" si="60"/>
        <v>9.1242385672496758E-3</v>
      </c>
      <c r="H159" s="1161">
        <f t="shared" ca="1" si="60"/>
        <v>1.2597493982503051E-2</v>
      </c>
      <c r="I159" s="1161">
        <f t="shared" ca="1" si="60"/>
        <v>1.1404992174771929E-2</v>
      </c>
      <c r="J159" s="1161">
        <f t="shared" ca="1" si="60"/>
        <v>1.1782973279776282E-2</v>
      </c>
      <c r="K159" s="1161">
        <f t="shared" ca="1" si="60"/>
        <v>1.1389818080105923E-2</v>
      </c>
      <c r="L159" s="1161">
        <f t="shared" ca="1" si="60"/>
        <v>1.1410350494122918E-2</v>
      </c>
      <c r="M159" s="1161">
        <f t="shared" ca="1" si="60"/>
        <v>1.1335433840821101E-2</v>
      </c>
      <c r="N159" s="1161">
        <f t="shared" ca="1" si="60"/>
        <v>1.1413231872036701E-2</v>
      </c>
    </row>
    <row r="160" spans="2:21" outlineLevel="1">
      <c r="B160" s="1166" t="s">
        <v>985</v>
      </c>
      <c r="C160" s="1161">
        <v>1.0160000000000001E-2</v>
      </c>
      <c r="D160" s="1161">
        <f t="shared" ref="D160:N160" ca="1" si="61">D232/D$112</f>
        <v>1.0080150428158035E-2</v>
      </c>
      <c r="E160" s="1161">
        <f t="shared" ca="1" si="61"/>
        <v>9.2443409060769498E-3</v>
      </c>
      <c r="F160" s="1161">
        <f t="shared" ca="1" si="61"/>
        <v>7.630748757925244E-3</v>
      </c>
      <c r="G160" s="1161">
        <f t="shared" ca="1" si="61"/>
        <v>6.5672223376998873E-3</v>
      </c>
      <c r="H160" s="1161">
        <f t="shared" ca="1" si="61"/>
        <v>8.6893210103551107E-3</v>
      </c>
      <c r="I160" s="1161">
        <f t="shared" ca="1" si="61"/>
        <v>7.8667740000373E-3</v>
      </c>
      <c r="J160" s="1161">
        <f t="shared" ca="1" si="61"/>
        <v>7.7888469352589825E-3</v>
      </c>
      <c r="K160" s="1161">
        <f t="shared" ca="1" si="61"/>
        <v>7.2152545648539075E-3</v>
      </c>
      <c r="L160" s="1161">
        <f t="shared" ca="1" si="61"/>
        <v>6.9270839348807263E-3</v>
      </c>
      <c r="M160" s="1161">
        <f t="shared" ca="1" si="61"/>
        <v>6.5948694965018645E-3</v>
      </c>
      <c r="N160" s="1161">
        <f t="shared" ca="1" si="61"/>
        <v>6.3634596430333376E-3</v>
      </c>
    </row>
    <row r="161" spans="2:15" outlineLevel="1">
      <c r="B161" s="1166" t="s">
        <v>1009</v>
      </c>
      <c r="C161" s="1161">
        <v>8.8900000000000003E-3</v>
      </c>
      <c r="D161" s="1161">
        <f t="shared" ref="D161:N161" ca="1" si="62">D233/D$112</f>
        <v>1.0066454571598039E-2</v>
      </c>
      <c r="E161" s="1161">
        <f t="shared" ca="1" si="62"/>
        <v>9.6331624281189403E-3</v>
      </c>
      <c r="F161" s="1161">
        <f t="shared" ca="1" si="62"/>
        <v>8.2974279664133309E-3</v>
      </c>
      <c r="G161" s="1161">
        <f t="shared" ca="1" si="62"/>
        <v>7.451461496587237E-3</v>
      </c>
      <c r="H161" s="1161">
        <f t="shared" ca="1" si="62"/>
        <v>1.0287953419044158E-2</v>
      </c>
      <c r="I161" s="1161">
        <f t="shared" ca="1" si="62"/>
        <v>9.7190368098056448E-3</v>
      </c>
      <c r="J161" s="1161">
        <f t="shared" ca="1" si="62"/>
        <v>1.0041142447113701E-2</v>
      </c>
      <c r="K161" s="1161">
        <f t="shared" ca="1" si="62"/>
        <v>9.7061058421772234E-3</v>
      </c>
      <c r="L161" s="1161">
        <f t="shared" ca="1" si="62"/>
        <v>9.723603029774314E-3</v>
      </c>
      <c r="M161" s="1161">
        <f t="shared" ca="1" si="62"/>
        <v>9.6597610121779837E-3</v>
      </c>
      <c r="N161" s="1161">
        <f t="shared" ca="1" si="62"/>
        <v>9.7260584648660598E-3</v>
      </c>
    </row>
    <row r="162" spans="2:15" outlineLevel="1">
      <c r="B162" s="1166" t="s">
        <v>982</v>
      </c>
      <c r="C162" s="1161">
        <v>6.3500000000000006E-3</v>
      </c>
      <c r="D162" s="1161">
        <f t="shared" ref="D162:N162" ca="1" si="63">D234/D$112</f>
        <v>6.3685733003987586E-3</v>
      </c>
      <c r="E162" s="1161">
        <f t="shared" ca="1" si="63"/>
        <v>6.094449699422186E-3</v>
      </c>
      <c r="F162" s="1161">
        <f t="shared" ca="1" si="63"/>
        <v>5.2493932032410869E-3</v>
      </c>
      <c r="G162" s="1161">
        <f t="shared" ca="1" si="63"/>
        <v>4.7141899264123328E-3</v>
      </c>
      <c r="H162" s="1161">
        <f t="shared" ca="1" si="63"/>
        <v>6.2375091732810237E-3</v>
      </c>
      <c r="I162" s="1161">
        <f t="shared" ca="1" si="63"/>
        <v>5.6470551532030447E-3</v>
      </c>
      <c r="J162" s="1161">
        <f t="shared" ca="1" si="63"/>
        <v>5.5911162851577318E-3</v>
      </c>
      <c r="K162" s="1161">
        <f t="shared" ca="1" si="63"/>
        <v>5.1793709177277575E-3</v>
      </c>
      <c r="L162" s="1161">
        <f t="shared" ca="1" si="63"/>
        <v>4.9725116078017193E-3</v>
      </c>
      <c r="M162" s="1161">
        <f t="shared" ca="1" si="63"/>
        <v>4.7340360578231756E-3</v>
      </c>
      <c r="N162" s="1161">
        <f t="shared" ca="1" si="63"/>
        <v>4.5679216880033218E-3</v>
      </c>
    </row>
    <row r="163" spans="2:15" outlineLevel="1">
      <c r="B163" s="1166" t="s">
        <v>987</v>
      </c>
      <c r="C163" s="1161">
        <v>6.3500000000000006E-3</v>
      </c>
      <c r="D163" s="1161">
        <f t="shared" ref="D163:N163" ca="1" si="64">D235/D$112</f>
        <v>7.1903246939985987E-3</v>
      </c>
      <c r="E163" s="1161">
        <f t="shared" ca="1" si="64"/>
        <v>6.8808303057992437E-3</v>
      </c>
      <c r="F163" s="1161">
        <f t="shared" ca="1" si="64"/>
        <v>5.9267342617238088E-3</v>
      </c>
      <c r="G163" s="1161">
        <f t="shared" ca="1" si="64"/>
        <v>5.3224724975623116E-3</v>
      </c>
      <c r="H163" s="1161">
        <f t="shared" ca="1" si="64"/>
        <v>7.0423490666076081E-3</v>
      </c>
      <c r="I163" s="1161">
        <f t="shared" ca="1" si="64"/>
        <v>6.3757074310356963E-3</v>
      </c>
      <c r="J163" s="1161">
        <f t="shared" ca="1" si="64"/>
        <v>6.3125506445329237E-3</v>
      </c>
      <c r="K163" s="1161">
        <f t="shared" ca="1" si="64"/>
        <v>5.8476768425958564E-3</v>
      </c>
      <c r="L163" s="1161">
        <f t="shared" ca="1" si="64"/>
        <v>5.6141260088083929E-3</v>
      </c>
      <c r="M163" s="1161">
        <f t="shared" ca="1" si="64"/>
        <v>5.3448794201229402E-3</v>
      </c>
      <c r="N163" s="1161">
        <f t="shared" ca="1" si="64"/>
        <v>5.1573309380682671E-3</v>
      </c>
      <c r="O163" s="1170"/>
    </row>
    <row r="164" spans="2:15" outlineLevel="1">
      <c r="B164" s="1166" t="s">
        <v>984</v>
      </c>
      <c r="C164" s="1161">
        <v>3.81E-3</v>
      </c>
      <c r="D164" s="1161">
        <f t="shared" ref="D164:N164" ca="1" si="65">D236/D$112</f>
        <v>3.8211439802392547E-3</v>
      </c>
      <c r="E164" s="1161">
        <f t="shared" ca="1" si="65"/>
        <v>3.3519473346822026E-3</v>
      </c>
      <c r="F164" s="1161">
        <f t="shared" ca="1" si="65"/>
        <v>2.6465690733007145E-3</v>
      </c>
      <c r="G164" s="1161">
        <f t="shared" ca="1" si="65"/>
        <v>2.178675969463478E-3</v>
      </c>
      <c r="H164" s="1161">
        <f t="shared" ca="1" si="65"/>
        <v>2.7573481825485359E-3</v>
      </c>
      <c r="I164" s="1161">
        <f t="shared" ca="1" si="65"/>
        <v>2.3877963649404118E-3</v>
      </c>
      <c r="J164" s="1161">
        <f t="shared" ca="1" si="65"/>
        <v>2.2613543823571786E-3</v>
      </c>
      <c r="K164" s="1161">
        <f t="shared" ca="1" si="65"/>
        <v>2.0037427353824301E-3</v>
      </c>
      <c r="L164" s="1161">
        <f t="shared" ca="1" si="65"/>
        <v>1.8400753070975042E-3</v>
      </c>
      <c r="M164" s="1161">
        <f t="shared" ca="1" si="65"/>
        <v>1.6756611397201137E-3</v>
      </c>
      <c r="N164" s="1161">
        <f t="shared" ca="1" si="65"/>
        <v>1.5465648348548912E-3</v>
      </c>
      <c r="O164" s="1170"/>
    </row>
    <row r="165" spans="2:15" outlineLevel="1">
      <c r="B165" s="1166" t="s">
        <v>986</v>
      </c>
      <c r="C165" s="1161">
        <v>5.0800000000000003E-3</v>
      </c>
      <c r="D165" s="1161">
        <f t="shared" ref="D165:N165" ca="1" si="66">D237/D$112</f>
        <v>5.4783426239989313E-3</v>
      </c>
      <c r="E165" s="1161">
        <f t="shared" ca="1" si="66"/>
        <v>4.8056592611931221E-3</v>
      </c>
      <c r="F165" s="1161">
        <f t="shared" ca="1" si="66"/>
        <v>3.7943642627967242E-3</v>
      </c>
      <c r="G165" s="1161">
        <f t="shared" ca="1" si="66"/>
        <v>3.123549777008571E-3</v>
      </c>
      <c r="H165" s="1161">
        <f t="shared" ca="1" si="66"/>
        <v>3.9531873584925251E-3</v>
      </c>
      <c r="I165" s="1161">
        <f t="shared" ca="1" si="66"/>
        <v>3.4233639640722756E-3</v>
      </c>
      <c r="J165" s="1161">
        <f t="shared" ca="1" si="66"/>
        <v>3.2420851359959554E-3</v>
      </c>
      <c r="K165" s="1161">
        <f t="shared" ca="1" si="66"/>
        <v>2.8727494414085026E-3</v>
      </c>
      <c r="L165" s="1161">
        <f t="shared" ca="1" si="66"/>
        <v>2.6381007987060995E-3</v>
      </c>
      <c r="M165" s="1161">
        <f t="shared" ca="1" si="66"/>
        <v>2.4023815623227442E-3</v>
      </c>
      <c r="N165" s="1161">
        <f t="shared" ca="1" si="66"/>
        <v>2.2172972542722461E-3</v>
      </c>
    </row>
    <row r="166" spans="2:15" outlineLevel="1">
      <c r="B166" s="1166" t="s">
        <v>988</v>
      </c>
      <c r="C166" s="1161">
        <v>2.5400000000000002E-3</v>
      </c>
      <c r="D166" s="1161">
        <f t="shared" ref="D166:N166" ca="1" si="67">D238/D$112</f>
        <v>2.6022127463994926E-3</v>
      </c>
      <c r="E166" s="1161">
        <f t="shared" ca="1" si="67"/>
        <v>2.2826881490667335E-3</v>
      </c>
      <c r="F166" s="1161">
        <f t="shared" ca="1" si="67"/>
        <v>1.8023230248284442E-3</v>
      </c>
      <c r="G166" s="1161">
        <f t="shared" ca="1" si="67"/>
        <v>1.4836861440790715E-3</v>
      </c>
      <c r="H166" s="1161">
        <f t="shared" ca="1" si="67"/>
        <v>1.8777639952839498E-3</v>
      </c>
      <c r="I166" s="1161">
        <f t="shared" ca="1" si="67"/>
        <v>1.6260978829343313E-3</v>
      </c>
      <c r="J166" s="1161">
        <f t="shared" ca="1" si="67"/>
        <v>1.5399904395980791E-3</v>
      </c>
      <c r="K166" s="1161">
        <f t="shared" ca="1" si="67"/>
        <v>1.3645559846690389E-3</v>
      </c>
      <c r="L166" s="1161">
        <f t="shared" ca="1" si="67"/>
        <v>1.2530978793853977E-3</v>
      </c>
      <c r="M166" s="1161">
        <f t="shared" ca="1" si="67"/>
        <v>1.1411312421033036E-3</v>
      </c>
      <c r="N166" s="1161">
        <f t="shared" ca="1" si="67"/>
        <v>1.0532161957793171E-3</v>
      </c>
    </row>
    <row r="167" spans="2:15" outlineLevel="1">
      <c r="B167" s="1166" t="s">
        <v>1008</v>
      </c>
      <c r="C167" s="1161">
        <v>2.5400000000000002E-3</v>
      </c>
      <c r="D167" s="1161">
        <f t="shared" ref="D167:N167" ca="1" si="68">D239/D$112</f>
        <v>2.7391713119994656E-3</v>
      </c>
      <c r="E167" s="1161">
        <f t="shared" ca="1" si="68"/>
        <v>2.4028296305965611E-3</v>
      </c>
      <c r="F167" s="1161">
        <f t="shared" ca="1" si="68"/>
        <v>1.8971821313983621E-3</v>
      </c>
      <c r="G167" s="1161">
        <f t="shared" ca="1" si="68"/>
        <v>1.5617748885042855E-3</v>
      </c>
      <c r="H167" s="1161">
        <f t="shared" ca="1" si="68"/>
        <v>1.9765936792462625E-3</v>
      </c>
      <c r="I167" s="1161">
        <f t="shared" ca="1" si="68"/>
        <v>1.7116819820361378E-3</v>
      </c>
      <c r="J167" s="1161">
        <f t="shared" ca="1" si="68"/>
        <v>1.6210425679979777E-3</v>
      </c>
      <c r="K167" s="1161">
        <f t="shared" ca="1" si="68"/>
        <v>1.4363747207042513E-3</v>
      </c>
      <c r="L167" s="1161">
        <f t="shared" ca="1" si="68"/>
        <v>1.3190503993530498E-3</v>
      </c>
      <c r="M167" s="1161">
        <f t="shared" ca="1" si="68"/>
        <v>1.2011907811613721E-3</v>
      </c>
      <c r="N167" s="1161">
        <f t="shared" ca="1" si="68"/>
        <v>1.108648627136123E-3</v>
      </c>
    </row>
    <row r="168" spans="2:15" outlineLevel="1">
      <c r="B168" s="1166" t="s">
        <v>983</v>
      </c>
      <c r="C168" s="1161">
        <v>1.2700000000000001E-3</v>
      </c>
      <c r="D168" s="1161">
        <f t="shared" ref="D168:N168" ca="1" si="69">D240/D$112</f>
        <v>1.3695856559997328E-3</v>
      </c>
      <c r="E168" s="1161">
        <f t="shared" ca="1" si="69"/>
        <v>1.2014148152982805E-3</v>
      </c>
      <c r="F168" s="1161">
        <f t="shared" ca="1" si="69"/>
        <v>9.4859106569918105E-4</v>
      </c>
      <c r="G168" s="1161">
        <f t="shared" ca="1" si="69"/>
        <v>7.8088744425214274E-4</v>
      </c>
      <c r="H168" s="1161">
        <f t="shared" ca="1" si="69"/>
        <v>9.8829683962313127E-4</v>
      </c>
      <c r="I168" s="1161">
        <f t="shared" ca="1" si="69"/>
        <v>8.558409910180689E-4</v>
      </c>
      <c r="J168" s="1161">
        <f t="shared" ca="1" si="69"/>
        <v>8.1052128399898885E-4</v>
      </c>
      <c r="K168" s="1161">
        <f t="shared" ca="1" si="69"/>
        <v>7.1818736035212565E-4</v>
      </c>
      <c r="L168" s="1161">
        <f t="shared" ca="1" si="69"/>
        <v>6.5952519967652488E-4</v>
      </c>
      <c r="M168" s="1161">
        <f t="shared" ca="1" si="69"/>
        <v>6.0059539058068606E-4</v>
      </c>
      <c r="N168" s="1161">
        <f t="shared" ca="1" si="69"/>
        <v>5.5432431356806152E-4</v>
      </c>
    </row>
    <row r="169" spans="2:15" outlineLevel="1">
      <c r="B169" s="1166" t="s">
        <v>1011</v>
      </c>
      <c r="C169" s="1161"/>
      <c r="D169" s="1161"/>
      <c r="E169" s="1161"/>
      <c r="F169" s="1161">
        <v>1E-3</v>
      </c>
      <c r="G169" s="1161">
        <f t="shared" ref="G169:N170" si="70">G241/G$112</f>
        <v>1.4967412244592678E-3</v>
      </c>
      <c r="H169" s="1161">
        <f t="shared" si="70"/>
        <v>2.7553259638443675E-3</v>
      </c>
      <c r="I169" s="1161">
        <f t="shared" si="70"/>
        <v>3.0367847653793851E-3</v>
      </c>
      <c r="J169" s="1161">
        <f t="shared" si="70"/>
        <v>3.2681552588406807E-3</v>
      </c>
      <c r="K169" s="1161">
        <f t="shared" si="70"/>
        <v>3.1591087386768297E-3</v>
      </c>
      <c r="L169" s="1161">
        <f t="shared" si="70"/>
        <v>3.164803660939066E-3</v>
      </c>
      <c r="M169" s="1161">
        <f t="shared" si="70"/>
        <v>3.1440245885734092E-3</v>
      </c>
      <c r="N169" s="1161">
        <f t="shared" si="70"/>
        <v>3.1656028472019935E-3</v>
      </c>
    </row>
    <row r="170" spans="2:15" outlineLevel="1">
      <c r="B170" s="1166" t="s">
        <v>1006</v>
      </c>
      <c r="C170" s="1161">
        <f ca="1">163.845/C112</f>
        <v>4.8763625064881265E-2</v>
      </c>
      <c r="D170" s="1161">
        <f>D242/D$112</f>
        <v>0</v>
      </c>
      <c r="E170" s="1161">
        <f>E242/E$112</f>
        <v>0</v>
      </c>
      <c r="F170" s="1161">
        <f>F242/F$112</f>
        <v>0</v>
      </c>
      <c r="G170" s="1161">
        <f t="shared" si="70"/>
        <v>0</v>
      </c>
      <c r="H170" s="1161">
        <f t="shared" si="70"/>
        <v>0</v>
      </c>
      <c r="I170" s="1161">
        <f t="shared" si="70"/>
        <v>0</v>
      </c>
      <c r="J170" s="1161">
        <f t="shared" si="70"/>
        <v>0</v>
      </c>
      <c r="K170" s="1161">
        <f t="shared" si="70"/>
        <v>0</v>
      </c>
      <c r="L170" s="1161">
        <f t="shared" si="70"/>
        <v>0</v>
      </c>
      <c r="M170" s="1161">
        <f t="shared" si="70"/>
        <v>0</v>
      </c>
      <c r="N170" s="1161">
        <f t="shared" si="70"/>
        <v>0</v>
      </c>
    </row>
    <row r="171" spans="2:15" outlineLevel="1">
      <c r="B171" s="1170" t="s">
        <v>995</v>
      </c>
      <c r="C171" s="1181" t="e">
        <f t="shared" ref="C171:N171" ca="1" si="71">SUM(C172:C178)</f>
        <v>#REF!</v>
      </c>
      <c r="D171" s="1181" t="e">
        <f t="shared" ca="1" si="71"/>
        <v>#REF!</v>
      </c>
      <c r="E171" s="1181" t="e">
        <f t="shared" ca="1" si="71"/>
        <v>#REF!</v>
      </c>
      <c r="F171" s="1181" t="e">
        <f t="shared" ca="1" si="71"/>
        <v>#REF!</v>
      </c>
      <c r="G171" s="1181" t="e">
        <f t="shared" ca="1" si="71"/>
        <v>#REF!</v>
      </c>
      <c r="H171" s="1181" t="e">
        <f t="shared" ca="1" si="71"/>
        <v>#REF!</v>
      </c>
      <c r="I171" s="1181" t="e">
        <f t="shared" ca="1" si="71"/>
        <v>#REF!</v>
      </c>
      <c r="J171" s="1181" t="e">
        <f t="shared" ca="1" si="71"/>
        <v>#REF!</v>
      </c>
      <c r="K171" s="1181" t="e">
        <f t="shared" ca="1" si="71"/>
        <v>#REF!</v>
      </c>
      <c r="L171" s="1181" t="e">
        <f t="shared" ca="1" si="71"/>
        <v>#REF!</v>
      </c>
      <c r="M171" s="1181" t="e">
        <f t="shared" ca="1" si="71"/>
        <v>#REF!</v>
      </c>
      <c r="N171" s="1181" t="e">
        <f t="shared" ca="1" si="71"/>
        <v>#REF!</v>
      </c>
    </row>
    <row r="172" spans="2:15" outlineLevel="1">
      <c r="B172" s="1166" t="s">
        <v>976</v>
      </c>
      <c r="C172" s="1161" t="e">
        <f t="shared" ref="C172:N172" ca="1" si="72">C124-SUM(C173:C178)</f>
        <v>#REF!</v>
      </c>
      <c r="D172" s="1161" t="e">
        <f t="shared" ca="1" si="72"/>
        <v>#REF!</v>
      </c>
      <c r="E172" s="1161" t="e">
        <f t="shared" ca="1" si="72"/>
        <v>#REF!</v>
      </c>
      <c r="F172" s="1161" t="e">
        <f t="shared" ca="1" si="72"/>
        <v>#REF!</v>
      </c>
      <c r="G172" s="1161" t="e">
        <f t="shared" ca="1" si="72"/>
        <v>#REF!</v>
      </c>
      <c r="H172" s="1161" t="e">
        <f t="shared" ca="1" si="72"/>
        <v>#REF!</v>
      </c>
      <c r="I172" s="1161" t="e">
        <f t="shared" ca="1" si="72"/>
        <v>#REF!</v>
      </c>
      <c r="J172" s="1161" t="e">
        <f t="shared" ca="1" si="72"/>
        <v>#REF!</v>
      </c>
      <c r="K172" s="1161" t="e">
        <f t="shared" ca="1" si="72"/>
        <v>#REF!</v>
      </c>
      <c r="L172" s="1161" t="e">
        <f t="shared" ca="1" si="72"/>
        <v>#REF!</v>
      </c>
      <c r="M172" s="1161" t="e">
        <f t="shared" ca="1" si="72"/>
        <v>#REF!</v>
      </c>
      <c r="N172" s="1161" t="e">
        <f t="shared" ca="1" si="72"/>
        <v>#REF!</v>
      </c>
    </row>
    <row r="173" spans="2:15" outlineLevel="1">
      <c r="B173" s="1166" t="s">
        <v>977</v>
      </c>
      <c r="C173" s="1161">
        <v>7.2150000000000006E-2</v>
      </c>
      <c r="D173" s="1161">
        <f t="shared" ref="D173:N173" ca="1" si="73">D245/D$112</f>
        <v>7.0026806749876117E-2</v>
      </c>
      <c r="E173" s="1161">
        <f t="shared" ca="1" si="73"/>
        <v>5.5843859006008481E-2</v>
      </c>
      <c r="F173" s="1161">
        <f t="shared" ca="1" si="73"/>
        <v>4.0083790493379526E-2</v>
      </c>
      <c r="G173" s="1161">
        <f t="shared" ca="1" si="73"/>
        <v>2.9997530832014813E-2</v>
      </c>
      <c r="H173" s="1161">
        <f t="shared" ca="1" si="73"/>
        <v>3.4513721461158324E-2</v>
      </c>
      <c r="I173" s="1161">
        <f t="shared" ca="1" si="73"/>
        <v>2.7170947390391512E-2</v>
      </c>
      <c r="J173" s="1161">
        <f t="shared" ca="1" si="73"/>
        <v>2.3392866195572567E-2</v>
      </c>
      <c r="K173" s="1161">
        <f t="shared" ca="1" si="73"/>
        <v>1.8843609051625968E-2</v>
      </c>
      <c r="L173" s="1161">
        <f t="shared" ca="1" si="73"/>
        <v>1.5731315339504226E-2</v>
      </c>
      <c r="M173" s="1161">
        <f t="shared" ca="1" si="73"/>
        <v>1.3023357196016279E-2</v>
      </c>
      <c r="N173" s="1161">
        <f t="shared" ca="1" si="73"/>
        <v>1.0927283236924953E-2</v>
      </c>
    </row>
    <row r="174" spans="2:15" outlineLevel="1">
      <c r="B174" s="1166" t="s">
        <v>979</v>
      </c>
      <c r="C174" s="1161">
        <v>3.3300000000000003E-2</v>
      </c>
      <c r="D174" s="1161">
        <f t="shared" ref="D174:N174" ca="1" si="74">D246/D$112</f>
        <v>2.5856051723031181E-2</v>
      </c>
      <c r="E174" s="1161">
        <f t="shared" ca="1" si="74"/>
        <v>1.3402526161442036E-2</v>
      </c>
      <c r="F174" s="1161">
        <f t="shared" ca="1" si="74"/>
        <v>9.6201097184110858E-3</v>
      </c>
      <c r="G174" s="1161">
        <f t="shared" ca="1" si="74"/>
        <v>7.199407399683555E-3</v>
      </c>
      <c r="H174" s="1161">
        <f t="shared" ca="1" si="74"/>
        <v>8.2832931506779985E-3</v>
      </c>
      <c r="I174" s="1161">
        <f t="shared" ca="1" si="74"/>
        <v>6.5210273736939633E-3</v>
      </c>
      <c r="J174" s="1161">
        <f t="shared" ca="1" si="74"/>
        <v>5.6142878869374167E-3</v>
      </c>
      <c r="K174" s="1161">
        <f t="shared" ca="1" si="74"/>
        <v>4.5224661723902325E-3</v>
      </c>
      <c r="L174" s="1161">
        <f t="shared" ca="1" si="74"/>
        <v>3.7755156814810145E-3</v>
      </c>
      <c r="M174" s="1161">
        <f t="shared" ca="1" si="74"/>
        <v>3.1256057270439069E-3</v>
      </c>
      <c r="N174" s="1161">
        <f t="shared" ca="1" si="74"/>
        <v>2.6225479768619887E-3</v>
      </c>
    </row>
    <row r="175" spans="2:15" outlineLevel="1">
      <c r="B175" s="1166" t="s">
        <v>992</v>
      </c>
      <c r="C175" s="1161">
        <v>1.7760000000000001E-2</v>
      </c>
      <c r="D175" s="1161">
        <f t="shared" ref="D175:N175" ca="1" si="75">D247/D$112</f>
        <v>1.7237367815354121E-2</v>
      </c>
      <c r="E175" s="1161">
        <f t="shared" ca="1" si="75"/>
        <v>1.3746180678402088E-2</v>
      </c>
      <c r="F175" s="1161">
        <f t="shared" ca="1" si="75"/>
        <v>9.8667791983703436E-3</v>
      </c>
      <c r="G175" s="1161">
        <f t="shared" ca="1" si="75"/>
        <v>7.3840075894190307E-3</v>
      </c>
      <c r="H175" s="1161">
        <f t="shared" ca="1" si="75"/>
        <v>8.495685282746664E-3</v>
      </c>
      <c r="I175" s="1161">
        <f t="shared" ca="1" si="75"/>
        <v>6.6882332037886795E-3</v>
      </c>
      <c r="J175" s="1161">
        <f t="shared" ca="1" si="75"/>
        <v>5.7582439866024782E-3</v>
      </c>
      <c r="K175" s="1161">
        <f t="shared" ca="1" si="75"/>
        <v>4.6384268434771616E-3</v>
      </c>
      <c r="L175" s="1161">
        <f t="shared" ca="1" si="75"/>
        <v>3.8723237758779634E-3</v>
      </c>
      <c r="M175" s="1161">
        <f t="shared" ca="1" si="75"/>
        <v>3.2057494636347763E-3</v>
      </c>
      <c r="N175" s="1161">
        <f t="shared" ca="1" si="75"/>
        <v>2.6897927967815265E-3</v>
      </c>
    </row>
    <row r="176" spans="2:15" outlineLevel="1">
      <c r="B176" s="1166" t="s">
        <v>981</v>
      </c>
      <c r="C176" s="1161">
        <v>1.11E-2</v>
      </c>
      <c r="D176" s="1161">
        <f t="shared" ref="D176:N176" ca="1" si="76">D248/D$112</f>
        <v>1.0773354884596324E-2</v>
      </c>
      <c r="E176" s="1161">
        <f t="shared" ca="1" si="76"/>
        <v>8.5913629240013042E-3</v>
      </c>
      <c r="F176" s="1161">
        <f t="shared" ca="1" si="76"/>
        <v>6.1667369989814652E-3</v>
      </c>
      <c r="G176" s="1161">
        <f t="shared" ca="1" si="76"/>
        <v>4.6150047433868935E-3</v>
      </c>
      <c r="H176" s="1161">
        <f t="shared" ca="1" si="76"/>
        <v>5.3098033017166648E-3</v>
      </c>
      <c r="I176" s="1161">
        <f t="shared" ca="1" si="76"/>
        <v>4.1801457523679246E-3</v>
      </c>
      <c r="J176" s="1161">
        <f t="shared" ca="1" si="76"/>
        <v>3.5989024916265487E-3</v>
      </c>
      <c r="K176" s="1161">
        <f t="shared" ca="1" si="76"/>
        <v>2.8990167771732259E-3</v>
      </c>
      <c r="L176" s="1161">
        <f t="shared" ca="1" si="76"/>
        <v>2.4202023599237269E-3</v>
      </c>
      <c r="M176" s="1161">
        <f t="shared" ca="1" si="76"/>
        <v>2.0035934147717349E-3</v>
      </c>
      <c r="N176" s="1161">
        <f t="shared" ca="1" si="76"/>
        <v>1.681120497988454E-3</v>
      </c>
    </row>
    <row r="177" spans="2:23" outlineLevel="1">
      <c r="B177" s="1166" t="s">
        <v>998</v>
      </c>
      <c r="C177" s="1161">
        <v>3.3300000000000005E-3</v>
      </c>
      <c r="D177" s="1161">
        <f t="shared" ref="D177:N177" ca="1" si="77">D249/D$112</f>
        <v>2.8728946358923539E-3</v>
      </c>
      <c r="E177" s="1161">
        <f t="shared" ca="1" si="77"/>
        <v>2.2910301130670148E-3</v>
      </c>
      <c r="F177" s="1161">
        <f t="shared" ca="1" si="77"/>
        <v>1.644463199728391E-3</v>
      </c>
      <c r="G177" s="1161">
        <f t="shared" ca="1" si="77"/>
        <v>1.2306679315698386E-3</v>
      </c>
      <c r="H177" s="1161">
        <f t="shared" ca="1" si="77"/>
        <v>1.4159475471244441E-3</v>
      </c>
      <c r="I177" s="1161">
        <f t="shared" ca="1" si="77"/>
        <v>1.1147055339647801E-3</v>
      </c>
      <c r="J177" s="1161">
        <f t="shared" ca="1" si="77"/>
        <v>9.5970733110041322E-4</v>
      </c>
      <c r="K177" s="1161">
        <f t="shared" ca="1" si="77"/>
        <v>7.7307114057952704E-4</v>
      </c>
      <c r="L177" s="1161">
        <f t="shared" ca="1" si="77"/>
        <v>6.4538729597966068E-4</v>
      </c>
      <c r="M177" s="1161">
        <f t="shared" ca="1" si="77"/>
        <v>5.3429157727246279E-4</v>
      </c>
      <c r="N177" s="1161">
        <f t="shared" ca="1" si="77"/>
        <v>4.4829879946358786E-4</v>
      </c>
    </row>
    <row r="178" spans="2:23" outlineLevel="1">
      <c r="B178" s="1166" t="s">
        <v>1000</v>
      </c>
      <c r="C178" s="1161">
        <v>2.2200000000000002E-3</v>
      </c>
      <c r="D178" s="1161">
        <f t="shared" ref="D178:N178" ca="1" si="78">D250/D$112</f>
        <v>2.1546709769192651E-3</v>
      </c>
      <c r="E178" s="1161">
        <f t="shared" ca="1" si="78"/>
        <v>1.718272584800261E-3</v>
      </c>
      <c r="F178" s="1161">
        <f t="shared" ca="1" si="78"/>
        <v>1.2333473997962929E-3</v>
      </c>
      <c r="G178" s="1161">
        <f t="shared" ca="1" si="78"/>
        <v>9.2300094867737883E-4</v>
      </c>
      <c r="H178" s="1161">
        <f t="shared" ca="1" si="78"/>
        <v>1.061960660343333E-3</v>
      </c>
      <c r="I178" s="1161">
        <f t="shared" ca="1" si="78"/>
        <v>8.3602915047358494E-4</v>
      </c>
      <c r="J178" s="1161">
        <f t="shared" ca="1" si="78"/>
        <v>7.1978049832530978E-4</v>
      </c>
      <c r="K178" s="1161">
        <f t="shared" ca="1" si="78"/>
        <v>5.798033554346452E-4</v>
      </c>
      <c r="L178" s="1161">
        <f t="shared" ca="1" si="78"/>
        <v>4.8404047198474543E-4</v>
      </c>
      <c r="M178" s="1161">
        <f t="shared" ca="1" si="78"/>
        <v>4.0071868295434704E-4</v>
      </c>
      <c r="N178" s="1161">
        <f t="shared" ca="1" si="78"/>
        <v>3.3622409959769081E-4</v>
      </c>
    </row>
    <row r="179" spans="2:23" outlineLevel="1">
      <c r="B179" s="1170" t="s">
        <v>996</v>
      </c>
      <c r="C179" s="1181" t="e">
        <f t="shared" ref="C179:N179" ca="1" si="79">SUM(C180:C183)</f>
        <v>#REF!</v>
      </c>
      <c r="D179" s="1181" t="e">
        <f t="shared" ca="1" si="79"/>
        <v>#REF!</v>
      </c>
      <c r="E179" s="1181" t="e">
        <f t="shared" ca="1" si="79"/>
        <v>#REF!</v>
      </c>
      <c r="F179" s="1181" t="e">
        <f t="shared" ca="1" si="79"/>
        <v>#REF!</v>
      </c>
      <c r="G179" s="1181" t="e">
        <f t="shared" ca="1" si="79"/>
        <v>#REF!</v>
      </c>
      <c r="H179" s="1181" t="e">
        <f t="shared" ca="1" si="79"/>
        <v>#REF!</v>
      </c>
      <c r="I179" s="1181" t="e">
        <f t="shared" ca="1" si="79"/>
        <v>#REF!</v>
      </c>
      <c r="J179" s="1181" t="e">
        <f t="shared" ca="1" si="79"/>
        <v>#REF!</v>
      </c>
      <c r="K179" s="1181" t="e">
        <f t="shared" ca="1" si="79"/>
        <v>#REF!</v>
      </c>
      <c r="L179" s="1181" t="e">
        <f t="shared" ca="1" si="79"/>
        <v>#REF!</v>
      </c>
      <c r="M179" s="1181" t="e">
        <f t="shared" ca="1" si="79"/>
        <v>#REF!</v>
      </c>
      <c r="N179" s="1181" t="e">
        <f t="shared" ca="1" si="79"/>
        <v>#REF!</v>
      </c>
    </row>
    <row r="180" spans="2:23" outlineLevel="1">
      <c r="B180" s="1166" t="s">
        <v>1001</v>
      </c>
      <c r="C180" s="1161" t="e">
        <f t="shared" ref="C180:N180" ca="1" si="80">C125-SUM(C181:C183)</f>
        <v>#REF!</v>
      </c>
      <c r="D180" s="1161" t="e">
        <f t="shared" ca="1" si="80"/>
        <v>#REF!</v>
      </c>
      <c r="E180" s="1161" t="e">
        <f t="shared" ca="1" si="80"/>
        <v>#REF!</v>
      </c>
      <c r="F180" s="1161" t="e">
        <f t="shared" ca="1" si="80"/>
        <v>#REF!</v>
      </c>
      <c r="G180" s="1161" t="e">
        <f t="shared" ca="1" si="80"/>
        <v>#REF!</v>
      </c>
      <c r="H180" s="1161" t="e">
        <f t="shared" ca="1" si="80"/>
        <v>#REF!</v>
      </c>
      <c r="I180" s="1161" t="e">
        <f t="shared" ca="1" si="80"/>
        <v>#REF!</v>
      </c>
      <c r="J180" s="1161" t="e">
        <f t="shared" ca="1" si="80"/>
        <v>#REF!</v>
      </c>
      <c r="K180" s="1161" t="e">
        <f t="shared" ca="1" si="80"/>
        <v>#REF!</v>
      </c>
      <c r="L180" s="1161" t="e">
        <f t="shared" ca="1" si="80"/>
        <v>#REF!</v>
      </c>
      <c r="M180" s="1161" t="e">
        <f t="shared" ca="1" si="80"/>
        <v>#REF!</v>
      </c>
      <c r="N180" s="1161" t="e">
        <f t="shared" ca="1" si="80"/>
        <v>#REF!</v>
      </c>
    </row>
    <row r="181" spans="2:23" outlineLevel="1">
      <c r="B181" s="1166" t="s">
        <v>999</v>
      </c>
      <c r="C181" s="1161">
        <v>2.418E-2</v>
      </c>
      <c r="D181" s="1161">
        <f t="shared" ref="D181:N181" ca="1" si="81">D253/D$112</f>
        <v>2.6076048159113026E-2</v>
      </c>
      <c r="E181" s="1161">
        <f t="shared" ca="1" si="81"/>
        <v>2.3913916799569997E-2</v>
      </c>
      <c r="F181" s="1161">
        <f t="shared" ca="1" si="81"/>
        <v>1.8881511642016551E-2</v>
      </c>
      <c r="G181" s="1161">
        <f t="shared" ca="1" si="81"/>
        <v>1.5543405270092576E-2</v>
      </c>
      <c r="H181" s="1161">
        <f t="shared" ca="1" si="81"/>
        <v>1.9671846971653834E-2</v>
      </c>
      <c r="I181" s="1161">
        <f t="shared" ca="1" si="81"/>
        <v>1.6725606866804577E-2</v>
      </c>
      <c r="J181" s="1161">
        <f t="shared" ca="1" si="81"/>
        <v>1.5551930084790952E-2</v>
      </c>
      <c r="K181" s="1161">
        <f t="shared" ca="1" si="81"/>
        <v>1.3529716585871147E-2</v>
      </c>
      <c r="L181" s="1161">
        <f t="shared" ca="1" si="81"/>
        <v>1.1859843268744678E-2</v>
      </c>
      <c r="M181" s="1161">
        <f t="shared" ca="1" si="81"/>
        <v>1.0309228467962542E-2</v>
      </c>
      <c r="N181" s="1161">
        <f t="shared" ca="1" si="81"/>
        <v>9.0824854616564244E-3</v>
      </c>
    </row>
    <row r="182" spans="2:23" outlineLevel="1">
      <c r="B182" s="1166" t="s">
        <v>1010</v>
      </c>
      <c r="C182" s="1161">
        <v>1.1160000000000002E-2</v>
      </c>
      <c r="D182" s="1161">
        <f t="shared" ref="D182:N182" ca="1" si="82">D254/D$112</f>
        <v>1.2035099150359859E-2</v>
      </c>
      <c r="E182" s="1161">
        <f t="shared" ca="1" si="82"/>
        <v>1.1037192369032308E-2</v>
      </c>
      <c r="F182" s="1161">
        <f t="shared" ca="1" si="82"/>
        <v>8.7145438347768726E-3</v>
      </c>
      <c r="G182" s="1161">
        <f t="shared" ca="1" si="82"/>
        <v>7.173879355427344E-3</v>
      </c>
      <c r="H182" s="1161">
        <f t="shared" ca="1" si="82"/>
        <v>9.079313986917156E-3</v>
      </c>
      <c r="I182" s="1161">
        <f t="shared" ca="1" si="82"/>
        <v>7.7195108616021132E-3</v>
      </c>
      <c r="J182" s="1161">
        <f t="shared" ca="1" si="82"/>
        <v>7.1778138852881326E-3</v>
      </c>
      <c r="K182" s="1161">
        <f t="shared" ca="1" si="82"/>
        <v>6.2444845780943769E-3</v>
      </c>
      <c r="L182" s="1161">
        <f t="shared" ca="1" si="82"/>
        <v>5.4737738163436987E-3</v>
      </c>
      <c r="M182" s="1161">
        <f t="shared" ca="1" si="82"/>
        <v>4.7581054467519431E-3</v>
      </c>
      <c r="N182" s="1161">
        <f t="shared" ca="1" si="82"/>
        <v>4.1919163669183503E-3</v>
      </c>
    </row>
    <row r="183" spans="2:23" outlineLevel="1">
      <c r="B183" s="1166" t="s">
        <v>997</v>
      </c>
      <c r="C183" s="1161">
        <v>9.300000000000001E-3</v>
      </c>
      <c r="D183" s="1161">
        <f t="shared" ref="D183:N183" ca="1" si="83">D255/D$112</f>
        <v>1.0029249291966549E-2</v>
      </c>
      <c r="E183" s="1161">
        <f t="shared" ca="1" si="83"/>
        <v>8.7977620332866224E-3</v>
      </c>
      <c r="F183" s="1161">
        <f t="shared" ca="1" si="83"/>
        <v>6.6306311786345756E-3</v>
      </c>
      <c r="G183" s="1161">
        <f t="shared" ca="1" si="83"/>
        <v>5.2102779903548391E-3</v>
      </c>
      <c r="H183" s="1161">
        <f t="shared" ca="1" si="83"/>
        <v>6.294430982216416E-3</v>
      </c>
      <c r="I183" s="1161">
        <f t="shared" ca="1" si="83"/>
        <v>5.2030591927289208E-3</v>
      </c>
      <c r="J183" s="1161">
        <f t="shared" ca="1" si="83"/>
        <v>4.7035603522423784E-3</v>
      </c>
      <c r="K183" s="1161">
        <f t="shared" ca="1" si="83"/>
        <v>3.9782921114393547E-3</v>
      </c>
      <c r="L183" s="1161">
        <f t="shared" ca="1" si="83"/>
        <v>3.4872808029271923E-3</v>
      </c>
      <c r="M183" s="1161">
        <f t="shared" ca="1" si="83"/>
        <v>3.0313363941378278E-3</v>
      </c>
      <c r="N183" s="1161">
        <f t="shared" ca="1" si="83"/>
        <v>2.6706235888269256E-3</v>
      </c>
    </row>
    <row r="184" spans="2:23">
      <c r="B184" s="1170" t="s">
        <v>858</v>
      </c>
      <c r="C184" s="1176" t="s">
        <v>873</v>
      </c>
      <c r="D184" s="1176" t="s">
        <v>429</v>
      </c>
      <c r="E184" s="1176" t="s">
        <v>430</v>
      </c>
      <c r="F184" s="1176" t="s">
        <v>431</v>
      </c>
      <c r="G184" s="1176" t="s">
        <v>890</v>
      </c>
      <c r="H184" s="1176" t="s">
        <v>891</v>
      </c>
      <c r="I184" s="1176" t="s">
        <v>892</v>
      </c>
      <c r="J184" s="1176" t="s">
        <v>893</v>
      </c>
      <c r="K184" s="1176" t="s">
        <v>894</v>
      </c>
      <c r="L184" s="1176" t="s">
        <v>895</v>
      </c>
      <c r="M184" s="1176" t="s">
        <v>896</v>
      </c>
      <c r="N184" s="1176" t="s">
        <v>945</v>
      </c>
    </row>
    <row r="185" spans="2:23">
      <c r="B185" s="1170" t="str">
        <f t="shared" ref="B185:B204" si="84">B221</f>
        <v>China customers</v>
      </c>
      <c r="D185" s="1151" t="e">
        <f t="shared" ref="D185:N185" ca="1" si="85">D221/C221-1</f>
        <v>#REF!</v>
      </c>
      <c r="E185" s="1151" t="e">
        <f t="shared" ca="1" si="85"/>
        <v>#REF!</v>
      </c>
      <c r="F185" s="1151" t="e">
        <f t="shared" ca="1" si="85"/>
        <v>#REF!</v>
      </c>
      <c r="G185" s="1151" t="e">
        <f t="shared" ca="1" si="85"/>
        <v>#REF!</v>
      </c>
      <c r="H185" s="1151" t="e">
        <f t="shared" ca="1" si="85"/>
        <v>#REF!</v>
      </c>
      <c r="I185" s="1151" t="e">
        <f t="shared" ca="1" si="85"/>
        <v>#REF!</v>
      </c>
      <c r="J185" s="1151" t="e">
        <f t="shared" ca="1" si="85"/>
        <v>#REF!</v>
      </c>
      <c r="K185" s="1151" t="e">
        <f t="shared" ca="1" si="85"/>
        <v>#REF!</v>
      </c>
      <c r="L185" s="1151" t="e">
        <f t="shared" ca="1" si="85"/>
        <v>#REF!</v>
      </c>
      <c r="M185" s="1151" t="e">
        <f t="shared" ca="1" si="85"/>
        <v>#REF!</v>
      </c>
      <c r="N185" s="1151" t="e">
        <f t="shared" ca="1" si="85"/>
        <v>#REF!</v>
      </c>
    </row>
    <row r="186" spans="2:23">
      <c r="B186" s="1166" t="str">
        <f t="shared" si="84"/>
        <v>HiSilicon</v>
      </c>
      <c r="D186" s="1152" t="e">
        <f t="shared" ref="D186:N186" ca="1" si="86">D222/C222-1</f>
        <v>#REF!</v>
      </c>
      <c r="E186" s="1152" t="e">
        <f t="shared" ca="1" si="86"/>
        <v>#REF!</v>
      </c>
      <c r="F186" s="1152" t="e">
        <f t="shared" ca="1" si="86"/>
        <v>#REF!</v>
      </c>
      <c r="G186" s="1152" t="e">
        <f t="shared" ca="1" si="86"/>
        <v>#REF!</v>
      </c>
      <c r="H186" s="1152" t="e">
        <f t="shared" ca="1" si="86"/>
        <v>#REF!</v>
      </c>
      <c r="I186" s="1152" t="e">
        <f t="shared" ca="1" si="86"/>
        <v>#REF!</v>
      </c>
      <c r="J186" s="1152" t="e">
        <f t="shared" ca="1" si="86"/>
        <v>#REF!</v>
      </c>
      <c r="K186" s="1152" t="e">
        <f t="shared" ca="1" si="86"/>
        <v>#REF!</v>
      </c>
      <c r="L186" s="1152" t="e">
        <f t="shared" ca="1" si="86"/>
        <v>#REF!</v>
      </c>
      <c r="M186" s="1152" t="e">
        <f t="shared" ca="1" si="86"/>
        <v>#REF!</v>
      </c>
      <c r="N186" s="1152" t="e">
        <f t="shared" ca="1" si="86"/>
        <v>#REF!</v>
      </c>
    </row>
    <row r="187" spans="2:23">
      <c r="B187" s="1166" t="str">
        <f t="shared" si="84"/>
        <v>UniSoC</v>
      </c>
      <c r="D187" s="1152">
        <v>0</v>
      </c>
      <c r="E187" s="1152">
        <v>0.25</v>
      </c>
      <c r="F187" s="1152">
        <v>0.25</v>
      </c>
      <c r="G187" s="1152">
        <v>0.25</v>
      </c>
      <c r="H187" s="1152">
        <v>0.2</v>
      </c>
      <c r="I187" s="1152">
        <v>0.2</v>
      </c>
      <c r="J187" s="1152">
        <v>0.15</v>
      </c>
      <c r="K187" s="1152">
        <v>0.15</v>
      </c>
      <c r="L187" s="1152">
        <v>0.15</v>
      </c>
      <c r="M187" s="1152">
        <v>0.15</v>
      </c>
      <c r="N187" s="1152">
        <v>0.15</v>
      </c>
    </row>
    <row r="188" spans="2:23">
      <c r="B188" s="1166" t="str">
        <f t="shared" si="84"/>
        <v>GigaDevice</v>
      </c>
      <c r="D188" s="1152">
        <v>0.185</v>
      </c>
      <c r="E188" s="1152">
        <v>0.45</v>
      </c>
      <c r="F188" s="1152">
        <v>0.27</v>
      </c>
      <c r="G188" s="1152">
        <v>0.25</v>
      </c>
      <c r="H188" s="1152">
        <v>0.25</v>
      </c>
      <c r="I188" s="1152">
        <v>0.23</v>
      </c>
      <c r="J188" s="1152">
        <v>0.2</v>
      </c>
      <c r="K188" s="1152">
        <v>0.2</v>
      </c>
      <c r="L188" s="1152">
        <v>0.15</v>
      </c>
      <c r="M188" s="1152">
        <v>0.15</v>
      </c>
      <c r="N188" s="1152">
        <v>0.15</v>
      </c>
    </row>
    <row r="189" spans="2:23">
      <c r="B189" s="1166" t="str">
        <f t="shared" si="84"/>
        <v>Will Semi</v>
      </c>
      <c r="D189" s="1152">
        <v>0.2</v>
      </c>
      <c r="E189" s="1152">
        <v>3</v>
      </c>
      <c r="F189" s="1152">
        <v>0.83</v>
      </c>
      <c r="G189" s="1152">
        <v>0.3434823838676575</v>
      </c>
      <c r="H189" s="1152">
        <v>0.44934841436901807</v>
      </c>
      <c r="I189" s="1152">
        <v>0.37974881590486409</v>
      </c>
      <c r="J189" s="1152">
        <v>0.28184860032772519</v>
      </c>
      <c r="K189" s="1152">
        <v>0.25043112216108154</v>
      </c>
      <c r="L189" s="1152">
        <v>0.15</v>
      </c>
      <c r="M189" s="1152">
        <v>0.15</v>
      </c>
      <c r="N189" s="1152">
        <v>0.15</v>
      </c>
    </row>
    <row r="190" spans="2:23">
      <c r="B190" s="1166" t="str">
        <f t="shared" si="84"/>
        <v>ZTE Micro</v>
      </c>
      <c r="D190" s="1152">
        <v>0</v>
      </c>
      <c r="E190" s="1152">
        <v>0.25</v>
      </c>
      <c r="F190" s="1152">
        <v>0.25</v>
      </c>
      <c r="G190" s="1152">
        <v>0.25</v>
      </c>
      <c r="H190" s="1152">
        <v>0.25</v>
      </c>
      <c r="I190" s="1152">
        <v>0.15000000000000002</v>
      </c>
      <c r="J190" s="1152">
        <v>0.15000000000000002</v>
      </c>
      <c r="K190" s="1152">
        <v>0.15000000000000002</v>
      </c>
      <c r="L190" s="1152">
        <v>0.15000000000000002</v>
      </c>
      <c r="M190" s="1152">
        <v>0.15000000000000002</v>
      </c>
      <c r="N190" s="1152">
        <v>0.15000000000000002</v>
      </c>
      <c r="Q190" s="1152"/>
      <c r="R190" s="1152"/>
      <c r="S190" s="1152"/>
      <c r="T190" s="1152"/>
      <c r="U190" s="1152"/>
      <c r="V190" s="1152"/>
      <c r="W190" s="1152"/>
    </row>
    <row r="191" spans="2:23">
      <c r="B191" s="1166" t="str">
        <f t="shared" si="84"/>
        <v>Galaxycore</v>
      </c>
      <c r="D191" s="1152">
        <v>0</v>
      </c>
      <c r="E191" s="1152">
        <v>0.25</v>
      </c>
      <c r="F191" s="1152">
        <v>0.25</v>
      </c>
      <c r="G191" s="1152">
        <v>0.2</v>
      </c>
      <c r="H191" s="1152">
        <v>0.2</v>
      </c>
      <c r="I191" s="1152">
        <v>0.2</v>
      </c>
      <c r="J191" s="1152">
        <v>0.2</v>
      </c>
      <c r="K191" s="1152">
        <v>0.15000000000000002</v>
      </c>
      <c r="L191" s="1152">
        <v>0.15000000000000002</v>
      </c>
      <c r="M191" s="1152">
        <v>0.15000000000000002</v>
      </c>
      <c r="N191" s="1152">
        <v>0.15000000000000002</v>
      </c>
      <c r="Q191" s="1152"/>
      <c r="R191" s="1152"/>
      <c r="S191" s="1152"/>
      <c r="T191" s="1152"/>
      <c r="U191" s="1152"/>
      <c r="V191" s="1152"/>
      <c r="W191" s="1152"/>
    </row>
    <row r="192" spans="2:23">
      <c r="B192" s="1166" t="str">
        <f t="shared" si="84"/>
        <v>Unigroup Guoxin</v>
      </c>
      <c r="D192" s="1152">
        <v>-0.1</v>
      </c>
      <c r="E192" s="1152">
        <v>0.2</v>
      </c>
      <c r="F192" s="1152">
        <v>0.15000000000000002</v>
      </c>
      <c r="G192" s="1152">
        <v>0.15000000000000002</v>
      </c>
      <c r="H192" s="1152">
        <v>0.15000000000000002</v>
      </c>
      <c r="I192" s="1152">
        <v>0.15000000000000002</v>
      </c>
      <c r="J192" s="1152">
        <v>0.15000000000000002</v>
      </c>
      <c r="K192" s="1152">
        <v>0.15000000000000002</v>
      </c>
      <c r="L192" s="1152">
        <v>0.15000000000000002</v>
      </c>
      <c r="M192" s="1152">
        <v>0.15000000000000002</v>
      </c>
      <c r="N192" s="1152">
        <v>0.15000000000000002</v>
      </c>
      <c r="Q192" s="1152"/>
      <c r="R192" s="1152"/>
      <c r="S192" s="1152"/>
      <c r="T192" s="1152"/>
      <c r="U192" s="1152"/>
      <c r="V192" s="1152"/>
      <c r="W192" s="1152"/>
    </row>
    <row r="193" spans="2:23">
      <c r="B193" s="1166" t="str">
        <f t="shared" si="84"/>
        <v>Jieli</v>
      </c>
      <c r="D193" s="1152">
        <v>0.1</v>
      </c>
      <c r="E193" s="1152">
        <v>0.25</v>
      </c>
      <c r="F193" s="1152">
        <v>0.25</v>
      </c>
      <c r="G193" s="1152">
        <v>0.2</v>
      </c>
      <c r="H193" s="1152">
        <v>0.2</v>
      </c>
      <c r="I193" s="1152">
        <v>0.15000000000000002</v>
      </c>
      <c r="J193" s="1152">
        <v>0.15000000000000002</v>
      </c>
      <c r="K193" s="1152">
        <v>0.15000000000000002</v>
      </c>
      <c r="L193" s="1152">
        <v>0.15000000000000002</v>
      </c>
      <c r="M193" s="1152">
        <v>0.15000000000000002</v>
      </c>
      <c r="N193" s="1152">
        <v>0.15000000000000002</v>
      </c>
      <c r="Q193" s="1152"/>
      <c r="R193" s="1152"/>
      <c r="S193" s="1152"/>
      <c r="T193" s="1152"/>
      <c r="U193" s="1152"/>
      <c r="V193" s="1152"/>
      <c r="W193" s="1152"/>
    </row>
    <row r="194" spans="2:23">
      <c r="B194" s="1166" t="str">
        <f t="shared" si="84"/>
        <v>VeriSilicon</v>
      </c>
      <c r="D194" s="1152">
        <v>0</v>
      </c>
      <c r="E194" s="1152">
        <v>0.2</v>
      </c>
      <c r="F194" s="1152">
        <v>0.2</v>
      </c>
      <c r="G194" s="1152">
        <v>0.2</v>
      </c>
      <c r="H194" s="1152">
        <v>0.2</v>
      </c>
      <c r="I194" s="1152">
        <v>0.2</v>
      </c>
      <c r="J194" s="1152">
        <v>0.2</v>
      </c>
      <c r="K194" s="1152">
        <v>0.2</v>
      </c>
      <c r="L194" s="1152">
        <v>0.2</v>
      </c>
      <c r="M194" s="1152">
        <v>0.2</v>
      </c>
      <c r="N194" s="1152">
        <v>0.2</v>
      </c>
      <c r="Q194" s="1152"/>
      <c r="R194" s="1152"/>
      <c r="S194" s="1152"/>
      <c r="T194" s="1152"/>
      <c r="U194" s="1152"/>
      <c r="V194" s="1152"/>
      <c r="W194" s="1152"/>
    </row>
    <row r="195" spans="2:23">
      <c r="B195" s="1166" t="str">
        <f t="shared" si="84"/>
        <v>Brite Semi</v>
      </c>
      <c r="D195" s="1152">
        <v>-0.1</v>
      </c>
      <c r="E195" s="1152">
        <v>0.2</v>
      </c>
      <c r="F195" s="1152">
        <v>0.2</v>
      </c>
      <c r="G195" s="1152">
        <v>0.2</v>
      </c>
      <c r="H195" s="1152">
        <v>0.2</v>
      </c>
      <c r="I195" s="1152">
        <v>0.15000000000000002</v>
      </c>
      <c r="J195" s="1152">
        <v>0.2</v>
      </c>
      <c r="K195" s="1152">
        <v>0.2</v>
      </c>
      <c r="L195" s="1152">
        <v>0.2</v>
      </c>
      <c r="M195" s="1152">
        <v>0.2</v>
      </c>
      <c r="N195" s="1152">
        <v>0.2</v>
      </c>
      <c r="Q195" s="1152"/>
      <c r="R195" s="1152"/>
      <c r="S195" s="1152"/>
      <c r="T195" s="1152"/>
      <c r="U195" s="1152"/>
      <c r="V195" s="1152"/>
      <c r="W195" s="1152"/>
    </row>
    <row r="196" spans="2:23">
      <c r="B196" s="1166" t="str">
        <f t="shared" si="84"/>
        <v>Allwinner</v>
      </c>
      <c r="D196" s="1152">
        <v>-0.08</v>
      </c>
      <c r="E196" s="1152">
        <v>0.15000000000000002</v>
      </c>
      <c r="F196" s="1152">
        <v>0.15000000000000002</v>
      </c>
      <c r="G196" s="1152">
        <v>0.15000000000000002</v>
      </c>
      <c r="H196" s="1152">
        <v>0.15000000000000002</v>
      </c>
      <c r="I196" s="1152">
        <v>0.15000000000000002</v>
      </c>
      <c r="J196" s="1152">
        <v>0.15000000000000002</v>
      </c>
      <c r="K196" s="1152">
        <v>0.15000000000000002</v>
      </c>
      <c r="L196" s="1152">
        <v>0.15000000000000002</v>
      </c>
      <c r="M196" s="1152">
        <v>0.15000000000000002</v>
      </c>
      <c r="N196" s="1152">
        <v>0.15000000000000002</v>
      </c>
      <c r="Q196" s="1152"/>
      <c r="R196" s="1152"/>
      <c r="S196" s="1152"/>
      <c r="T196" s="1152"/>
      <c r="U196" s="1152"/>
      <c r="V196" s="1152"/>
      <c r="W196" s="1152"/>
    </row>
    <row r="197" spans="2:23">
      <c r="B197" s="1166" t="str">
        <f t="shared" si="84"/>
        <v>Fullhan</v>
      </c>
      <c r="D197" s="1152">
        <v>0.05</v>
      </c>
      <c r="E197" s="1152">
        <v>0.2</v>
      </c>
      <c r="F197" s="1152">
        <v>0.2</v>
      </c>
      <c r="G197" s="1152">
        <v>0.2</v>
      </c>
      <c r="H197" s="1152">
        <v>0.2</v>
      </c>
      <c r="I197" s="1152">
        <v>0.2</v>
      </c>
      <c r="J197" s="1152">
        <v>0.2</v>
      </c>
      <c r="K197" s="1152">
        <v>0.2</v>
      </c>
      <c r="L197" s="1152">
        <v>0.2</v>
      </c>
      <c r="M197" s="1152">
        <v>0.2</v>
      </c>
      <c r="N197" s="1152">
        <v>0.2</v>
      </c>
      <c r="Q197" s="1152"/>
      <c r="R197" s="1152"/>
      <c r="S197" s="1152"/>
      <c r="T197" s="1152"/>
      <c r="U197" s="1152"/>
      <c r="V197" s="1152"/>
      <c r="W197" s="1152"/>
    </row>
    <row r="198" spans="2:23">
      <c r="B198" s="1166" t="str">
        <f t="shared" si="84"/>
        <v>Rockchip</v>
      </c>
      <c r="D198" s="1152">
        <v>-7.0000000000000007E-2</v>
      </c>
      <c r="E198" s="1152">
        <v>0.2</v>
      </c>
      <c r="F198" s="1152">
        <v>0.2</v>
      </c>
      <c r="G198" s="1152">
        <v>0.2</v>
      </c>
      <c r="H198" s="1152">
        <v>0.15000000000000002</v>
      </c>
      <c r="I198" s="1152">
        <v>0.15000000000000002</v>
      </c>
      <c r="J198" s="1152">
        <v>0.15000000000000002</v>
      </c>
      <c r="K198" s="1152">
        <v>0.15000000000000002</v>
      </c>
      <c r="L198" s="1152">
        <v>0.15000000000000002</v>
      </c>
      <c r="M198" s="1152">
        <v>0.15000000000000002</v>
      </c>
      <c r="N198" s="1152">
        <v>0.15000000000000002</v>
      </c>
      <c r="Q198" s="1152"/>
      <c r="R198" s="1152"/>
      <c r="S198" s="1152"/>
      <c r="T198" s="1152"/>
      <c r="U198" s="1152"/>
      <c r="V198" s="1152"/>
      <c r="W198" s="1152"/>
    </row>
    <row r="199" spans="2:23">
      <c r="B199" s="1166" t="str">
        <f t="shared" si="84"/>
        <v>Bright Power</v>
      </c>
      <c r="D199" s="1152">
        <v>0.05</v>
      </c>
      <c r="E199" s="1152">
        <v>0.2</v>
      </c>
      <c r="F199" s="1152">
        <v>0.2</v>
      </c>
      <c r="G199" s="1152">
        <v>0.2</v>
      </c>
      <c r="H199" s="1152">
        <v>0.15000000000000002</v>
      </c>
      <c r="I199" s="1152">
        <v>0.15000000000000002</v>
      </c>
      <c r="J199" s="1152">
        <v>0.15000000000000002</v>
      </c>
      <c r="K199" s="1152">
        <v>0.15000000000000002</v>
      </c>
      <c r="L199" s="1152">
        <v>0.15000000000000002</v>
      </c>
      <c r="M199" s="1152">
        <v>0.15000000000000002</v>
      </c>
      <c r="N199" s="1152">
        <v>0.15000000000000002</v>
      </c>
      <c r="Q199" s="1152"/>
      <c r="R199" s="1152"/>
      <c r="S199" s="1152"/>
      <c r="T199" s="1152"/>
      <c r="U199" s="1152"/>
      <c r="V199" s="1152"/>
      <c r="W199" s="1152"/>
    </row>
    <row r="200" spans="2:23">
      <c r="B200" s="1166" t="str">
        <f t="shared" si="84"/>
        <v>Datang Micro</v>
      </c>
      <c r="D200" s="1152">
        <v>-7.0000000000000007E-2</v>
      </c>
      <c r="E200" s="1152">
        <v>0.1</v>
      </c>
      <c r="F200" s="1152">
        <v>0.1</v>
      </c>
      <c r="G200" s="1152">
        <v>0.1</v>
      </c>
      <c r="H200" s="1152">
        <v>0.1</v>
      </c>
      <c r="I200" s="1152">
        <v>0.1</v>
      </c>
      <c r="J200" s="1152">
        <v>0.1</v>
      </c>
      <c r="K200" s="1152">
        <v>0.1</v>
      </c>
      <c r="L200" s="1152">
        <v>0.1</v>
      </c>
      <c r="M200" s="1152">
        <v>0.1</v>
      </c>
      <c r="N200" s="1152">
        <v>0.1</v>
      </c>
      <c r="Q200" s="1152"/>
      <c r="R200" s="1152"/>
      <c r="S200" s="1152"/>
      <c r="T200" s="1152"/>
      <c r="U200" s="1152"/>
      <c r="V200" s="1152"/>
      <c r="W200" s="1152"/>
    </row>
    <row r="201" spans="2:23">
      <c r="B201" s="1166" t="str">
        <f t="shared" si="84"/>
        <v>Beken</v>
      </c>
      <c r="D201" s="1152">
        <v>0</v>
      </c>
      <c r="E201" s="1152">
        <v>0.1</v>
      </c>
      <c r="F201" s="1152">
        <v>0.1</v>
      </c>
      <c r="G201" s="1152">
        <v>0.1</v>
      </c>
      <c r="H201" s="1152">
        <v>0.1</v>
      </c>
      <c r="I201" s="1152">
        <v>0.1</v>
      </c>
      <c r="J201" s="1152">
        <v>0.1</v>
      </c>
      <c r="K201" s="1152">
        <v>0.1</v>
      </c>
      <c r="L201" s="1152">
        <v>0.1</v>
      </c>
      <c r="M201" s="1152">
        <v>0.1</v>
      </c>
      <c r="N201" s="1152">
        <v>0.1</v>
      </c>
      <c r="Q201" s="1152"/>
      <c r="R201" s="1152"/>
      <c r="S201" s="1152"/>
      <c r="T201" s="1152"/>
      <c r="U201" s="1152"/>
      <c r="V201" s="1152"/>
      <c r="W201" s="1152"/>
    </row>
    <row r="202" spans="2:23">
      <c r="B202" s="1166" t="str">
        <f t="shared" si="84"/>
        <v>MEMSensing</v>
      </c>
      <c r="D202" s="1152">
        <v>-0.05</v>
      </c>
      <c r="E202" s="1152">
        <v>0.1</v>
      </c>
      <c r="F202" s="1152">
        <v>0.1</v>
      </c>
      <c r="G202" s="1152">
        <v>0.1</v>
      </c>
      <c r="H202" s="1152">
        <v>0.1</v>
      </c>
      <c r="I202" s="1152">
        <v>0.1</v>
      </c>
      <c r="J202" s="1152">
        <v>0.1</v>
      </c>
      <c r="K202" s="1152">
        <v>0.1</v>
      </c>
      <c r="L202" s="1152">
        <v>0.1</v>
      </c>
      <c r="M202" s="1152">
        <v>0.1</v>
      </c>
      <c r="N202" s="1152">
        <v>0.1</v>
      </c>
      <c r="Q202" s="1152"/>
      <c r="R202" s="1152"/>
      <c r="S202" s="1152"/>
      <c r="T202" s="1152"/>
      <c r="U202" s="1152"/>
      <c r="V202" s="1152"/>
      <c r="W202" s="1152"/>
    </row>
    <row r="203" spans="2:23">
      <c r="B203" s="1166" t="str">
        <f t="shared" si="84"/>
        <v>Ingenic</v>
      </c>
      <c r="D203" s="1152">
        <v>0</v>
      </c>
      <c r="E203" s="1152">
        <v>0.1</v>
      </c>
      <c r="F203" s="1152">
        <v>0.1</v>
      </c>
      <c r="G203" s="1152">
        <v>0.1</v>
      </c>
      <c r="H203" s="1152">
        <v>0.1</v>
      </c>
      <c r="I203" s="1152">
        <v>0.1</v>
      </c>
      <c r="J203" s="1152">
        <v>0.1</v>
      </c>
      <c r="K203" s="1152">
        <v>0.1</v>
      </c>
      <c r="L203" s="1152">
        <v>0.1</v>
      </c>
      <c r="M203" s="1152">
        <v>0.1</v>
      </c>
      <c r="N203" s="1152">
        <v>0.1</v>
      </c>
      <c r="Q203" s="1152"/>
      <c r="R203" s="1152"/>
      <c r="S203" s="1152"/>
      <c r="T203" s="1152"/>
      <c r="U203" s="1152"/>
      <c r="V203" s="1152"/>
      <c r="W203" s="1152"/>
    </row>
    <row r="204" spans="2:23">
      <c r="B204" s="1166" t="str">
        <f t="shared" si="84"/>
        <v>Leadcore</v>
      </c>
      <c r="D204" s="1152">
        <v>0</v>
      </c>
      <c r="E204" s="1152">
        <v>0.1</v>
      </c>
      <c r="F204" s="1152">
        <v>0.1</v>
      </c>
      <c r="G204" s="1152">
        <v>0.1</v>
      </c>
      <c r="H204" s="1152">
        <v>0.1</v>
      </c>
      <c r="I204" s="1152">
        <v>0.1</v>
      </c>
      <c r="J204" s="1152">
        <v>0.1</v>
      </c>
      <c r="K204" s="1152">
        <v>0.1</v>
      </c>
      <c r="L204" s="1152">
        <v>0.1</v>
      </c>
      <c r="M204" s="1152">
        <v>0.1</v>
      </c>
      <c r="N204" s="1152">
        <v>0.1</v>
      </c>
      <c r="Q204" s="1152"/>
      <c r="R204" s="1152"/>
      <c r="S204" s="1152"/>
      <c r="T204" s="1152"/>
      <c r="U204" s="1152"/>
      <c r="V204" s="1152"/>
      <c r="W204" s="1152"/>
    </row>
    <row r="205" spans="2:23">
      <c r="B205" s="1166" t="s">
        <v>1011</v>
      </c>
      <c r="D205" s="1152"/>
      <c r="E205" s="1152"/>
      <c r="F205" s="1152"/>
      <c r="G205" s="1152">
        <v>1</v>
      </c>
      <c r="H205" s="1152">
        <v>0.6</v>
      </c>
      <c r="I205" s="1152">
        <v>0.4</v>
      </c>
      <c r="J205" s="1152">
        <v>0.25</v>
      </c>
      <c r="K205" s="1152">
        <v>0.2</v>
      </c>
      <c r="L205" s="1152">
        <v>0.2</v>
      </c>
      <c r="M205" s="1152">
        <v>0.2</v>
      </c>
      <c r="N205" s="1152">
        <v>0.2</v>
      </c>
      <c r="Q205" s="1152"/>
    </row>
    <row r="206" spans="2:23">
      <c r="B206" s="1166" t="str">
        <f t="shared" ref="B206:B219" si="87">B242</f>
        <v>SMEC (Shaoxing)</v>
      </c>
      <c r="D206" s="1152">
        <v>0</v>
      </c>
      <c r="E206" s="1152">
        <v>0</v>
      </c>
      <c r="F206" s="1152">
        <v>0</v>
      </c>
      <c r="G206" s="1152">
        <v>0</v>
      </c>
      <c r="H206" s="1152">
        <v>0</v>
      </c>
      <c r="I206" s="1152">
        <v>0</v>
      </c>
      <c r="J206" s="1152">
        <v>0</v>
      </c>
      <c r="K206" s="1152">
        <v>0</v>
      </c>
      <c r="L206" s="1152">
        <v>0</v>
      </c>
      <c r="M206" s="1152">
        <v>0</v>
      </c>
      <c r="N206" s="1152">
        <v>0</v>
      </c>
    </row>
    <row r="207" spans="2:23">
      <c r="B207" s="1170" t="str">
        <f t="shared" si="87"/>
        <v>US customers</v>
      </c>
      <c r="D207" s="1151" t="e">
        <f t="shared" ref="D207:N207" ca="1" si="88">D243/C243-1</f>
        <v>#REF!</v>
      </c>
      <c r="E207" s="1151" t="e">
        <f t="shared" ca="1" si="88"/>
        <v>#REF!</v>
      </c>
      <c r="F207" s="1151" t="e">
        <f t="shared" ca="1" si="88"/>
        <v>#REF!</v>
      </c>
      <c r="G207" s="1151" t="e">
        <f t="shared" ca="1" si="88"/>
        <v>#REF!</v>
      </c>
      <c r="H207" s="1151" t="e">
        <f t="shared" ca="1" si="88"/>
        <v>#REF!</v>
      </c>
      <c r="I207" s="1151" t="e">
        <f t="shared" ca="1" si="88"/>
        <v>#REF!</v>
      </c>
      <c r="J207" s="1151" t="e">
        <f t="shared" ca="1" si="88"/>
        <v>#REF!</v>
      </c>
      <c r="K207" s="1151" t="e">
        <f t="shared" ca="1" si="88"/>
        <v>#REF!</v>
      </c>
      <c r="L207" s="1151" t="e">
        <f t="shared" ca="1" si="88"/>
        <v>#REF!</v>
      </c>
      <c r="M207" s="1151" t="e">
        <f t="shared" ca="1" si="88"/>
        <v>#REF!</v>
      </c>
      <c r="N207" s="1151" t="e">
        <f t="shared" ca="1" si="88"/>
        <v>#REF!</v>
      </c>
    </row>
    <row r="208" spans="2:23">
      <c r="B208" s="1166" t="str">
        <f t="shared" si="87"/>
        <v>Qualcomm</v>
      </c>
      <c r="D208" s="1152" t="e">
        <f t="shared" ref="D208:N208" ca="1" si="89">D244/C244-1</f>
        <v>#REF!</v>
      </c>
      <c r="E208" s="1152" t="e">
        <f t="shared" ca="1" si="89"/>
        <v>#REF!</v>
      </c>
      <c r="F208" s="1152" t="e">
        <f t="shared" ca="1" si="89"/>
        <v>#REF!</v>
      </c>
      <c r="G208" s="1152" t="e">
        <f t="shared" ca="1" si="89"/>
        <v>#REF!</v>
      </c>
      <c r="H208" s="1152" t="e">
        <f t="shared" ca="1" si="89"/>
        <v>#REF!</v>
      </c>
      <c r="I208" s="1152" t="e">
        <f t="shared" ca="1" si="89"/>
        <v>#REF!</v>
      </c>
      <c r="J208" s="1152" t="e">
        <f t="shared" ca="1" si="89"/>
        <v>#REF!</v>
      </c>
      <c r="K208" s="1152" t="e">
        <f t="shared" ca="1" si="89"/>
        <v>#REF!</v>
      </c>
      <c r="L208" s="1152" t="e">
        <f t="shared" ca="1" si="89"/>
        <v>#REF!</v>
      </c>
      <c r="M208" s="1152" t="e">
        <f t="shared" ca="1" si="89"/>
        <v>#REF!</v>
      </c>
      <c r="N208" s="1152" t="e">
        <f t="shared" ca="1" si="89"/>
        <v>#REF!</v>
      </c>
    </row>
    <row r="209" spans="2:21">
      <c r="B209" s="1166" t="str">
        <f t="shared" si="87"/>
        <v>Broadcom</v>
      </c>
      <c r="D209" s="1152">
        <v>-0.1</v>
      </c>
      <c r="E209" s="1152">
        <v>0</v>
      </c>
      <c r="F209" s="1152">
        <v>0</v>
      </c>
      <c r="G209" s="1152">
        <v>0</v>
      </c>
      <c r="H209" s="1152">
        <v>0</v>
      </c>
      <c r="I209" s="1152">
        <v>0</v>
      </c>
      <c r="J209" s="1152">
        <v>0</v>
      </c>
      <c r="K209" s="1152">
        <v>0</v>
      </c>
      <c r="L209" s="1152">
        <v>0</v>
      </c>
      <c r="M209" s="1152">
        <v>0</v>
      </c>
      <c r="N209" s="1152">
        <v>0</v>
      </c>
    </row>
    <row r="210" spans="2:21">
      <c r="B210" s="1166" t="str">
        <f t="shared" si="87"/>
        <v>On Semi</v>
      </c>
      <c r="D210" s="1152">
        <v>-0.28000000000000003</v>
      </c>
      <c r="E210" s="1152">
        <v>-0.35</v>
      </c>
      <c r="F210" s="1152">
        <v>0</v>
      </c>
      <c r="G210" s="1152">
        <v>0</v>
      </c>
      <c r="H210" s="1152">
        <v>0</v>
      </c>
      <c r="I210" s="1152">
        <v>0</v>
      </c>
      <c r="J210" s="1152">
        <v>0</v>
      </c>
      <c r="K210" s="1152">
        <v>0</v>
      </c>
      <c r="L210" s="1152">
        <v>0</v>
      </c>
      <c r="M210" s="1152">
        <v>0</v>
      </c>
      <c r="N210" s="1152">
        <v>0</v>
      </c>
    </row>
    <row r="211" spans="2:21">
      <c r="B211" s="1166" t="str">
        <f t="shared" si="87"/>
        <v>Qorvo</v>
      </c>
      <c r="D211" s="1152">
        <v>-0.1</v>
      </c>
      <c r="E211" s="1152">
        <v>0</v>
      </c>
      <c r="F211" s="1152">
        <v>0</v>
      </c>
      <c r="G211" s="1152">
        <v>0</v>
      </c>
      <c r="H211" s="1152">
        <v>0</v>
      </c>
      <c r="I211" s="1152">
        <v>0</v>
      </c>
      <c r="J211" s="1152">
        <v>0</v>
      </c>
      <c r="K211" s="1152">
        <v>0</v>
      </c>
      <c r="L211" s="1152">
        <v>0</v>
      </c>
      <c r="M211" s="1152">
        <v>0</v>
      </c>
      <c r="N211" s="1152">
        <v>0</v>
      </c>
    </row>
    <row r="212" spans="2:21">
      <c r="B212" s="1166" t="str">
        <f t="shared" si="87"/>
        <v>Cypress</v>
      </c>
      <c r="D212" s="1152">
        <v>-0.1</v>
      </c>
      <c r="E212" s="1152">
        <v>0</v>
      </c>
      <c r="F212" s="1152">
        <v>0</v>
      </c>
      <c r="G212" s="1152">
        <v>0</v>
      </c>
      <c r="H212" s="1152">
        <v>0</v>
      </c>
      <c r="I212" s="1152">
        <v>0</v>
      </c>
      <c r="J212" s="1152">
        <v>0</v>
      </c>
      <c r="K212" s="1152">
        <v>0</v>
      </c>
      <c r="L212" s="1152">
        <v>0</v>
      </c>
      <c r="M212" s="1152">
        <v>0</v>
      </c>
      <c r="N212" s="1152">
        <v>0</v>
      </c>
    </row>
    <row r="213" spans="2:21">
      <c r="B213" s="1166" t="str">
        <f t="shared" si="87"/>
        <v>Synaptics</v>
      </c>
      <c r="D213" s="1152">
        <v>-0.2</v>
      </c>
      <c r="E213" s="1152">
        <v>0</v>
      </c>
      <c r="F213" s="1152">
        <v>0</v>
      </c>
      <c r="G213" s="1152">
        <v>0</v>
      </c>
      <c r="H213" s="1152">
        <v>0</v>
      </c>
      <c r="I213" s="1152">
        <v>0</v>
      </c>
      <c r="J213" s="1152">
        <v>0</v>
      </c>
      <c r="K213" s="1152">
        <v>0</v>
      </c>
      <c r="L213" s="1152">
        <v>0</v>
      </c>
      <c r="M213" s="1152">
        <v>0</v>
      </c>
      <c r="N213" s="1152">
        <v>0</v>
      </c>
    </row>
    <row r="214" spans="2:21">
      <c r="B214" s="1166" t="str">
        <f t="shared" si="87"/>
        <v>Silicon Lab</v>
      </c>
      <c r="D214" s="1152">
        <v>-0.1</v>
      </c>
      <c r="E214" s="1152">
        <v>0</v>
      </c>
      <c r="F214" s="1152">
        <v>0</v>
      </c>
      <c r="G214" s="1152">
        <v>0</v>
      </c>
      <c r="H214" s="1152">
        <v>0</v>
      </c>
      <c r="I214" s="1152">
        <v>0</v>
      </c>
      <c r="J214" s="1152">
        <v>0</v>
      </c>
      <c r="K214" s="1152">
        <v>0</v>
      </c>
      <c r="L214" s="1152">
        <v>0</v>
      </c>
      <c r="M214" s="1152">
        <v>0</v>
      </c>
      <c r="N214" s="1152">
        <v>0</v>
      </c>
    </row>
    <row r="215" spans="2:21">
      <c r="B215" s="1170" t="str">
        <f t="shared" si="87"/>
        <v>Eurasia customers</v>
      </c>
      <c r="D215" s="1151" t="e">
        <f t="shared" ref="D215:N215" ca="1" si="90">D251/C251-1</f>
        <v>#REF!</v>
      </c>
      <c r="E215" s="1151" t="e">
        <f t="shared" ca="1" si="90"/>
        <v>#REF!</v>
      </c>
      <c r="F215" s="1151" t="e">
        <f t="shared" ca="1" si="90"/>
        <v>#REF!</v>
      </c>
      <c r="G215" s="1151" t="e">
        <f t="shared" ca="1" si="90"/>
        <v>#REF!</v>
      </c>
      <c r="H215" s="1151" t="e">
        <f t="shared" ca="1" si="90"/>
        <v>#REF!</v>
      </c>
      <c r="I215" s="1151" t="e">
        <f t="shared" ca="1" si="90"/>
        <v>#REF!</v>
      </c>
      <c r="J215" s="1151" t="e">
        <f t="shared" ca="1" si="90"/>
        <v>#REF!</v>
      </c>
      <c r="K215" s="1151" t="e">
        <f t="shared" ca="1" si="90"/>
        <v>#REF!</v>
      </c>
      <c r="L215" s="1151" t="e">
        <f t="shared" ca="1" si="90"/>
        <v>#REF!</v>
      </c>
      <c r="M215" s="1151" t="e">
        <f t="shared" ca="1" si="90"/>
        <v>#REF!</v>
      </c>
      <c r="N215" s="1151" t="e">
        <f t="shared" ca="1" si="90"/>
        <v>#REF!</v>
      </c>
    </row>
    <row r="216" spans="2:21">
      <c r="B216" s="1166" t="str">
        <f t="shared" si="87"/>
        <v>Fingerprint Cards</v>
      </c>
      <c r="D216" s="1152" t="e">
        <f t="shared" ref="D216:N216" ca="1" si="91">D252/C252-1</f>
        <v>#REF!</v>
      </c>
      <c r="E216" s="1152" t="e">
        <f t="shared" ca="1" si="91"/>
        <v>#REF!</v>
      </c>
      <c r="F216" s="1152" t="e">
        <f t="shared" ca="1" si="91"/>
        <v>#REF!</v>
      </c>
      <c r="G216" s="1152" t="e">
        <f t="shared" ca="1" si="91"/>
        <v>#REF!</v>
      </c>
      <c r="H216" s="1152" t="e">
        <f t="shared" ca="1" si="91"/>
        <v>#REF!</v>
      </c>
      <c r="I216" s="1152" t="e">
        <f t="shared" ca="1" si="91"/>
        <v>#REF!</v>
      </c>
      <c r="J216" s="1152" t="e">
        <f t="shared" ca="1" si="91"/>
        <v>#REF!</v>
      </c>
      <c r="K216" s="1152" t="e">
        <f t="shared" ca="1" si="91"/>
        <v>#REF!</v>
      </c>
      <c r="L216" s="1152" t="e">
        <f t="shared" ca="1" si="91"/>
        <v>#REF!</v>
      </c>
      <c r="M216" s="1152" t="e">
        <f t="shared" ca="1" si="91"/>
        <v>#REF!</v>
      </c>
      <c r="N216" s="1152" t="e">
        <f t="shared" ca="1" si="91"/>
        <v>#REF!</v>
      </c>
    </row>
    <row r="217" spans="2:21">
      <c r="B217" s="1166" t="str">
        <f t="shared" si="87"/>
        <v>Silicon Motion</v>
      </c>
      <c r="D217" s="1152">
        <v>0</v>
      </c>
      <c r="E217" s="1152">
        <v>0.15</v>
      </c>
      <c r="F217" s="1152">
        <v>0.1</v>
      </c>
      <c r="G217" s="1152">
        <v>0.1</v>
      </c>
      <c r="H217" s="1152">
        <v>0.1</v>
      </c>
      <c r="I217" s="1152">
        <v>0.08</v>
      </c>
      <c r="J217" s="1152">
        <v>0.08</v>
      </c>
      <c r="K217" s="1152">
        <v>0.08</v>
      </c>
      <c r="L217" s="1152">
        <v>0.05</v>
      </c>
      <c r="M217" s="1152">
        <v>0.05</v>
      </c>
      <c r="N217" s="1152">
        <v>0.05</v>
      </c>
    </row>
    <row r="218" spans="2:21">
      <c r="B218" s="1166" t="str">
        <f t="shared" si="87"/>
        <v>Nuvoton</v>
      </c>
      <c r="D218" s="1152">
        <v>0</v>
      </c>
      <c r="E218" s="1152">
        <v>0.15</v>
      </c>
      <c r="F218" s="1152">
        <v>0.1</v>
      </c>
      <c r="G218" s="1152">
        <v>0.1</v>
      </c>
      <c r="H218" s="1152">
        <v>0.1</v>
      </c>
      <c r="I218" s="1152">
        <v>0.08</v>
      </c>
      <c r="J218" s="1152">
        <v>0.08</v>
      </c>
      <c r="K218" s="1152">
        <v>0.08</v>
      </c>
      <c r="L218" s="1152">
        <v>0.05</v>
      </c>
      <c r="M218" s="1152">
        <v>0.05</v>
      </c>
      <c r="N218" s="1152">
        <v>0.05</v>
      </c>
    </row>
    <row r="219" spans="2:21">
      <c r="B219" s="1166" t="str">
        <f t="shared" si="87"/>
        <v>Himax</v>
      </c>
      <c r="D219" s="1152">
        <v>0</v>
      </c>
      <c r="E219" s="1152">
        <v>0.1</v>
      </c>
      <c r="F219" s="1152">
        <v>0.05</v>
      </c>
      <c r="G219" s="1152">
        <v>0.05</v>
      </c>
      <c r="H219" s="1152">
        <v>0.05</v>
      </c>
      <c r="I219" s="1152">
        <v>0.05</v>
      </c>
      <c r="J219" s="1152">
        <v>0.05</v>
      </c>
      <c r="K219" s="1152">
        <v>0.05</v>
      </c>
      <c r="L219" s="1152">
        <v>0.05</v>
      </c>
      <c r="M219" s="1152">
        <v>0.05</v>
      </c>
      <c r="N219" s="1152">
        <v>0.05</v>
      </c>
    </row>
    <row r="220" spans="2:21">
      <c r="B220" s="1170" t="s">
        <v>195</v>
      </c>
      <c r="C220" s="1176" t="s">
        <v>873</v>
      </c>
      <c r="D220" s="1176" t="s">
        <v>429</v>
      </c>
      <c r="E220" s="1176" t="s">
        <v>430</v>
      </c>
      <c r="F220" s="1176" t="s">
        <v>431</v>
      </c>
      <c r="G220" s="1176" t="s">
        <v>890</v>
      </c>
      <c r="H220" s="1176" t="s">
        <v>891</v>
      </c>
      <c r="I220" s="1176" t="s">
        <v>892</v>
      </c>
      <c r="J220" s="1176" t="s">
        <v>893</v>
      </c>
      <c r="K220" s="1176" t="s">
        <v>894</v>
      </c>
      <c r="L220" s="1176" t="s">
        <v>895</v>
      </c>
      <c r="M220" s="1176" t="s">
        <v>896</v>
      </c>
      <c r="N220" s="1176" t="s">
        <v>945</v>
      </c>
    </row>
    <row r="221" spans="2:21">
      <c r="B221" s="1170" t="str">
        <f t="shared" ref="B221:B255" si="92">B149</f>
        <v>China customers</v>
      </c>
      <c r="C221" s="1199" t="e">
        <f t="shared" ref="C221:N221" ca="1" si="93">C$112*C149</f>
        <v>#REF!</v>
      </c>
      <c r="D221" s="1199" t="e">
        <f t="shared" ca="1" si="93"/>
        <v>#REF!</v>
      </c>
      <c r="E221" s="1199" t="e">
        <f t="shared" ca="1" si="93"/>
        <v>#REF!</v>
      </c>
      <c r="F221" s="1199" t="e">
        <f t="shared" ca="1" si="93"/>
        <v>#REF!</v>
      </c>
      <c r="G221" s="1199" t="e">
        <f t="shared" ca="1" si="93"/>
        <v>#REF!</v>
      </c>
      <c r="H221" s="1199" t="e">
        <f t="shared" ca="1" si="93"/>
        <v>#REF!</v>
      </c>
      <c r="I221" s="1199" t="e">
        <f t="shared" ca="1" si="93"/>
        <v>#REF!</v>
      </c>
      <c r="J221" s="1199" t="e">
        <f t="shared" ca="1" si="93"/>
        <v>#REF!</v>
      </c>
      <c r="K221" s="1199" t="e">
        <f t="shared" ca="1" si="93"/>
        <v>#REF!</v>
      </c>
      <c r="L221" s="1199" t="e">
        <f t="shared" ca="1" si="93"/>
        <v>#REF!</v>
      </c>
      <c r="M221" s="1199" t="e">
        <f t="shared" ca="1" si="93"/>
        <v>#REF!</v>
      </c>
      <c r="N221" s="1199" t="e">
        <f t="shared" ca="1" si="93"/>
        <v>#REF!</v>
      </c>
    </row>
    <row r="222" spans="2:21">
      <c r="B222" s="1166" t="str">
        <f t="shared" si="92"/>
        <v>HiSilicon</v>
      </c>
      <c r="C222" s="1200" t="e">
        <f t="shared" ref="C222:N222" ca="1" si="94">C$112*C150</f>
        <v>#REF!</v>
      </c>
      <c r="D222" s="1200" t="e">
        <f t="shared" ca="1" si="94"/>
        <v>#REF!</v>
      </c>
      <c r="E222" s="1200" t="e">
        <f t="shared" ca="1" si="94"/>
        <v>#REF!</v>
      </c>
      <c r="F222" s="1200" t="e">
        <f t="shared" ca="1" si="94"/>
        <v>#REF!</v>
      </c>
      <c r="G222" s="1200" t="e">
        <f t="shared" ca="1" si="94"/>
        <v>#REF!</v>
      </c>
      <c r="H222" s="1200" t="e">
        <f t="shared" ca="1" si="94"/>
        <v>#REF!</v>
      </c>
      <c r="I222" s="1200" t="e">
        <f t="shared" ca="1" si="94"/>
        <v>#REF!</v>
      </c>
      <c r="J222" s="1200" t="e">
        <f t="shared" ca="1" si="94"/>
        <v>#REF!</v>
      </c>
      <c r="K222" s="1200" t="e">
        <f t="shared" ca="1" si="94"/>
        <v>#REF!</v>
      </c>
      <c r="L222" s="1200" t="e">
        <f t="shared" ca="1" si="94"/>
        <v>#REF!</v>
      </c>
      <c r="M222" s="1200" t="e">
        <f t="shared" ca="1" si="94"/>
        <v>#REF!</v>
      </c>
      <c r="N222" s="1200" t="e">
        <f t="shared" ca="1" si="94"/>
        <v>#REF!</v>
      </c>
      <c r="Q222" s="1166" t="e">
        <f t="shared" ref="Q222:Q240" ca="1" si="95">G222-D222</f>
        <v>#REF!</v>
      </c>
      <c r="R222" s="1152" t="e">
        <f t="shared" ref="R222:R242" ca="1" si="96">Q222/$Q$256</f>
        <v>#REF!</v>
      </c>
      <c r="T222" s="1166" t="e">
        <f t="shared" ref="T222:T240" ca="1" si="97">N222-G222</f>
        <v>#REF!</v>
      </c>
      <c r="U222" s="1152" t="e">
        <f t="shared" ref="U222:U242" ca="1" si="98">T222/$T$256</f>
        <v>#REF!</v>
      </c>
    </row>
    <row r="223" spans="2:21">
      <c r="B223" s="1166" t="str">
        <f t="shared" si="92"/>
        <v>UniSoC</v>
      </c>
      <c r="C223" s="1200">
        <f t="shared" ref="C223:C240" ca="1" si="99">C$112*C151</f>
        <v>183.48872624000001</v>
      </c>
      <c r="D223" s="1200">
        <f t="shared" ref="D223:N223" ca="1" si="100">C223*(1+D187)</f>
        <v>183.48872624000001</v>
      </c>
      <c r="E223" s="1200">
        <f t="shared" ca="1" si="100"/>
        <v>229.36090780000001</v>
      </c>
      <c r="F223" s="1200">
        <f t="shared" ca="1" si="100"/>
        <v>286.70113474999999</v>
      </c>
      <c r="G223" s="1200">
        <f t="shared" ca="1" si="100"/>
        <v>358.37641843749998</v>
      </c>
      <c r="H223" s="1200">
        <f t="shared" ca="1" si="100"/>
        <v>430.05170212499996</v>
      </c>
      <c r="I223" s="1200">
        <f t="shared" ca="1" si="100"/>
        <v>516.06204254999989</v>
      </c>
      <c r="J223" s="1200">
        <f t="shared" ca="1" si="100"/>
        <v>593.47134893249984</v>
      </c>
      <c r="K223" s="1200">
        <f t="shared" ca="1" si="100"/>
        <v>682.49205127237474</v>
      </c>
      <c r="L223" s="1200">
        <f t="shared" ca="1" si="100"/>
        <v>784.86585896323083</v>
      </c>
      <c r="M223" s="1200">
        <f t="shared" ca="1" si="100"/>
        <v>902.59573780771541</v>
      </c>
      <c r="N223" s="1200">
        <f t="shared" ca="1" si="100"/>
        <v>1037.9850984788727</v>
      </c>
      <c r="Q223" s="1166">
        <f t="shared" ca="1" si="95"/>
        <v>174.88769219749997</v>
      </c>
      <c r="R223" s="1152" t="e">
        <f t="shared" ca="1" si="96"/>
        <v>#REF!</v>
      </c>
      <c r="T223" s="1166">
        <f t="shared" ca="1" si="97"/>
        <v>679.60868004137274</v>
      </c>
      <c r="U223" s="1152" t="e">
        <f t="shared" ca="1" si="98"/>
        <v>#REF!</v>
      </c>
    </row>
    <row r="224" spans="2:21">
      <c r="B224" s="1166" t="str">
        <f t="shared" si="92"/>
        <v>GigaDevice</v>
      </c>
      <c r="C224" s="1200">
        <f t="shared" ca="1" si="99"/>
        <v>151.19927999999999</v>
      </c>
      <c r="D224" s="1200">
        <f t="shared" ref="D224:N224" ca="1" si="101">C224*(1+D188)</f>
        <v>179.1711468</v>
      </c>
      <c r="E224" s="1200">
        <f t="shared" ca="1" si="101"/>
        <v>259.79816285999999</v>
      </c>
      <c r="F224" s="1200">
        <f t="shared" ca="1" si="101"/>
        <v>329.94366683219999</v>
      </c>
      <c r="G224" s="1200">
        <f t="shared" ca="1" si="101"/>
        <v>412.42958354025001</v>
      </c>
      <c r="H224" s="1200">
        <f t="shared" ca="1" si="101"/>
        <v>515.53697942531255</v>
      </c>
      <c r="I224" s="1200">
        <f t="shared" ca="1" si="101"/>
        <v>634.11048469313448</v>
      </c>
      <c r="J224" s="1200">
        <f t="shared" ca="1" si="101"/>
        <v>760.93258163176131</v>
      </c>
      <c r="K224" s="1200">
        <f t="shared" ca="1" si="101"/>
        <v>913.11909795811357</v>
      </c>
      <c r="L224" s="1200">
        <f t="shared" ca="1" si="101"/>
        <v>1050.0869626518306</v>
      </c>
      <c r="M224" s="1200">
        <f t="shared" ca="1" si="101"/>
        <v>1207.6000070496052</v>
      </c>
      <c r="N224" s="1200">
        <f t="shared" ca="1" si="101"/>
        <v>1388.7400081070459</v>
      </c>
      <c r="Q224" s="1166">
        <f t="shared" ca="1" si="95"/>
        <v>233.25843674025</v>
      </c>
      <c r="R224" s="1152" t="e">
        <f t="shared" ca="1" si="96"/>
        <v>#REF!</v>
      </c>
      <c r="T224" s="1166">
        <f t="shared" ca="1" si="97"/>
        <v>976.31042456679597</v>
      </c>
      <c r="U224" s="1152" t="e">
        <f t="shared" ca="1" si="98"/>
        <v>#REF!</v>
      </c>
    </row>
    <row r="225" spans="2:21">
      <c r="B225" s="1166" t="str">
        <f t="shared" si="92"/>
        <v>Will Semi</v>
      </c>
      <c r="C225" s="1200">
        <f t="shared" ca="1" si="99"/>
        <v>34.104434742194186</v>
      </c>
      <c r="D225" s="1200">
        <f t="shared" ref="D225:N225" ca="1" si="102">C225*(1+D189)</f>
        <v>40.92532169063302</v>
      </c>
      <c r="E225" s="1200">
        <f t="shared" ca="1" si="102"/>
        <v>163.70128676253208</v>
      </c>
      <c r="F225" s="1200">
        <f t="shared" ca="1" si="102"/>
        <v>299.5733547754337</v>
      </c>
      <c r="G225" s="1200">
        <f t="shared" ca="1" si="102"/>
        <v>402.47152481693115</v>
      </c>
      <c r="H225" s="1200">
        <f t="shared" ca="1" si="102"/>
        <v>583.32146632210004</v>
      </c>
      <c r="I225" s="1200">
        <f t="shared" ca="1" si="102"/>
        <v>804.83710244980659</v>
      </c>
      <c r="J225" s="1200">
        <f t="shared" ca="1" si="102"/>
        <v>1031.6793132671066</v>
      </c>
      <c r="K225" s="1200">
        <f t="shared" ca="1" si="102"/>
        <v>1290.0439213989621</v>
      </c>
      <c r="L225" s="1200">
        <f t="shared" ca="1" si="102"/>
        <v>1483.5505096088064</v>
      </c>
      <c r="M225" s="1200">
        <f t="shared" ca="1" si="102"/>
        <v>1706.0830860501271</v>
      </c>
      <c r="N225" s="1200">
        <f t="shared" ca="1" si="102"/>
        <v>1961.995548957646</v>
      </c>
      <c r="Q225" s="1166">
        <f t="shared" ca="1" si="95"/>
        <v>361.54620312629811</v>
      </c>
      <c r="R225" s="1152" t="e">
        <f t="shared" ca="1" si="96"/>
        <v>#REF!</v>
      </c>
      <c r="T225" s="1166">
        <f t="shared" ca="1" si="97"/>
        <v>1559.5240241407148</v>
      </c>
      <c r="U225" s="1152" t="e">
        <f t="shared" ca="1" si="98"/>
        <v>#REF!</v>
      </c>
    </row>
    <row r="226" spans="2:21">
      <c r="B226" s="1166" t="str">
        <f t="shared" si="92"/>
        <v>ZTE Micro</v>
      </c>
      <c r="C226" s="1200">
        <f t="shared" ca="1" si="99"/>
        <v>132.28257008</v>
      </c>
      <c r="D226" s="1200">
        <f t="shared" ref="D226:N226" ca="1" si="103">C226*(1+D190)</f>
        <v>132.28257008</v>
      </c>
      <c r="E226" s="1200">
        <f t="shared" ca="1" si="103"/>
        <v>165.35321260000001</v>
      </c>
      <c r="F226" s="1200">
        <f t="shared" ca="1" si="103"/>
        <v>206.69151575000001</v>
      </c>
      <c r="G226" s="1200">
        <f t="shared" ca="1" si="103"/>
        <v>258.36439468750001</v>
      </c>
      <c r="H226" s="1200">
        <f t="shared" ca="1" si="103"/>
        <v>322.955493359375</v>
      </c>
      <c r="I226" s="1200">
        <f t="shared" ca="1" si="103"/>
        <v>371.39881736328124</v>
      </c>
      <c r="J226" s="1200">
        <f t="shared" ca="1" si="103"/>
        <v>427.1086399677734</v>
      </c>
      <c r="K226" s="1200">
        <f t="shared" ca="1" si="103"/>
        <v>491.17493596293934</v>
      </c>
      <c r="L226" s="1200">
        <f t="shared" ca="1" si="103"/>
        <v>564.85117635738015</v>
      </c>
      <c r="M226" s="1200">
        <f t="shared" ca="1" si="103"/>
        <v>649.57885281098709</v>
      </c>
      <c r="N226" s="1200">
        <f t="shared" ca="1" si="103"/>
        <v>747.01568073263513</v>
      </c>
      <c r="Q226" s="1166">
        <f t="shared" ca="1" si="95"/>
        <v>126.08182460750001</v>
      </c>
      <c r="R226" s="1152" t="e">
        <f t="shared" ca="1" si="96"/>
        <v>#REF!</v>
      </c>
      <c r="T226" s="1166">
        <f t="shared" ca="1" si="97"/>
        <v>488.65128604513512</v>
      </c>
      <c r="U226" s="1152" t="e">
        <f t="shared" ca="1" si="98"/>
        <v>#REF!</v>
      </c>
    </row>
    <row r="227" spans="2:21">
      <c r="B227" s="1166" t="str">
        <f t="shared" si="92"/>
        <v>Galaxycore</v>
      </c>
      <c r="C227" s="1200">
        <f t="shared" ca="1" si="99"/>
        <v>119.48103104</v>
      </c>
      <c r="D227" s="1200">
        <f t="shared" ref="D227:N227" ca="1" si="104">C227*(1+D191)</f>
        <v>119.48103104</v>
      </c>
      <c r="E227" s="1200">
        <f t="shared" ca="1" si="104"/>
        <v>149.35128880000002</v>
      </c>
      <c r="F227" s="1200">
        <f t="shared" ca="1" si="104"/>
        <v>186.68911100000003</v>
      </c>
      <c r="G227" s="1200">
        <f t="shared" ca="1" si="104"/>
        <v>224.02693320000003</v>
      </c>
      <c r="H227" s="1200">
        <f t="shared" ca="1" si="104"/>
        <v>268.83231984000003</v>
      </c>
      <c r="I227" s="1200">
        <f t="shared" ca="1" si="104"/>
        <v>322.59878380800001</v>
      </c>
      <c r="J227" s="1200">
        <f t="shared" ca="1" si="104"/>
        <v>387.11854056959999</v>
      </c>
      <c r="K227" s="1200">
        <f t="shared" ca="1" si="104"/>
        <v>445.18632165503993</v>
      </c>
      <c r="L227" s="1200">
        <f t="shared" ca="1" si="104"/>
        <v>511.96426990329587</v>
      </c>
      <c r="M227" s="1200">
        <f t="shared" ca="1" si="104"/>
        <v>588.75891038879024</v>
      </c>
      <c r="N227" s="1200">
        <f t="shared" ca="1" si="104"/>
        <v>677.07274694710873</v>
      </c>
      <c r="Q227" s="1166">
        <f t="shared" ca="1" si="95"/>
        <v>104.54590216000003</v>
      </c>
      <c r="R227" s="1152" t="e">
        <f t="shared" ca="1" si="96"/>
        <v>#REF!</v>
      </c>
      <c r="T227" s="1166">
        <f t="shared" ca="1" si="97"/>
        <v>453.0458137471087</v>
      </c>
      <c r="U227" s="1152" t="e">
        <f t="shared" ca="1" si="98"/>
        <v>#REF!</v>
      </c>
    </row>
    <row r="228" spans="2:21">
      <c r="B228" s="1166" t="str">
        <f t="shared" si="92"/>
        <v>Unigroup Guoxin</v>
      </c>
      <c r="C228" s="1200">
        <f t="shared" ca="1" si="99"/>
        <v>106.679492</v>
      </c>
      <c r="D228" s="1200">
        <f t="shared" ref="D228:N228" ca="1" si="105">C228*(1+D192)</f>
        <v>96.011542800000001</v>
      </c>
      <c r="E228" s="1200">
        <f t="shared" ca="1" si="105"/>
        <v>115.21385135999999</v>
      </c>
      <c r="F228" s="1200">
        <f t="shared" ca="1" si="105"/>
        <v>132.49592906399999</v>
      </c>
      <c r="G228" s="1200">
        <f t="shared" ca="1" si="105"/>
        <v>152.37031842359997</v>
      </c>
      <c r="H228" s="1200">
        <f t="shared" ca="1" si="105"/>
        <v>175.22586618713996</v>
      </c>
      <c r="I228" s="1200">
        <f t="shared" ca="1" si="105"/>
        <v>201.50974611521093</v>
      </c>
      <c r="J228" s="1200">
        <f t="shared" ca="1" si="105"/>
        <v>231.73620803249256</v>
      </c>
      <c r="K228" s="1200">
        <f t="shared" ca="1" si="105"/>
        <v>266.49663923736642</v>
      </c>
      <c r="L228" s="1200">
        <f t="shared" ca="1" si="105"/>
        <v>306.47113512297136</v>
      </c>
      <c r="M228" s="1200">
        <f t="shared" ca="1" si="105"/>
        <v>352.44180539141706</v>
      </c>
      <c r="N228" s="1200">
        <f t="shared" ca="1" si="105"/>
        <v>405.30807620012956</v>
      </c>
      <c r="Q228" s="1166">
        <f t="shared" ca="1" si="95"/>
        <v>56.358775623599968</v>
      </c>
      <c r="R228" s="1152" t="e">
        <f t="shared" ca="1" si="96"/>
        <v>#REF!</v>
      </c>
      <c r="T228" s="1166">
        <f t="shared" ca="1" si="97"/>
        <v>252.93775777652959</v>
      </c>
      <c r="U228" s="1152" t="e">
        <f t="shared" ca="1" si="98"/>
        <v>#REF!</v>
      </c>
    </row>
    <row r="229" spans="2:21">
      <c r="B229" s="1166" t="str">
        <f t="shared" si="92"/>
        <v>Jieli</v>
      </c>
      <c r="C229" s="1200">
        <f t="shared" ca="1" si="99"/>
        <v>89.610773280000004</v>
      </c>
      <c r="D229" s="1200">
        <f t="shared" ref="D229:N229" ca="1" si="106">C229*(1+D193)</f>
        <v>98.571850608000005</v>
      </c>
      <c r="E229" s="1200">
        <f t="shared" ca="1" si="106"/>
        <v>123.21481326</v>
      </c>
      <c r="F229" s="1200">
        <f t="shared" ca="1" si="106"/>
        <v>154.01851657500001</v>
      </c>
      <c r="G229" s="1200">
        <f t="shared" ca="1" si="106"/>
        <v>184.82221989000001</v>
      </c>
      <c r="H229" s="1200">
        <f t="shared" ca="1" si="106"/>
        <v>221.78666386800001</v>
      </c>
      <c r="I229" s="1200">
        <f t="shared" ca="1" si="106"/>
        <v>255.05466344819999</v>
      </c>
      <c r="J229" s="1200">
        <f t="shared" ca="1" si="106"/>
        <v>293.31286296542999</v>
      </c>
      <c r="K229" s="1200">
        <f t="shared" ca="1" si="106"/>
        <v>337.30979241024448</v>
      </c>
      <c r="L229" s="1200">
        <f t="shared" ca="1" si="106"/>
        <v>387.90626127178115</v>
      </c>
      <c r="M229" s="1200">
        <f t="shared" ca="1" si="106"/>
        <v>446.09220046254831</v>
      </c>
      <c r="N229" s="1200">
        <f t="shared" ca="1" si="106"/>
        <v>513.00603053193049</v>
      </c>
      <c r="Q229" s="1166">
        <f t="shared" ca="1" si="95"/>
        <v>86.250369282000008</v>
      </c>
      <c r="R229" s="1152" t="e">
        <f t="shared" ca="1" si="96"/>
        <v>#REF!</v>
      </c>
      <c r="T229" s="1166">
        <f t="shared" ca="1" si="97"/>
        <v>328.18381064193045</v>
      </c>
      <c r="U229" s="1152" t="e">
        <f t="shared" ca="1" si="98"/>
        <v>#REF!</v>
      </c>
    </row>
    <row r="230" spans="2:21">
      <c r="B230" s="1166" t="str">
        <f t="shared" si="92"/>
        <v>VeriSilicon</v>
      </c>
      <c r="C230" s="1200">
        <f t="shared" ca="1" si="99"/>
        <v>64.007695200000001</v>
      </c>
      <c r="D230" s="1200">
        <f t="shared" ref="D230:N230" ca="1" si="107">C230*(1+D194)</f>
        <v>64.007695200000001</v>
      </c>
      <c r="E230" s="1200">
        <f t="shared" ca="1" si="107"/>
        <v>76.809234239999995</v>
      </c>
      <c r="F230" s="1200">
        <f t="shared" ca="1" si="107"/>
        <v>92.171081087999994</v>
      </c>
      <c r="G230" s="1200">
        <f t="shared" ca="1" si="107"/>
        <v>110.60529730559999</v>
      </c>
      <c r="H230" s="1200">
        <f t="shared" ca="1" si="107"/>
        <v>132.72635676671999</v>
      </c>
      <c r="I230" s="1200">
        <f t="shared" ca="1" si="107"/>
        <v>159.27162812006398</v>
      </c>
      <c r="J230" s="1200">
        <f t="shared" ca="1" si="107"/>
        <v>191.12595374407678</v>
      </c>
      <c r="K230" s="1200">
        <f t="shared" ca="1" si="107"/>
        <v>229.35114449289213</v>
      </c>
      <c r="L230" s="1200">
        <f t="shared" ca="1" si="107"/>
        <v>275.22137339147054</v>
      </c>
      <c r="M230" s="1200">
        <f t="shared" ca="1" si="107"/>
        <v>330.26564806976461</v>
      </c>
      <c r="N230" s="1200">
        <f t="shared" ca="1" si="107"/>
        <v>396.31877768371754</v>
      </c>
      <c r="Q230" s="1166">
        <f t="shared" ca="1" si="95"/>
        <v>46.597602105599989</v>
      </c>
      <c r="R230" s="1152" t="e">
        <f t="shared" ca="1" si="96"/>
        <v>#REF!</v>
      </c>
      <c r="T230" s="1166">
        <f t="shared" ca="1" si="97"/>
        <v>285.71348037811754</v>
      </c>
      <c r="U230" s="1152" t="e">
        <f t="shared" ca="1" si="98"/>
        <v>#REF!</v>
      </c>
    </row>
    <row r="231" spans="2:21">
      <c r="B231" s="1166" t="str">
        <f t="shared" si="92"/>
        <v>Brite Semi</v>
      </c>
      <c r="C231" s="1200">
        <f t="shared" ca="1" si="99"/>
        <v>42.671796800000003</v>
      </c>
      <c r="D231" s="1200">
        <f t="shared" ref="D231:N231" ca="1" si="108">C231*(1+D195)</f>
        <v>38.404617120000005</v>
      </c>
      <c r="E231" s="1200">
        <f t="shared" ca="1" si="108"/>
        <v>46.085540544000004</v>
      </c>
      <c r="F231" s="1200">
        <f t="shared" ca="1" si="108"/>
        <v>55.302648652800002</v>
      </c>
      <c r="G231" s="1200">
        <f t="shared" ca="1" si="108"/>
        <v>66.363178383359994</v>
      </c>
      <c r="H231" s="1200">
        <f t="shared" ca="1" si="108"/>
        <v>79.63581406003199</v>
      </c>
      <c r="I231" s="1200">
        <f t="shared" ca="1" si="108"/>
        <v>91.581186169036783</v>
      </c>
      <c r="J231" s="1200">
        <f t="shared" ca="1" si="108"/>
        <v>109.89742340284414</v>
      </c>
      <c r="K231" s="1200">
        <f t="shared" ca="1" si="108"/>
        <v>131.87690808341296</v>
      </c>
      <c r="L231" s="1200">
        <f t="shared" ca="1" si="108"/>
        <v>158.25228970009553</v>
      </c>
      <c r="M231" s="1200">
        <f t="shared" ca="1" si="108"/>
        <v>189.90274764011463</v>
      </c>
      <c r="N231" s="1200">
        <f t="shared" ca="1" si="108"/>
        <v>227.88329716813755</v>
      </c>
      <c r="Q231" s="1166">
        <f t="shared" ca="1" si="95"/>
        <v>27.958561263359989</v>
      </c>
      <c r="R231" s="1152" t="e">
        <f t="shared" ca="1" si="96"/>
        <v>#REF!</v>
      </c>
      <c r="T231" s="1166">
        <f t="shared" ca="1" si="97"/>
        <v>161.52011878477754</v>
      </c>
      <c r="U231" s="1152" t="e">
        <f t="shared" ca="1" si="98"/>
        <v>#REF!</v>
      </c>
    </row>
    <row r="232" spans="2:21">
      <c r="B232" s="1166" t="str">
        <f t="shared" si="92"/>
        <v>Allwinner</v>
      </c>
      <c r="C232" s="1200">
        <f t="shared" ca="1" si="99"/>
        <v>34.137437439999999</v>
      </c>
      <c r="D232" s="1200">
        <f t="shared" ref="D232:N232" ca="1" si="109">C232*(1+D196)</f>
        <v>31.4064424448</v>
      </c>
      <c r="E232" s="1200">
        <f t="shared" ca="1" si="109"/>
        <v>36.117408811519994</v>
      </c>
      <c r="F232" s="1200">
        <f t="shared" ca="1" si="109"/>
        <v>41.53502013324799</v>
      </c>
      <c r="G232" s="1200">
        <f t="shared" ca="1" si="109"/>
        <v>47.765273153235185</v>
      </c>
      <c r="H232" s="1200">
        <f t="shared" ca="1" si="109"/>
        <v>54.930064126220458</v>
      </c>
      <c r="I232" s="1200">
        <f t="shared" ca="1" si="109"/>
        <v>63.169573745153521</v>
      </c>
      <c r="J232" s="1200">
        <f t="shared" ca="1" si="109"/>
        <v>72.645009806926538</v>
      </c>
      <c r="K232" s="1200">
        <f t="shared" ca="1" si="109"/>
        <v>83.541761277965506</v>
      </c>
      <c r="L232" s="1200">
        <f t="shared" ca="1" si="109"/>
        <v>96.073025469660323</v>
      </c>
      <c r="M232" s="1200">
        <f t="shared" ca="1" si="109"/>
        <v>110.48397929010936</v>
      </c>
      <c r="N232" s="1200">
        <f t="shared" ca="1" si="109"/>
        <v>127.05657618362575</v>
      </c>
      <c r="Q232" s="1166">
        <f t="shared" ca="1" si="95"/>
        <v>16.358830708435185</v>
      </c>
      <c r="R232" s="1152" t="e">
        <f t="shared" ca="1" si="96"/>
        <v>#REF!</v>
      </c>
      <c r="T232" s="1166">
        <f t="shared" ca="1" si="97"/>
        <v>79.291303030390566</v>
      </c>
      <c r="U232" s="1152" t="e">
        <f t="shared" ca="1" si="98"/>
        <v>#REF!</v>
      </c>
    </row>
    <row r="233" spans="2:21">
      <c r="B233" s="1166" t="str">
        <f t="shared" si="92"/>
        <v>Fullhan</v>
      </c>
      <c r="C233" s="1200">
        <f t="shared" ca="1" si="99"/>
        <v>29.870257760000001</v>
      </c>
      <c r="D233" s="1200">
        <f t="shared" ref="D233:N233" ca="1" si="110">C233*(1+D197)</f>
        <v>31.363770648000003</v>
      </c>
      <c r="E233" s="1200">
        <f t="shared" ca="1" si="110"/>
        <v>37.636524777600002</v>
      </c>
      <c r="F233" s="1200">
        <f t="shared" ca="1" si="110"/>
        <v>45.163829733120004</v>
      </c>
      <c r="G233" s="1200">
        <f t="shared" ca="1" si="110"/>
        <v>54.196595679744</v>
      </c>
      <c r="H233" s="1200">
        <f t="shared" ca="1" si="110"/>
        <v>65.035914815692792</v>
      </c>
      <c r="I233" s="1200">
        <f t="shared" ca="1" si="110"/>
        <v>78.043097778831353</v>
      </c>
      <c r="J233" s="1200">
        <f t="shared" ca="1" si="110"/>
        <v>93.65171733459762</v>
      </c>
      <c r="K233" s="1200">
        <f t="shared" ca="1" si="110"/>
        <v>112.38206080151714</v>
      </c>
      <c r="L233" s="1200">
        <f t="shared" ca="1" si="110"/>
        <v>134.85847296182055</v>
      </c>
      <c r="M233" s="1200">
        <f t="shared" ca="1" si="110"/>
        <v>161.83016755418467</v>
      </c>
      <c r="N233" s="1200">
        <f t="shared" ca="1" si="110"/>
        <v>194.1962010650216</v>
      </c>
      <c r="Q233" s="1166">
        <f t="shared" ca="1" si="95"/>
        <v>22.832825031743997</v>
      </c>
      <c r="R233" s="1152" t="e">
        <f t="shared" ca="1" si="96"/>
        <v>#REF!</v>
      </c>
      <c r="T233" s="1166">
        <f t="shared" ca="1" si="97"/>
        <v>139.99960538527759</v>
      </c>
      <c r="U233" s="1152" t="e">
        <f t="shared" ca="1" si="98"/>
        <v>#REF!</v>
      </c>
    </row>
    <row r="234" spans="2:21">
      <c r="B234" s="1166" t="str">
        <f t="shared" si="92"/>
        <v>Rockchip</v>
      </c>
      <c r="C234" s="1200">
        <f t="shared" ca="1" si="99"/>
        <v>21.335898400000001</v>
      </c>
      <c r="D234" s="1200">
        <f t="shared" ref="D234:N234" ca="1" si="111">C234*(1+D198)</f>
        <v>19.842385512</v>
      </c>
      <c r="E234" s="1200">
        <f t="shared" ca="1" si="111"/>
        <v>23.810862614399998</v>
      </c>
      <c r="F234" s="1200">
        <f t="shared" ca="1" si="111"/>
        <v>28.573035137279998</v>
      </c>
      <c r="G234" s="1200">
        <f t="shared" ca="1" si="111"/>
        <v>34.287642164735999</v>
      </c>
      <c r="H234" s="1200">
        <f t="shared" ca="1" si="111"/>
        <v>39.430788489446392</v>
      </c>
      <c r="I234" s="1200">
        <f t="shared" ca="1" si="111"/>
        <v>45.345406762863348</v>
      </c>
      <c r="J234" s="1200">
        <f t="shared" ca="1" si="111"/>
        <v>52.147217777292845</v>
      </c>
      <c r="K234" s="1200">
        <f t="shared" ca="1" si="111"/>
        <v>59.969300443886766</v>
      </c>
      <c r="L234" s="1200">
        <f t="shared" ca="1" si="111"/>
        <v>68.964695510469781</v>
      </c>
      <c r="M234" s="1200">
        <f t="shared" ca="1" si="111"/>
        <v>79.309399837040246</v>
      </c>
      <c r="N234" s="1200">
        <f t="shared" ca="1" si="111"/>
        <v>91.205809812596272</v>
      </c>
      <c r="Q234" s="1166">
        <f t="shared" ca="1" si="95"/>
        <v>14.445256652735999</v>
      </c>
      <c r="R234" s="1152" t="e">
        <f t="shared" ca="1" si="96"/>
        <v>#REF!</v>
      </c>
      <c r="T234" s="1166">
        <f t="shared" ca="1" si="97"/>
        <v>56.918167647860272</v>
      </c>
      <c r="U234" s="1152" t="e">
        <f t="shared" ca="1" si="98"/>
        <v>#REF!</v>
      </c>
    </row>
    <row r="235" spans="2:21">
      <c r="B235" s="1166" t="str">
        <f t="shared" si="92"/>
        <v>Bright Power</v>
      </c>
      <c r="C235" s="1200">
        <f t="shared" ca="1" si="99"/>
        <v>21.335898400000001</v>
      </c>
      <c r="D235" s="1200">
        <f t="shared" ref="D235:N235" ca="1" si="112">C235*(1+D199)</f>
        <v>22.402693320000001</v>
      </c>
      <c r="E235" s="1200">
        <f t="shared" ca="1" si="112"/>
        <v>26.883231984000002</v>
      </c>
      <c r="F235" s="1200">
        <f t="shared" ca="1" si="112"/>
        <v>32.259878380800004</v>
      </c>
      <c r="G235" s="1200">
        <f t="shared" ca="1" si="112"/>
        <v>38.71185405696</v>
      </c>
      <c r="H235" s="1200">
        <f t="shared" ca="1" si="112"/>
        <v>44.518632165503995</v>
      </c>
      <c r="I235" s="1200">
        <f t="shared" ca="1" si="112"/>
        <v>51.196426990329591</v>
      </c>
      <c r="J235" s="1200">
        <f t="shared" ca="1" si="112"/>
        <v>58.875891038879026</v>
      </c>
      <c r="K235" s="1200">
        <f t="shared" ca="1" si="112"/>
        <v>67.707274694710875</v>
      </c>
      <c r="L235" s="1200">
        <f t="shared" ca="1" si="112"/>
        <v>77.863365898917507</v>
      </c>
      <c r="M235" s="1200">
        <f t="shared" ca="1" si="112"/>
        <v>89.54287078375512</v>
      </c>
      <c r="N235" s="1200">
        <f t="shared" ca="1" si="112"/>
        <v>102.97430140131839</v>
      </c>
      <c r="Q235" s="1166">
        <f t="shared" ca="1" si="95"/>
        <v>16.309160736959999</v>
      </c>
      <c r="R235" s="1152" t="e">
        <f t="shared" ca="1" si="96"/>
        <v>#REF!</v>
      </c>
      <c r="T235" s="1166">
        <f t="shared" ca="1" si="97"/>
        <v>64.262447344358378</v>
      </c>
      <c r="U235" s="1152" t="e">
        <f t="shared" ca="1" si="98"/>
        <v>#REF!</v>
      </c>
    </row>
    <row r="236" spans="2:21">
      <c r="B236" s="1166" t="str">
        <f t="shared" si="92"/>
        <v>Datang Micro</v>
      </c>
      <c r="C236" s="1200">
        <f t="shared" ca="1" si="99"/>
        <v>12.80153904</v>
      </c>
      <c r="D236" s="1200">
        <f t="shared" ref="D236:N236" ca="1" si="113">C236*(1+D200)</f>
        <v>11.905431307199999</v>
      </c>
      <c r="E236" s="1200">
        <f t="shared" ca="1" si="113"/>
        <v>13.095974437919999</v>
      </c>
      <c r="F236" s="1200">
        <f t="shared" ca="1" si="113"/>
        <v>14.405571881712</v>
      </c>
      <c r="G236" s="1200">
        <f t="shared" ca="1" si="113"/>
        <v>15.846129069883201</v>
      </c>
      <c r="H236" s="1200">
        <f t="shared" ca="1" si="113"/>
        <v>17.430741976871523</v>
      </c>
      <c r="I236" s="1200">
        <f t="shared" ca="1" si="113"/>
        <v>19.173816174558677</v>
      </c>
      <c r="J236" s="1200">
        <f t="shared" ca="1" si="113"/>
        <v>21.091197792014547</v>
      </c>
      <c r="K236" s="1200">
        <f t="shared" ca="1" si="113"/>
        <v>23.200317571216004</v>
      </c>
      <c r="L236" s="1200">
        <f t="shared" ca="1" si="113"/>
        <v>25.520349328337605</v>
      </c>
      <c r="M236" s="1200">
        <f t="shared" ca="1" si="113"/>
        <v>28.072384261171369</v>
      </c>
      <c r="N236" s="1200">
        <f t="shared" ca="1" si="113"/>
        <v>30.879622687288506</v>
      </c>
      <c r="Q236" s="1166">
        <f t="shared" ca="1" si="95"/>
        <v>3.940697762683202</v>
      </c>
      <c r="R236" s="1152" t="e">
        <f t="shared" ca="1" si="96"/>
        <v>#REF!</v>
      </c>
      <c r="T236" s="1166">
        <f t="shared" ca="1" si="97"/>
        <v>15.033493617405306</v>
      </c>
      <c r="U236" s="1152" t="e">
        <f t="shared" ca="1" si="98"/>
        <v>#REF!</v>
      </c>
    </row>
    <row r="237" spans="2:21">
      <c r="B237" s="1166" t="str">
        <f t="shared" si="92"/>
        <v>Beken</v>
      </c>
      <c r="C237" s="1200">
        <f t="shared" ca="1" si="99"/>
        <v>17.06871872</v>
      </c>
      <c r="D237" s="1200">
        <f t="shared" ref="D237:N237" ca="1" si="114">C237*(1+D201)</f>
        <v>17.06871872</v>
      </c>
      <c r="E237" s="1200">
        <f t="shared" ca="1" si="114"/>
        <v>18.775590592</v>
      </c>
      <c r="F237" s="1200">
        <f t="shared" ca="1" si="114"/>
        <v>20.653149651200003</v>
      </c>
      <c r="G237" s="1200">
        <f t="shared" ca="1" si="114"/>
        <v>22.718464616320006</v>
      </c>
      <c r="H237" s="1200">
        <f t="shared" ca="1" si="114"/>
        <v>24.990311077952008</v>
      </c>
      <c r="I237" s="1200">
        <f t="shared" ca="1" si="114"/>
        <v>27.489342185747212</v>
      </c>
      <c r="J237" s="1200">
        <f t="shared" ca="1" si="114"/>
        <v>30.238276404321937</v>
      </c>
      <c r="K237" s="1200">
        <f t="shared" ca="1" si="114"/>
        <v>33.262104044754132</v>
      </c>
      <c r="L237" s="1200">
        <f t="shared" ca="1" si="114"/>
        <v>36.58831444922955</v>
      </c>
      <c r="M237" s="1200">
        <f t="shared" ca="1" si="114"/>
        <v>40.24714589415251</v>
      </c>
      <c r="N237" s="1200">
        <f t="shared" ca="1" si="114"/>
        <v>44.271860483567764</v>
      </c>
      <c r="Q237" s="1166">
        <f t="shared" ca="1" si="95"/>
        <v>5.649745896320006</v>
      </c>
      <c r="R237" s="1152" t="e">
        <f t="shared" ca="1" si="96"/>
        <v>#REF!</v>
      </c>
      <c r="T237" s="1166">
        <f t="shared" ca="1" si="97"/>
        <v>21.553395867247758</v>
      </c>
      <c r="U237" s="1152" t="e">
        <f t="shared" ca="1" si="98"/>
        <v>#REF!</v>
      </c>
    </row>
    <row r="238" spans="2:21">
      <c r="B238" s="1166" t="str">
        <f t="shared" si="92"/>
        <v>MEMSensing</v>
      </c>
      <c r="C238" s="1200">
        <f t="shared" ca="1" si="99"/>
        <v>8.5343593599999998</v>
      </c>
      <c r="D238" s="1200">
        <f t="shared" ref="D238:N238" ca="1" si="115">C238*(1+D202)</f>
        <v>8.1076413919999997</v>
      </c>
      <c r="E238" s="1200">
        <f t="shared" ca="1" si="115"/>
        <v>8.9184055312000012</v>
      </c>
      <c r="F238" s="1200">
        <f t="shared" ca="1" si="115"/>
        <v>9.8102460843200028</v>
      </c>
      <c r="G238" s="1200">
        <f t="shared" ca="1" si="115"/>
        <v>10.791270692752004</v>
      </c>
      <c r="H238" s="1200">
        <f t="shared" ca="1" si="115"/>
        <v>11.870397762027206</v>
      </c>
      <c r="I238" s="1200">
        <f t="shared" ca="1" si="115"/>
        <v>13.057437538229928</v>
      </c>
      <c r="J238" s="1200">
        <f t="shared" ca="1" si="115"/>
        <v>14.363181292052923</v>
      </c>
      <c r="K238" s="1200">
        <f t="shared" ca="1" si="115"/>
        <v>15.799499421258217</v>
      </c>
      <c r="L238" s="1200">
        <f t="shared" ca="1" si="115"/>
        <v>17.37944936338404</v>
      </c>
      <c r="M238" s="1200">
        <f t="shared" ca="1" si="115"/>
        <v>19.117394299722445</v>
      </c>
      <c r="N238" s="1200">
        <f t="shared" ca="1" si="115"/>
        <v>21.029133729694692</v>
      </c>
      <c r="Q238" s="1166">
        <f t="shared" ca="1" si="95"/>
        <v>2.6836293007520045</v>
      </c>
      <c r="R238" s="1152" t="e">
        <f t="shared" ca="1" si="96"/>
        <v>#REF!</v>
      </c>
      <c r="T238" s="1166">
        <f t="shared" ca="1" si="97"/>
        <v>10.237863036942688</v>
      </c>
      <c r="U238" s="1152" t="e">
        <f t="shared" ca="1" si="98"/>
        <v>#REF!</v>
      </c>
    </row>
    <row r="239" spans="2:21">
      <c r="B239" s="1166" t="str">
        <f t="shared" si="92"/>
        <v>Ingenic</v>
      </c>
      <c r="C239" s="1200">
        <f t="shared" ca="1" si="99"/>
        <v>8.5343593599999998</v>
      </c>
      <c r="D239" s="1200">
        <f t="shared" ref="D239:N239" ca="1" si="116">C239*(1+D203)</f>
        <v>8.5343593599999998</v>
      </c>
      <c r="E239" s="1200">
        <f t="shared" ca="1" si="116"/>
        <v>9.3877952960000002</v>
      </c>
      <c r="F239" s="1200">
        <f t="shared" ca="1" si="116"/>
        <v>10.326574825600002</v>
      </c>
      <c r="G239" s="1200">
        <f t="shared" ca="1" si="116"/>
        <v>11.359232308160003</v>
      </c>
      <c r="H239" s="1200">
        <f t="shared" ca="1" si="116"/>
        <v>12.495155538976004</v>
      </c>
      <c r="I239" s="1200">
        <f t="shared" ca="1" si="116"/>
        <v>13.744671092873606</v>
      </c>
      <c r="J239" s="1200">
        <f t="shared" ca="1" si="116"/>
        <v>15.119138202160968</v>
      </c>
      <c r="K239" s="1200">
        <f t="shared" ca="1" si="116"/>
        <v>16.631052022377066</v>
      </c>
      <c r="L239" s="1200">
        <f t="shared" ca="1" si="116"/>
        <v>18.294157224614775</v>
      </c>
      <c r="M239" s="1200">
        <f t="shared" ca="1" si="116"/>
        <v>20.123572947076255</v>
      </c>
      <c r="N239" s="1200">
        <f t="shared" ca="1" si="116"/>
        <v>22.135930241783882</v>
      </c>
      <c r="Q239" s="1166">
        <f t="shared" ca="1" si="95"/>
        <v>2.824872948160003</v>
      </c>
      <c r="R239" s="1152" t="e">
        <f t="shared" ca="1" si="96"/>
        <v>#REF!</v>
      </c>
      <c r="T239" s="1166">
        <f t="shared" ca="1" si="97"/>
        <v>10.776697933623879</v>
      </c>
      <c r="U239" s="1152" t="e">
        <f t="shared" ca="1" si="98"/>
        <v>#REF!</v>
      </c>
    </row>
    <row r="240" spans="2:21">
      <c r="B240" s="1166" t="str">
        <f t="shared" si="92"/>
        <v>Leadcore</v>
      </c>
      <c r="C240" s="1200">
        <f t="shared" ca="1" si="99"/>
        <v>4.2671796799999999</v>
      </c>
      <c r="D240" s="1200">
        <f t="shared" ref="D240:N240" ca="1" si="117">C240*(1+D204)</f>
        <v>4.2671796799999999</v>
      </c>
      <c r="E240" s="1200">
        <f t="shared" ca="1" si="117"/>
        <v>4.6938976480000001</v>
      </c>
      <c r="F240" s="1200">
        <f t="shared" ca="1" si="117"/>
        <v>5.1632874128000008</v>
      </c>
      <c r="G240" s="1200">
        <f t="shared" ca="1" si="117"/>
        <v>5.6796161540800014</v>
      </c>
      <c r="H240" s="1200">
        <f t="shared" ca="1" si="117"/>
        <v>6.2475777694880019</v>
      </c>
      <c r="I240" s="1200">
        <f t="shared" ca="1" si="117"/>
        <v>6.872335546436803</v>
      </c>
      <c r="J240" s="1200">
        <f t="shared" ca="1" si="117"/>
        <v>7.5595691010804842</v>
      </c>
      <c r="K240" s="1200">
        <f t="shared" ca="1" si="117"/>
        <v>8.315526011188533</v>
      </c>
      <c r="L240" s="1200">
        <f t="shared" ca="1" si="117"/>
        <v>9.1470786123073875</v>
      </c>
      <c r="M240" s="1200">
        <f t="shared" ca="1" si="117"/>
        <v>10.061786473538127</v>
      </c>
      <c r="N240" s="1200">
        <f t="shared" ca="1" si="117"/>
        <v>11.067965120891941</v>
      </c>
      <c r="Q240" s="1166">
        <f t="shared" ca="1" si="95"/>
        <v>1.4124364740800015</v>
      </c>
      <c r="R240" s="1152" t="e">
        <f t="shared" ca="1" si="96"/>
        <v>#REF!</v>
      </c>
      <c r="T240" s="1166">
        <f t="shared" ca="1" si="97"/>
        <v>5.3883489668119395</v>
      </c>
      <c r="U240" s="1152" t="e">
        <f t="shared" ca="1" si="98"/>
        <v>#REF!</v>
      </c>
    </row>
    <row r="241" spans="2:21">
      <c r="B241" s="1166" t="str">
        <f t="shared" si="92"/>
        <v>Pango</v>
      </c>
      <c r="C241" s="1200"/>
      <c r="D241" s="1200"/>
      <c r="E241" s="1200"/>
      <c r="F241" s="1200">
        <f>F$112*F169</f>
        <v>5.4431120000000002</v>
      </c>
      <c r="G241" s="1200">
        <f t="shared" ref="G241:N241" si="118">F241*(1+G205)</f>
        <v>10.886224</v>
      </c>
      <c r="H241" s="1200">
        <f t="shared" si="118"/>
        <v>17.4179584</v>
      </c>
      <c r="I241" s="1200">
        <f t="shared" si="118"/>
        <v>24.38514176</v>
      </c>
      <c r="J241" s="1200">
        <f t="shared" si="118"/>
        <v>30.481427199999999</v>
      </c>
      <c r="K241" s="1200">
        <f t="shared" si="118"/>
        <v>36.577712639999994</v>
      </c>
      <c r="L241" s="1200">
        <f t="shared" si="118"/>
        <v>43.893255167999989</v>
      </c>
      <c r="M241" s="1200">
        <f t="shared" si="118"/>
        <v>52.671906201599988</v>
      </c>
      <c r="N241" s="1200">
        <f t="shared" si="118"/>
        <v>63.206287441919983</v>
      </c>
      <c r="Q241" s="1166">
        <f>G241-D241</f>
        <v>10.886224</v>
      </c>
      <c r="R241" s="1152" t="e">
        <f t="shared" ca="1" si="96"/>
        <v>#REF!</v>
      </c>
      <c r="T241" s="1166">
        <f>N241-G241</f>
        <v>52.320063441919984</v>
      </c>
      <c r="U241" s="1152" t="e">
        <f t="shared" ca="1" si="98"/>
        <v>#REF!</v>
      </c>
    </row>
    <row r="242" spans="2:21">
      <c r="B242" s="1166" t="str">
        <f t="shared" si="92"/>
        <v>SMEC (Shaoxing)</v>
      </c>
      <c r="C242" s="1200">
        <f t="shared" ref="C242:C255" ca="1" si="119">C$112*C170</f>
        <v>163.845</v>
      </c>
      <c r="D242" s="1200">
        <v>0</v>
      </c>
      <c r="E242" s="1200">
        <v>0</v>
      </c>
      <c r="F242" s="1200">
        <v>0</v>
      </c>
      <c r="G242" s="1200">
        <v>0</v>
      </c>
      <c r="H242" s="1200">
        <v>0</v>
      </c>
      <c r="I242" s="1200">
        <v>0</v>
      </c>
      <c r="J242" s="1200">
        <v>0</v>
      </c>
      <c r="K242" s="1200">
        <v>0</v>
      </c>
      <c r="L242" s="1200">
        <v>0</v>
      </c>
      <c r="M242" s="1200">
        <v>0</v>
      </c>
      <c r="N242" s="1200">
        <v>0</v>
      </c>
      <c r="Q242" s="1166">
        <f>G242-D242</f>
        <v>0</v>
      </c>
      <c r="R242" s="1152" t="e">
        <f t="shared" ca="1" si="96"/>
        <v>#REF!</v>
      </c>
      <c r="T242" s="1166">
        <f>N242-G242</f>
        <v>0</v>
      </c>
      <c r="U242" s="1152" t="e">
        <f t="shared" ca="1" si="98"/>
        <v>#REF!</v>
      </c>
    </row>
    <row r="243" spans="2:21">
      <c r="B243" s="1170" t="str">
        <f t="shared" si="92"/>
        <v>US customers</v>
      </c>
      <c r="C243" s="1199" t="e">
        <f t="shared" ca="1" si="119"/>
        <v>#REF!</v>
      </c>
      <c r="D243" s="1199" t="e">
        <f t="shared" ref="D243:N243" ca="1" si="120">D$112*D171</f>
        <v>#REF!</v>
      </c>
      <c r="E243" s="1199" t="e">
        <f t="shared" ca="1" si="120"/>
        <v>#REF!</v>
      </c>
      <c r="F243" s="1199" t="e">
        <f t="shared" ca="1" si="120"/>
        <v>#REF!</v>
      </c>
      <c r="G243" s="1199" t="e">
        <f t="shared" ca="1" si="120"/>
        <v>#REF!</v>
      </c>
      <c r="H243" s="1199" t="e">
        <f t="shared" ca="1" si="120"/>
        <v>#REF!</v>
      </c>
      <c r="I243" s="1199" t="e">
        <f t="shared" ca="1" si="120"/>
        <v>#REF!</v>
      </c>
      <c r="J243" s="1199" t="e">
        <f t="shared" ca="1" si="120"/>
        <v>#REF!</v>
      </c>
      <c r="K243" s="1199" t="e">
        <f t="shared" ca="1" si="120"/>
        <v>#REF!</v>
      </c>
      <c r="L243" s="1199" t="e">
        <f t="shared" ca="1" si="120"/>
        <v>#REF!</v>
      </c>
      <c r="M243" s="1199" t="e">
        <f t="shared" ca="1" si="120"/>
        <v>#REF!</v>
      </c>
      <c r="N243" s="1199" t="e">
        <f t="shared" ca="1" si="120"/>
        <v>#REF!</v>
      </c>
    </row>
    <row r="244" spans="2:21">
      <c r="B244" s="1166" t="str">
        <f t="shared" si="92"/>
        <v>Qualcomm</v>
      </c>
      <c r="C244" s="1200" t="e">
        <f t="shared" ca="1" si="119"/>
        <v>#REF!</v>
      </c>
      <c r="D244" s="1200" t="e">
        <f t="shared" ref="D244:N244" ca="1" si="121">D$112*D172</f>
        <v>#REF!</v>
      </c>
      <c r="E244" s="1200" t="e">
        <f t="shared" ca="1" si="121"/>
        <v>#REF!</v>
      </c>
      <c r="F244" s="1200" t="e">
        <f t="shared" ca="1" si="121"/>
        <v>#REF!</v>
      </c>
      <c r="G244" s="1200" t="e">
        <f t="shared" ca="1" si="121"/>
        <v>#REF!</v>
      </c>
      <c r="H244" s="1200" t="e">
        <f t="shared" ca="1" si="121"/>
        <v>#REF!</v>
      </c>
      <c r="I244" s="1200" t="e">
        <f t="shared" ca="1" si="121"/>
        <v>#REF!</v>
      </c>
      <c r="J244" s="1200" t="e">
        <f t="shared" ca="1" si="121"/>
        <v>#REF!</v>
      </c>
      <c r="K244" s="1200" t="e">
        <f t="shared" ca="1" si="121"/>
        <v>#REF!</v>
      </c>
      <c r="L244" s="1200" t="e">
        <f t="shared" ca="1" si="121"/>
        <v>#REF!</v>
      </c>
      <c r="M244" s="1200" t="e">
        <f t="shared" ca="1" si="121"/>
        <v>#REF!</v>
      </c>
      <c r="N244" s="1200" t="e">
        <f t="shared" ca="1" si="121"/>
        <v>#REF!</v>
      </c>
      <c r="Q244" s="1166" t="e">
        <f t="shared" ref="Q244:Q250" ca="1" si="122">G244-D244</f>
        <v>#REF!</v>
      </c>
      <c r="R244" s="1152" t="e">
        <f t="shared" ref="R244:R250" ca="1" si="123">Q244/$Q$256</f>
        <v>#REF!</v>
      </c>
      <c r="T244" s="1166" t="e">
        <f t="shared" ref="T244:T250" ca="1" si="124">N244-G244</f>
        <v>#REF!</v>
      </c>
      <c r="U244" s="1152" t="e">
        <f t="shared" ref="U244:U250" ca="1" si="125">T244/$T$256</f>
        <v>#REF!</v>
      </c>
    </row>
    <row r="245" spans="2:21">
      <c r="B245" s="1166" t="str">
        <f t="shared" si="92"/>
        <v>Broadcom</v>
      </c>
      <c r="C245" s="1200">
        <f t="shared" ca="1" si="119"/>
        <v>242.42284560000002</v>
      </c>
      <c r="D245" s="1200">
        <f t="shared" ref="D245:N245" ca="1" si="126">C245*(1+D209)</f>
        <v>218.18056104000001</v>
      </c>
      <c r="E245" s="1200">
        <f t="shared" ca="1" si="126"/>
        <v>218.18056104000001</v>
      </c>
      <c r="F245" s="1200">
        <f t="shared" ca="1" si="126"/>
        <v>218.18056104000001</v>
      </c>
      <c r="G245" s="1200">
        <f t="shared" ca="1" si="126"/>
        <v>218.18056104000001</v>
      </c>
      <c r="H245" s="1200">
        <f t="shared" ca="1" si="126"/>
        <v>218.18056104000001</v>
      </c>
      <c r="I245" s="1200">
        <f t="shared" ca="1" si="126"/>
        <v>218.18056104000001</v>
      </c>
      <c r="J245" s="1200">
        <f t="shared" ca="1" si="126"/>
        <v>218.18056104000001</v>
      </c>
      <c r="K245" s="1200">
        <f t="shared" ca="1" si="126"/>
        <v>218.18056104000001</v>
      </c>
      <c r="L245" s="1200">
        <f t="shared" ca="1" si="126"/>
        <v>218.18056104000001</v>
      </c>
      <c r="M245" s="1200">
        <f t="shared" ca="1" si="126"/>
        <v>218.18056104000001</v>
      </c>
      <c r="N245" s="1200">
        <f t="shared" ca="1" si="126"/>
        <v>218.18056104000001</v>
      </c>
      <c r="Q245" s="1166">
        <f t="shared" ca="1" si="122"/>
        <v>0</v>
      </c>
      <c r="R245" s="1152" t="e">
        <f t="shared" ca="1" si="123"/>
        <v>#REF!</v>
      </c>
      <c r="T245" s="1166">
        <f t="shared" ca="1" si="124"/>
        <v>0</v>
      </c>
      <c r="U245" s="1152" t="e">
        <f t="shared" ca="1" si="125"/>
        <v>#REF!</v>
      </c>
    </row>
    <row r="246" spans="2:21">
      <c r="B246" s="1166" t="str">
        <f t="shared" si="92"/>
        <v>On Semi</v>
      </c>
      <c r="C246" s="1200">
        <f t="shared" ca="1" si="119"/>
        <v>111.8874672</v>
      </c>
      <c r="D246" s="1200">
        <f t="shared" ref="D246:N246" ca="1" si="127">C246*(1+D210)</f>
        <v>80.558976384000005</v>
      </c>
      <c r="E246" s="1200">
        <f t="shared" ca="1" si="127"/>
        <v>52.363334649600006</v>
      </c>
      <c r="F246" s="1200">
        <f t="shared" ca="1" si="127"/>
        <v>52.363334649600006</v>
      </c>
      <c r="G246" s="1200">
        <f t="shared" ca="1" si="127"/>
        <v>52.363334649600006</v>
      </c>
      <c r="H246" s="1200">
        <f t="shared" ca="1" si="127"/>
        <v>52.363334649600006</v>
      </c>
      <c r="I246" s="1200">
        <f t="shared" ca="1" si="127"/>
        <v>52.363334649600006</v>
      </c>
      <c r="J246" s="1200">
        <f t="shared" ca="1" si="127"/>
        <v>52.363334649600006</v>
      </c>
      <c r="K246" s="1200">
        <f t="shared" ca="1" si="127"/>
        <v>52.363334649600006</v>
      </c>
      <c r="L246" s="1200">
        <f t="shared" ca="1" si="127"/>
        <v>52.363334649600006</v>
      </c>
      <c r="M246" s="1200">
        <f t="shared" ca="1" si="127"/>
        <v>52.363334649600006</v>
      </c>
      <c r="N246" s="1200">
        <f t="shared" ca="1" si="127"/>
        <v>52.363334649600006</v>
      </c>
      <c r="Q246" s="1166">
        <f t="shared" ca="1" si="122"/>
        <v>-28.195641734399999</v>
      </c>
      <c r="R246" s="1152" t="e">
        <f t="shared" ca="1" si="123"/>
        <v>#REF!</v>
      </c>
      <c r="T246" s="1166">
        <f t="shared" ca="1" si="124"/>
        <v>0</v>
      </c>
      <c r="U246" s="1152" t="e">
        <f t="shared" ca="1" si="125"/>
        <v>#REF!</v>
      </c>
    </row>
    <row r="247" spans="2:21">
      <c r="B247" s="1166" t="str">
        <f t="shared" si="92"/>
        <v>Qorvo</v>
      </c>
      <c r="C247" s="1200">
        <f t="shared" ca="1" si="119"/>
        <v>59.673315840000001</v>
      </c>
      <c r="D247" s="1200">
        <f t="shared" ref="D247:N247" ca="1" si="128">C247*(1+D211)</f>
        <v>53.705984256000001</v>
      </c>
      <c r="E247" s="1200">
        <f t="shared" ca="1" si="128"/>
        <v>53.705984256000001</v>
      </c>
      <c r="F247" s="1200">
        <f t="shared" ca="1" si="128"/>
        <v>53.705984256000001</v>
      </c>
      <c r="G247" s="1200">
        <f t="shared" ca="1" si="128"/>
        <v>53.705984256000001</v>
      </c>
      <c r="H247" s="1200">
        <f t="shared" ca="1" si="128"/>
        <v>53.705984256000001</v>
      </c>
      <c r="I247" s="1200">
        <f t="shared" ca="1" si="128"/>
        <v>53.705984256000001</v>
      </c>
      <c r="J247" s="1200">
        <f t="shared" ca="1" si="128"/>
        <v>53.705984256000001</v>
      </c>
      <c r="K247" s="1200">
        <f t="shared" ca="1" si="128"/>
        <v>53.705984256000001</v>
      </c>
      <c r="L247" s="1200">
        <f t="shared" ca="1" si="128"/>
        <v>53.705984256000001</v>
      </c>
      <c r="M247" s="1200">
        <f t="shared" ca="1" si="128"/>
        <v>53.705984256000001</v>
      </c>
      <c r="N247" s="1200">
        <f t="shared" ca="1" si="128"/>
        <v>53.705984256000001</v>
      </c>
      <c r="Q247" s="1166">
        <f t="shared" ca="1" si="122"/>
        <v>0</v>
      </c>
      <c r="R247" s="1152" t="e">
        <f t="shared" ca="1" si="123"/>
        <v>#REF!</v>
      </c>
      <c r="T247" s="1166">
        <f t="shared" ca="1" si="124"/>
        <v>0</v>
      </c>
      <c r="U247" s="1152" t="e">
        <f t="shared" ca="1" si="125"/>
        <v>#REF!</v>
      </c>
    </row>
    <row r="248" spans="2:21">
      <c r="B248" s="1166" t="str">
        <f t="shared" si="92"/>
        <v>Cypress</v>
      </c>
      <c r="C248" s="1200">
        <f t="shared" ca="1" si="119"/>
        <v>37.295822399999999</v>
      </c>
      <c r="D248" s="1200">
        <f t="shared" ref="D248:N248" ca="1" si="129">C248*(1+D212)</f>
        <v>33.56624016</v>
      </c>
      <c r="E248" s="1200">
        <f t="shared" ca="1" si="129"/>
        <v>33.56624016</v>
      </c>
      <c r="F248" s="1200">
        <f t="shared" ca="1" si="129"/>
        <v>33.56624016</v>
      </c>
      <c r="G248" s="1200">
        <f t="shared" ca="1" si="129"/>
        <v>33.56624016</v>
      </c>
      <c r="H248" s="1200">
        <f t="shared" ca="1" si="129"/>
        <v>33.56624016</v>
      </c>
      <c r="I248" s="1200">
        <f t="shared" ca="1" si="129"/>
        <v>33.56624016</v>
      </c>
      <c r="J248" s="1200">
        <f t="shared" ca="1" si="129"/>
        <v>33.56624016</v>
      </c>
      <c r="K248" s="1200">
        <f t="shared" ca="1" si="129"/>
        <v>33.56624016</v>
      </c>
      <c r="L248" s="1200">
        <f t="shared" ca="1" si="129"/>
        <v>33.56624016</v>
      </c>
      <c r="M248" s="1200">
        <f t="shared" ca="1" si="129"/>
        <v>33.56624016</v>
      </c>
      <c r="N248" s="1200">
        <f t="shared" ca="1" si="129"/>
        <v>33.56624016</v>
      </c>
      <c r="Q248" s="1166">
        <f t="shared" ca="1" si="122"/>
        <v>0</v>
      </c>
      <c r="R248" s="1152" t="e">
        <f t="shared" ca="1" si="123"/>
        <v>#REF!</v>
      </c>
      <c r="T248" s="1166">
        <f t="shared" ca="1" si="124"/>
        <v>0</v>
      </c>
      <c r="U248" s="1152" t="e">
        <f t="shared" ca="1" si="125"/>
        <v>#REF!</v>
      </c>
    </row>
    <row r="249" spans="2:21">
      <c r="B249" s="1166" t="str">
        <f t="shared" si="92"/>
        <v>Synaptics</v>
      </c>
      <c r="C249" s="1200">
        <f t="shared" ca="1" si="119"/>
        <v>11.188746720000001</v>
      </c>
      <c r="D249" s="1200">
        <f t="shared" ref="D249:N249" ca="1" si="130">C249*(1+D213)</f>
        <v>8.9509973760000019</v>
      </c>
      <c r="E249" s="1200">
        <f t="shared" ca="1" si="130"/>
        <v>8.9509973760000019</v>
      </c>
      <c r="F249" s="1200">
        <f t="shared" ca="1" si="130"/>
        <v>8.9509973760000019</v>
      </c>
      <c r="G249" s="1200">
        <f t="shared" ca="1" si="130"/>
        <v>8.9509973760000019</v>
      </c>
      <c r="H249" s="1200">
        <f t="shared" ca="1" si="130"/>
        <v>8.9509973760000019</v>
      </c>
      <c r="I249" s="1200">
        <f t="shared" ca="1" si="130"/>
        <v>8.9509973760000019</v>
      </c>
      <c r="J249" s="1200">
        <f t="shared" ca="1" si="130"/>
        <v>8.9509973760000019</v>
      </c>
      <c r="K249" s="1200">
        <f t="shared" ca="1" si="130"/>
        <v>8.9509973760000019</v>
      </c>
      <c r="L249" s="1200">
        <f t="shared" ca="1" si="130"/>
        <v>8.9509973760000019</v>
      </c>
      <c r="M249" s="1200">
        <f t="shared" ca="1" si="130"/>
        <v>8.9509973760000019</v>
      </c>
      <c r="N249" s="1200">
        <f t="shared" ca="1" si="130"/>
        <v>8.9509973760000019</v>
      </c>
      <c r="Q249" s="1166">
        <f t="shared" ca="1" si="122"/>
        <v>0</v>
      </c>
      <c r="R249" s="1152" t="e">
        <f t="shared" ca="1" si="123"/>
        <v>#REF!</v>
      </c>
      <c r="T249" s="1166">
        <f t="shared" ca="1" si="124"/>
        <v>0</v>
      </c>
      <c r="U249" s="1152" t="e">
        <f t="shared" ca="1" si="125"/>
        <v>#REF!</v>
      </c>
    </row>
    <row r="250" spans="2:21">
      <c r="B250" s="1166" t="str">
        <f t="shared" si="92"/>
        <v>Silicon Lab</v>
      </c>
      <c r="C250" s="1200">
        <f t="shared" ca="1" si="119"/>
        <v>7.4591644800000001</v>
      </c>
      <c r="D250" s="1200">
        <f t="shared" ref="D250:N250" ca="1" si="131">C250*(1+D214)</f>
        <v>6.7132480320000001</v>
      </c>
      <c r="E250" s="1200">
        <f t="shared" ca="1" si="131"/>
        <v>6.7132480320000001</v>
      </c>
      <c r="F250" s="1200">
        <f t="shared" ca="1" si="131"/>
        <v>6.7132480320000001</v>
      </c>
      <c r="G250" s="1200">
        <f t="shared" ca="1" si="131"/>
        <v>6.7132480320000001</v>
      </c>
      <c r="H250" s="1200">
        <f t="shared" ca="1" si="131"/>
        <v>6.7132480320000001</v>
      </c>
      <c r="I250" s="1200">
        <f t="shared" ca="1" si="131"/>
        <v>6.7132480320000001</v>
      </c>
      <c r="J250" s="1200">
        <f t="shared" ca="1" si="131"/>
        <v>6.7132480320000001</v>
      </c>
      <c r="K250" s="1200">
        <f t="shared" ca="1" si="131"/>
        <v>6.7132480320000001</v>
      </c>
      <c r="L250" s="1200">
        <f t="shared" ca="1" si="131"/>
        <v>6.7132480320000001</v>
      </c>
      <c r="M250" s="1200">
        <f t="shared" ca="1" si="131"/>
        <v>6.7132480320000001</v>
      </c>
      <c r="N250" s="1200">
        <f t="shared" ca="1" si="131"/>
        <v>6.7132480320000001</v>
      </c>
      <c r="Q250" s="1166">
        <f t="shared" ca="1" si="122"/>
        <v>0</v>
      </c>
      <c r="R250" s="1152" t="e">
        <f t="shared" ca="1" si="123"/>
        <v>#REF!</v>
      </c>
      <c r="T250" s="1166">
        <f t="shared" ca="1" si="124"/>
        <v>0</v>
      </c>
      <c r="U250" s="1152" t="e">
        <f t="shared" ca="1" si="125"/>
        <v>#REF!</v>
      </c>
    </row>
    <row r="251" spans="2:21">
      <c r="B251" s="1170" t="str">
        <f t="shared" si="92"/>
        <v>Eurasia customers</v>
      </c>
      <c r="C251" s="1199" t="e">
        <f t="shared" ca="1" si="119"/>
        <v>#REF!</v>
      </c>
      <c r="D251" s="1199" t="e">
        <f t="shared" ref="D251:N251" ca="1" si="132">D$112*D179</f>
        <v>#REF!</v>
      </c>
      <c r="E251" s="1199" t="e">
        <f t="shared" ca="1" si="132"/>
        <v>#REF!</v>
      </c>
      <c r="F251" s="1199" t="e">
        <f t="shared" ca="1" si="132"/>
        <v>#REF!</v>
      </c>
      <c r="G251" s="1199" t="e">
        <f t="shared" ca="1" si="132"/>
        <v>#REF!</v>
      </c>
      <c r="H251" s="1199" t="e">
        <f t="shared" ca="1" si="132"/>
        <v>#REF!</v>
      </c>
      <c r="I251" s="1199" t="e">
        <f t="shared" ca="1" si="132"/>
        <v>#REF!</v>
      </c>
      <c r="J251" s="1199" t="e">
        <f t="shared" ca="1" si="132"/>
        <v>#REF!</v>
      </c>
      <c r="K251" s="1199" t="e">
        <f t="shared" ca="1" si="132"/>
        <v>#REF!</v>
      </c>
      <c r="L251" s="1199" t="e">
        <f t="shared" ca="1" si="132"/>
        <v>#REF!</v>
      </c>
      <c r="M251" s="1199" t="e">
        <f t="shared" ca="1" si="132"/>
        <v>#REF!</v>
      </c>
      <c r="N251" s="1199" t="e">
        <f t="shared" ca="1" si="132"/>
        <v>#REF!</v>
      </c>
    </row>
    <row r="252" spans="2:21">
      <c r="B252" s="1166" t="str">
        <f t="shared" si="92"/>
        <v>Fingerprint Cards</v>
      </c>
      <c r="C252" s="1200" t="e">
        <f t="shared" ca="1" si="119"/>
        <v>#REF!</v>
      </c>
      <c r="D252" s="1200" t="e">
        <f t="shared" ref="D252:N252" ca="1" si="133">D$112*D180</f>
        <v>#REF!</v>
      </c>
      <c r="E252" s="1200" t="e">
        <f t="shared" ca="1" si="133"/>
        <v>#REF!</v>
      </c>
      <c r="F252" s="1200" t="e">
        <f t="shared" ca="1" si="133"/>
        <v>#REF!</v>
      </c>
      <c r="G252" s="1200" t="e">
        <f t="shared" ca="1" si="133"/>
        <v>#REF!</v>
      </c>
      <c r="H252" s="1200" t="e">
        <f t="shared" ca="1" si="133"/>
        <v>#REF!</v>
      </c>
      <c r="I252" s="1200" t="e">
        <f t="shared" ca="1" si="133"/>
        <v>#REF!</v>
      </c>
      <c r="J252" s="1200" t="e">
        <f t="shared" ca="1" si="133"/>
        <v>#REF!</v>
      </c>
      <c r="K252" s="1200" t="e">
        <f t="shared" ca="1" si="133"/>
        <v>#REF!</v>
      </c>
      <c r="L252" s="1200" t="e">
        <f t="shared" ca="1" si="133"/>
        <v>#REF!</v>
      </c>
      <c r="M252" s="1200" t="e">
        <f t="shared" ca="1" si="133"/>
        <v>#REF!</v>
      </c>
      <c r="N252" s="1200" t="e">
        <f t="shared" ca="1" si="133"/>
        <v>#REF!</v>
      </c>
      <c r="Q252" s="1166" t="e">
        <f ca="1">G252-D252</f>
        <v>#REF!</v>
      </c>
      <c r="R252" s="1152" t="e">
        <f ca="1">Q252/$Q$256</f>
        <v>#REF!</v>
      </c>
      <c r="T252" s="1166" t="e">
        <f ca="1">N252-G252</f>
        <v>#REF!</v>
      </c>
      <c r="U252" s="1152" t="e">
        <f ca="1">T252/$T$256</f>
        <v>#REF!</v>
      </c>
    </row>
    <row r="253" spans="2:21">
      <c r="B253" s="1166" t="str">
        <f t="shared" si="92"/>
        <v>Silicon Motion</v>
      </c>
      <c r="C253" s="1200">
        <f t="shared" ca="1" si="119"/>
        <v>81.244413120000004</v>
      </c>
      <c r="D253" s="1200">
        <f t="shared" ref="D253:N253" ca="1" si="134">C253*(1+D217)</f>
        <v>81.244413120000004</v>
      </c>
      <c r="E253" s="1200">
        <f t="shared" ca="1" si="134"/>
        <v>93.431075088</v>
      </c>
      <c r="F253" s="1200">
        <f t="shared" ca="1" si="134"/>
        <v>102.7741825968</v>
      </c>
      <c r="G253" s="1200">
        <f t="shared" ca="1" si="134"/>
        <v>113.05160085648001</v>
      </c>
      <c r="H253" s="1200">
        <f t="shared" ca="1" si="134"/>
        <v>124.35676094212802</v>
      </c>
      <c r="I253" s="1200">
        <f t="shared" ca="1" si="134"/>
        <v>134.30530181749828</v>
      </c>
      <c r="J253" s="1200">
        <f t="shared" ca="1" si="134"/>
        <v>145.04972596289815</v>
      </c>
      <c r="K253" s="1200">
        <f t="shared" ca="1" si="134"/>
        <v>156.65370403993001</v>
      </c>
      <c r="L253" s="1200">
        <f t="shared" ca="1" si="134"/>
        <v>164.4863892419265</v>
      </c>
      <c r="M253" s="1200">
        <f t="shared" ca="1" si="134"/>
        <v>172.71070870402284</v>
      </c>
      <c r="N253" s="1200">
        <f t="shared" ca="1" si="134"/>
        <v>181.34624413922398</v>
      </c>
      <c r="Q253" s="1166">
        <f ca="1">G253-D253</f>
        <v>31.807187736480003</v>
      </c>
      <c r="R253" s="1152" t="e">
        <f ca="1">Q253/$Q$256</f>
        <v>#REF!</v>
      </c>
      <c r="T253" s="1166">
        <f ca="1">N253-G253</f>
        <v>68.294643282743976</v>
      </c>
      <c r="U253" s="1152" t="e">
        <f ca="1">T253/$T$256</f>
        <v>#REF!</v>
      </c>
    </row>
    <row r="254" spans="2:21">
      <c r="B254" s="1166" t="str">
        <f t="shared" si="92"/>
        <v>Nuvoton</v>
      </c>
      <c r="C254" s="1200">
        <f t="shared" ca="1" si="119"/>
        <v>37.497421440000004</v>
      </c>
      <c r="D254" s="1200">
        <f t="shared" ref="D254:N254" ca="1" si="135">C254*(1+D218)</f>
        <v>37.497421440000004</v>
      </c>
      <c r="E254" s="1200">
        <f t="shared" ca="1" si="135"/>
        <v>43.122034656000004</v>
      </c>
      <c r="F254" s="1200">
        <f t="shared" ca="1" si="135"/>
        <v>47.434238121600011</v>
      </c>
      <c r="G254" s="1200">
        <f t="shared" ca="1" si="135"/>
        <v>52.177661933760014</v>
      </c>
      <c r="H254" s="1200">
        <f t="shared" ca="1" si="135"/>
        <v>57.395428127136022</v>
      </c>
      <c r="I254" s="1200">
        <f t="shared" ca="1" si="135"/>
        <v>61.987062377306906</v>
      </c>
      <c r="J254" s="1200">
        <f t="shared" ca="1" si="135"/>
        <v>66.946027367491467</v>
      </c>
      <c r="K254" s="1200">
        <f t="shared" ca="1" si="135"/>
        <v>72.301709556890785</v>
      </c>
      <c r="L254" s="1200">
        <f t="shared" ca="1" si="135"/>
        <v>75.91679503473533</v>
      </c>
      <c r="M254" s="1200">
        <f t="shared" ca="1" si="135"/>
        <v>79.712634786472094</v>
      </c>
      <c r="N254" s="1200">
        <f t="shared" ca="1" si="135"/>
        <v>83.698266525795702</v>
      </c>
      <c r="Q254" s="1166">
        <f ca="1">G254-D254</f>
        <v>14.68024049376001</v>
      </c>
      <c r="R254" s="1152" t="e">
        <f ca="1">Q254/$Q$256</f>
        <v>#REF!</v>
      </c>
      <c r="T254" s="1166">
        <f ca="1">N254-G254</f>
        <v>31.520604592035689</v>
      </c>
      <c r="U254" s="1152" t="e">
        <f ca="1">T254/$T$256</f>
        <v>#REF!</v>
      </c>
    </row>
    <row r="255" spans="2:21">
      <c r="B255" s="1166" t="str">
        <f t="shared" si="92"/>
        <v>Himax</v>
      </c>
      <c r="C255" s="1200">
        <f t="shared" ca="1" si="119"/>
        <v>31.247851200000003</v>
      </c>
      <c r="D255" s="1200">
        <f t="shared" ref="D255:N255" ca="1" si="136">C255*(1+D219)</f>
        <v>31.247851200000003</v>
      </c>
      <c r="E255" s="1200">
        <f t="shared" ca="1" si="136"/>
        <v>34.372636320000005</v>
      </c>
      <c r="F255" s="1200">
        <f t="shared" ca="1" si="136"/>
        <v>36.091268136000004</v>
      </c>
      <c r="G255" s="1200">
        <f t="shared" ca="1" si="136"/>
        <v>37.895831542800003</v>
      </c>
      <c r="H255" s="1200">
        <f t="shared" ca="1" si="136"/>
        <v>39.790623119940008</v>
      </c>
      <c r="I255" s="1200">
        <f t="shared" ca="1" si="136"/>
        <v>41.780154275937008</v>
      </c>
      <c r="J255" s="1200">
        <f t="shared" ca="1" si="136"/>
        <v>43.869161989733861</v>
      </c>
      <c r="K255" s="1200">
        <f t="shared" ca="1" si="136"/>
        <v>46.062620089220559</v>
      </c>
      <c r="L255" s="1200">
        <f t="shared" ca="1" si="136"/>
        <v>48.365751093681588</v>
      </c>
      <c r="M255" s="1200">
        <f t="shared" ca="1" si="136"/>
        <v>50.784038648365673</v>
      </c>
      <c r="N255" s="1200">
        <f t="shared" ca="1" si="136"/>
        <v>53.32324058078396</v>
      </c>
      <c r="Q255" s="1166">
        <f ca="1">G255-D255</f>
        <v>6.6479803428000004</v>
      </c>
      <c r="R255" s="1152" t="e">
        <f ca="1">Q255/$Q$256</f>
        <v>#REF!</v>
      </c>
      <c r="T255" s="1166">
        <f ca="1">N255-G255</f>
        <v>15.427409037983956</v>
      </c>
      <c r="U255" s="1152" t="e">
        <f ca="1">T255/$T$256</f>
        <v>#REF!</v>
      </c>
    </row>
    <row r="256" spans="2:21">
      <c r="Q256" s="1170" t="e">
        <f ca="1">SUM(Q222:Q255)</f>
        <v>#REF!</v>
      </c>
      <c r="T256" s="1170" t="e">
        <f ca="1">SUM(T222:T255)</f>
        <v>#REF!</v>
      </c>
    </row>
  </sheetData>
  <sortState xmlns:xlrd2="http://schemas.microsoft.com/office/spreadsheetml/2017/richdata2" ref="AL22:AW38">
    <sortCondition descending="1" ref="AN22:AN38"/>
  </sortState>
  <mergeCells count="1">
    <mergeCell ref="B60:C60"/>
  </mergeCells>
  <printOptions horizontalCentered="1" verticalCentered="1"/>
  <pageMargins left="0.7" right="0.7" top="0.75" bottom="0.75" header="0.3" footer="0.3"/>
  <pageSetup paperSize="9" scale="10" orientation="portrait" horizontalDpi="300" verticalDpi="300" r:id="rId1"/>
  <customProperties>
    <customPr name="Qube.Worksheet.Visibility" r:id="rId2"/>
    <customPr name="SHEET_UNIQUE_ID" r:id="rId3"/>
  </customProperties>
  <ignoredErrors>
    <ignoredError sqref="C2:D2 C126 C111 C148 C97" numberStoredAsText="1"/>
    <ignoredError sqref="M38" formula="1"/>
  </ignoredError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W294"/>
  <sheetViews>
    <sheetView showOutlineSymbols="0" showWhiteSpace="0" workbookViewId="0">
      <selection sqref="A1:XFD1048576"/>
    </sheetView>
  </sheetViews>
  <sheetFormatPr defaultColWidth="8.85546875" defaultRowHeight="12.75"/>
  <cols>
    <col min="1" max="1" width="44.5703125" style="1201" bestFit="1" customWidth="1"/>
    <col min="2" max="4" width="8.85546875" style="1201" customWidth="1"/>
    <col min="5" max="11" width="8.85546875" style="1201"/>
    <col min="12" max="13" width="3" style="1201" customWidth="1"/>
    <col min="14" max="16384" width="8.85546875" style="1201"/>
  </cols>
  <sheetData>
    <row r="1" spans="1:49">
      <c r="B1" s="1201">
        <v>2010</v>
      </c>
      <c r="C1" s="1201">
        <v>2011</v>
      </c>
      <c r="D1" s="1201">
        <f t="shared" ref="D1:K1" si="0">D2</f>
        <v>2012</v>
      </c>
      <c r="E1" s="1201">
        <f t="shared" si="0"/>
        <v>2013</v>
      </c>
      <c r="F1" s="1201">
        <f t="shared" si="0"/>
        <v>2014</v>
      </c>
      <c r="G1" s="1201">
        <f t="shared" si="0"/>
        <v>2015</v>
      </c>
      <c r="H1" s="1201">
        <f t="shared" si="0"/>
        <v>2016</v>
      </c>
      <c r="I1" s="1201">
        <f t="shared" si="0"/>
        <v>2017</v>
      </c>
      <c r="J1" s="1201">
        <f t="shared" si="0"/>
        <v>2018</v>
      </c>
      <c r="K1" s="1201">
        <f t="shared" si="0"/>
        <v>2019</v>
      </c>
      <c r="N1" s="1201" t="str">
        <f>'Raw Data'!DK8</f>
        <v>1Q10</v>
      </c>
      <c r="O1" s="1201" t="str">
        <f>'Raw Data'!DL8</f>
        <v>2Q10</v>
      </c>
      <c r="P1" s="1201" t="str">
        <f>'Raw Data'!DM8</f>
        <v>3Q10</v>
      </c>
      <c r="Q1" s="1201" t="str">
        <f>'Raw Data'!DN8</f>
        <v>4Q10</v>
      </c>
      <c r="R1" s="1201" t="str">
        <f>'Raw Data'!DO8</f>
        <v>1Q11</v>
      </c>
      <c r="S1" s="1201" t="str">
        <f>'Raw Data'!DP8</f>
        <v>2Q11</v>
      </c>
      <c r="T1" s="1201" t="str">
        <f>'Raw Data'!DQ8</f>
        <v>3Q11</v>
      </c>
      <c r="U1" s="1201" t="str">
        <f>'Raw Data'!DR8</f>
        <v>4Q11</v>
      </c>
      <c r="V1" s="1201" t="str">
        <f>'Raw Data'!DS8</f>
        <v>1Q12</v>
      </c>
      <c r="W1" s="1201" t="str">
        <f>'Raw Data'!DT8</f>
        <v>2Q12</v>
      </c>
      <c r="X1" s="1201" t="str">
        <f>'Raw Data'!DU8</f>
        <v>3Q12</v>
      </c>
      <c r="Y1" s="1201" t="str">
        <f>'Raw Data'!DV8</f>
        <v>4Q12</v>
      </c>
      <c r="Z1" s="1201" t="str">
        <f>'Raw Data'!DW8</f>
        <v>1Q13</v>
      </c>
      <c r="AA1" s="1201" t="str">
        <f>'Raw Data'!DX8</f>
        <v>2Q13</v>
      </c>
      <c r="AB1" s="1201" t="str">
        <f>'Raw Data'!DY8</f>
        <v>3Q13</v>
      </c>
      <c r="AC1" s="1201" t="str">
        <f>'Raw Data'!DZ8</f>
        <v>4Q13</v>
      </c>
      <c r="AD1" s="1201" t="str">
        <f>'Raw Data'!EA8</f>
        <v>1Q14</v>
      </c>
      <c r="AE1" s="1201" t="str">
        <f>'Raw Data'!EB8</f>
        <v>2Q14</v>
      </c>
      <c r="AF1" s="1201" t="str">
        <f>'Raw Data'!EC8</f>
        <v>3Q14</v>
      </c>
      <c r="AG1" s="1201" t="str">
        <f>'Raw Data'!ED8</f>
        <v>4Q14</v>
      </c>
      <c r="AH1" s="1201" t="str">
        <f>'Raw Data'!EE8</f>
        <v>1Q15</v>
      </c>
      <c r="AI1" s="1201" t="str">
        <f>'Raw Data'!EF8</f>
        <v>2Q15</v>
      </c>
      <c r="AJ1" s="1201" t="str">
        <f>'Raw Data'!EG8</f>
        <v>3Q15</v>
      </c>
      <c r="AK1" s="1201" t="str">
        <f>'Raw Data'!EH8</f>
        <v>4Q15</v>
      </c>
      <c r="AL1" s="1201" t="str">
        <f>'Raw Data'!EI8</f>
        <v>1Q16</v>
      </c>
      <c r="AM1" s="1201" t="str">
        <f>'Raw Data'!EJ8</f>
        <v>2Q16</v>
      </c>
      <c r="AN1" s="1201" t="str">
        <f>'Raw Data'!EK8</f>
        <v>3Q16</v>
      </c>
      <c r="AO1" s="1201" t="str">
        <f>'Raw Data'!EL8</f>
        <v>4Q16</v>
      </c>
      <c r="AP1" s="1201" t="str">
        <f>'Raw Data'!EM8</f>
        <v>1Q17</v>
      </c>
      <c r="AQ1" s="1201" t="str">
        <f>'Raw Data'!EN8</f>
        <v>2Q17</v>
      </c>
      <c r="AR1" s="1201" t="str">
        <f>'Raw Data'!EO8</f>
        <v>3Q17</v>
      </c>
      <c r="AS1" s="1201" t="str">
        <f>'Raw Data'!EP8</f>
        <v>4Q17</v>
      </c>
      <c r="AT1" s="1201" t="str">
        <f>'Raw Data'!EQ8</f>
        <v>1Q18</v>
      </c>
      <c r="AU1" s="1201" t="str">
        <f>'Raw Data'!ER8</f>
        <v>2Q18</v>
      </c>
      <c r="AV1" s="1201" t="str">
        <f>'Raw Data'!ES8</f>
        <v>3Q18</v>
      </c>
      <c r="AW1" s="1201" t="str">
        <f>'Raw Data'!ET8</f>
        <v>4Q18</v>
      </c>
    </row>
    <row r="2" spans="1:49">
      <c r="B2" s="1201">
        <v>2010</v>
      </c>
      <c r="C2" s="1201">
        <v>2011</v>
      </c>
      <c r="D2" s="1201">
        <f>'Raw Data'!T6</f>
        <v>2012</v>
      </c>
      <c r="E2" s="1201">
        <f>'Raw Data'!U6</f>
        <v>2013</v>
      </c>
      <c r="F2" s="1201">
        <f>'Raw Data'!V6</f>
        <v>2014</v>
      </c>
      <c r="G2" s="1201">
        <f>'Raw Data'!W6</f>
        <v>2015</v>
      </c>
      <c r="H2" s="1201">
        <f>'Raw Data'!X6</f>
        <v>2016</v>
      </c>
      <c r="I2" s="1201">
        <f>'Raw Data'!Y6</f>
        <v>2017</v>
      </c>
      <c r="J2" s="1201">
        <f>'Raw Data'!Z6</f>
        <v>2018</v>
      </c>
      <c r="K2" s="1201">
        <f>'Raw Data'!AA6</f>
        <v>2019</v>
      </c>
      <c r="N2" s="1201" t="s">
        <v>303</v>
      </c>
      <c r="O2" s="1201" t="s">
        <v>304</v>
      </c>
      <c r="P2" s="1201" t="s">
        <v>305</v>
      </c>
      <c r="Q2" s="1201" t="s">
        <v>306</v>
      </c>
      <c r="R2" s="1201" t="s">
        <v>307</v>
      </c>
      <c r="S2" s="1201" t="s">
        <v>308</v>
      </c>
      <c r="T2" s="1201" t="s">
        <v>309</v>
      </c>
      <c r="U2" s="1201" t="s">
        <v>310</v>
      </c>
      <c r="V2" s="1201" t="s">
        <v>311</v>
      </c>
      <c r="W2" s="1201" t="s">
        <v>312</v>
      </c>
      <c r="X2" s="1201" t="s">
        <v>313</v>
      </c>
      <c r="Y2" s="1201" t="s">
        <v>314</v>
      </c>
      <c r="Z2" s="1201" t="s">
        <v>315</v>
      </c>
      <c r="AA2" s="1201" t="s">
        <v>316</v>
      </c>
      <c r="AB2" s="1201" t="s">
        <v>317</v>
      </c>
      <c r="AC2" s="1201" t="s">
        <v>318</v>
      </c>
      <c r="AD2" s="1201" t="s">
        <v>319</v>
      </c>
      <c r="AE2" s="1201" t="s">
        <v>320</v>
      </c>
      <c r="AF2" s="1201" t="s">
        <v>321</v>
      </c>
      <c r="AG2" s="1201" t="s">
        <v>322</v>
      </c>
      <c r="AH2" s="1201" t="s">
        <v>323</v>
      </c>
      <c r="AI2" s="1201" t="s">
        <v>324</v>
      </c>
      <c r="AJ2" s="1201" t="s">
        <v>325</v>
      </c>
      <c r="AK2" s="1201" t="s">
        <v>326</v>
      </c>
      <c r="AL2" s="1201" t="s">
        <v>327</v>
      </c>
      <c r="AM2" s="1201" t="s">
        <v>328</v>
      </c>
      <c r="AN2" s="1201" t="s">
        <v>329</v>
      </c>
      <c r="AO2" s="1201" t="s">
        <v>330</v>
      </c>
      <c r="AP2" s="1201" t="s">
        <v>331</v>
      </c>
      <c r="AQ2" s="1201" t="s">
        <v>332</v>
      </c>
      <c r="AR2" s="1201" t="s">
        <v>333</v>
      </c>
      <c r="AS2" s="1201" t="s">
        <v>334</v>
      </c>
      <c r="AT2" s="1201" t="s">
        <v>335</v>
      </c>
      <c r="AU2" s="1201" t="s">
        <v>336</v>
      </c>
      <c r="AV2" s="1201" t="s">
        <v>337</v>
      </c>
      <c r="AW2" s="1201" t="s">
        <v>433</v>
      </c>
    </row>
    <row r="4" spans="1:49">
      <c r="A4" s="1202" t="s">
        <v>434</v>
      </c>
    </row>
    <row r="5" spans="1:49">
      <c r="A5" s="1203" t="s">
        <v>435</v>
      </c>
      <c r="B5" s="1201">
        <v>1532.4485400000001</v>
      </c>
      <c r="C5" s="1201">
        <v>1319.4659999999999</v>
      </c>
      <c r="D5" s="1201">
        <v>1701.598</v>
      </c>
      <c r="E5" s="1201">
        <v>2068.9639999999999</v>
      </c>
      <c r="F5" s="1201">
        <v>1969.9659999999999</v>
      </c>
      <c r="G5" s="1201">
        <v>2236.415</v>
      </c>
      <c r="H5" s="1201">
        <v>2914.18</v>
      </c>
      <c r="I5" s="1201">
        <v>3101.1750000000002</v>
      </c>
      <c r="N5" s="1204"/>
      <c r="O5" s="1204"/>
      <c r="P5" s="1204"/>
      <c r="Q5" s="1204"/>
      <c r="R5" s="1204"/>
      <c r="S5" s="1204"/>
      <c r="T5" s="1204"/>
      <c r="V5" s="1204"/>
      <c r="W5" s="1204"/>
      <c r="X5" s="1204"/>
      <c r="Y5" s="1204"/>
      <c r="Z5" s="1204">
        <v>501.60899999999998</v>
      </c>
      <c r="AA5" s="1204">
        <v>541.30200000000002</v>
      </c>
      <c r="AB5" s="1204">
        <v>534.25599999999997</v>
      </c>
      <c r="AC5" s="1204">
        <v>491.79700000000003</v>
      </c>
      <c r="AD5" s="1204">
        <v>451.08300000000003</v>
      </c>
      <c r="AE5" s="1204">
        <v>511.34399999999999</v>
      </c>
      <c r="AF5" s="1204">
        <v>521.64599999999996</v>
      </c>
      <c r="AG5" s="1204">
        <v>485.89299999999997</v>
      </c>
      <c r="AH5" s="1204">
        <v>509.798</v>
      </c>
      <c r="AI5" s="1204">
        <v>546.61500000000001</v>
      </c>
      <c r="AJ5" s="1204">
        <v>569.85400000000004</v>
      </c>
      <c r="AK5" s="1204">
        <v>610.14800000000002</v>
      </c>
      <c r="AL5" s="1204">
        <v>634.31200000000001</v>
      </c>
      <c r="AM5" s="1204">
        <v>690.221</v>
      </c>
      <c r="AN5" s="1204">
        <v>774.84500000000003</v>
      </c>
      <c r="AO5" s="1204">
        <v>814.80200000000002</v>
      </c>
      <c r="AP5" s="1204">
        <v>793.08500000000004</v>
      </c>
      <c r="AQ5" s="1204">
        <v>751.19299999999998</v>
      </c>
      <c r="AR5" s="1204">
        <v>769.72299999999996</v>
      </c>
      <c r="AS5" s="1204">
        <v>787.17399999999998</v>
      </c>
      <c r="AT5" s="1204">
        <v>831.04399999999998</v>
      </c>
      <c r="AU5" s="1204">
        <v>890.71299999999997</v>
      </c>
      <c r="AV5" s="1204">
        <v>850.66200000000003</v>
      </c>
      <c r="AW5" s="1201">
        <v>787.56500000000005</v>
      </c>
    </row>
    <row r="6" spans="1:49">
      <c r="A6" s="1203" t="s">
        <v>436</v>
      </c>
      <c r="N6" s="1204"/>
      <c r="O6" s="1204"/>
      <c r="P6" s="1204"/>
      <c r="Q6" s="1204"/>
      <c r="R6" s="1204"/>
      <c r="S6" s="1204"/>
      <c r="T6" s="1204"/>
      <c r="V6" s="1204"/>
      <c r="W6" s="1204"/>
      <c r="X6" s="1204"/>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04"/>
      <c r="AU6" s="1204"/>
      <c r="AV6" s="1204"/>
    </row>
    <row r="7" spans="1:49">
      <c r="A7" s="1203" t="s">
        <v>437</v>
      </c>
      <c r="N7" s="1204"/>
      <c r="O7" s="1204"/>
      <c r="P7" s="1204"/>
      <c r="Q7" s="1204"/>
      <c r="R7" s="1204"/>
      <c r="S7" s="1204"/>
      <c r="T7" s="1204"/>
      <c r="V7" s="1204"/>
      <c r="W7" s="1204"/>
      <c r="X7" s="1204"/>
      <c r="Y7" s="1204"/>
      <c r="Z7" s="1204"/>
      <c r="AA7" s="1204"/>
      <c r="AB7" s="1204"/>
      <c r="AC7" s="1204"/>
      <c r="AD7" s="1204"/>
      <c r="AE7" s="1204"/>
      <c r="AF7" s="1204"/>
      <c r="AG7" s="1204"/>
      <c r="AH7" s="1204"/>
      <c r="AI7" s="1204"/>
      <c r="AJ7" s="1204"/>
      <c r="AK7" s="1204"/>
      <c r="AL7" s="1204"/>
      <c r="AM7" s="1204"/>
      <c r="AN7" s="1204"/>
      <c r="AO7" s="1204"/>
      <c r="AP7" s="1204"/>
      <c r="AQ7" s="1204"/>
      <c r="AR7" s="1204"/>
      <c r="AS7" s="1204"/>
      <c r="AT7" s="1204"/>
      <c r="AU7" s="1204"/>
      <c r="AV7" s="1204"/>
    </row>
    <row r="8" spans="1:49">
      <c r="A8" s="1203" t="s">
        <v>438</v>
      </c>
      <c r="N8" s="1204"/>
      <c r="O8" s="1204"/>
      <c r="P8" s="1204"/>
      <c r="Q8" s="1204"/>
      <c r="R8" s="1204"/>
      <c r="S8" s="1204"/>
      <c r="T8" s="1204"/>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row>
    <row r="9" spans="1:49">
      <c r="A9" s="1205" t="s">
        <v>195</v>
      </c>
      <c r="B9" s="1201">
        <v>1532.4485400000001</v>
      </c>
      <c r="C9" s="1201">
        <v>1319.4659999999999</v>
      </c>
      <c r="D9" s="1201">
        <v>1701.598</v>
      </c>
      <c r="E9" s="1201">
        <v>2068.9639999999999</v>
      </c>
      <c r="F9" s="1201">
        <v>1969.9659999999999</v>
      </c>
      <c r="G9" s="1201">
        <v>2236.415</v>
      </c>
      <c r="H9" s="1201">
        <v>2914.18</v>
      </c>
      <c r="I9" s="1201">
        <v>3101.1750000000002</v>
      </c>
      <c r="N9" s="1204"/>
      <c r="O9" s="1204"/>
      <c r="P9" s="1204"/>
      <c r="Q9" s="1204"/>
      <c r="R9" s="1204"/>
      <c r="S9" s="1204"/>
      <c r="T9" s="1204"/>
      <c r="V9" s="1204"/>
      <c r="W9" s="1204"/>
      <c r="X9" s="1204"/>
      <c r="Y9" s="1204"/>
      <c r="Z9" s="1204">
        <v>501.60899999999998</v>
      </c>
      <c r="AA9" s="1204">
        <v>541.30200000000002</v>
      </c>
      <c r="AB9" s="1204">
        <v>534.25599999999997</v>
      </c>
      <c r="AC9" s="1204">
        <v>491.79700000000003</v>
      </c>
      <c r="AD9" s="1204">
        <v>451.08300000000003</v>
      </c>
      <c r="AE9" s="1204">
        <v>511.34399999999999</v>
      </c>
      <c r="AF9" s="1204">
        <v>521.64599999999996</v>
      </c>
      <c r="AG9" s="1204">
        <v>485.89299999999997</v>
      </c>
      <c r="AH9" s="1204">
        <v>509.798</v>
      </c>
      <c r="AI9" s="1204">
        <v>546.61500000000001</v>
      </c>
      <c r="AJ9" s="1204">
        <v>569.85400000000004</v>
      </c>
      <c r="AK9" s="1204">
        <v>610.14800000000002</v>
      </c>
      <c r="AL9" s="1204">
        <v>634.31200000000001</v>
      </c>
      <c r="AM9" s="1204">
        <v>690.221</v>
      </c>
      <c r="AN9" s="1204">
        <v>774.84500000000003</v>
      </c>
      <c r="AO9" s="1204">
        <v>814.80200000000002</v>
      </c>
      <c r="AP9" s="1204">
        <v>793.08500000000004</v>
      </c>
      <c r="AQ9" s="1204">
        <v>751.19299999999998</v>
      </c>
      <c r="AR9" s="1204">
        <v>769.72299999999996</v>
      </c>
      <c r="AS9" s="1204">
        <v>787.17399999999998</v>
      </c>
      <c r="AT9" s="1204">
        <v>831.04399999999998</v>
      </c>
      <c r="AU9" s="1204">
        <v>890.71299999999997</v>
      </c>
      <c r="AV9" s="1204">
        <v>850.66200000000003</v>
      </c>
      <c r="AW9" s="1201">
        <v>787.56500000000005</v>
      </c>
    </row>
    <row r="10" spans="1:49">
      <c r="A10" s="1205" t="s">
        <v>439</v>
      </c>
      <c r="N10" s="1204"/>
      <c r="O10" s="1204"/>
      <c r="P10" s="1204"/>
      <c r="Q10" s="1204"/>
      <c r="R10" s="1204"/>
      <c r="S10" s="1204"/>
      <c r="T10" s="1204"/>
      <c r="V10" s="1204"/>
      <c r="W10" s="1204"/>
      <c r="X10" s="1204"/>
      <c r="Y10" s="1204"/>
      <c r="Z10" s="1204"/>
      <c r="AA10" s="1204"/>
      <c r="AB10" s="1204"/>
      <c r="AC10" s="1204"/>
      <c r="AD10" s="1204"/>
      <c r="AE10" s="1204"/>
      <c r="AF10" s="1204"/>
      <c r="AG10" s="1204"/>
      <c r="AH10" s="1204"/>
      <c r="AI10" s="1204"/>
      <c r="AJ10" s="1204"/>
      <c r="AK10" s="1204"/>
      <c r="AL10" s="1204"/>
      <c r="AM10" s="1204"/>
      <c r="AN10" s="1204"/>
      <c r="AO10" s="1204"/>
      <c r="AP10" s="1204"/>
      <c r="AQ10" s="1204"/>
      <c r="AR10" s="1204"/>
      <c r="AS10" s="1204"/>
      <c r="AT10" s="1204"/>
      <c r="AU10" s="1204"/>
      <c r="AV10" s="1204"/>
    </row>
    <row r="11" spans="1:49">
      <c r="A11" s="1206" t="s">
        <v>440</v>
      </c>
      <c r="B11" s="1201">
        <v>1532.4485400000001</v>
      </c>
      <c r="C11" s="1201">
        <v>1319.4659999999999</v>
      </c>
      <c r="D11" s="1201">
        <v>1701.598</v>
      </c>
      <c r="E11" s="1201">
        <v>2068.9639999999999</v>
      </c>
      <c r="F11" s="1201">
        <v>1969.9659999999999</v>
      </c>
      <c r="G11" s="1201">
        <v>2236.415</v>
      </c>
      <c r="H11" s="1201">
        <v>2914.18</v>
      </c>
      <c r="I11" s="1201">
        <v>3101.1750000000002</v>
      </c>
      <c r="N11" s="1204"/>
      <c r="O11" s="1204"/>
      <c r="P11" s="1204"/>
      <c r="Q11" s="1204"/>
      <c r="R11" s="1204"/>
      <c r="S11" s="1204"/>
      <c r="T11" s="1204"/>
      <c r="V11" s="1204"/>
      <c r="W11" s="1204"/>
      <c r="X11" s="1204"/>
      <c r="Y11" s="1204"/>
      <c r="Z11" s="1204">
        <v>501.60899999999998</v>
      </c>
      <c r="AA11" s="1204">
        <v>541.30200000000002</v>
      </c>
      <c r="AB11" s="1204">
        <v>534.25599999999997</v>
      </c>
      <c r="AC11" s="1204">
        <v>491.79700000000003</v>
      </c>
      <c r="AD11" s="1204">
        <v>451.08300000000003</v>
      </c>
      <c r="AE11" s="1204">
        <v>511.34399999999999</v>
      </c>
      <c r="AF11" s="1204">
        <v>521.64599999999996</v>
      </c>
      <c r="AG11" s="1204">
        <v>485.89299999999997</v>
      </c>
      <c r="AH11" s="1204">
        <v>509.798</v>
      </c>
      <c r="AI11" s="1204">
        <v>546.61500000000001</v>
      </c>
      <c r="AJ11" s="1204">
        <v>569.85400000000004</v>
      </c>
      <c r="AK11" s="1204">
        <v>610.14800000000002</v>
      </c>
      <c r="AL11" s="1204">
        <v>634.31200000000001</v>
      </c>
      <c r="AM11" s="1204">
        <v>690.221</v>
      </c>
      <c r="AN11" s="1204">
        <v>774.84500000000003</v>
      </c>
      <c r="AO11" s="1204">
        <v>814.80200000000002</v>
      </c>
      <c r="AP11" s="1204">
        <v>793.08500000000004</v>
      </c>
      <c r="AQ11" s="1204">
        <v>751.19299999999998</v>
      </c>
      <c r="AR11" s="1204">
        <v>769.72299999999996</v>
      </c>
      <c r="AS11" s="1204">
        <v>787.17399999999998</v>
      </c>
      <c r="AT11" s="1204">
        <v>831.04399999999998</v>
      </c>
      <c r="AU11" s="1204">
        <v>890.71299999999997</v>
      </c>
      <c r="AV11" s="1204">
        <v>850.66200000000003</v>
      </c>
      <c r="AW11" s="1201">
        <v>787.56500000000005</v>
      </c>
    </row>
    <row r="12" spans="1:49">
      <c r="A12" s="1203" t="s">
        <v>441</v>
      </c>
      <c r="B12" s="1201">
        <v>1229.2663600000001</v>
      </c>
      <c r="C12" s="1201">
        <v>1217.5250000000001</v>
      </c>
      <c r="D12" s="1201">
        <v>1352.835</v>
      </c>
      <c r="E12" s="1201">
        <v>1630.528</v>
      </c>
      <c r="F12" s="1201">
        <v>1486.5139999999999</v>
      </c>
      <c r="G12" s="1201">
        <v>1553.7950000000001</v>
      </c>
      <c r="H12" s="1201">
        <v>2064.4989999999998</v>
      </c>
      <c r="I12" s="1201">
        <v>2360.431</v>
      </c>
      <c r="N12" s="1204"/>
      <c r="O12" s="1204"/>
      <c r="P12" s="1204"/>
      <c r="Q12" s="1204"/>
      <c r="R12" s="1204"/>
      <c r="S12" s="1204"/>
      <c r="T12" s="1204"/>
      <c r="V12" s="1204"/>
      <c r="W12" s="1204"/>
      <c r="X12" s="1204"/>
      <c r="Y12" s="1204"/>
      <c r="Z12" s="1204">
        <v>399.471</v>
      </c>
      <c r="AA12" s="1204">
        <v>409.92500000000001</v>
      </c>
      <c r="AB12" s="1204">
        <v>422.274</v>
      </c>
      <c r="AC12" s="1204">
        <v>398.858</v>
      </c>
      <c r="AD12" s="1204">
        <v>354.96499999999997</v>
      </c>
      <c r="AE12" s="1204">
        <v>368.291</v>
      </c>
      <c r="AF12" s="1204">
        <v>386.70400000000001</v>
      </c>
      <c r="AG12" s="1204">
        <v>376.55399999999997</v>
      </c>
      <c r="AH12" s="1204">
        <v>359.87099999999998</v>
      </c>
      <c r="AI12" s="1204">
        <v>370.21</v>
      </c>
      <c r="AJ12" s="1204">
        <v>387.50299999999999</v>
      </c>
      <c r="AK12" s="1204">
        <v>436.21100000000001</v>
      </c>
      <c r="AL12" s="1204">
        <v>480.56</v>
      </c>
      <c r="AM12" s="1204">
        <v>472.40699999999998</v>
      </c>
      <c r="AN12" s="1204">
        <v>542.74199999999996</v>
      </c>
      <c r="AO12" s="1204">
        <v>568.79</v>
      </c>
      <c r="AP12" s="1204">
        <v>572.26599999999996</v>
      </c>
      <c r="AQ12" s="1204">
        <v>557.06100000000004</v>
      </c>
      <c r="AR12" s="1204">
        <v>592.42600000000004</v>
      </c>
      <c r="AS12" s="1204">
        <v>638.678</v>
      </c>
      <c r="AT12" s="1204">
        <v>610.86800000000005</v>
      </c>
      <c r="AU12" s="1204">
        <v>672.88</v>
      </c>
      <c r="AV12" s="1204">
        <v>676.11900000000003</v>
      </c>
      <c r="AW12" s="1201">
        <v>653.44000000000005</v>
      </c>
    </row>
    <row r="13" spans="1:49">
      <c r="A13" s="1203" t="s">
        <v>442</v>
      </c>
      <c r="N13" s="1204"/>
      <c r="O13" s="1204"/>
      <c r="P13" s="1204"/>
      <c r="Q13" s="1204"/>
      <c r="R13" s="1204"/>
      <c r="S13" s="1204"/>
      <c r="T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row>
    <row r="14" spans="1:49">
      <c r="A14" s="1205" t="s">
        <v>443</v>
      </c>
      <c r="B14" s="1201">
        <v>1229.2663600000001</v>
      </c>
      <c r="C14" s="1201">
        <v>1217.5250000000001</v>
      </c>
      <c r="D14" s="1201">
        <v>1352.835</v>
      </c>
      <c r="E14" s="1201">
        <v>1630.528</v>
      </c>
      <c r="F14" s="1201">
        <v>1486.5139999999999</v>
      </c>
      <c r="G14" s="1201">
        <v>1553.7950000000001</v>
      </c>
      <c r="H14" s="1201">
        <v>2064.4989999999998</v>
      </c>
      <c r="I14" s="1201">
        <v>2360.431</v>
      </c>
      <c r="N14" s="1204"/>
      <c r="O14" s="1204"/>
      <c r="P14" s="1204"/>
      <c r="Q14" s="1204"/>
      <c r="R14" s="1204"/>
      <c r="S14" s="1204"/>
      <c r="T14" s="1204"/>
      <c r="V14" s="1204"/>
      <c r="W14" s="1204"/>
      <c r="X14" s="1204"/>
      <c r="Y14" s="1204"/>
      <c r="Z14" s="1204">
        <v>399.471</v>
      </c>
      <c r="AA14" s="1204">
        <v>409.92500000000001</v>
      </c>
      <c r="AB14" s="1204">
        <v>422.274</v>
      </c>
      <c r="AC14" s="1204">
        <v>398.858</v>
      </c>
      <c r="AD14" s="1204">
        <v>354.96499999999997</v>
      </c>
      <c r="AE14" s="1204">
        <v>368.291</v>
      </c>
      <c r="AF14" s="1204">
        <v>386.70400000000001</v>
      </c>
      <c r="AG14" s="1204">
        <v>376.55399999999997</v>
      </c>
      <c r="AH14" s="1204">
        <v>359.87099999999998</v>
      </c>
      <c r="AI14" s="1204">
        <v>370.21</v>
      </c>
      <c r="AJ14" s="1204">
        <v>387.50299999999999</v>
      </c>
      <c r="AK14" s="1204">
        <v>436.21100000000001</v>
      </c>
      <c r="AL14" s="1204">
        <v>480.56</v>
      </c>
      <c r="AM14" s="1204">
        <v>472.40699999999998</v>
      </c>
      <c r="AN14" s="1204">
        <v>542.74199999999996</v>
      </c>
      <c r="AO14" s="1204">
        <v>568.79</v>
      </c>
      <c r="AP14" s="1204">
        <v>572.26599999999996</v>
      </c>
      <c r="AQ14" s="1204">
        <v>557.06100000000004</v>
      </c>
      <c r="AR14" s="1204">
        <v>592.42600000000004</v>
      </c>
      <c r="AS14" s="1204">
        <v>638.678</v>
      </c>
      <c r="AT14" s="1204">
        <v>610.86800000000005</v>
      </c>
      <c r="AU14" s="1204">
        <v>672.88</v>
      </c>
      <c r="AV14" s="1204">
        <v>676.11900000000003</v>
      </c>
      <c r="AW14" s="1201">
        <v>653.44000000000005</v>
      </c>
    </row>
    <row r="15" spans="1:49">
      <c r="A15" s="1207" t="s">
        <v>444</v>
      </c>
      <c r="B15" s="1201">
        <v>303.18218000000002</v>
      </c>
      <c r="C15" s="1201">
        <v>101.941</v>
      </c>
      <c r="D15" s="1201">
        <v>348.76299999999998</v>
      </c>
      <c r="E15" s="1201">
        <v>438.43599999999998</v>
      </c>
      <c r="F15" s="1201">
        <v>483.452</v>
      </c>
      <c r="G15" s="1201">
        <v>682.62</v>
      </c>
      <c r="H15" s="1201">
        <v>849.68100000000004</v>
      </c>
      <c r="I15" s="1201">
        <v>740.74400000000003</v>
      </c>
      <c r="N15" s="1204"/>
      <c r="O15" s="1204"/>
      <c r="P15" s="1204"/>
      <c r="Q15" s="1204"/>
      <c r="R15" s="1204"/>
      <c r="S15" s="1204"/>
      <c r="T15" s="1204"/>
      <c r="V15" s="1204"/>
      <c r="W15" s="1204"/>
      <c r="X15" s="1204"/>
      <c r="Y15" s="1204"/>
      <c r="Z15" s="1204">
        <v>102.13800000000001</v>
      </c>
      <c r="AA15" s="1204">
        <v>131.37700000000001</v>
      </c>
      <c r="AB15" s="1204">
        <v>111.982</v>
      </c>
      <c r="AC15" s="1204">
        <v>92.938999999999993</v>
      </c>
      <c r="AD15" s="1204">
        <v>96.117999999999995</v>
      </c>
      <c r="AE15" s="1204">
        <v>143.053</v>
      </c>
      <c r="AF15" s="1204">
        <v>134.94200000000001</v>
      </c>
      <c r="AG15" s="1204">
        <v>109.339</v>
      </c>
      <c r="AH15" s="1204">
        <v>149.92699999999999</v>
      </c>
      <c r="AI15" s="1204">
        <v>176.405</v>
      </c>
      <c r="AJ15" s="1204">
        <v>182.351</v>
      </c>
      <c r="AK15" s="1204">
        <v>173.93700000000001</v>
      </c>
      <c r="AL15" s="1204">
        <v>153.75200000000001</v>
      </c>
      <c r="AM15" s="1204">
        <v>217.81399999999999</v>
      </c>
      <c r="AN15" s="1204">
        <v>232.10300000000001</v>
      </c>
      <c r="AO15" s="1204">
        <v>246.012</v>
      </c>
      <c r="AP15" s="1204">
        <v>220.81899999999999</v>
      </c>
      <c r="AQ15" s="1204">
        <v>194.13200000000001</v>
      </c>
      <c r="AR15" s="1204">
        <v>177.297</v>
      </c>
      <c r="AS15" s="1204">
        <v>148.49600000000001</v>
      </c>
      <c r="AT15" s="1204">
        <v>220.17599999999999</v>
      </c>
      <c r="AU15" s="1204">
        <v>217.833</v>
      </c>
      <c r="AV15" s="1204">
        <v>174.54300000000001</v>
      </c>
      <c r="AW15" s="1201">
        <v>134.125</v>
      </c>
    </row>
    <row r="16" spans="1:49">
      <c r="A16" s="1203" t="s">
        <v>445</v>
      </c>
      <c r="B16" s="1201">
        <v>70.474320000000006</v>
      </c>
      <c r="C16" s="1201">
        <v>89.994</v>
      </c>
      <c r="D16" s="1201">
        <v>138.798</v>
      </c>
      <c r="E16" s="1201">
        <v>173.905</v>
      </c>
      <c r="F16" s="1201">
        <v>177.68</v>
      </c>
      <c r="G16" s="1201">
        <v>255.053</v>
      </c>
      <c r="H16" s="1201">
        <v>192.405</v>
      </c>
      <c r="I16" s="1201">
        <v>233.69499999999999</v>
      </c>
      <c r="N16" s="1204"/>
      <c r="O16" s="1204"/>
      <c r="P16" s="1204"/>
      <c r="Q16" s="1204"/>
      <c r="R16" s="1204"/>
      <c r="S16" s="1204"/>
      <c r="T16" s="1204"/>
      <c r="V16" s="1204"/>
      <c r="W16" s="1204"/>
      <c r="X16" s="1204"/>
      <c r="Y16" s="1204"/>
      <c r="Z16" s="1204">
        <v>47.656999999999996</v>
      </c>
      <c r="AA16" s="1204">
        <v>47.210999999999999</v>
      </c>
      <c r="AB16" s="1204">
        <v>34.042000000000002</v>
      </c>
      <c r="AC16" s="1204">
        <v>44.994999999999997</v>
      </c>
      <c r="AD16" s="1204">
        <v>32.901000000000003</v>
      </c>
      <c r="AE16" s="1204">
        <v>44.545999999999999</v>
      </c>
      <c r="AF16" s="1204">
        <v>44.758000000000003</v>
      </c>
      <c r="AG16" s="1204">
        <v>55.475000000000001</v>
      </c>
      <c r="AH16" s="1204">
        <v>51.691000000000003</v>
      </c>
      <c r="AI16" s="1204">
        <v>61.21</v>
      </c>
      <c r="AJ16" s="1204">
        <v>62.540999999999997</v>
      </c>
      <c r="AK16" s="1204">
        <v>79.611000000000004</v>
      </c>
      <c r="AL16" s="1204">
        <v>37.201999999999998</v>
      </c>
      <c r="AM16" s="1204">
        <v>41.723999999999997</v>
      </c>
      <c r="AN16" s="1204">
        <v>43.457999999999998</v>
      </c>
      <c r="AO16" s="1204">
        <v>70.021000000000001</v>
      </c>
      <c r="AP16" s="1204">
        <v>49.768999999999998</v>
      </c>
      <c r="AQ16" s="1204">
        <v>63.64</v>
      </c>
      <c r="AR16" s="1204">
        <v>55.691000000000003</v>
      </c>
      <c r="AS16" s="1204">
        <v>64.594999999999999</v>
      </c>
      <c r="AT16" s="1204">
        <v>60.018999999999998</v>
      </c>
      <c r="AU16" s="1204">
        <v>56.94</v>
      </c>
      <c r="AV16" s="1204">
        <v>56.637</v>
      </c>
      <c r="AW16" s="1201">
        <v>57.613999999999997</v>
      </c>
    </row>
    <row r="17" spans="1:49">
      <c r="A17" s="1203" t="s">
        <v>446</v>
      </c>
      <c r="N17" s="1204"/>
      <c r="O17" s="1204"/>
      <c r="P17" s="1204"/>
      <c r="Q17" s="1204"/>
      <c r="R17" s="1204"/>
      <c r="S17" s="1204"/>
      <c r="T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row>
    <row r="18" spans="1:49">
      <c r="A18" s="1203" t="s">
        <v>447</v>
      </c>
      <c r="N18" s="1204"/>
      <c r="O18" s="1204"/>
      <c r="P18" s="1204"/>
      <c r="Q18" s="1204"/>
      <c r="R18" s="1204"/>
      <c r="S18" s="1204"/>
      <c r="T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row>
    <row r="19" spans="1:49">
      <c r="A19" s="1205" t="s">
        <v>448</v>
      </c>
      <c r="B19" s="1201">
        <v>70.474320000000006</v>
      </c>
      <c r="C19" s="1201">
        <v>89.994</v>
      </c>
      <c r="D19" s="1201">
        <v>138.798</v>
      </c>
      <c r="E19" s="1201">
        <v>173.905</v>
      </c>
      <c r="F19" s="1201">
        <v>177.68</v>
      </c>
      <c r="G19" s="1201">
        <v>255.053</v>
      </c>
      <c r="H19" s="1201">
        <v>192.405</v>
      </c>
      <c r="I19" s="1201">
        <v>233.69499999999999</v>
      </c>
      <c r="N19" s="1204"/>
      <c r="O19" s="1204"/>
      <c r="P19" s="1204"/>
      <c r="Q19" s="1204"/>
      <c r="R19" s="1204"/>
      <c r="S19" s="1204"/>
      <c r="T19" s="1204"/>
      <c r="V19" s="1204"/>
      <c r="W19" s="1204"/>
      <c r="X19" s="1204"/>
      <c r="Y19" s="1204"/>
      <c r="Z19" s="1204">
        <v>47.656999999999996</v>
      </c>
      <c r="AA19" s="1204">
        <v>47.210999999999999</v>
      </c>
      <c r="AB19" s="1204">
        <v>34.042000000000002</v>
      </c>
      <c r="AC19" s="1204">
        <v>44.994999999999997</v>
      </c>
      <c r="AD19" s="1204">
        <v>32.901000000000003</v>
      </c>
      <c r="AE19" s="1204">
        <v>44.545999999999999</v>
      </c>
      <c r="AF19" s="1204">
        <v>44.758000000000003</v>
      </c>
      <c r="AG19" s="1204">
        <v>55.475000000000001</v>
      </c>
      <c r="AH19" s="1204">
        <v>51.691000000000003</v>
      </c>
      <c r="AI19" s="1204">
        <v>61.21</v>
      </c>
      <c r="AJ19" s="1204">
        <v>62.540999999999997</v>
      </c>
      <c r="AK19" s="1204">
        <v>79.611000000000004</v>
      </c>
      <c r="AL19" s="1204">
        <v>37.201999999999998</v>
      </c>
      <c r="AM19" s="1204">
        <v>41.723999999999997</v>
      </c>
      <c r="AN19" s="1204">
        <v>43.457999999999998</v>
      </c>
      <c r="AO19" s="1204">
        <v>70.021000000000001</v>
      </c>
      <c r="AP19" s="1204">
        <v>49.768999999999998</v>
      </c>
      <c r="AQ19" s="1204">
        <v>63.64</v>
      </c>
      <c r="AR19" s="1204">
        <v>55.691000000000003</v>
      </c>
      <c r="AS19" s="1204">
        <v>64.594999999999999</v>
      </c>
      <c r="AT19" s="1204">
        <v>60.018999999999998</v>
      </c>
      <c r="AU19" s="1204">
        <v>56.94</v>
      </c>
      <c r="AV19" s="1204">
        <v>56.637</v>
      </c>
      <c r="AW19" s="1201">
        <v>57.613999999999997</v>
      </c>
    </row>
    <row r="20" spans="1:49">
      <c r="A20" s="1205" t="s">
        <v>449</v>
      </c>
      <c r="B20" s="1201">
        <v>191.04646</v>
      </c>
      <c r="C20" s="1201">
        <v>191.47300000000001</v>
      </c>
      <c r="D20" s="1201">
        <v>193.56899999999999</v>
      </c>
      <c r="E20" s="1201">
        <v>145.31399999999999</v>
      </c>
      <c r="F20" s="1201">
        <v>189.733</v>
      </c>
      <c r="G20" s="1201">
        <v>237.15700000000001</v>
      </c>
      <c r="H20" s="1201">
        <v>318.24700000000001</v>
      </c>
      <c r="I20" s="1201">
        <v>427.11099999999999</v>
      </c>
      <c r="N20" s="1204"/>
      <c r="O20" s="1204"/>
      <c r="P20" s="1204"/>
      <c r="Q20" s="1204"/>
      <c r="R20" s="1204"/>
      <c r="S20" s="1204"/>
      <c r="T20" s="1204"/>
      <c r="V20" s="1204"/>
      <c r="W20" s="1204"/>
      <c r="X20" s="1204"/>
      <c r="Y20" s="1204"/>
      <c r="Z20" s="1204">
        <v>23.408000000000001</v>
      </c>
      <c r="AA20" s="1204">
        <v>38.085999999999999</v>
      </c>
      <c r="AB20" s="1204">
        <v>37.564</v>
      </c>
      <c r="AC20" s="1204">
        <v>46.256</v>
      </c>
      <c r="AD20" s="1204">
        <v>36.652999999999999</v>
      </c>
      <c r="AE20" s="1204">
        <v>45.08</v>
      </c>
      <c r="AF20" s="1204">
        <v>54.887</v>
      </c>
      <c r="AG20" s="1204">
        <v>53.113</v>
      </c>
      <c r="AH20" s="1204">
        <v>53.453000000000003</v>
      </c>
      <c r="AI20" s="1204">
        <v>55.201999999999998</v>
      </c>
      <c r="AJ20" s="1204">
        <v>62.381</v>
      </c>
      <c r="AK20" s="1204">
        <v>66.120999999999995</v>
      </c>
      <c r="AL20" s="1204">
        <v>53.497999999999998</v>
      </c>
      <c r="AM20" s="1204">
        <v>64.525999999999996</v>
      </c>
      <c r="AN20" s="1204">
        <v>81.897999999999996</v>
      </c>
      <c r="AO20" s="1204">
        <v>118.325</v>
      </c>
      <c r="AP20" s="1204">
        <v>107.80500000000001</v>
      </c>
      <c r="AQ20" s="1204">
        <v>111.158</v>
      </c>
      <c r="AR20" s="1204">
        <v>106.848</v>
      </c>
      <c r="AS20" s="1204">
        <v>101.3</v>
      </c>
      <c r="AT20" s="1204">
        <v>122.995</v>
      </c>
      <c r="AU20" s="1204">
        <v>147.17699999999999</v>
      </c>
      <c r="AV20" s="1204">
        <v>152.96799999999999</v>
      </c>
      <c r="AW20" s="1201">
        <v>134.97</v>
      </c>
    </row>
    <row r="21" spans="1:49">
      <c r="A21" s="1203" t="s">
        <v>450</v>
      </c>
      <c r="N21" s="1204"/>
      <c r="O21" s="1204"/>
      <c r="P21" s="1204"/>
      <c r="Q21" s="1204"/>
      <c r="R21" s="1204"/>
      <c r="S21" s="1204"/>
      <c r="T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row>
    <row r="22" spans="1:49">
      <c r="A22" s="1203" t="s">
        <v>451</v>
      </c>
      <c r="N22" s="1204"/>
      <c r="O22" s="1204"/>
      <c r="P22" s="1204"/>
      <c r="Q22" s="1204"/>
      <c r="R22" s="1204"/>
      <c r="S22" s="1204"/>
      <c r="T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4"/>
      <c r="AU22" s="1204"/>
      <c r="AV22" s="1204"/>
    </row>
    <row r="23" spans="1:49">
      <c r="A23" s="1203" t="s">
        <v>452</v>
      </c>
      <c r="N23" s="1204"/>
      <c r="O23" s="1204"/>
      <c r="P23" s="1204"/>
      <c r="Q23" s="1204"/>
      <c r="R23" s="1204"/>
      <c r="S23" s="1204"/>
      <c r="T23" s="1204"/>
      <c r="V23" s="1204"/>
      <c r="W23" s="1204"/>
      <c r="X23" s="1204"/>
      <c r="Y23" s="1204"/>
      <c r="Z23" s="1204"/>
      <c r="AA23" s="1204"/>
      <c r="AB23" s="1204"/>
      <c r="AC23" s="1204"/>
      <c r="AD23" s="1204"/>
      <c r="AE23" s="1204"/>
      <c r="AF23" s="1204"/>
      <c r="AG23" s="1204"/>
      <c r="AH23" s="1204"/>
      <c r="AI23" s="1204"/>
      <c r="AJ23" s="1204"/>
      <c r="AK23" s="1204"/>
      <c r="AL23" s="1204"/>
      <c r="AM23" s="1204"/>
      <c r="AN23" s="1204"/>
      <c r="AO23" s="1204"/>
      <c r="AP23" s="1204"/>
      <c r="AQ23" s="1204"/>
      <c r="AR23" s="1204"/>
      <c r="AS23" s="1204"/>
      <c r="AT23" s="1204"/>
      <c r="AU23" s="1204"/>
      <c r="AV23" s="1204"/>
    </row>
    <row r="24" spans="1:49">
      <c r="A24" s="1205" t="s">
        <v>453</v>
      </c>
      <c r="N24" s="1204"/>
      <c r="O24" s="1204"/>
      <c r="P24" s="1204"/>
      <c r="Q24" s="1204"/>
      <c r="R24" s="1204"/>
      <c r="S24" s="1204"/>
      <c r="T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4"/>
      <c r="AV24" s="1204"/>
    </row>
    <row r="25" spans="1:49">
      <c r="A25" s="1208" t="s">
        <v>454</v>
      </c>
      <c r="C25" s="1201">
        <v>40.887</v>
      </c>
      <c r="N25" s="1204"/>
      <c r="O25" s="1204"/>
      <c r="P25" s="1204"/>
      <c r="Q25" s="1204"/>
      <c r="R25" s="1204"/>
      <c r="S25" s="1204"/>
      <c r="T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1204"/>
      <c r="AV25" s="1204"/>
    </row>
    <row r="26" spans="1:49">
      <c r="A26" s="1208" t="s">
        <v>455</v>
      </c>
      <c r="C26" s="1201">
        <v>-18.984000000000002</v>
      </c>
      <c r="N26" s="1204"/>
      <c r="O26" s="1204"/>
      <c r="P26" s="1204"/>
      <c r="Q26" s="1204"/>
      <c r="R26" s="1204"/>
      <c r="S26" s="1204"/>
      <c r="T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4"/>
      <c r="AU26" s="1204"/>
      <c r="AV26" s="1204"/>
    </row>
    <row r="27" spans="1:49">
      <c r="A27" s="1203" t="s">
        <v>456</v>
      </c>
      <c r="C27" s="1201">
        <v>21.902999999999999</v>
      </c>
      <c r="N27" s="1204"/>
      <c r="O27" s="1204"/>
      <c r="P27" s="1204"/>
      <c r="Q27" s="1204"/>
      <c r="R27" s="1204"/>
      <c r="S27" s="1204"/>
      <c r="T27" s="1204"/>
      <c r="V27" s="1204"/>
      <c r="W27" s="1204"/>
      <c r="X27" s="1204"/>
      <c r="Y27" s="1204"/>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row>
    <row r="28" spans="1:49">
      <c r="A28" s="1208" t="s">
        <v>457</v>
      </c>
      <c r="C28" s="1201">
        <v>-4.7240000000000002</v>
      </c>
      <c r="N28" s="1204"/>
      <c r="O28" s="1204"/>
      <c r="P28" s="1204"/>
      <c r="Q28" s="1204"/>
      <c r="R28" s="1204"/>
      <c r="S28" s="1204"/>
      <c r="T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row>
    <row r="29" spans="1:49">
      <c r="A29" s="1208" t="s">
        <v>458</v>
      </c>
      <c r="C29" s="1201">
        <v>-22.068000000000001</v>
      </c>
      <c r="N29" s="1204"/>
      <c r="O29" s="1204"/>
      <c r="P29" s="1204"/>
      <c r="Q29" s="1204"/>
      <c r="R29" s="1204"/>
      <c r="S29" s="1204"/>
      <c r="T29" s="1204"/>
      <c r="V29" s="1204"/>
      <c r="W29" s="1204"/>
      <c r="X29" s="1204"/>
      <c r="Y29" s="1204"/>
      <c r="Z29" s="1204"/>
      <c r="AA29" s="1204"/>
      <c r="AB29" s="1204"/>
      <c r="AC29" s="1204"/>
      <c r="AD29" s="1204"/>
      <c r="AE29" s="1204"/>
      <c r="AF29" s="1204"/>
      <c r="AG29" s="1204"/>
      <c r="AH29" s="1204"/>
      <c r="AI29" s="1204"/>
      <c r="AJ29" s="1204"/>
      <c r="AK29" s="1204"/>
      <c r="AL29" s="1204"/>
      <c r="AM29" s="1204"/>
      <c r="AN29" s="1204"/>
      <c r="AO29" s="1204"/>
      <c r="AP29" s="1204"/>
      <c r="AQ29" s="1204"/>
      <c r="AR29" s="1204"/>
      <c r="AS29" s="1204"/>
      <c r="AT29" s="1204"/>
      <c r="AU29" s="1204"/>
      <c r="AV29" s="1204"/>
    </row>
    <row r="30" spans="1:49">
      <c r="A30" s="1203" t="s">
        <v>459</v>
      </c>
      <c r="C30" s="1201">
        <v>-26.792000000000002</v>
      </c>
      <c r="N30" s="1204"/>
      <c r="O30" s="1204"/>
      <c r="P30" s="1204"/>
      <c r="Q30" s="1204"/>
      <c r="R30" s="1204"/>
      <c r="S30" s="1204"/>
      <c r="T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row>
    <row r="31" spans="1:49">
      <c r="A31" s="1203" t="s">
        <v>460</v>
      </c>
      <c r="N31" s="1204"/>
      <c r="O31" s="1204"/>
      <c r="P31" s="1204"/>
      <c r="Q31" s="1204"/>
      <c r="R31" s="1204"/>
      <c r="S31" s="1204"/>
      <c r="T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row>
    <row r="32" spans="1:49">
      <c r="A32" s="1205" t="s">
        <v>461</v>
      </c>
      <c r="C32" s="1201">
        <v>-4.8890000000000002</v>
      </c>
      <c r="N32" s="1204"/>
      <c r="O32" s="1204"/>
      <c r="P32" s="1204"/>
      <c r="Q32" s="1204"/>
      <c r="R32" s="1204"/>
      <c r="S32" s="1204"/>
      <c r="T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row>
    <row r="33" spans="1:49">
      <c r="A33" s="1203" t="s">
        <v>462</v>
      </c>
      <c r="N33" s="1204"/>
      <c r="O33" s="1204"/>
      <c r="P33" s="1204"/>
      <c r="Q33" s="1204"/>
      <c r="R33" s="1204"/>
      <c r="S33" s="1204"/>
      <c r="T33" s="1204"/>
      <c r="V33" s="1204"/>
      <c r="W33" s="1204"/>
      <c r="X33" s="1204"/>
      <c r="Y33" s="1204"/>
      <c r="Z33" s="1204"/>
      <c r="AA33" s="1204"/>
      <c r="AB33" s="1204"/>
      <c r="AC33" s="1204"/>
      <c r="AD33" s="1204"/>
      <c r="AE33" s="1204"/>
      <c r="AF33" s="1204"/>
      <c r="AG33" s="1204"/>
      <c r="AH33" s="1204"/>
      <c r="AI33" s="1204"/>
      <c r="AJ33" s="1204"/>
      <c r="AK33" s="1204"/>
      <c r="AL33" s="1204"/>
      <c r="AM33" s="1204"/>
      <c r="AN33" s="1204"/>
      <c r="AO33" s="1204"/>
      <c r="AP33" s="1204"/>
      <c r="AQ33" s="1204"/>
      <c r="AR33" s="1204"/>
      <c r="AS33" s="1204"/>
      <c r="AT33" s="1204"/>
      <c r="AU33" s="1204"/>
      <c r="AV33" s="1204"/>
    </row>
    <row r="34" spans="1:49">
      <c r="A34" s="1203" t="s">
        <v>463</v>
      </c>
      <c r="N34" s="1204"/>
      <c r="O34" s="1204"/>
      <c r="P34" s="1204"/>
      <c r="Q34" s="1204"/>
      <c r="R34" s="1204"/>
      <c r="S34" s="1204"/>
      <c r="T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4"/>
      <c r="AU34" s="1204"/>
      <c r="AV34" s="1204"/>
    </row>
    <row r="35" spans="1:49">
      <c r="A35" s="1203" t="s">
        <v>464</v>
      </c>
      <c r="B35" s="1201">
        <v>0</v>
      </c>
      <c r="N35" s="1204"/>
      <c r="O35" s="1204"/>
      <c r="P35" s="1204"/>
      <c r="Q35" s="1204"/>
      <c r="R35" s="1204"/>
      <c r="S35" s="1204"/>
      <c r="T35" s="1204"/>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R35" s="1204"/>
      <c r="AS35" s="1204"/>
      <c r="AT35" s="1204"/>
      <c r="AU35" s="1204"/>
      <c r="AV35" s="1204"/>
    </row>
    <row r="36" spans="1:49">
      <c r="A36" s="1203" t="s">
        <v>465</v>
      </c>
      <c r="B36" s="1201">
        <v>9.69E-2</v>
      </c>
      <c r="C36" s="1201">
        <v>0.50800000000000001</v>
      </c>
      <c r="E36" s="1201">
        <v>-33.996000000000002</v>
      </c>
      <c r="F36" s="1201">
        <v>-13.904</v>
      </c>
      <c r="G36" s="1201">
        <v>-28.949000000000002</v>
      </c>
      <c r="H36" s="1201">
        <v>1.8460000000000001</v>
      </c>
      <c r="I36" s="1201">
        <v>-17.513000000000002</v>
      </c>
      <c r="N36" s="1204"/>
      <c r="O36" s="1204"/>
      <c r="P36" s="1204"/>
      <c r="Q36" s="1204"/>
      <c r="R36" s="1204"/>
      <c r="S36" s="1204"/>
      <c r="T36" s="1204"/>
      <c r="V36" s="1204"/>
      <c r="W36" s="1204"/>
      <c r="X36" s="1204"/>
      <c r="Y36" s="1204"/>
      <c r="Z36" s="1204"/>
      <c r="AA36" s="1204">
        <v>-24.995999999999999</v>
      </c>
      <c r="AB36" s="1204"/>
      <c r="AC36" s="1204"/>
      <c r="AD36" s="1204"/>
      <c r="AE36" s="1204">
        <v>-7.593</v>
      </c>
      <c r="AF36" s="1204"/>
      <c r="AG36" s="1204">
        <v>-13.904</v>
      </c>
      <c r="AH36" s="1204"/>
      <c r="AI36" s="1204"/>
      <c r="AJ36" s="1204"/>
      <c r="AK36" s="1204">
        <v>-28.949000000000002</v>
      </c>
      <c r="AL36" s="1204"/>
      <c r="AM36" s="1204"/>
      <c r="AN36" s="1204"/>
      <c r="AO36" s="1204"/>
      <c r="AP36" s="1204"/>
      <c r="AQ36" s="1204"/>
      <c r="AR36" s="1204"/>
      <c r="AS36" s="1204"/>
      <c r="AT36" s="1204"/>
      <c r="AU36" s="1204"/>
      <c r="AV36" s="1204"/>
    </row>
    <row r="37" spans="1:49">
      <c r="A37" s="1203" t="s">
        <v>466</v>
      </c>
      <c r="B37" s="1201">
        <v>5.1379299999999999</v>
      </c>
      <c r="C37" s="1201">
        <v>17.690999999999999</v>
      </c>
      <c r="D37" s="1201">
        <v>0</v>
      </c>
      <c r="E37" s="1201">
        <v>0</v>
      </c>
      <c r="H37" s="1201">
        <v>7.5289999999999999</v>
      </c>
      <c r="I37" s="1201">
        <v>0</v>
      </c>
      <c r="N37" s="1204"/>
      <c r="O37" s="1204"/>
      <c r="P37" s="1204"/>
      <c r="Q37" s="1204"/>
      <c r="R37" s="1204"/>
      <c r="S37" s="1204"/>
      <c r="T37" s="1204"/>
      <c r="V37" s="1204"/>
      <c r="W37" s="1204"/>
      <c r="X37" s="1204"/>
      <c r="Y37" s="1204"/>
      <c r="Z37" s="1204"/>
      <c r="AA37" s="1204"/>
      <c r="AB37" s="1204"/>
      <c r="AC37" s="1204"/>
      <c r="AD37" s="1204"/>
      <c r="AE37" s="1204"/>
      <c r="AF37" s="1204"/>
      <c r="AG37" s="1204"/>
      <c r="AH37" s="1204"/>
      <c r="AI37" s="1204"/>
      <c r="AJ37" s="1204"/>
      <c r="AK37" s="1204"/>
      <c r="AL37" s="1204"/>
      <c r="AM37" s="1204"/>
      <c r="AN37" s="1204"/>
      <c r="AO37" s="1204"/>
      <c r="AP37" s="1204"/>
      <c r="AQ37" s="1204"/>
      <c r="AR37" s="1204"/>
      <c r="AS37" s="1204"/>
      <c r="AT37" s="1204"/>
      <c r="AU37" s="1204"/>
      <c r="AV37" s="1204"/>
    </row>
    <row r="38" spans="1:49">
      <c r="A38" s="1203" t="s">
        <v>467</v>
      </c>
      <c r="N38" s="1204"/>
      <c r="O38" s="1204"/>
      <c r="P38" s="1204"/>
      <c r="Q38" s="1204"/>
      <c r="R38" s="1204"/>
      <c r="S38" s="1204"/>
      <c r="T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4"/>
      <c r="AU38" s="1204"/>
      <c r="AV38" s="1204"/>
    </row>
    <row r="39" spans="1:49">
      <c r="A39" s="1203" t="s">
        <v>468</v>
      </c>
      <c r="E39" s="1201">
        <v>-33.722999999999999</v>
      </c>
      <c r="F39" s="1201">
        <v>0.20799999999999999</v>
      </c>
      <c r="G39" s="1201">
        <v>5.7000000000000002E-2</v>
      </c>
      <c r="H39" s="1201">
        <v>0</v>
      </c>
      <c r="I39" s="1201">
        <v>0</v>
      </c>
      <c r="N39" s="1204"/>
      <c r="O39" s="1204"/>
      <c r="P39" s="1204"/>
      <c r="Q39" s="1204"/>
      <c r="R39" s="1204"/>
      <c r="S39" s="1204"/>
      <c r="T39" s="1204"/>
      <c r="V39" s="1204"/>
      <c r="W39" s="1204"/>
      <c r="X39" s="1204"/>
      <c r="Y39" s="1204"/>
      <c r="Z39" s="1204"/>
      <c r="AA39" s="1204">
        <v>-28.303999999999998</v>
      </c>
      <c r="AB39" s="1204"/>
      <c r="AC39" s="1204"/>
      <c r="AD39" s="1204"/>
      <c r="AE39" s="1204">
        <v>0</v>
      </c>
      <c r="AF39" s="1204"/>
      <c r="AG39" s="1204">
        <v>0.20799999999999999</v>
      </c>
      <c r="AH39" s="1204"/>
      <c r="AI39" s="1204"/>
      <c r="AJ39" s="1204"/>
      <c r="AK39" s="1204">
        <v>5.7000000000000002E-2</v>
      </c>
      <c r="AL39" s="1204"/>
      <c r="AM39" s="1204"/>
      <c r="AN39" s="1204"/>
      <c r="AO39" s="1204"/>
      <c r="AP39" s="1204"/>
      <c r="AQ39" s="1204"/>
      <c r="AR39" s="1204"/>
      <c r="AS39" s="1204"/>
      <c r="AT39" s="1204"/>
      <c r="AU39" s="1204"/>
      <c r="AV39" s="1204"/>
    </row>
    <row r="40" spans="1:49">
      <c r="A40" s="1205" t="s">
        <v>469</v>
      </c>
      <c r="B40" s="1201">
        <v>5.2348299999999997</v>
      </c>
      <c r="C40" s="1201">
        <v>18.199000000000002</v>
      </c>
      <c r="D40" s="1201">
        <v>0</v>
      </c>
      <c r="E40" s="1201">
        <v>-67.718999999999994</v>
      </c>
      <c r="F40" s="1201">
        <v>-13.696</v>
      </c>
      <c r="G40" s="1201">
        <v>-28.891999999999999</v>
      </c>
      <c r="H40" s="1201">
        <v>9.375</v>
      </c>
      <c r="I40" s="1201">
        <v>-17.513000000000002</v>
      </c>
      <c r="N40" s="1204"/>
      <c r="O40" s="1204"/>
      <c r="P40" s="1204"/>
      <c r="Q40" s="1204"/>
      <c r="R40" s="1204"/>
      <c r="S40" s="1204"/>
      <c r="T40" s="1204"/>
      <c r="V40" s="1204"/>
      <c r="W40" s="1204"/>
      <c r="X40" s="1204"/>
      <c r="Y40" s="1204"/>
      <c r="Z40" s="1204"/>
      <c r="AA40" s="1204">
        <v>-53.3</v>
      </c>
      <c r="AB40" s="1204"/>
      <c r="AC40" s="1204"/>
      <c r="AD40" s="1204"/>
      <c r="AE40" s="1204">
        <v>-7.593</v>
      </c>
      <c r="AF40" s="1204"/>
      <c r="AG40" s="1204">
        <v>-13.696</v>
      </c>
      <c r="AH40" s="1204"/>
      <c r="AI40" s="1204"/>
      <c r="AJ40" s="1204"/>
      <c r="AK40" s="1204">
        <v>-28.891999999999999</v>
      </c>
      <c r="AL40" s="1204"/>
      <c r="AM40" s="1204"/>
      <c r="AN40" s="1204"/>
      <c r="AO40" s="1204"/>
      <c r="AP40" s="1204"/>
      <c r="AQ40" s="1204"/>
      <c r="AR40" s="1204"/>
      <c r="AS40" s="1204"/>
      <c r="AT40" s="1204"/>
      <c r="AU40" s="1204"/>
      <c r="AV40" s="1204"/>
    </row>
    <row r="41" spans="1:49">
      <c r="A41" s="1203" t="s">
        <v>470</v>
      </c>
      <c r="N41" s="1204"/>
      <c r="O41" s="1204"/>
      <c r="P41" s="1204"/>
      <c r="Q41" s="1204"/>
      <c r="R41" s="1204"/>
      <c r="S41" s="1204"/>
      <c r="T41" s="1204"/>
      <c r="V41" s="1204"/>
      <c r="W41" s="1204"/>
      <c r="X41" s="1204"/>
      <c r="Y41" s="1204"/>
      <c r="Z41" s="1204">
        <v>2.145</v>
      </c>
      <c r="AA41" s="1204">
        <v>2.9489999999999998</v>
      </c>
      <c r="AB41" s="1204">
        <v>2.4039999999999999</v>
      </c>
      <c r="AC41" s="1204">
        <v>6.2279999999999998</v>
      </c>
      <c r="AD41" s="1204">
        <v>-12.593999999999999</v>
      </c>
      <c r="AE41" s="1204">
        <v>-1.8599999999999999</v>
      </c>
      <c r="AF41" s="1204">
        <v>6.8380000000000001</v>
      </c>
      <c r="AG41" s="1204">
        <v>1.623</v>
      </c>
      <c r="AH41" s="1204">
        <v>0.12</v>
      </c>
      <c r="AI41" s="1204">
        <v>4.96</v>
      </c>
      <c r="AJ41" s="1204">
        <v>-25.963000000000001</v>
      </c>
      <c r="AK41" s="1204">
        <v>-5.4660000000000002</v>
      </c>
      <c r="AL41" s="1204">
        <v>-5.1820000000000004</v>
      </c>
      <c r="AM41" s="1204">
        <v>-5.335</v>
      </c>
      <c r="AN41" s="1204">
        <v>-2.274</v>
      </c>
      <c r="AO41" s="1204">
        <v>0.48099999999999998</v>
      </c>
      <c r="AP41" s="1204">
        <v>-2.802</v>
      </c>
      <c r="AQ41" s="1204">
        <v>-7.399</v>
      </c>
      <c r="AR41" s="1204">
        <v>-11.685</v>
      </c>
      <c r="AS41" s="1204">
        <v>9.1920000000000002</v>
      </c>
      <c r="AT41" s="1204">
        <v>-4.2210000000000001</v>
      </c>
      <c r="AU41" s="1204">
        <v>10.49</v>
      </c>
      <c r="AV41" s="1204">
        <v>9.2230000000000008</v>
      </c>
      <c r="AW41" s="1201">
        <v>-5.5449999999999999</v>
      </c>
    </row>
    <row r="42" spans="1:49">
      <c r="A42" s="1203" t="s">
        <v>471</v>
      </c>
      <c r="N42" s="1204"/>
      <c r="O42" s="1204"/>
      <c r="P42" s="1204"/>
      <c r="Q42" s="1204"/>
      <c r="R42" s="1204"/>
      <c r="S42" s="1204"/>
      <c r="T42" s="1204"/>
      <c r="V42" s="1204"/>
      <c r="W42" s="1204"/>
      <c r="X42" s="1204"/>
      <c r="Y42" s="1204"/>
      <c r="Z42" s="1204"/>
      <c r="AA42" s="1204"/>
      <c r="AB42" s="1204"/>
      <c r="AC42" s="1204"/>
      <c r="AD42" s="1204"/>
      <c r="AE42" s="1204"/>
      <c r="AF42" s="1204"/>
      <c r="AG42" s="1204"/>
      <c r="AH42" s="1204"/>
      <c r="AI42" s="1204"/>
      <c r="AJ42" s="1204"/>
      <c r="AK42" s="1204"/>
      <c r="AL42" s="1204"/>
      <c r="AM42" s="1204"/>
      <c r="AN42" s="1204"/>
      <c r="AO42" s="1204"/>
      <c r="AP42" s="1204"/>
      <c r="AQ42" s="1204"/>
      <c r="AR42" s="1204"/>
      <c r="AS42" s="1204"/>
      <c r="AT42" s="1204"/>
      <c r="AU42" s="1204"/>
      <c r="AV42" s="1204"/>
    </row>
    <row r="43" spans="1:49">
      <c r="A43" s="1203" t="s">
        <v>472</v>
      </c>
      <c r="N43" s="1204"/>
      <c r="O43" s="1204"/>
      <c r="P43" s="1204"/>
      <c r="Q43" s="1204"/>
      <c r="R43" s="1204"/>
      <c r="S43" s="1204"/>
      <c r="T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4"/>
      <c r="AS43" s="1204"/>
      <c r="AT43" s="1204"/>
      <c r="AU43" s="1204"/>
      <c r="AV43" s="1204"/>
    </row>
    <row r="44" spans="1:49">
      <c r="A44" s="1203" t="s">
        <v>380</v>
      </c>
      <c r="N44" s="1204"/>
      <c r="O44" s="1204"/>
      <c r="P44" s="1204"/>
      <c r="Q44" s="1204"/>
      <c r="R44" s="1204"/>
      <c r="S44" s="1204"/>
      <c r="T44" s="1204"/>
      <c r="V44" s="1204"/>
      <c r="W44" s="1204"/>
      <c r="X44" s="1204"/>
      <c r="Y44" s="1204"/>
      <c r="Z44" s="1204"/>
      <c r="AA44" s="1204"/>
      <c r="AB44" s="1204"/>
      <c r="AC44" s="1204"/>
      <c r="AD44" s="1204"/>
      <c r="AE44" s="1204"/>
      <c r="AF44" s="1204"/>
      <c r="AG44" s="1204"/>
      <c r="AH44" s="1204"/>
      <c r="AI44" s="1204"/>
      <c r="AJ44" s="1204"/>
      <c r="AK44" s="1204"/>
      <c r="AL44" s="1204"/>
      <c r="AM44" s="1204"/>
      <c r="AN44" s="1204"/>
      <c r="AO44" s="1204"/>
      <c r="AP44" s="1204"/>
      <c r="AQ44" s="1204"/>
      <c r="AR44" s="1204"/>
      <c r="AS44" s="1204"/>
      <c r="AT44" s="1204"/>
      <c r="AU44" s="1204"/>
      <c r="AV44" s="1204"/>
    </row>
    <row r="45" spans="1:49">
      <c r="A45" s="1203" t="s">
        <v>473</v>
      </c>
      <c r="B45" s="1201">
        <v>-16.49305</v>
      </c>
      <c r="C45" s="1201">
        <v>-13.718</v>
      </c>
      <c r="E45" s="1201">
        <v>-0.151</v>
      </c>
      <c r="F45" s="1201">
        <v>-0.51</v>
      </c>
      <c r="G45" s="1201">
        <v>-2.702</v>
      </c>
      <c r="H45" s="1201">
        <v>-9.5519999999999996</v>
      </c>
      <c r="I45" s="1201">
        <v>-27.443999999999999</v>
      </c>
      <c r="N45" s="1204"/>
      <c r="O45" s="1204"/>
      <c r="P45" s="1204"/>
      <c r="Q45" s="1204"/>
      <c r="R45" s="1204"/>
      <c r="S45" s="1204"/>
      <c r="T45" s="1204"/>
      <c r="V45" s="1204"/>
      <c r="W45" s="1204"/>
      <c r="X45" s="1204"/>
      <c r="Y45" s="1204"/>
      <c r="Z45" s="1204">
        <v>-11.975</v>
      </c>
      <c r="AA45" s="1204">
        <v>11.975</v>
      </c>
      <c r="AB45" s="1204">
        <v>-8.1590000000000007</v>
      </c>
      <c r="AC45" s="1204">
        <v>-6.4109999999999996</v>
      </c>
      <c r="AD45" s="1204">
        <v>-3.0209999999999999</v>
      </c>
      <c r="AE45" s="1204">
        <v>2.8279999999999998</v>
      </c>
      <c r="AF45" s="1204">
        <v>-5.5229999999999997</v>
      </c>
      <c r="AG45" s="1204">
        <v>12.798999999999999</v>
      </c>
      <c r="AH45" s="1204">
        <v>-0.72099999999999997</v>
      </c>
      <c r="AI45" s="1204">
        <v>-0.68400000000000005</v>
      </c>
      <c r="AJ45" s="1204">
        <v>-16.797000000000001</v>
      </c>
      <c r="AK45" s="1204">
        <v>15.5</v>
      </c>
      <c r="AL45" s="1204">
        <v>-3.0840000000000001</v>
      </c>
      <c r="AM45" s="1204">
        <v>-3.8559999999999999</v>
      </c>
      <c r="AN45" s="1204">
        <v>-1.885</v>
      </c>
      <c r="AO45" s="1204">
        <v>8.6479999999999997</v>
      </c>
      <c r="AP45" s="1204">
        <v>-14.141</v>
      </c>
      <c r="AQ45" s="1204">
        <v>-2.298</v>
      </c>
      <c r="AR45" s="1204">
        <v>-7.9470000000000001</v>
      </c>
      <c r="AS45" s="1204">
        <v>-20.571000000000002</v>
      </c>
      <c r="AT45" s="1204">
        <v>-5.0999999999999996</v>
      </c>
      <c r="AU45" s="1204">
        <v>-5.42</v>
      </c>
      <c r="AV45" s="1204">
        <v>-29.234000000000002</v>
      </c>
      <c r="AW45" s="1201">
        <v>-17.529</v>
      </c>
    </row>
    <row r="46" spans="1:49">
      <c r="A46" s="1205" t="s">
        <v>474</v>
      </c>
      <c r="B46" s="1201">
        <v>-16.49305</v>
      </c>
      <c r="C46" s="1201">
        <v>-13.718</v>
      </c>
      <c r="E46" s="1201">
        <v>-0.151</v>
      </c>
      <c r="F46" s="1201">
        <v>-0.51</v>
      </c>
      <c r="G46" s="1201">
        <v>-2.702</v>
      </c>
      <c r="H46" s="1201">
        <v>-9.5519999999999996</v>
      </c>
      <c r="I46" s="1201">
        <v>-27.443999999999999</v>
      </c>
      <c r="N46" s="1204"/>
      <c r="O46" s="1204"/>
      <c r="P46" s="1204"/>
      <c r="Q46" s="1204"/>
      <c r="R46" s="1204"/>
      <c r="S46" s="1204"/>
      <c r="T46" s="1204"/>
      <c r="V46" s="1204"/>
      <c r="W46" s="1204"/>
      <c r="X46" s="1204"/>
      <c r="Y46" s="1204"/>
      <c r="Z46" s="1204">
        <v>-11.975</v>
      </c>
      <c r="AA46" s="1204">
        <v>11.975</v>
      </c>
      <c r="AB46" s="1204">
        <v>-8.1590000000000007</v>
      </c>
      <c r="AC46" s="1204">
        <v>-6.4109999999999996</v>
      </c>
      <c r="AD46" s="1204">
        <v>-3.0209999999999999</v>
      </c>
      <c r="AE46" s="1204">
        <v>2.8279999999999998</v>
      </c>
      <c r="AF46" s="1204">
        <v>-5.5229999999999997</v>
      </c>
      <c r="AG46" s="1204">
        <v>12.798999999999999</v>
      </c>
      <c r="AH46" s="1204">
        <v>-0.72099999999999997</v>
      </c>
      <c r="AI46" s="1204">
        <v>-0.68400000000000005</v>
      </c>
      <c r="AJ46" s="1204">
        <v>-16.797000000000001</v>
      </c>
      <c r="AK46" s="1204">
        <v>15.5</v>
      </c>
      <c r="AL46" s="1204">
        <v>-3.0840000000000001</v>
      </c>
      <c r="AM46" s="1204">
        <v>-3.8559999999999999</v>
      </c>
      <c r="AN46" s="1204">
        <v>-1.885</v>
      </c>
      <c r="AO46" s="1204">
        <v>8.6479999999999997</v>
      </c>
      <c r="AP46" s="1204">
        <v>-14.141</v>
      </c>
      <c r="AQ46" s="1204">
        <v>-2.298</v>
      </c>
      <c r="AR46" s="1204">
        <v>-7.9470000000000001</v>
      </c>
      <c r="AS46" s="1204">
        <v>-20.571000000000002</v>
      </c>
      <c r="AT46" s="1204">
        <v>-5.0999999999999996</v>
      </c>
      <c r="AU46" s="1204">
        <v>-5.42</v>
      </c>
      <c r="AV46" s="1204">
        <v>-29.234000000000002</v>
      </c>
      <c r="AW46" s="1201">
        <v>-17.529</v>
      </c>
    </row>
    <row r="47" spans="1:49">
      <c r="A47" s="1207" t="s">
        <v>381</v>
      </c>
      <c r="B47" s="1201">
        <v>1479.52892</v>
      </c>
      <c r="C47" s="1201">
        <v>1498.5840000000001</v>
      </c>
      <c r="D47" s="1201">
        <v>1685.202</v>
      </c>
      <c r="E47" s="1201">
        <v>1881.877</v>
      </c>
      <c r="F47" s="1201">
        <v>1839.721</v>
      </c>
      <c r="G47" s="1201">
        <v>2014.4110000000001</v>
      </c>
      <c r="H47" s="1201">
        <v>2574.9740000000002</v>
      </c>
      <c r="I47" s="1201">
        <v>2976.28</v>
      </c>
      <c r="N47" s="1204"/>
      <c r="O47" s="1204"/>
      <c r="P47" s="1204"/>
      <c r="Q47" s="1204"/>
      <c r="R47" s="1204"/>
      <c r="S47" s="1204"/>
      <c r="T47" s="1204"/>
      <c r="V47" s="1204"/>
      <c r="W47" s="1204"/>
      <c r="X47" s="1204"/>
      <c r="Y47" s="1204"/>
      <c r="Z47" s="1204">
        <v>458.56099999999998</v>
      </c>
      <c r="AA47" s="1204">
        <v>453.89699999999999</v>
      </c>
      <c r="AB47" s="1204">
        <v>485.721</v>
      </c>
      <c r="AC47" s="1204">
        <v>483.69799999999998</v>
      </c>
      <c r="AD47" s="1204">
        <v>421.49799999999999</v>
      </c>
      <c r="AE47" s="1204">
        <v>453.15199999999999</v>
      </c>
      <c r="AF47" s="1204">
        <v>480.82600000000002</v>
      </c>
      <c r="AG47" s="1204">
        <v>484.245</v>
      </c>
      <c r="AH47" s="1204">
        <v>464.29399999999998</v>
      </c>
      <c r="AI47" s="1204">
        <v>485.93799999999999</v>
      </c>
      <c r="AJ47" s="1204">
        <v>495.62799999999999</v>
      </c>
      <c r="AK47" s="1204">
        <v>568.55100000000004</v>
      </c>
      <c r="AL47" s="1204">
        <v>568.17600000000004</v>
      </c>
      <c r="AM47" s="1204">
        <v>574.80100000000004</v>
      </c>
      <c r="AN47" s="1204">
        <v>666.21299999999997</v>
      </c>
      <c r="AO47" s="1204">
        <v>765.78399999999999</v>
      </c>
      <c r="AP47" s="1204">
        <v>715.69899999999996</v>
      </c>
      <c r="AQ47" s="1204">
        <v>729.56100000000004</v>
      </c>
      <c r="AR47" s="1204">
        <v>747.01800000000003</v>
      </c>
      <c r="AS47" s="1204">
        <v>784.00199999999995</v>
      </c>
      <c r="AT47" s="1204">
        <v>788.78200000000004</v>
      </c>
      <c r="AU47" s="1204">
        <v>871.577</v>
      </c>
      <c r="AV47" s="1204">
        <v>856.49</v>
      </c>
      <c r="AW47" s="1201">
        <v>828.495</v>
      </c>
    </row>
    <row r="48" spans="1:49">
      <c r="A48" s="1207" t="s">
        <v>475</v>
      </c>
      <c r="B48" s="1201">
        <v>52.919620000000002</v>
      </c>
      <c r="C48" s="1201">
        <v>-179.11799999999999</v>
      </c>
      <c r="D48" s="1201">
        <v>16.396000000000001</v>
      </c>
      <c r="E48" s="1201">
        <v>187.08699999999999</v>
      </c>
      <c r="F48" s="1201">
        <v>130.245</v>
      </c>
      <c r="G48" s="1201">
        <v>222.00399999999999</v>
      </c>
      <c r="H48" s="1201">
        <v>339.20600000000002</v>
      </c>
      <c r="I48" s="1201">
        <v>124.895</v>
      </c>
      <c r="N48" s="1204"/>
      <c r="O48" s="1204"/>
      <c r="P48" s="1204"/>
      <c r="Q48" s="1204"/>
      <c r="R48" s="1204"/>
      <c r="S48" s="1204"/>
      <c r="T48" s="1204"/>
      <c r="V48" s="1204"/>
      <c r="W48" s="1204"/>
      <c r="X48" s="1204"/>
      <c r="Y48" s="1204"/>
      <c r="Z48" s="1204">
        <v>43.048000000000002</v>
      </c>
      <c r="AA48" s="1204">
        <v>87.405000000000001</v>
      </c>
      <c r="AB48" s="1204">
        <v>48.534999999999997</v>
      </c>
      <c r="AC48" s="1204">
        <v>8.0990000000000002</v>
      </c>
      <c r="AD48" s="1204">
        <v>29.585000000000001</v>
      </c>
      <c r="AE48" s="1204">
        <v>58.192</v>
      </c>
      <c r="AF48" s="1204">
        <v>40.82</v>
      </c>
      <c r="AG48" s="1204">
        <v>1.6479999999999999</v>
      </c>
      <c r="AH48" s="1204">
        <v>45.503999999999998</v>
      </c>
      <c r="AI48" s="1204">
        <v>60.677</v>
      </c>
      <c r="AJ48" s="1204">
        <v>74.225999999999999</v>
      </c>
      <c r="AK48" s="1204">
        <v>41.597000000000001</v>
      </c>
      <c r="AL48" s="1204">
        <v>66.135999999999996</v>
      </c>
      <c r="AM48" s="1204">
        <v>115.42</v>
      </c>
      <c r="AN48" s="1204">
        <v>108.63200000000001</v>
      </c>
      <c r="AO48" s="1204">
        <v>49.018000000000001</v>
      </c>
      <c r="AP48" s="1204">
        <v>77.385999999999996</v>
      </c>
      <c r="AQ48" s="1204">
        <v>21.632000000000001</v>
      </c>
      <c r="AR48" s="1204">
        <v>22.704999999999998</v>
      </c>
      <c r="AS48" s="1204">
        <v>3.1720000000000002</v>
      </c>
      <c r="AT48" s="1204">
        <v>42.262</v>
      </c>
      <c r="AU48" s="1204">
        <v>19.135999999999999</v>
      </c>
      <c r="AV48" s="1204">
        <v>-5.8280000000000003</v>
      </c>
      <c r="AW48" s="1201">
        <v>-40.93</v>
      </c>
    </row>
    <row r="49" spans="1:49">
      <c r="A49" s="1208" t="s">
        <v>476</v>
      </c>
      <c r="B49" s="1201">
        <v>-22.56306</v>
      </c>
      <c r="E49" s="1201">
        <v>-50.22</v>
      </c>
      <c r="F49" s="1201">
        <v>-34.412999999999997</v>
      </c>
      <c r="G49" s="1201">
        <v>-42.475000000000001</v>
      </c>
      <c r="H49" s="1201">
        <v>-51.029000000000003</v>
      </c>
      <c r="I49" s="1201">
        <v>-49.164999999999999</v>
      </c>
      <c r="N49" s="1204"/>
      <c r="O49" s="1204"/>
      <c r="P49" s="1204"/>
      <c r="Q49" s="1204"/>
      <c r="R49" s="1204"/>
      <c r="S49" s="1204"/>
      <c r="T49" s="1204"/>
      <c r="V49" s="1204"/>
      <c r="W49" s="1204"/>
      <c r="X49" s="1204"/>
      <c r="Y49" s="1204"/>
      <c r="Z49" s="1204"/>
      <c r="AA49" s="1204"/>
      <c r="AB49" s="1204"/>
      <c r="AC49" s="1204"/>
      <c r="AD49" s="1204">
        <v>-4.63</v>
      </c>
      <c r="AE49" s="1204">
        <v>-8.2309999999999999</v>
      </c>
      <c r="AF49" s="1204">
        <v>-2.5390000000000001</v>
      </c>
      <c r="AG49" s="1204">
        <v>-5.3150000000000004</v>
      </c>
      <c r="AH49" s="1204">
        <v>-5.01</v>
      </c>
      <c r="AI49" s="1204">
        <v>-2.4159999999999999</v>
      </c>
      <c r="AJ49" s="1204"/>
      <c r="AK49" s="1204"/>
      <c r="AL49" s="1204"/>
      <c r="AM49" s="1204"/>
      <c r="AN49" s="1204"/>
      <c r="AO49" s="1204"/>
      <c r="AP49" s="1204"/>
      <c r="AQ49" s="1204"/>
      <c r="AR49" s="1204"/>
      <c r="AS49" s="1204"/>
      <c r="AT49" s="1204"/>
      <c r="AU49" s="1204"/>
      <c r="AV49" s="1204"/>
    </row>
    <row r="50" spans="1:49">
      <c r="A50" s="1208" t="s">
        <v>477</v>
      </c>
      <c r="C50" s="1201">
        <v>18.984000000000002</v>
      </c>
      <c r="D50" s="1201">
        <v>16.457999999999998</v>
      </c>
      <c r="E50" s="1201">
        <v>15.827999999999999</v>
      </c>
      <c r="F50" s="1201">
        <v>13.698</v>
      </c>
      <c r="G50" s="1201">
        <v>30.257000000000001</v>
      </c>
      <c r="H50" s="1201">
        <v>27.992000000000001</v>
      </c>
      <c r="I50" s="1201">
        <v>31.143999999999998</v>
      </c>
      <c r="N50" s="1204"/>
      <c r="O50" s="1204"/>
      <c r="P50" s="1204"/>
      <c r="Q50" s="1204"/>
      <c r="R50" s="1204"/>
      <c r="S50" s="1204"/>
      <c r="T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1204"/>
    </row>
    <row r="51" spans="1:49">
      <c r="A51" s="1203" t="s">
        <v>478</v>
      </c>
      <c r="B51" s="1201">
        <v>-22.56306</v>
      </c>
      <c r="C51" s="1201">
        <v>18.984000000000002</v>
      </c>
      <c r="D51" s="1201">
        <v>16.457999999999998</v>
      </c>
      <c r="E51" s="1201">
        <v>-34.392000000000003</v>
      </c>
      <c r="F51" s="1201">
        <v>-20.715</v>
      </c>
      <c r="G51" s="1201">
        <v>-12.218</v>
      </c>
      <c r="H51" s="1201">
        <v>-23.036999999999999</v>
      </c>
      <c r="I51" s="1201">
        <v>-18.021000000000001</v>
      </c>
      <c r="N51" s="1204"/>
      <c r="O51" s="1204"/>
      <c r="P51" s="1204"/>
      <c r="Q51" s="1204"/>
      <c r="R51" s="1204"/>
      <c r="S51" s="1204"/>
      <c r="T51" s="1204"/>
      <c r="V51" s="1204"/>
      <c r="W51" s="1204"/>
      <c r="X51" s="1204"/>
      <c r="Y51" s="1204"/>
      <c r="Z51" s="1204"/>
      <c r="AA51" s="1204"/>
      <c r="AB51" s="1204"/>
      <c r="AC51" s="1204"/>
      <c r="AD51" s="1204">
        <v>-4.63</v>
      </c>
      <c r="AE51" s="1204">
        <v>-8.2309999999999999</v>
      </c>
      <c r="AF51" s="1204">
        <v>-2.5390000000000001</v>
      </c>
      <c r="AG51" s="1204">
        <v>-5.3150000000000004</v>
      </c>
      <c r="AH51" s="1204">
        <v>-5.01</v>
      </c>
      <c r="AI51" s="1204">
        <v>-2.4159999999999999</v>
      </c>
      <c r="AJ51" s="1204"/>
      <c r="AK51" s="1204"/>
      <c r="AL51" s="1204"/>
      <c r="AM51" s="1204"/>
      <c r="AN51" s="1204"/>
      <c r="AO51" s="1204"/>
      <c r="AP51" s="1204"/>
      <c r="AQ51" s="1204"/>
      <c r="AR51" s="1204"/>
      <c r="AS51" s="1204"/>
      <c r="AT51" s="1204"/>
      <c r="AU51" s="1204"/>
      <c r="AV51" s="1204"/>
    </row>
    <row r="52" spans="1:49">
      <c r="A52" s="1208" t="s">
        <v>479</v>
      </c>
      <c r="B52" s="1201">
        <v>4.0864099999999999</v>
      </c>
      <c r="C52" s="1201">
        <v>4.7240000000000002</v>
      </c>
      <c r="D52" s="1201">
        <v>5.39</v>
      </c>
      <c r="E52" s="1201">
        <v>5.8879999999999999</v>
      </c>
      <c r="F52" s="1201">
        <v>14.23</v>
      </c>
      <c r="G52" s="1201">
        <v>5.1989999999999998</v>
      </c>
      <c r="H52" s="1201">
        <v>11.243</v>
      </c>
      <c r="I52" s="1201">
        <v>27.09</v>
      </c>
      <c r="N52" s="1204"/>
      <c r="O52" s="1204"/>
      <c r="P52" s="1204"/>
      <c r="Q52" s="1204"/>
      <c r="R52" s="1204"/>
      <c r="S52" s="1204"/>
      <c r="T52" s="1204"/>
      <c r="V52" s="1204"/>
      <c r="W52" s="1204"/>
      <c r="X52" s="1204"/>
      <c r="Y52" s="1204"/>
      <c r="Z52" s="1204"/>
      <c r="AA52" s="1204">
        <v>2.2879999999999998</v>
      </c>
      <c r="AB52" s="1204"/>
      <c r="AC52" s="1204"/>
      <c r="AD52" s="1204">
        <v>1.8380000000000001</v>
      </c>
      <c r="AE52" s="1204">
        <v>3.0209999999999999</v>
      </c>
      <c r="AF52" s="1204">
        <v>2.968</v>
      </c>
      <c r="AG52" s="1204">
        <v>6.4029999999999996</v>
      </c>
      <c r="AH52" s="1204">
        <v>1.369</v>
      </c>
      <c r="AI52" s="1204">
        <v>0.95599999999999996</v>
      </c>
      <c r="AJ52" s="1204">
        <v>1.3779999999999999</v>
      </c>
      <c r="AK52" s="1204">
        <v>1.496</v>
      </c>
      <c r="AL52" s="1204">
        <v>1.736</v>
      </c>
      <c r="AM52" s="1204">
        <v>1.788</v>
      </c>
      <c r="AN52" s="1204">
        <v>3.0449999999999999</v>
      </c>
      <c r="AO52" s="1204">
        <v>4.6740000000000004</v>
      </c>
      <c r="AP52" s="1204">
        <v>5.593</v>
      </c>
      <c r="AQ52" s="1204">
        <v>6.6550000000000002</v>
      </c>
      <c r="AR52" s="1204">
        <v>6.5449999999999999</v>
      </c>
      <c r="AS52" s="1204">
        <v>8.2970000000000006</v>
      </c>
      <c r="AT52" s="1204">
        <v>12.855</v>
      </c>
      <c r="AU52" s="1204">
        <v>12.64</v>
      </c>
      <c r="AV52" s="1204">
        <v>18.689</v>
      </c>
    </row>
    <row r="53" spans="1:49">
      <c r="A53" s="1208" t="s">
        <v>480</v>
      </c>
      <c r="B53" s="1201">
        <v>-24.71416</v>
      </c>
      <c r="C53" s="1201">
        <v>-4.4790000000000001</v>
      </c>
      <c r="D53" s="1201">
        <v>5.5979999999999999</v>
      </c>
      <c r="E53" s="1201">
        <v>16.004000000000001</v>
      </c>
      <c r="F53" s="1201">
        <v>-3.92</v>
      </c>
      <c r="G53" s="1201">
        <v>-39.731999999999999</v>
      </c>
      <c r="H53" s="1201">
        <v>-15.417</v>
      </c>
      <c r="I53" s="1201">
        <v>-22.193999999999999</v>
      </c>
      <c r="N53" s="1204"/>
      <c r="O53" s="1204"/>
      <c r="P53" s="1204"/>
      <c r="Q53" s="1204"/>
      <c r="R53" s="1204"/>
      <c r="S53" s="1204"/>
      <c r="T53" s="1204"/>
      <c r="V53" s="1204"/>
      <c r="W53" s="1204"/>
      <c r="X53" s="1204"/>
      <c r="Y53" s="1204"/>
      <c r="Z53" s="1204"/>
      <c r="AA53" s="1204">
        <v>-13.613</v>
      </c>
      <c r="AB53" s="1204"/>
      <c r="AC53" s="1204"/>
      <c r="AD53" s="1204">
        <v>-11.709</v>
      </c>
      <c r="AE53" s="1204">
        <v>-1.294</v>
      </c>
      <c r="AF53" s="1204">
        <v>7.1470000000000002</v>
      </c>
      <c r="AG53" s="1204">
        <v>1.9359999999999999</v>
      </c>
      <c r="AH53" s="1204">
        <v>0.14499999999999999</v>
      </c>
      <c r="AI53" s="1204">
        <v>4.8109999999999999</v>
      </c>
      <c r="AJ53" s="1204">
        <v>-7.9089999999999998</v>
      </c>
      <c r="AK53" s="1204">
        <v>-41.570999999999998</v>
      </c>
      <c r="AL53" s="1204">
        <v>-17.265999999999998</v>
      </c>
      <c r="AM53" s="1204">
        <v>-4.6189999999999998</v>
      </c>
      <c r="AN53" s="1204">
        <v>-6.3840000000000003</v>
      </c>
      <c r="AO53" s="1204">
        <v>-10.185</v>
      </c>
      <c r="AP53" s="1204">
        <v>-20.131</v>
      </c>
      <c r="AQ53" s="1204">
        <v>-19.234999999999999</v>
      </c>
      <c r="AR53" s="1204">
        <v>2.4020000000000001</v>
      </c>
      <c r="AS53" s="1204">
        <v>-3.2509999999999999</v>
      </c>
      <c r="AT53" s="1204">
        <v>-14.403</v>
      </c>
      <c r="AU53" s="1204">
        <v>-2.06</v>
      </c>
      <c r="AV53" s="1204">
        <v>-2.6269999999999998</v>
      </c>
      <c r="AW53" s="1201">
        <v>-8.32</v>
      </c>
    </row>
    <row r="54" spans="1:49">
      <c r="A54" s="1203" t="s">
        <v>481</v>
      </c>
      <c r="B54" s="1201">
        <v>-20.627749999999999</v>
      </c>
      <c r="C54" s="1201">
        <v>0.245</v>
      </c>
      <c r="D54" s="1201">
        <v>10.988</v>
      </c>
      <c r="E54" s="1201">
        <v>21.891999999999999</v>
      </c>
      <c r="F54" s="1201">
        <v>10.31</v>
      </c>
      <c r="G54" s="1201">
        <v>-34.533000000000001</v>
      </c>
      <c r="H54" s="1201">
        <v>-4.1740000000000004</v>
      </c>
      <c r="I54" s="1201">
        <v>4.8959999999999999</v>
      </c>
      <c r="N54" s="1204"/>
      <c r="O54" s="1204"/>
      <c r="P54" s="1204"/>
      <c r="Q54" s="1204"/>
      <c r="R54" s="1204"/>
      <c r="S54" s="1204"/>
      <c r="T54" s="1204"/>
      <c r="V54" s="1204"/>
      <c r="W54" s="1204"/>
      <c r="X54" s="1204"/>
      <c r="Y54" s="1204"/>
      <c r="Z54" s="1204"/>
      <c r="AA54" s="1204">
        <v>-11.324999999999999</v>
      </c>
      <c r="AB54" s="1204"/>
      <c r="AC54" s="1204"/>
      <c r="AD54" s="1204">
        <v>-9.8710000000000004</v>
      </c>
      <c r="AE54" s="1204">
        <v>1.7270000000000001</v>
      </c>
      <c r="AF54" s="1204">
        <v>10.115</v>
      </c>
      <c r="AG54" s="1204">
        <v>8.3390000000000004</v>
      </c>
      <c r="AH54" s="1204">
        <v>1.514</v>
      </c>
      <c r="AI54" s="1204">
        <v>5.7670000000000003</v>
      </c>
      <c r="AJ54" s="1204">
        <v>-6.5309999999999997</v>
      </c>
      <c r="AK54" s="1204">
        <v>-40.075000000000003</v>
      </c>
      <c r="AL54" s="1204">
        <v>-15.53</v>
      </c>
      <c r="AM54" s="1204">
        <v>-2.831</v>
      </c>
      <c r="AN54" s="1204">
        <v>-3.339</v>
      </c>
      <c r="AO54" s="1204">
        <v>-5.5110000000000001</v>
      </c>
      <c r="AP54" s="1204">
        <v>-14.538</v>
      </c>
      <c r="AQ54" s="1204">
        <v>-12.58</v>
      </c>
      <c r="AR54" s="1204">
        <v>8.9469999999999992</v>
      </c>
      <c r="AS54" s="1204">
        <v>5.0460000000000003</v>
      </c>
      <c r="AT54" s="1204">
        <v>-1.548</v>
      </c>
      <c r="AU54" s="1204">
        <v>10.58</v>
      </c>
      <c r="AV54" s="1204">
        <v>16.062000000000001</v>
      </c>
      <c r="AW54" s="1201">
        <v>-8.32</v>
      </c>
    </row>
    <row r="55" spans="1:49">
      <c r="A55" s="1203" t="s">
        <v>482</v>
      </c>
      <c r="N55" s="1204"/>
      <c r="O55" s="1204"/>
      <c r="P55" s="1204"/>
      <c r="Q55" s="1204"/>
      <c r="R55" s="1204"/>
      <c r="S55" s="1204"/>
      <c r="T55" s="1204"/>
      <c r="V55" s="1204"/>
      <c r="W55" s="1204"/>
      <c r="X55" s="1204"/>
      <c r="Y55" s="1204"/>
      <c r="Z55" s="1204"/>
      <c r="AA55" s="1204"/>
      <c r="AB55" s="1204"/>
      <c r="AC55" s="1204"/>
      <c r="AD55" s="1204"/>
      <c r="AE55" s="1204"/>
      <c r="AF55" s="1204"/>
      <c r="AG55" s="1204"/>
      <c r="AH55" s="1204"/>
      <c r="AI55" s="1204"/>
      <c r="AJ55" s="1204"/>
      <c r="AK55" s="1204"/>
      <c r="AL55" s="1204"/>
      <c r="AM55" s="1204"/>
      <c r="AN55" s="1204"/>
      <c r="AO55" s="1204"/>
      <c r="AP55" s="1204"/>
      <c r="AQ55" s="1204"/>
      <c r="AR55" s="1204"/>
      <c r="AS55" s="1204"/>
      <c r="AT55" s="1204"/>
      <c r="AU55" s="1204"/>
      <c r="AV55" s="1204"/>
    </row>
    <row r="56" spans="1:49">
      <c r="A56" s="1205" t="s">
        <v>483</v>
      </c>
      <c r="B56" s="1201">
        <v>-43.190809999999999</v>
      </c>
      <c r="C56" s="1201">
        <v>19.228999999999999</v>
      </c>
      <c r="D56" s="1201">
        <v>27.446000000000002</v>
      </c>
      <c r="E56" s="1201">
        <v>-12.5</v>
      </c>
      <c r="F56" s="1201">
        <v>-10.404999999999999</v>
      </c>
      <c r="G56" s="1201">
        <v>-46.750999999999998</v>
      </c>
      <c r="H56" s="1201">
        <v>-27.210999999999999</v>
      </c>
      <c r="I56" s="1201">
        <v>-13.125</v>
      </c>
      <c r="N56" s="1204"/>
      <c r="O56" s="1204"/>
      <c r="P56" s="1204"/>
      <c r="Q56" s="1204"/>
      <c r="R56" s="1204"/>
      <c r="S56" s="1204"/>
      <c r="T56" s="1204"/>
      <c r="V56" s="1204"/>
      <c r="W56" s="1204"/>
      <c r="X56" s="1204"/>
      <c r="Y56" s="1204"/>
      <c r="Z56" s="1204"/>
      <c r="AA56" s="1204">
        <v>-11.324999999999999</v>
      </c>
      <c r="AB56" s="1204"/>
      <c r="AC56" s="1204"/>
      <c r="AD56" s="1204">
        <v>-14.500999999999999</v>
      </c>
      <c r="AE56" s="1204">
        <v>-6.5039999999999996</v>
      </c>
      <c r="AF56" s="1204">
        <v>7.5759999999999996</v>
      </c>
      <c r="AG56" s="1204">
        <v>3.024</v>
      </c>
      <c r="AH56" s="1204">
        <v>-3.496</v>
      </c>
      <c r="AI56" s="1204">
        <v>3.351</v>
      </c>
      <c r="AJ56" s="1204">
        <v>-6.5309999999999997</v>
      </c>
      <c r="AK56" s="1204">
        <v>-40.075000000000003</v>
      </c>
      <c r="AL56" s="1204">
        <v>-15.53</v>
      </c>
      <c r="AM56" s="1204">
        <v>-2.831</v>
      </c>
      <c r="AN56" s="1204">
        <v>-3.339</v>
      </c>
      <c r="AO56" s="1204">
        <v>-5.5110000000000001</v>
      </c>
      <c r="AP56" s="1204">
        <v>-14.538</v>
      </c>
      <c r="AQ56" s="1204">
        <v>-12.58</v>
      </c>
      <c r="AR56" s="1204">
        <v>8.9469999999999992</v>
      </c>
      <c r="AS56" s="1204">
        <v>5.0460000000000003</v>
      </c>
      <c r="AT56" s="1204">
        <v>-1.548</v>
      </c>
      <c r="AU56" s="1204">
        <v>10.58</v>
      </c>
      <c r="AV56" s="1204">
        <v>16.062000000000001</v>
      </c>
      <c r="AW56" s="1201">
        <v>-8.32</v>
      </c>
    </row>
    <row r="57" spans="1:49">
      <c r="A57" s="1205" t="s">
        <v>484</v>
      </c>
      <c r="D57" s="1201">
        <v>19.324999999999999</v>
      </c>
      <c r="N57" s="1204"/>
      <c r="O57" s="1204"/>
      <c r="P57" s="1204"/>
      <c r="Q57" s="1204"/>
      <c r="R57" s="1204"/>
      <c r="S57" s="1204"/>
      <c r="T57" s="1204"/>
      <c r="V57" s="1204"/>
      <c r="W57" s="1204"/>
      <c r="X57" s="1204"/>
      <c r="Y57" s="1204"/>
      <c r="Z57" s="1204"/>
      <c r="AA57" s="1204"/>
      <c r="AB57" s="1204"/>
      <c r="AC57" s="1204"/>
      <c r="AD57" s="1204"/>
      <c r="AE57" s="1204"/>
      <c r="AF57" s="1204"/>
      <c r="AG57" s="1204"/>
      <c r="AH57" s="1204"/>
      <c r="AI57" s="1204"/>
      <c r="AJ57" s="1204"/>
      <c r="AK57" s="1204"/>
      <c r="AL57" s="1204"/>
      <c r="AM57" s="1204"/>
      <c r="AN57" s="1204"/>
      <c r="AO57" s="1204"/>
      <c r="AP57" s="1204"/>
      <c r="AQ57" s="1204"/>
      <c r="AR57" s="1204"/>
      <c r="AS57" s="1204"/>
      <c r="AT57" s="1204"/>
      <c r="AU57" s="1204"/>
      <c r="AV57" s="1204"/>
    </row>
    <row r="58" spans="1:49">
      <c r="A58" s="1203" t="s">
        <v>470</v>
      </c>
      <c r="N58" s="1204"/>
      <c r="O58" s="1204"/>
      <c r="P58" s="1204"/>
      <c r="Q58" s="1204"/>
      <c r="R58" s="1204"/>
      <c r="S58" s="1204"/>
      <c r="T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row>
    <row r="59" spans="1:49">
      <c r="A59" s="1203" t="s">
        <v>485</v>
      </c>
      <c r="N59" s="1204"/>
      <c r="O59" s="1204"/>
      <c r="P59" s="1204"/>
      <c r="Q59" s="1204"/>
      <c r="R59" s="1204"/>
      <c r="S59" s="1204"/>
      <c r="T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V59" s="1204"/>
    </row>
    <row r="60" spans="1:49">
      <c r="A60" s="1203" t="s">
        <v>472</v>
      </c>
      <c r="N60" s="1204"/>
      <c r="O60" s="1204"/>
      <c r="P60" s="1204"/>
      <c r="Q60" s="1204"/>
      <c r="R60" s="1204"/>
      <c r="S60" s="1204"/>
      <c r="T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row>
    <row r="61" spans="1:49">
      <c r="A61" s="1203" t="s">
        <v>486</v>
      </c>
      <c r="B61" s="1201">
        <v>6.5340699999999998</v>
      </c>
      <c r="C61" s="1201">
        <v>-19.228999999999999</v>
      </c>
      <c r="D61" s="1201">
        <v>-49.728000000000002</v>
      </c>
      <c r="E61" s="1201">
        <v>4.01</v>
      </c>
      <c r="F61" s="1201">
        <v>18.21</v>
      </c>
      <c r="G61" s="1201">
        <v>55.610999999999997</v>
      </c>
      <c r="H61" s="1201">
        <v>-2.113</v>
      </c>
      <c r="I61" s="1201">
        <v>16.498999999999999</v>
      </c>
      <c r="N61" s="1204"/>
      <c r="O61" s="1204"/>
      <c r="P61" s="1204"/>
      <c r="Q61" s="1204"/>
      <c r="R61" s="1204"/>
      <c r="S61" s="1204"/>
      <c r="T61" s="1204"/>
      <c r="V61" s="1204"/>
      <c r="W61" s="1204"/>
      <c r="X61" s="1204"/>
      <c r="Y61" s="1204"/>
      <c r="Z61" s="1204"/>
      <c r="AA61" s="1204">
        <v>-0.24</v>
      </c>
      <c r="AB61" s="1204">
        <v>-4.681</v>
      </c>
      <c r="AC61" s="1204">
        <v>7.7560000000000002</v>
      </c>
      <c r="AD61" s="1204">
        <v>5.3120000000000003</v>
      </c>
      <c r="AE61" s="1204">
        <v>5.399</v>
      </c>
      <c r="AF61" s="1204">
        <v>0.26400000000000001</v>
      </c>
      <c r="AG61" s="1204">
        <v>7.2350000000000003</v>
      </c>
      <c r="AH61" s="1204">
        <v>9.6210000000000004</v>
      </c>
      <c r="AI61" s="1204">
        <v>8.5920000000000005</v>
      </c>
      <c r="AJ61" s="1204">
        <v>3.0720000000000001</v>
      </c>
      <c r="AK61" s="1204">
        <v>34.326000000000001</v>
      </c>
      <c r="AL61" s="1204">
        <v>1.8939999999999999</v>
      </c>
      <c r="AM61" s="1204">
        <v>-17.800999999999998</v>
      </c>
      <c r="AN61" s="1204">
        <v>7.81</v>
      </c>
      <c r="AO61" s="1204">
        <v>5.984</v>
      </c>
      <c r="AP61" s="1204">
        <v>2.1669999999999998</v>
      </c>
      <c r="AQ61" s="1204">
        <v>27.12</v>
      </c>
      <c r="AR61" s="1204">
        <v>-1.657</v>
      </c>
      <c r="AS61" s="1204">
        <v>-11.131</v>
      </c>
      <c r="AT61" s="1204">
        <v>2.3239999999999998</v>
      </c>
      <c r="AU61" s="1204">
        <v>4.375</v>
      </c>
      <c r="AV61" s="1204">
        <v>1.7809999999999999</v>
      </c>
      <c r="AW61" s="1201">
        <v>51.792999999999999</v>
      </c>
    </row>
    <row r="62" spans="1:49">
      <c r="A62" s="1205" t="s">
        <v>487</v>
      </c>
      <c r="B62" s="1201">
        <v>6.5340699999999998</v>
      </c>
      <c r="C62" s="1201">
        <v>-19.228999999999999</v>
      </c>
      <c r="D62" s="1201">
        <v>-49.728000000000002</v>
      </c>
      <c r="E62" s="1201">
        <v>4.01</v>
      </c>
      <c r="F62" s="1201">
        <v>18.21</v>
      </c>
      <c r="G62" s="1201">
        <v>55.610999999999997</v>
      </c>
      <c r="H62" s="1201">
        <v>-2.113</v>
      </c>
      <c r="I62" s="1201">
        <v>16.498999999999999</v>
      </c>
      <c r="N62" s="1204"/>
      <c r="O62" s="1204"/>
      <c r="P62" s="1204"/>
      <c r="Q62" s="1204"/>
      <c r="R62" s="1204"/>
      <c r="S62" s="1204"/>
      <c r="T62" s="1204"/>
      <c r="V62" s="1204"/>
      <c r="W62" s="1204"/>
      <c r="X62" s="1204"/>
      <c r="Y62" s="1204"/>
      <c r="Z62" s="1204"/>
      <c r="AA62" s="1204">
        <v>-0.24</v>
      </c>
      <c r="AB62" s="1204">
        <v>-4.681</v>
      </c>
      <c r="AC62" s="1204">
        <v>7.7560000000000002</v>
      </c>
      <c r="AD62" s="1204">
        <v>5.3120000000000003</v>
      </c>
      <c r="AE62" s="1204">
        <v>5.399</v>
      </c>
      <c r="AF62" s="1204">
        <v>0.26400000000000001</v>
      </c>
      <c r="AG62" s="1204">
        <v>7.2350000000000003</v>
      </c>
      <c r="AH62" s="1204">
        <v>9.6210000000000004</v>
      </c>
      <c r="AI62" s="1204">
        <v>8.5920000000000005</v>
      </c>
      <c r="AJ62" s="1204">
        <v>3.0720000000000001</v>
      </c>
      <c r="AK62" s="1204">
        <v>34.326000000000001</v>
      </c>
      <c r="AL62" s="1204">
        <v>1.8939999999999999</v>
      </c>
      <c r="AM62" s="1204">
        <v>-17.800999999999998</v>
      </c>
      <c r="AN62" s="1204">
        <v>7.81</v>
      </c>
      <c r="AO62" s="1204">
        <v>5.984</v>
      </c>
      <c r="AP62" s="1204">
        <v>2.1669999999999998</v>
      </c>
      <c r="AQ62" s="1204">
        <v>27.12</v>
      </c>
      <c r="AR62" s="1204">
        <v>-1.657</v>
      </c>
      <c r="AS62" s="1204">
        <v>-11.131</v>
      </c>
      <c r="AT62" s="1204">
        <v>2.3239999999999998</v>
      </c>
      <c r="AU62" s="1204">
        <v>4.375</v>
      </c>
      <c r="AV62" s="1204">
        <v>1.7809999999999999</v>
      </c>
      <c r="AW62" s="1201">
        <v>51.792999999999999</v>
      </c>
    </row>
    <row r="63" spans="1:49">
      <c r="A63" s="1207" t="s">
        <v>488</v>
      </c>
      <c r="B63" s="1201">
        <v>16.262879999999999</v>
      </c>
      <c r="C63" s="1201">
        <v>-179.11799999999999</v>
      </c>
      <c r="D63" s="1201">
        <v>13.439</v>
      </c>
      <c r="E63" s="1201">
        <v>178.59700000000001</v>
      </c>
      <c r="F63" s="1201">
        <v>138.05000000000001</v>
      </c>
      <c r="G63" s="1201">
        <v>230.864</v>
      </c>
      <c r="H63" s="1201">
        <v>309.88200000000001</v>
      </c>
      <c r="I63" s="1201">
        <v>128.26900000000001</v>
      </c>
      <c r="N63" s="1204"/>
      <c r="O63" s="1204"/>
      <c r="P63" s="1204"/>
      <c r="Q63" s="1204"/>
      <c r="R63" s="1204"/>
      <c r="S63" s="1204"/>
      <c r="T63" s="1204"/>
      <c r="V63" s="1204"/>
      <c r="W63" s="1204"/>
      <c r="X63" s="1204"/>
      <c r="Y63" s="1204"/>
      <c r="Z63" s="1204">
        <v>43.048000000000002</v>
      </c>
      <c r="AA63" s="1204">
        <v>75.84</v>
      </c>
      <c r="AB63" s="1204">
        <v>43.853999999999999</v>
      </c>
      <c r="AC63" s="1204">
        <v>15.855</v>
      </c>
      <c r="AD63" s="1204">
        <v>20.396000000000001</v>
      </c>
      <c r="AE63" s="1204">
        <v>57.087000000000003</v>
      </c>
      <c r="AF63" s="1204">
        <v>48.66</v>
      </c>
      <c r="AG63" s="1204">
        <v>11.907</v>
      </c>
      <c r="AH63" s="1204">
        <v>51.628999999999998</v>
      </c>
      <c r="AI63" s="1204">
        <v>72.62</v>
      </c>
      <c r="AJ63" s="1204">
        <v>70.766999999999996</v>
      </c>
      <c r="AK63" s="1204">
        <v>35.847999999999999</v>
      </c>
      <c r="AL63" s="1204">
        <v>52.5</v>
      </c>
      <c r="AM63" s="1204">
        <v>94.787999999999997</v>
      </c>
      <c r="AN63" s="1204">
        <v>113.10299999999999</v>
      </c>
      <c r="AO63" s="1204">
        <v>49.491</v>
      </c>
      <c r="AP63" s="1204">
        <v>65.015000000000001</v>
      </c>
      <c r="AQ63" s="1204">
        <v>36.171999999999997</v>
      </c>
      <c r="AR63" s="1204">
        <v>29.995000000000001</v>
      </c>
      <c r="AS63" s="1204">
        <v>-2.9129999999999998</v>
      </c>
      <c r="AT63" s="1204">
        <v>43.037999999999997</v>
      </c>
      <c r="AU63" s="1204">
        <v>34.091000000000001</v>
      </c>
      <c r="AV63" s="1204">
        <v>12.015000000000001</v>
      </c>
      <c r="AW63" s="1201">
        <v>2.5430000000000001</v>
      </c>
    </row>
    <row r="64" spans="1:49">
      <c r="A64" s="1209" t="s">
        <v>489</v>
      </c>
      <c r="B64" s="1201">
        <v>-4.8185000000000002</v>
      </c>
      <c r="C64" s="1201">
        <v>82.503</v>
      </c>
      <c r="D64" s="1201">
        <v>-9.1020000000000003</v>
      </c>
      <c r="E64" s="1201">
        <v>4.13</v>
      </c>
      <c r="F64" s="1201">
        <v>11.789</v>
      </c>
      <c r="G64" s="1201">
        <v>8.5410000000000004</v>
      </c>
      <c r="H64" s="1201">
        <v>-6.5519999999999996</v>
      </c>
      <c r="I64" s="1201">
        <v>1.8460000000000001</v>
      </c>
      <c r="N64" s="1204"/>
      <c r="O64" s="1204"/>
      <c r="P64" s="1204"/>
      <c r="Q64" s="1204"/>
      <c r="R64" s="1204"/>
      <c r="S64" s="1204"/>
      <c r="T64" s="1204"/>
      <c r="V64" s="1204"/>
      <c r="W64" s="1204"/>
      <c r="X64" s="1204"/>
      <c r="Y64" s="1204"/>
      <c r="Z64" s="1204">
        <v>2.536</v>
      </c>
      <c r="AA64" s="1204">
        <v>0.51</v>
      </c>
      <c r="AB64" s="1204">
        <v>0.91400000000000003</v>
      </c>
      <c r="AC64" s="1204">
        <v>0.17</v>
      </c>
      <c r="AD64" s="1204">
        <v>1.454</v>
      </c>
      <c r="AE64" s="1204">
        <v>-9.2999999999999999E-2</v>
      </c>
      <c r="AF64" s="1204">
        <v>-1.7999999999999999E-2</v>
      </c>
      <c r="AG64" s="1204">
        <v>10.446</v>
      </c>
      <c r="AH64" s="1204">
        <v>5.3999999999999999E-2</v>
      </c>
      <c r="AI64" s="1204">
        <v>0.92400000000000004</v>
      </c>
      <c r="AJ64" s="1204">
        <v>1.7929999999999999</v>
      </c>
      <c r="AK64" s="1204">
        <v>5.77</v>
      </c>
      <c r="AL64" s="1204">
        <v>0.73799999999999999</v>
      </c>
      <c r="AM64" s="1204">
        <v>0.29699999999999999</v>
      </c>
      <c r="AN64" s="1204">
        <v>0.96</v>
      </c>
      <c r="AO64" s="1204">
        <v>-8.5470000000000006</v>
      </c>
      <c r="AP64" s="1204">
        <v>0.80200000000000005</v>
      </c>
      <c r="AQ64" s="1204">
        <v>2.8559999999999999</v>
      </c>
      <c r="AR64" s="1204">
        <v>-0.59499999999999997</v>
      </c>
      <c r="AS64" s="1204">
        <v>-1.2170000000000001</v>
      </c>
      <c r="AT64" s="1204">
        <v>15.958</v>
      </c>
      <c r="AU64" s="1204">
        <v>2.4260000000000002</v>
      </c>
      <c r="AV64" s="1204">
        <v>4.4240000000000004</v>
      </c>
      <c r="AW64" s="1201">
        <v>-8.3320000000000007</v>
      </c>
    </row>
    <row r="65" spans="1:49">
      <c r="A65" s="1206" t="s">
        <v>490</v>
      </c>
      <c r="B65" s="1201">
        <v>21.081379999999999</v>
      </c>
      <c r="C65" s="1201">
        <v>-261.62099999999998</v>
      </c>
      <c r="D65" s="1201">
        <v>22.541</v>
      </c>
      <c r="E65" s="1201">
        <v>174.46700000000001</v>
      </c>
      <c r="F65" s="1201">
        <v>126.261</v>
      </c>
      <c r="G65" s="1201">
        <v>222.32300000000001</v>
      </c>
      <c r="H65" s="1201">
        <v>316.43400000000003</v>
      </c>
      <c r="I65" s="1201">
        <v>126.423</v>
      </c>
      <c r="N65" s="1204"/>
      <c r="O65" s="1204"/>
      <c r="P65" s="1204"/>
      <c r="Q65" s="1204"/>
      <c r="R65" s="1204"/>
      <c r="S65" s="1204"/>
      <c r="T65" s="1204"/>
      <c r="V65" s="1204"/>
      <c r="W65" s="1204"/>
      <c r="X65" s="1204"/>
      <c r="Y65" s="1204"/>
      <c r="Z65" s="1204">
        <v>40.512</v>
      </c>
      <c r="AA65" s="1204">
        <v>75.33</v>
      </c>
      <c r="AB65" s="1204">
        <v>42.94</v>
      </c>
      <c r="AC65" s="1204">
        <v>15.685</v>
      </c>
      <c r="AD65" s="1204">
        <v>18.942</v>
      </c>
      <c r="AE65" s="1204">
        <v>57.18</v>
      </c>
      <c r="AF65" s="1204">
        <v>48.677999999999997</v>
      </c>
      <c r="AG65" s="1204">
        <v>1.4610000000000001</v>
      </c>
      <c r="AH65" s="1204">
        <v>51.575000000000003</v>
      </c>
      <c r="AI65" s="1204">
        <v>71.695999999999998</v>
      </c>
      <c r="AJ65" s="1204">
        <v>68.974000000000004</v>
      </c>
      <c r="AK65" s="1204">
        <v>30.077999999999999</v>
      </c>
      <c r="AL65" s="1204">
        <v>51.762</v>
      </c>
      <c r="AM65" s="1204">
        <v>94.491</v>
      </c>
      <c r="AN65" s="1204">
        <v>112.143</v>
      </c>
      <c r="AO65" s="1204">
        <v>58.037999999999997</v>
      </c>
      <c r="AP65" s="1204">
        <v>64.212999999999994</v>
      </c>
      <c r="AQ65" s="1204">
        <v>33.316000000000003</v>
      </c>
      <c r="AR65" s="1204">
        <v>30.59</v>
      </c>
      <c r="AS65" s="1204">
        <v>-1.696</v>
      </c>
      <c r="AT65" s="1204">
        <v>27.08</v>
      </c>
      <c r="AU65" s="1204">
        <v>31.664999999999999</v>
      </c>
      <c r="AV65" s="1204">
        <v>7.5910000000000002</v>
      </c>
      <c r="AW65" s="1201">
        <v>10.875</v>
      </c>
    </row>
    <row r="66" spans="1:49">
      <c r="A66" s="1209" t="s">
        <v>491</v>
      </c>
      <c r="B66" s="1201">
        <v>0</v>
      </c>
      <c r="C66" s="1201">
        <v>6.3E-2</v>
      </c>
      <c r="D66" s="1201">
        <v>0.23</v>
      </c>
      <c r="E66" s="1201">
        <v>-1.29</v>
      </c>
      <c r="F66" s="1201">
        <v>26.707999999999998</v>
      </c>
      <c r="G66" s="1201">
        <v>31.088000000000001</v>
      </c>
      <c r="H66" s="1201">
        <v>60.195999999999998</v>
      </c>
      <c r="I66" s="1201">
        <v>53.256</v>
      </c>
      <c r="N66" s="1204"/>
      <c r="O66" s="1204"/>
      <c r="P66" s="1204"/>
      <c r="Q66" s="1204"/>
      <c r="R66" s="1204"/>
      <c r="S66" s="1204"/>
      <c r="T66" s="1204"/>
      <c r="V66" s="1204"/>
      <c r="W66" s="1204"/>
      <c r="X66" s="1204"/>
      <c r="Y66" s="1204"/>
      <c r="Z66" s="1204">
        <v>9.1999999999999998E-2</v>
      </c>
      <c r="AA66" s="1204">
        <v>7.0999999999999994E-2</v>
      </c>
      <c r="AB66" s="1204">
        <v>-0.44900000000000001</v>
      </c>
      <c r="AC66" s="1204">
        <v>-1.004</v>
      </c>
      <c r="AD66" s="1204">
        <v>1.319</v>
      </c>
      <c r="AE66" s="1204">
        <v>-0.379</v>
      </c>
      <c r="AF66" s="1204">
        <v>-1.1579999999999999</v>
      </c>
      <c r="AG66" s="1204">
        <v>26.925999999999998</v>
      </c>
      <c r="AH66" s="1204">
        <v>3.9020000000000001</v>
      </c>
      <c r="AI66" s="1204">
        <v>5.008</v>
      </c>
      <c r="AJ66" s="1204">
        <v>13.651999999999999</v>
      </c>
      <c r="AK66" s="1204">
        <v>8.5259999999999998</v>
      </c>
      <c r="AL66" s="1204">
        <v>9.6560000000000006</v>
      </c>
      <c r="AM66" s="1204">
        <v>3.1520000000000001</v>
      </c>
      <c r="AN66" s="1204">
        <v>1.4179999999999999</v>
      </c>
      <c r="AO66" s="1204">
        <v>45.97</v>
      </c>
      <c r="AP66" s="1204">
        <v>5.5780000000000003</v>
      </c>
      <c r="AQ66" s="1204">
        <v>2.9550000000000001</v>
      </c>
      <c r="AR66" s="1204">
        <v>-4.6909999999999998</v>
      </c>
      <c r="AS66" s="1204">
        <v>49.414000000000001</v>
      </c>
      <c r="AT66" s="1204">
        <v>2.2970000000000002</v>
      </c>
      <c r="AU66" s="1204">
        <v>19.934000000000001</v>
      </c>
      <c r="AV66" s="1204">
        <v>18.968</v>
      </c>
      <c r="AW66" s="1201">
        <v>15.645</v>
      </c>
    </row>
    <row r="67" spans="1:49">
      <c r="A67" s="1209" t="s">
        <v>492</v>
      </c>
      <c r="B67" s="1201">
        <v>0.28483000000000003</v>
      </c>
      <c r="N67" s="1204"/>
      <c r="O67" s="1204"/>
      <c r="P67" s="1204"/>
      <c r="Q67" s="1204"/>
      <c r="R67" s="1204"/>
      <c r="S67" s="1204"/>
      <c r="T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row>
    <row r="68" spans="1:49">
      <c r="A68" s="1209" t="s">
        <v>493</v>
      </c>
      <c r="N68" s="1204"/>
      <c r="O68" s="1204"/>
      <c r="P68" s="1204"/>
      <c r="Q68" s="1204"/>
      <c r="R68" s="1204"/>
      <c r="S68" s="1204"/>
      <c r="T68" s="1204"/>
      <c r="V68" s="1204"/>
      <c r="W68" s="1204"/>
      <c r="X68" s="1204"/>
      <c r="Y68" s="1204"/>
      <c r="Z68" s="1204"/>
      <c r="AA68" s="1204"/>
      <c r="AB68" s="1204"/>
      <c r="AC68" s="1204"/>
      <c r="AD68" s="1204"/>
      <c r="AE68" s="1204"/>
      <c r="AF68" s="1204"/>
      <c r="AG68" s="1204"/>
      <c r="AH68" s="1204"/>
      <c r="AI68" s="1204"/>
      <c r="AJ68" s="1204"/>
      <c r="AK68" s="1204"/>
      <c r="AL68" s="1204"/>
      <c r="AM68" s="1204"/>
      <c r="AN68" s="1204"/>
      <c r="AO68" s="1204"/>
      <c r="AP68" s="1204"/>
      <c r="AQ68" s="1204"/>
      <c r="AR68" s="1204"/>
      <c r="AS68" s="1204"/>
      <c r="AT68" s="1204"/>
      <c r="AU68" s="1204"/>
      <c r="AV68" s="1204"/>
    </row>
    <row r="69" spans="1:49">
      <c r="A69" s="1207" t="s">
        <v>494</v>
      </c>
      <c r="B69" s="1201">
        <v>21.366209999999999</v>
      </c>
      <c r="C69" s="1201">
        <v>-261.55799999999999</v>
      </c>
      <c r="D69" s="1201">
        <v>22.771000000000001</v>
      </c>
      <c r="E69" s="1201">
        <v>173.17699999999999</v>
      </c>
      <c r="F69" s="1201">
        <v>152.96899999999999</v>
      </c>
      <c r="G69" s="1201">
        <v>253.411</v>
      </c>
      <c r="H69" s="1201">
        <v>376.63</v>
      </c>
      <c r="I69" s="1201">
        <v>179.679</v>
      </c>
      <c r="N69" s="1204"/>
      <c r="O69" s="1204"/>
      <c r="P69" s="1204"/>
      <c r="Q69" s="1204"/>
      <c r="R69" s="1204"/>
      <c r="S69" s="1204"/>
      <c r="T69" s="1204"/>
      <c r="V69" s="1204"/>
      <c r="W69" s="1204"/>
      <c r="X69" s="1204"/>
      <c r="Y69" s="1204"/>
      <c r="Z69" s="1204">
        <v>40.603999999999999</v>
      </c>
      <c r="AA69" s="1204">
        <v>75.400999999999996</v>
      </c>
      <c r="AB69" s="1204">
        <v>42.491</v>
      </c>
      <c r="AC69" s="1204">
        <v>14.680999999999999</v>
      </c>
      <c r="AD69" s="1204">
        <v>20.260999999999999</v>
      </c>
      <c r="AE69" s="1204">
        <v>56.801000000000002</v>
      </c>
      <c r="AF69" s="1204">
        <v>47.52</v>
      </c>
      <c r="AG69" s="1204">
        <v>28.387</v>
      </c>
      <c r="AH69" s="1204">
        <v>55.476999999999997</v>
      </c>
      <c r="AI69" s="1204">
        <v>76.703999999999994</v>
      </c>
      <c r="AJ69" s="1204">
        <v>82.626000000000005</v>
      </c>
      <c r="AK69" s="1204">
        <v>38.603999999999999</v>
      </c>
      <c r="AL69" s="1204">
        <v>61.417999999999999</v>
      </c>
      <c r="AM69" s="1204">
        <v>97.643000000000001</v>
      </c>
      <c r="AN69" s="1204">
        <v>113.56100000000001</v>
      </c>
      <c r="AO69" s="1204">
        <v>104.008</v>
      </c>
      <c r="AP69" s="1204">
        <v>69.790999999999997</v>
      </c>
      <c r="AQ69" s="1204">
        <v>36.271000000000001</v>
      </c>
      <c r="AR69" s="1204">
        <v>25.899000000000001</v>
      </c>
      <c r="AS69" s="1204">
        <v>47.718000000000004</v>
      </c>
      <c r="AT69" s="1204">
        <v>29.376999999999999</v>
      </c>
      <c r="AU69" s="1204">
        <v>51.598999999999997</v>
      </c>
      <c r="AV69" s="1204">
        <v>26.559000000000001</v>
      </c>
      <c r="AW69" s="1201">
        <v>26.52</v>
      </c>
    </row>
    <row r="70" spans="1:49">
      <c r="A70" s="1203" t="s">
        <v>495</v>
      </c>
      <c r="N70" s="1204"/>
      <c r="O70" s="1204"/>
      <c r="P70" s="1204"/>
      <c r="Q70" s="1204"/>
      <c r="R70" s="1204"/>
      <c r="S70" s="1204"/>
      <c r="T70" s="1204"/>
      <c r="V70" s="1204"/>
      <c r="W70" s="1204"/>
      <c r="X70" s="1204"/>
      <c r="Y70" s="1204"/>
      <c r="Z70" s="1204"/>
      <c r="AA70" s="1204"/>
      <c r="AB70" s="1204"/>
      <c r="AC70" s="1204"/>
      <c r="AD70" s="1204"/>
      <c r="AE70" s="1204"/>
      <c r="AF70" s="1204"/>
      <c r="AG70" s="1204"/>
      <c r="AH70" s="1204"/>
      <c r="AI70" s="1204"/>
      <c r="AJ70" s="1204"/>
      <c r="AK70" s="1204"/>
      <c r="AL70" s="1204"/>
      <c r="AM70" s="1204"/>
      <c r="AN70" s="1204"/>
      <c r="AO70" s="1204"/>
      <c r="AP70" s="1204"/>
      <c r="AQ70" s="1204"/>
      <c r="AR70" s="1204"/>
      <c r="AS70" s="1204"/>
      <c r="AT70" s="1204"/>
      <c r="AU70" s="1204"/>
      <c r="AV70" s="1204"/>
    </row>
    <row r="71" spans="1:49">
      <c r="A71" s="1203" t="s">
        <v>496</v>
      </c>
      <c r="B71" s="1201">
        <v>-8.2658100000000001</v>
      </c>
      <c r="C71" s="1201">
        <v>14.741</v>
      </c>
      <c r="D71" s="1201">
        <v>0</v>
      </c>
      <c r="E71" s="1201">
        <v>0</v>
      </c>
      <c r="N71" s="1204"/>
      <c r="O71" s="1204"/>
      <c r="P71" s="1204"/>
      <c r="Q71" s="1204"/>
      <c r="R71" s="1204"/>
      <c r="S71" s="1204"/>
      <c r="T71" s="1204"/>
      <c r="V71" s="1204"/>
      <c r="W71" s="1204"/>
      <c r="X71" s="1204"/>
      <c r="Y71" s="1204"/>
      <c r="Z71" s="1204"/>
      <c r="AA71" s="1204"/>
      <c r="AB71" s="1204"/>
      <c r="AC71" s="1204">
        <v>0</v>
      </c>
      <c r="AD71" s="1204"/>
      <c r="AE71" s="1204"/>
      <c r="AF71" s="1204"/>
      <c r="AG71" s="1204"/>
      <c r="AH71" s="1204"/>
      <c r="AI71" s="1204"/>
      <c r="AJ71" s="1204"/>
      <c r="AK71" s="1204"/>
      <c r="AL71" s="1204"/>
      <c r="AM71" s="1204"/>
      <c r="AN71" s="1204"/>
      <c r="AO71" s="1204"/>
      <c r="AP71" s="1204"/>
      <c r="AQ71" s="1204"/>
      <c r="AR71" s="1204"/>
      <c r="AS71" s="1204"/>
      <c r="AT71" s="1204"/>
      <c r="AU71" s="1204"/>
      <c r="AV71" s="1204"/>
    </row>
    <row r="72" spans="1:49">
      <c r="A72" s="1203" t="s">
        <v>497</v>
      </c>
      <c r="N72" s="1204"/>
      <c r="O72" s="1204"/>
      <c r="P72" s="1204"/>
      <c r="Q72" s="1204"/>
      <c r="R72" s="1204"/>
      <c r="S72" s="1204"/>
      <c r="T72" s="1204"/>
      <c r="V72" s="1204"/>
      <c r="W72" s="1204"/>
      <c r="X72" s="1204"/>
      <c r="Y72" s="1204"/>
      <c r="Z72" s="1204"/>
      <c r="AA72" s="1204"/>
      <c r="AB72" s="1204"/>
      <c r="AC72" s="1204"/>
      <c r="AD72" s="1204"/>
      <c r="AE72" s="1204"/>
      <c r="AF72" s="1204"/>
      <c r="AG72" s="1204"/>
      <c r="AH72" s="1204"/>
      <c r="AI72" s="1204"/>
      <c r="AJ72" s="1204"/>
      <c r="AK72" s="1204"/>
      <c r="AL72" s="1204"/>
      <c r="AM72" s="1204"/>
      <c r="AN72" s="1204"/>
      <c r="AO72" s="1204"/>
      <c r="AP72" s="1204"/>
      <c r="AQ72" s="1204"/>
      <c r="AR72" s="1204"/>
      <c r="AS72" s="1204"/>
      <c r="AT72" s="1204"/>
      <c r="AU72" s="1204"/>
      <c r="AV72" s="1204"/>
    </row>
    <row r="73" spans="1:49">
      <c r="A73" s="1203" t="s">
        <v>498</v>
      </c>
      <c r="N73" s="1204"/>
      <c r="O73" s="1204"/>
      <c r="P73" s="1204"/>
      <c r="Q73" s="1204"/>
      <c r="R73" s="1204"/>
      <c r="S73" s="1204"/>
      <c r="T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row>
    <row r="74" spans="1:49">
      <c r="A74" s="1205" t="s">
        <v>499</v>
      </c>
      <c r="B74" s="1201">
        <v>-8.2658100000000001</v>
      </c>
      <c r="C74" s="1201">
        <v>14.741</v>
      </c>
      <c r="D74" s="1201">
        <v>0</v>
      </c>
      <c r="E74" s="1201">
        <v>0</v>
      </c>
      <c r="N74" s="1204"/>
      <c r="O74" s="1204"/>
      <c r="P74" s="1204"/>
      <c r="Q74" s="1204"/>
      <c r="R74" s="1204"/>
      <c r="S74" s="1204"/>
      <c r="T74" s="1204"/>
      <c r="V74" s="1204"/>
      <c r="W74" s="1204"/>
      <c r="X74" s="1204"/>
      <c r="Y74" s="1204"/>
      <c r="Z74" s="1204"/>
      <c r="AA74" s="1204"/>
      <c r="AB74" s="1204"/>
      <c r="AC74" s="1204">
        <v>0</v>
      </c>
      <c r="AD74" s="1204"/>
      <c r="AE74" s="1204"/>
      <c r="AF74" s="1204"/>
      <c r="AG74" s="1204"/>
      <c r="AH74" s="1204"/>
      <c r="AI74" s="1204"/>
      <c r="AJ74" s="1204"/>
      <c r="AK74" s="1204"/>
      <c r="AL74" s="1204"/>
      <c r="AM74" s="1204"/>
      <c r="AN74" s="1204"/>
      <c r="AO74" s="1204"/>
      <c r="AP74" s="1204"/>
      <c r="AQ74" s="1204"/>
      <c r="AR74" s="1204"/>
      <c r="AS74" s="1204"/>
      <c r="AT74" s="1204"/>
      <c r="AU74" s="1204"/>
      <c r="AV74" s="1204"/>
    </row>
    <row r="75" spans="1:49">
      <c r="A75" s="1207" t="s">
        <v>500</v>
      </c>
      <c r="B75" s="1201">
        <v>13.1004</v>
      </c>
      <c r="C75" s="1201">
        <v>-246.81700000000001</v>
      </c>
      <c r="D75" s="1201">
        <v>22.771000000000001</v>
      </c>
      <c r="E75" s="1201">
        <v>173.17699999999999</v>
      </c>
      <c r="F75" s="1201">
        <v>152.96899999999999</v>
      </c>
      <c r="G75" s="1201">
        <v>253.411</v>
      </c>
      <c r="H75" s="1201">
        <v>376.63</v>
      </c>
      <c r="I75" s="1201">
        <v>179.679</v>
      </c>
      <c r="N75" s="1204"/>
      <c r="O75" s="1204"/>
      <c r="P75" s="1204"/>
      <c r="Q75" s="1204"/>
      <c r="R75" s="1204"/>
      <c r="S75" s="1204"/>
      <c r="T75" s="1204"/>
      <c r="V75" s="1204"/>
      <c r="W75" s="1204"/>
      <c r="X75" s="1204"/>
      <c r="Y75" s="1204"/>
      <c r="Z75" s="1204">
        <v>40.603999999999999</v>
      </c>
      <c r="AA75" s="1204">
        <v>75.400999999999996</v>
      </c>
      <c r="AB75" s="1204">
        <v>42.491</v>
      </c>
      <c r="AC75" s="1204">
        <v>14.680999999999999</v>
      </c>
      <c r="AD75" s="1204">
        <v>20.260999999999999</v>
      </c>
      <c r="AE75" s="1204">
        <v>56.801000000000002</v>
      </c>
      <c r="AF75" s="1204">
        <v>47.52</v>
      </c>
      <c r="AG75" s="1204">
        <v>28.387</v>
      </c>
      <c r="AH75" s="1204">
        <v>55.476999999999997</v>
      </c>
      <c r="AI75" s="1204">
        <v>76.703999999999994</v>
      </c>
      <c r="AJ75" s="1204">
        <v>82.626000000000005</v>
      </c>
      <c r="AK75" s="1204">
        <v>38.603999999999999</v>
      </c>
      <c r="AL75" s="1204">
        <v>61.417999999999999</v>
      </c>
      <c r="AM75" s="1204">
        <v>97.643000000000001</v>
      </c>
      <c r="AN75" s="1204">
        <v>113.56100000000001</v>
      </c>
      <c r="AO75" s="1204">
        <v>104.008</v>
      </c>
      <c r="AP75" s="1204">
        <v>69.790999999999997</v>
      </c>
      <c r="AQ75" s="1204">
        <v>36.271000000000001</v>
      </c>
      <c r="AR75" s="1204">
        <v>25.899000000000001</v>
      </c>
      <c r="AS75" s="1204">
        <v>47.718000000000004</v>
      </c>
      <c r="AT75" s="1204">
        <v>29.376999999999999</v>
      </c>
      <c r="AU75" s="1204">
        <v>51.598999999999997</v>
      </c>
      <c r="AV75" s="1204">
        <v>26.559000000000001</v>
      </c>
      <c r="AW75" s="1201">
        <v>26.52</v>
      </c>
    </row>
    <row r="76" spans="1:49">
      <c r="A76" s="1203" t="s">
        <v>501</v>
      </c>
      <c r="B76" s="1201">
        <v>0</v>
      </c>
      <c r="N76" s="1204"/>
      <c r="O76" s="1204"/>
      <c r="P76" s="1204"/>
      <c r="Q76" s="1204"/>
      <c r="R76" s="1204"/>
      <c r="S76" s="1204"/>
      <c r="T76" s="1204"/>
      <c r="V76" s="1204"/>
      <c r="W76" s="1204"/>
      <c r="X76" s="1204"/>
      <c r="Y76" s="1204"/>
      <c r="Z76" s="1204"/>
      <c r="AA76" s="1204"/>
      <c r="AB76" s="1204"/>
      <c r="AC76" s="1204"/>
      <c r="AD76" s="1204"/>
      <c r="AE76" s="1204"/>
      <c r="AF76" s="1204"/>
      <c r="AG76" s="1204"/>
      <c r="AH76" s="1204"/>
      <c r="AI76" s="1204"/>
      <c r="AJ76" s="1204"/>
      <c r="AK76" s="1204"/>
      <c r="AL76" s="1204"/>
      <c r="AM76" s="1204"/>
      <c r="AN76" s="1204"/>
      <c r="AO76" s="1204"/>
      <c r="AP76" s="1204"/>
      <c r="AQ76" s="1204"/>
      <c r="AR76" s="1204"/>
      <c r="AS76" s="1204"/>
      <c r="AT76" s="1204"/>
      <c r="AU76" s="1204"/>
      <c r="AV76" s="1204"/>
    </row>
    <row r="77" spans="1:49">
      <c r="A77" s="1203" t="s">
        <v>502</v>
      </c>
      <c r="N77" s="1204"/>
      <c r="O77" s="1204"/>
      <c r="P77" s="1204"/>
      <c r="Q77" s="1204"/>
      <c r="R77" s="1204"/>
      <c r="S77" s="1204"/>
      <c r="T77" s="1204"/>
      <c r="V77" s="1204"/>
      <c r="W77" s="1204"/>
      <c r="X77" s="1204"/>
      <c r="Y77" s="1204"/>
      <c r="Z77" s="1204"/>
      <c r="AA77" s="1204"/>
      <c r="AB77" s="1204"/>
      <c r="AC77" s="1204"/>
      <c r="AD77" s="1204"/>
      <c r="AE77" s="1204"/>
      <c r="AF77" s="1204"/>
      <c r="AG77" s="1204"/>
      <c r="AH77" s="1204"/>
      <c r="AI77" s="1204"/>
      <c r="AJ77" s="1204"/>
      <c r="AK77" s="1204"/>
      <c r="AL77" s="1204"/>
      <c r="AM77" s="1204"/>
      <c r="AN77" s="1204"/>
      <c r="AO77" s="1204"/>
      <c r="AP77" s="1204"/>
      <c r="AQ77" s="1204"/>
      <c r="AR77" s="1204"/>
      <c r="AS77" s="1204"/>
      <c r="AT77" s="1204"/>
      <c r="AU77" s="1204"/>
      <c r="AV77" s="1204"/>
    </row>
    <row r="78" spans="1:49">
      <c r="A78" s="1203" t="s">
        <v>503</v>
      </c>
      <c r="N78" s="1204"/>
      <c r="O78" s="1204"/>
      <c r="P78" s="1204"/>
      <c r="Q78" s="1204"/>
      <c r="R78" s="1204"/>
      <c r="S78" s="1204"/>
      <c r="T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row>
    <row r="79" spans="1:49">
      <c r="A79" s="1203" t="s">
        <v>504</v>
      </c>
      <c r="N79" s="1204"/>
      <c r="O79" s="1204"/>
      <c r="P79" s="1204"/>
      <c r="Q79" s="1204"/>
      <c r="R79" s="1204"/>
      <c r="S79" s="1204"/>
      <c r="T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row>
    <row r="80" spans="1:49">
      <c r="A80" s="1203" t="s">
        <v>505</v>
      </c>
      <c r="N80" s="1204"/>
      <c r="O80" s="1204"/>
      <c r="P80" s="1204"/>
      <c r="Q80" s="1204"/>
      <c r="R80" s="1204"/>
      <c r="S80" s="1204"/>
      <c r="T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row>
    <row r="81" spans="1:49">
      <c r="A81" s="1209" t="s">
        <v>506</v>
      </c>
      <c r="B81" s="1201">
        <v>0</v>
      </c>
      <c r="N81" s="1204"/>
      <c r="O81" s="1204"/>
      <c r="P81" s="1204"/>
      <c r="Q81" s="1204"/>
      <c r="R81" s="1204"/>
      <c r="S81" s="1204"/>
      <c r="T81" s="1204"/>
      <c r="V81" s="1204"/>
      <c r="W81" s="1204"/>
      <c r="X81" s="1204"/>
      <c r="Y81" s="1204"/>
      <c r="Z81" s="1204"/>
      <c r="AA81" s="1204"/>
      <c r="AB81" s="1204"/>
      <c r="AC81" s="1204"/>
      <c r="AD81" s="1204"/>
      <c r="AE81" s="1204"/>
      <c r="AF81" s="1204"/>
      <c r="AG81" s="1204"/>
      <c r="AH81" s="1204"/>
      <c r="AI81" s="1204"/>
      <c r="AJ81" s="1204"/>
      <c r="AK81" s="1204"/>
      <c r="AL81" s="1204"/>
      <c r="AM81" s="1204"/>
      <c r="AN81" s="1204"/>
      <c r="AO81" s="1204"/>
      <c r="AP81" s="1204"/>
      <c r="AQ81" s="1204"/>
      <c r="AR81" s="1204"/>
      <c r="AS81" s="1204"/>
      <c r="AT81" s="1204"/>
      <c r="AU81" s="1204"/>
      <c r="AV81" s="1204"/>
    </row>
    <row r="82" spans="1:49">
      <c r="A82" s="1203"/>
      <c r="N82" s="1204"/>
      <c r="O82" s="1204"/>
      <c r="P82" s="1204"/>
      <c r="Q82" s="1204"/>
      <c r="R82" s="1204"/>
      <c r="S82" s="1204"/>
      <c r="T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row>
    <row r="83" spans="1:49">
      <c r="A83" s="1206" t="s">
        <v>507</v>
      </c>
      <c r="B83" s="1201">
        <v>21.366209999999999</v>
      </c>
      <c r="C83" s="1201">
        <v>-261.55799999999999</v>
      </c>
      <c r="D83" s="1201">
        <v>22.771000000000001</v>
      </c>
      <c r="E83" s="1201">
        <v>173.17699999999999</v>
      </c>
      <c r="F83" s="1201">
        <v>152.96899999999999</v>
      </c>
      <c r="G83" s="1201">
        <v>253.411</v>
      </c>
      <c r="H83" s="1201">
        <v>376.63</v>
      </c>
      <c r="I83" s="1201">
        <v>179.679</v>
      </c>
      <c r="N83" s="1204"/>
      <c r="O83" s="1204"/>
      <c r="P83" s="1204"/>
      <c r="Q83" s="1204"/>
      <c r="R83" s="1204"/>
      <c r="S83" s="1204"/>
      <c r="T83" s="1204"/>
      <c r="V83" s="1204"/>
      <c r="W83" s="1204"/>
      <c r="X83" s="1204"/>
      <c r="Y83" s="1204"/>
      <c r="Z83" s="1204">
        <v>40.603999999999999</v>
      </c>
      <c r="AA83" s="1204">
        <v>75.400999999999996</v>
      </c>
      <c r="AB83" s="1204">
        <v>42.491</v>
      </c>
      <c r="AC83" s="1204">
        <v>14.680999999999999</v>
      </c>
      <c r="AD83" s="1204">
        <v>20.260999999999999</v>
      </c>
      <c r="AE83" s="1204">
        <v>56.801000000000002</v>
      </c>
      <c r="AF83" s="1204">
        <v>47.52</v>
      </c>
      <c r="AG83" s="1204">
        <v>28.387</v>
      </c>
      <c r="AH83" s="1204">
        <v>55.476999999999997</v>
      </c>
      <c r="AI83" s="1204">
        <v>76.703999999999994</v>
      </c>
      <c r="AJ83" s="1204">
        <v>82.626000000000005</v>
      </c>
      <c r="AK83" s="1204">
        <v>38.603999999999999</v>
      </c>
      <c r="AL83" s="1204">
        <v>61.417999999999999</v>
      </c>
      <c r="AM83" s="1204">
        <v>97.643000000000001</v>
      </c>
      <c r="AN83" s="1204">
        <v>113.56100000000001</v>
      </c>
      <c r="AO83" s="1204">
        <v>104.008</v>
      </c>
      <c r="AP83" s="1204">
        <v>69.790999999999997</v>
      </c>
      <c r="AQ83" s="1204">
        <v>36.271000000000001</v>
      </c>
      <c r="AR83" s="1204">
        <v>25.899000000000001</v>
      </c>
      <c r="AS83" s="1204">
        <v>47.718000000000004</v>
      </c>
      <c r="AT83" s="1204">
        <v>29.376999999999999</v>
      </c>
      <c r="AU83" s="1204">
        <v>51.598999999999997</v>
      </c>
      <c r="AV83" s="1204">
        <v>26.559000000000001</v>
      </c>
      <c r="AW83" s="1201">
        <v>26.52</v>
      </c>
    </row>
    <row r="84" spans="1:49">
      <c r="A84" s="1207" t="s">
        <v>508</v>
      </c>
      <c r="B84" s="1201">
        <v>13.1004</v>
      </c>
      <c r="C84" s="1201">
        <v>-246.81700000000001</v>
      </c>
      <c r="D84" s="1201">
        <v>22.771000000000001</v>
      </c>
      <c r="E84" s="1201">
        <v>173.17699999999999</v>
      </c>
      <c r="F84" s="1201">
        <v>152.96899999999999</v>
      </c>
      <c r="G84" s="1201">
        <v>253.411</v>
      </c>
      <c r="H84" s="1201">
        <v>376.63</v>
      </c>
      <c r="I84" s="1201">
        <v>179.679</v>
      </c>
      <c r="N84" s="1204"/>
      <c r="O84" s="1204"/>
      <c r="P84" s="1204"/>
      <c r="Q84" s="1204"/>
      <c r="R84" s="1204"/>
      <c r="S84" s="1204"/>
      <c r="T84" s="1204"/>
      <c r="V84" s="1204"/>
      <c r="W84" s="1204"/>
      <c r="X84" s="1204"/>
      <c r="Y84" s="1204"/>
      <c r="Z84" s="1204">
        <v>40.603999999999999</v>
      </c>
      <c r="AA84" s="1204">
        <v>75.400999999999996</v>
      </c>
      <c r="AB84" s="1204">
        <v>42.491</v>
      </c>
      <c r="AC84" s="1204">
        <v>14.680999999999999</v>
      </c>
      <c r="AD84" s="1204">
        <v>20.260999999999999</v>
      </c>
      <c r="AE84" s="1204">
        <v>56.801000000000002</v>
      </c>
      <c r="AF84" s="1204">
        <v>47.52</v>
      </c>
      <c r="AG84" s="1204">
        <v>28.387</v>
      </c>
      <c r="AH84" s="1204">
        <v>55.476999999999997</v>
      </c>
      <c r="AI84" s="1204">
        <v>76.703999999999994</v>
      </c>
      <c r="AJ84" s="1204">
        <v>82.626000000000005</v>
      </c>
      <c r="AK84" s="1204">
        <v>38.603999999999999</v>
      </c>
      <c r="AL84" s="1204">
        <v>61.417999999999999</v>
      </c>
      <c r="AM84" s="1204">
        <v>97.643000000000001</v>
      </c>
      <c r="AN84" s="1204">
        <v>113.56100000000001</v>
      </c>
      <c r="AO84" s="1204">
        <v>104.008</v>
      </c>
      <c r="AP84" s="1204">
        <v>69.790999999999997</v>
      </c>
      <c r="AQ84" s="1204">
        <v>36.271000000000001</v>
      </c>
      <c r="AR84" s="1204">
        <v>25.899000000000001</v>
      </c>
      <c r="AS84" s="1204">
        <v>47.718000000000004</v>
      </c>
      <c r="AT84" s="1204">
        <v>29.376999999999999</v>
      </c>
      <c r="AU84" s="1204">
        <v>51.598999999999997</v>
      </c>
      <c r="AV84" s="1204">
        <v>26.559000000000001</v>
      </c>
      <c r="AW84" s="1201">
        <v>26.52</v>
      </c>
    </row>
    <row r="85" spans="1:49">
      <c r="A85" s="1206"/>
      <c r="N85" s="1204"/>
      <c r="O85" s="1204"/>
      <c r="P85" s="1204"/>
      <c r="Q85" s="1204"/>
      <c r="R85" s="1204"/>
      <c r="S85" s="1204"/>
      <c r="T85" s="1204"/>
      <c r="V85" s="1204"/>
      <c r="W85" s="1204"/>
      <c r="X85" s="1204"/>
      <c r="Y85" s="1204"/>
      <c r="Z85" s="1204"/>
      <c r="AA85" s="1204"/>
      <c r="AB85" s="1204"/>
      <c r="AC85" s="1204"/>
      <c r="AD85" s="1204"/>
      <c r="AE85" s="1204"/>
      <c r="AF85" s="1204"/>
      <c r="AG85" s="1204"/>
      <c r="AH85" s="1204"/>
      <c r="AI85" s="1204"/>
      <c r="AJ85" s="1204"/>
      <c r="AK85" s="1204"/>
      <c r="AL85" s="1204"/>
      <c r="AM85" s="1204"/>
      <c r="AN85" s="1204"/>
      <c r="AO85" s="1204"/>
      <c r="AP85" s="1204"/>
      <c r="AQ85" s="1204"/>
      <c r="AR85" s="1204"/>
      <c r="AS85" s="1204"/>
      <c r="AT85" s="1204"/>
      <c r="AU85" s="1204"/>
      <c r="AV85" s="1204"/>
    </row>
    <row r="86" spans="1:49">
      <c r="A86" s="1209" t="s">
        <v>509</v>
      </c>
      <c r="B86" s="1201">
        <v>2425.8437600000002</v>
      </c>
      <c r="C86" s="1201">
        <v>2743.5853900000002</v>
      </c>
      <c r="D86" s="1201">
        <v>3007.8894</v>
      </c>
      <c r="E86" s="1201">
        <v>3206.31378</v>
      </c>
      <c r="F86" s="1201">
        <v>3381.9162700000002</v>
      </c>
      <c r="G86" s="1201">
        <v>3896.0416700000001</v>
      </c>
      <c r="H86" s="1201">
        <v>4221.76595</v>
      </c>
      <c r="I86" s="1201">
        <v>4628.8506900000002</v>
      </c>
      <c r="N86" s="1204"/>
      <c r="O86" s="1204"/>
      <c r="P86" s="1204"/>
      <c r="Q86" s="1204"/>
      <c r="R86" s="1204"/>
      <c r="S86" s="1204"/>
      <c r="T86" s="1204"/>
      <c r="V86" s="1204"/>
      <c r="W86" s="1204"/>
      <c r="X86" s="1204"/>
      <c r="Y86" s="1204"/>
      <c r="Z86" s="1204">
        <v>3201.4142099999999</v>
      </c>
      <c r="AA86" s="1204">
        <v>3205.1463600000002</v>
      </c>
      <c r="AB86" s="1204">
        <v>3208.3652000000002</v>
      </c>
      <c r="AC86" s="1204">
        <v>3207.78692</v>
      </c>
      <c r="AD86" s="1204">
        <v>3216.8629999999998</v>
      </c>
      <c r="AE86" s="1204">
        <v>3276.9544500000002</v>
      </c>
      <c r="AF86" s="1204">
        <v>3484.56763</v>
      </c>
      <c r="AG86" s="1204">
        <v>3430.6981999999998</v>
      </c>
      <c r="AH86" s="1204">
        <v>3587.674</v>
      </c>
      <c r="AI86" s="1204">
        <v>3719.18001</v>
      </c>
      <c r="AJ86" s="1204">
        <v>4077.0627599999998</v>
      </c>
      <c r="AK86" s="1204">
        <v>4196.7226000000001</v>
      </c>
      <c r="AL86" s="1204">
        <v>4208.8297899999998</v>
      </c>
      <c r="AM86" s="1204">
        <v>4217.8115200000002</v>
      </c>
      <c r="AN86" s="1204">
        <v>4221.4327599999997</v>
      </c>
      <c r="AO86" s="1204">
        <v>4246.1673300000002</v>
      </c>
      <c r="AP86" s="1204">
        <v>4482.6644999999999</v>
      </c>
      <c r="AQ86" s="1204">
        <v>4650.6323000000002</v>
      </c>
      <c r="AR86" s="1204">
        <v>4651.3043399999997</v>
      </c>
      <c r="AS86" s="1204">
        <v>4728.7732699999997</v>
      </c>
      <c r="AT86" s="1204">
        <v>4918.4486800000004</v>
      </c>
      <c r="AU86" s="1204">
        <v>4932.1691000000001</v>
      </c>
      <c r="AV86" s="1204">
        <v>5013.9690099999998</v>
      </c>
      <c r="AW86" s="1201">
        <v>5038.8529900000003</v>
      </c>
    </row>
    <row r="87" spans="1:49">
      <c r="A87" s="1206" t="s">
        <v>510</v>
      </c>
      <c r="B87" s="1201">
        <v>8.8100000000000001E-3</v>
      </c>
      <c r="C87" s="1201">
        <v>-9.5329999999999998E-2</v>
      </c>
      <c r="D87" s="1201">
        <v>7.5700000000000003E-3</v>
      </c>
      <c r="E87" s="1201">
        <v>5.4010000000000002E-2</v>
      </c>
      <c r="F87" s="1201">
        <v>4.5229999999999999E-2</v>
      </c>
      <c r="G87" s="1201">
        <v>6.5040000000000001E-2</v>
      </c>
      <c r="H87" s="1201">
        <v>8.9209999999999998E-2</v>
      </c>
      <c r="I87" s="1201">
        <v>3.882E-2</v>
      </c>
      <c r="N87" s="1204"/>
      <c r="O87" s="1204"/>
      <c r="P87" s="1204"/>
      <c r="Q87" s="1204"/>
      <c r="R87" s="1204"/>
      <c r="S87" s="1204"/>
      <c r="T87" s="1204"/>
      <c r="V87" s="1204"/>
      <c r="W87" s="1204"/>
      <c r="X87" s="1204"/>
      <c r="Y87" s="1204"/>
      <c r="Z87" s="1204">
        <v>1.268E-2</v>
      </c>
      <c r="AA87" s="1204">
        <v>2.3519999999999999E-2</v>
      </c>
      <c r="AB87" s="1204">
        <v>1.324E-2</v>
      </c>
      <c r="AC87" s="1204">
        <v>4.5799999999999999E-3</v>
      </c>
      <c r="AD87" s="1204">
        <v>6.3E-3</v>
      </c>
      <c r="AE87" s="1204">
        <v>1.7330000000000002E-2</v>
      </c>
      <c r="AF87" s="1204">
        <v>1.3639999999999999E-2</v>
      </c>
      <c r="AG87" s="1204">
        <v>8.2699999999999996E-3</v>
      </c>
      <c r="AH87" s="1204">
        <v>1.546E-2</v>
      </c>
      <c r="AI87" s="1204">
        <v>2.0619999999999999E-2</v>
      </c>
      <c r="AJ87" s="1204">
        <v>2.027E-2</v>
      </c>
      <c r="AK87" s="1204">
        <v>9.1999999999999998E-3</v>
      </c>
      <c r="AL87" s="1204">
        <v>1.4590000000000001E-2</v>
      </c>
      <c r="AM87" s="1204">
        <v>2.315E-2</v>
      </c>
      <c r="AN87" s="1204">
        <v>2.69E-2</v>
      </c>
      <c r="AO87" s="1204">
        <v>2.4490000000000001E-2</v>
      </c>
      <c r="AP87" s="1204">
        <v>1.5570000000000001E-2</v>
      </c>
      <c r="AQ87" s="1204">
        <v>7.7999999999999996E-3</v>
      </c>
      <c r="AR87" s="1204">
        <v>5.5700000000000003E-3</v>
      </c>
      <c r="AS87" s="1204">
        <v>1.009E-2</v>
      </c>
      <c r="AT87" s="1204">
        <v>5.9699999999999996E-3</v>
      </c>
      <c r="AU87" s="1204">
        <v>1.0460000000000001E-2</v>
      </c>
      <c r="AV87" s="1204">
        <v>5.3E-3</v>
      </c>
      <c r="AW87" s="1201">
        <v>5.2599999999999999E-3</v>
      </c>
    </row>
    <row r="88" spans="1:49">
      <c r="A88" s="1207" t="s">
        <v>511</v>
      </c>
      <c r="B88" s="1201">
        <v>5.4000000000000003E-3</v>
      </c>
      <c r="C88" s="1201">
        <v>-8.9959999999999998E-2</v>
      </c>
      <c r="D88" s="1201">
        <v>7.5700000000000003E-3</v>
      </c>
      <c r="E88" s="1201">
        <v>5.4010000000000002E-2</v>
      </c>
      <c r="F88" s="1201">
        <v>4.5229999999999999E-2</v>
      </c>
      <c r="G88" s="1201">
        <v>6.5040000000000001E-2</v>
      </c>
      <c r="H88" s="1201">
        <v>8.9209999999999998E-2</v>
      </c>
      <c r="I88" s="1201">
        <v>3.882E-2</v>
      </c>
      <c r="N88" s="1204"/>
      <c r="O88" s="1204"/>
      <c r="P88" s="1204"/>
      <c r="Q88" s="1204"/>
      <c r="R88" s="1204"/>
      <c r="S88" s="1204"/>
      <c r="T88" s="1204"/>
      <c r="V88" s="1204"/>
      <c r="W88" s="1204"/>
      <c r="X88" s="1204"/>
      <c r="Y88" s="1204"/>
      <c r="Z88" s="1204">
        <v>1.268E-2</v>
      </c>
      <c r="AA88" s="1204">
        <v>2.3519999999999999E-2</v>
      </c>
      <c r="AB88" s="1204">
        <v>1.324E-2</v>
      </c>
      <c r="AC88" s="1204">
        <v>4.5799999999999999E-3</v>
      </c>
      <c r="AD88" s="1204">
        <v>6.3E-3</v>
      </c>
      <c r="AE88" s="1204">
        <v>1.7330000000000002E-2</v>
      </c>
      <c r="AF88" s="1204">
        <v>1.3639999999999999E-2</v>
      </c>
      <c r="AG88" s="1204">
        <v>8.2699999999999996E-3</v>
      </c>
      <c r="AH88" s="1204">
        <v>1.546E-2</v>
      </c>
      <c r="AI88" s="1204">
        <v>2.0619999999999999E-2</v>
      </c>
      <c r="AJ88" s="1204">
        <v>2.027E-2</v>
      </c>
      <c r="AK88" s="1204">
        <v>9.1999999999999998E-3</v>
      </c>
      <c r="AL88" s="1204">
        <v>1.4590000000000001E-2</v>
      </c>
      <c r="AM88" s="1204">
        <v>2.315E-2</v>
      </c>
      <c r="AN88" s="1204">
        <v>2.69E-2</v>
      </c>
      <c r="AO88" s="1204">
        <v>2.4490000000000001E-2</v>
      </c>
      <c r="AP88" s="1204">
        <v>1.5570000000000001E-2</v>
      </c>
      <c r="AQ88" s="1204">
        <v>7.7999999999999996E-3</v>
      </c>
      <c r="AR88" s="1204">
        <v>5.5700000000000003E-3</v>
      </c>
      <c r="AS88" s="1204">
        <v>1.009E-2</v>
      </c>
      <c r="AT88" s="1204">
        <v>5.9699999999999996E-3</v>
      </c>
      <c r="AU88" s="1204">
        <v>1.0460000000000001E-2</v>
      </c>
      <c r="AV88" s="1204">
        <v>5.3E-3</v>
      </c>
      <c r="AW88" s="1201">
        <v>5.2599999999999999E-3</v>
      </c>
    </row>
    <row r="89" spans="1:49">
      <c r="A89" s="1203"/>
      <c r="N89" s="1204"/>
      <c r="O89" s="1204"/>
      <c r="P89" s="1204"/>
      <c r="Q89" s="1204"/>
      <c r="R89" s="1204"/>
      <c r="S89" s="1204"/>
      <c r="T89" s="1204"/>
      <c r="V89" s="1204"/>
      <c r="W89" s="1204"/>
      <c r="X89" s="1204"/>
      <c r="Y89" s="1204"/>
      <c r="Z89" s="1204"/>
      <c r="AA89" s="1204"/>
      <c r="AB89" s="1204"/>
      <c r="AC89" s="1204"/>
      <c r="AD89" s="1204"/>
      <c r="AE89" s="1204"/>
      <c r="AF89" s="1204"/>
      <c r="AG89" s="1204"/>
      <c r="AH89" s="1204"/>
      <c r="AI89" s="1204"/>
      <c r="AJ89" s="1204"/>
      <c r="AK89" s="1204"/>
      <c r="AL89" s="1204"/>
      <c r="AM89" s="1204"/>
      <c r="AN89" s="1204"/>
      <c r="AO89" s="1204"/>
      <c r="AP89" s="1204"/>
      <c r="AQ89" s="1204"/>
      <c r="AR89" s="1204"/>
      <c r="AS89" s="1204"/>
      <c r="AT89" s="1204"/>
      <c r="AU89" s="1204"/>
      <c r="AV89" s="1204"/>
    </row>
    <row r="90" spans="1:49">
      <c r="A90" s="1209" t="s">
        <v>512</v>
      </c>
      <c r="B90" s="1201">
        <v>0</v>
      </c>
      <c r="C90" s="1201">
        <v>0</v>
      </c>
      <c r="D90" s="1201">
        <v>0</v>
      </c>
      <c r="E90" s="1201">
        <v>1.173</v>
      </c>
      <c r="F90" s="1201">
        <v>9.6140000000000008</v>
      </c>
      <c r="G90" s="1201">
        <v>13.238</v>
      </c>
      <c r="H90" s="1201">
        <v>16.352</v>
      </c>
      <c r="I90" s="1201">
        <v>0.90500000000000003</v>
      </c>
      <c r="N90" s="1204"/>
      <c r="O90" s="1204"/>
      <c r="P90" s="1204"/>
      <c r="Q90" s="1204"/>
      <c r="R90" s="1204"/>
      <c r="S90" s="1204"/>
      <c r="T90" s="1204"/>
      <c r="V90" s="1204"/>
      <c r="W90" s="1204"/>
      <c r="X90" s="1204"/>
      <c r="Y90" s="1204"/>
      <c r="Z90" s="1204"/>
      <c r="AA90" s="1204"/>
      <c r="AB90" s="1204"/>
      <c r="AC90" s="1204">
        <v>1.173</v>
      </c>
      <c r="AD90" s="1204">
        <v>0</v>
      </c>
      <c r="AE90" s="1204"/>
      <c r="AF90" s="1204">
        <v>0</v>
      </c>
      <c r="AG90" s="1204">
        <v>0</v>
      </c>
      <c r="AH90" s="1204">
        <v>0</v>
      </c>
      <c r="AI90" s="1204">
        <v>0</v>
      </c>
      <c r="AJ90" s="1204"/>
      <c r="AK90" s="1204"/>
      <c r="AL90" s="1204"/>
      <c r="AM90" s="1204">
        <v>6.7839999999999998</v>
      </c>
      <c r="AN90" s="1204"/>
      <c r="AO90" s="1204">
        <v>16.352</v>
      </c>
      <c r="AP90" s="1204"/>
      <c r="AQ90" s="1204"/>
      <c r="AR90" s="1204"/>
      <c r="AS90" s="1204"/>
      <c r="AT90" s="1204"/>
      <c r="AU90" s="1204">
        <v>-0.65</v>
      </c>
      <c r="AV90" s="1204"/>
    </row>
    <row r="91" spans="1:49">
      <c r="A91" s="1209" t="s">
        <v>513</v>
      </c>
      <c r="B91" s="1201">
        <v>13.1004</v>
      </c>
      <c r="C91" s="1201">
        <v>-246.81700000000001</v>
      </c>
      <c r="D91" s="1201">
        <v>22.771000000000001</v>
      </c>
      <c r="E91" s="1201">
        <v>174.35</v>
      </c>
      <c r="F91" s="1201">
        <v>162.583</v>
      </c>
      <c r="G91" s="1201">
        <v>266.649</v>
      </c>
      <c r="H91" s="1201">
        <v>392.98200000000003</v>
      </c>
      <c r="I91" s="1201">
        <v>180.584</v>
      </c>
      <c r="N91" s="1204"/>
      <c r="O91" s="1204"/>
      <c r="P91" s="1204"/>
      <c r="Q91" s="1204"/>
      <c r="R91" s="1204"/>
      <c r="S91" s="1204"/>
      <c r="T91" s="1204"/>
      <c r="V91" s="1204"/>
      <c r="W91" s="1204"/>
      <c r="X91" s="1204"/>
      <c r="Y91" s="1204"/>
      <c r="Z91" s="1204">
        <v>40.603999999999999</v>
      </c>
      <c r="AA91" s="1204">
        <v>75.400999999999996</v>
      </c>
      <c r="AB91" s="1204">
        <v>42.491</v>
      </c>
      <c r="AC91" s="1204">
        <v>15.853999999999999</v>
      </c>
      <c r="AD91" s="1204">
        <v>20.260999999999999</v>
      </c>
      <c r="AE91" s="1204">
        <v>56.801000000000002</v>
      </c>
      <c r="AF91" s="1204">
        <v>47.52</v>
      </c>
      <c r="AG91" s="1204">
        <v>28.387</v>
      </c>
      <c r="AH91" s="1204">
        <v>55.476999999999997</v>
      </c>
      <c r="AI91" s="1204">
        <v>76.703999999999994</v>
      </c>
      <c r="AJ91" s="1204">
        <v>82.626000000000005</v>
      </c>
      <c r="AK91" s="1204">
        <v>38.603999999999999</v>
      </c>
      <c r="AL91" s="1204">
        <v>61.417999999999999</v>
      </c>
      <c r="AM91" s="1204">
        <v>104.42700000000001</v>
      </c>
      <c r="AN91" s="1204">
        <v>113.56100000000001</v>
      </c>
      <c r="AO91" s="1204">
        <v>120.36</v>
      </c>
      <c r="AP91" s="1204">
        <v>69.790999999999997</v>
      </c>
      <c r="AQ91" s="1204">
        <v>36.271000000000001</v>
      </c>
      <c r="AR91" s="1204">
        <v>25.899000000000001</v>
      </c>
      <c r="AS91" s="1204">
        <v>47.718000000000004</v>
      </c>
      <c r="AT91" s="1204">
        <v>29.376999999999999</v>
      </c>
      <c r="AU91" s="1204">
        <v>50.948999999999998</v>
      </c>
      <c r="AV91" s="1204">
        <v>26.559000000000001</v>
      </c>
      <c r="AW91" s="1201">
        <v>26.52</v>
      </c>
    </row>
    <row r="92" spans="1:49">
      <c r="A92" s="1209" t="s">
        <v>514</v>
      </c>
      <c r="B92" s="1201">
        <v>2541.6597400000001</v>
      </c>
      <c r="C92" s="1201">
        <v>2743.5853900000002</v>
      </c>
      <c r="D92" s="1201">
        <v>3204.2654900000002</v>
      </c>
      <c r="E92" s="1201">
        <v>3258.9078800000002</v>
      </c>
      <c r="F92" s="1201">
        <v>3709.3486600000001</v>
      </c>
      <c r="G92" s="1201">
        <v>4326.2435999999998</v>
      </c>
      <c r="H92" s="1201">
        <v>4833.1062700000002</v>
      </c>
      <c r="I92" s="1201">
        <v>4713.4373400000004</v>
      </c>
      <c r="N92" s="1204"/>
      <c r="O92" s="1204"/>
      <c r="P92" s="1204"/>
      <c r="Q92" s="1204"/>
      <c r="R92" s="1204"/>
      <c r="S92" s="1204"/>
      <c r="T92" s="1204"/>
      <c r="V92" s="1204"/>
      <c r="W92" s="1204"/>
      <c r="X92" s="1204"/>
      <c r="Y92" s="1204"/>
      <c r="Z92" s="1204">
        <v>3218.2139299999999</v>
      </c>
      <c r="AA92" s="1204">
        <v>3229.57251</v>
      </c>
      <c r="AB92" s="1204">
        <v>3235.4552199999998</v>
      </c>
      <c r="AC92" s="1204">
        <v>3446.5217400000001</v>
      </c>
      <c r="AD92" s="1204">
        <v>3251.2916</v>
      </c>
      <c r="AE92" s="1204">
        <v>3722.4188800000002</v>
      </c>
      <c r="AF92" s="1204">
        <v>3890.3905500000001</v>
      </c>
      <c r="AG92" s="1204">
        <v>3430.6981999999998</v>
      </c>
      <c r="AH92" s="1204">
        <v>4018.0857999999998</v>
      </c>
      <c r="AI92" s="1204">
        <v>4157.1630699999996</v>
      </c>
      <c r="AJ92" s="1204">
        <v>4502.0233600000001</v>
      </c>
      <c r="AK92" s="1204">
        <v>4536.5365199999997</v>
      </c>
      <c r="AL92" s="1204">
        <v>4634.8491899999999</v>
      </c>
      <c r="AM92" s="1204">
        <v>4635.1072299999996</v>
      </c>
      <c r="AN92" s="1204">
        <v>5027.1070900000004</v>
      </c>
      <c r="AO92" s="1204">
        <v>4983.89876</v>
      </c>
      <c r="AP92" s="1204">
        <v>5064.0823700000001</v>
      </c>
      <c r="AQ92" s="1204">
        <v>5066.0719300000001</v>
      </c>
      <c r="AR92" s="1204">
        <v>4690.0391900000004</v>
      </c>
      <c r="AS92" s="1204">
        <v>5159.2002499999999</v>
      </c>
      <c r="AT92" s="1204">
        <v>4961.9334900000003</v>
      </c>
      <c r="AU92" s="1204">
        <v>4974.7536099999998</v>
      </c>
      <c r="AV92" s="1204">
        <v>5040.1707299999998</v>
      </c>
      <c r="AW92" s="1201">
        <v>5058.2436500000003</v>
      </c>
    </row>
    <row r="93" spans="1:49">
      <c r="A93" s="1207" t="s">
        <v>515</v>
      </c>
      <c r="B93" s="1201">
        <v>8.4100000000000008E-3</v>
      </c>
      <c r="C93" s="1201">
        <v>-9.5329999999999998E-2</v>
      </c>
      <c r="D93" s="1201">
        <v>7.11E-3</v>
      </c>
      <c r="E93" s="1201">
        <v>5.3499999999999999E-2</v>
      </c>
      <c r="F93" s="1201">
        <v>4.3830000000000001E-2</v>
      </c>
      <c r="G93" s="1201">
        <v>6.164E-2</v>
      </c>
      <c r="H93" s="1201">
        <v>8.1309999999999993E-2</v>
      </c>
      <c r="I93" s="1201">
        <v>3.8309999999999997E-2</v>
      </c>
      <c r="N93" s="1204"/>
      <c r="O93" s="1204"/>
      <c r="P93" s="1204"/>
      <c r="Q93" s="1204"/>
      <c r="R93" s="1204"/>
      <c r="S93" s="1204"/>
      <c r="T93" s="1204"/>
      <c r="V93" s="1204"/>
      <c r="W93" s="1204"/>
      <c r="X93" s="1204"/>
      <c r="Y93" s="1204"/>
      <c r="Z93" s="1204">
        <v>1.2619999999999999E-2</v>
      </c>
      <c r="AA93" s="1204">
        <v>2.3349999999999999E-2</v>
      </c>
      <c r="AB93" s="1204">
        <v>1.3129999999999999E-2</v>
      </c>
      <c r="AC93" s="1204">
        <v>4.5999999999999999E-3</v>
      </c>
      <c r="AD93" s="1204">
        <v>6.2300000000000003E-3</v>
      </c>
      <c r="AE93" s="1204">
        <v>1.5259999999999999E-2</v>
      </c>
      <c r="AF93" s="1204">
        <v>1.221E-2</v>
      </c>
      <c r="AG93" s="1204">
        <v>8.2699999999999996E-3</v>
      </c>
      <c r="AH93" s="1204">
        <v>1.3809999999999999E-2</v>
      </c>
      <c r="AI93" s="1204">
        <v>1.8450000000000001E-2</v>
      </c>
      <c r="AJ93" s="1204">
        <v>1.8350000000000002E-2</v>
      </c>
      <c r="AK93" s="1204">
        <v>8.5100000000000002E-3</v>
      </c>
      <c r="AL93" s="1204">
        <v>1.325E-2</v>
      </c>
      <c r="AM93" s="1204">
        <v>2.2530000000000001E-2</v>
      </c>
      <c r="AN93" s="1204">
        <v>2.2589999999999999E-2</v>
      </c>
      <c r="AO93" s="1204">
        <v>2.4150000000000001E-2</v>
      </c>
      <c r="AP93" s="1204">
        <v>1.3780000000000001E-2</v>
      </c>
      <c r="AQ93" s="1204">
        <v>7.1599999999999997E-3</v>
      </c>
      <c r="AR93" s="1204">
        <v>5.5199999999999997E-3</v>
      </c>
      <c r="AS93" s="1204">
        <v>9.2499999999999995E-3</v>
      </c>
      <c r="AT93" s="1204">
        <v>5.9199999999999999E-3</v>
      </c>
      <c r="AU93" s="1204">
        <v>1.0240000000000001E-2</v>
      </c>
      <c r="AV93" s="1204">
        <v>5.2700000000000004E-3</v>
      </c>
      <c r="AW93" s="1201">
        <v>5.2399999999999999E-3</v>
      </c>
    </row>
    <row r="94" spans="1:49">
      <c r="A94" s="1206" t="s">
        <v>516</v>
      </c>
      <c r="B94" s="1201">
        <v>5.1500000000000001E-3</v>
      </c>
      <c r="C94" s="1201">
        <v>-8.9959999999999998E-2</v>
      </c>
      <c r="D94" s="1201">
        <v>7.11E-3</v>
      </c>
      <c r="E94" s="1201">
        <v>5.3499999999999999E-2</v>
      </c>
      <c r="F94" s="1201">
        <v>4.3830000000000001E-2</v>
      </c>
      <c r="G94" s="1201">
        <v>6.164E-2</v>
      </c>
      <c r="H94" s="1201">
        <v>8.1309999999999993E-2</v>
      </c>
      <c r="I94" s="1201">
        <v>3.8309999999999997E-2</v>
      </c>
      <c r="N94" s="1204"/>
      <c r="O94" s="1204"/>
      <c r="P94" s="1204"/>
      <c r="Q94" s="1204"/>
      <c r="R94" s="1204"/>
      <c r="S94" s="1204"/>
      <c r="T94" s="1204"/>
      <c r="V94" s="1204"/>
      <c r="W94" s="1204"/>
      <c r="X94" s="1204"/>
      <c r="Y94" s="1204"/>
      <c r="Z94" s="1204">
        <v>1.2619999999999999E-2</v>
      </c>
      <c r="AA94" s="1204">
        <v>2.3349999999999999E-2</v>
      </c>
      <c r="AB94" s="1204">
        <v>1.3129999999999999E-2</v>
      </c>
      <c r="AC94" s="1204">
        <v>4.5999999999999999E-3</v>
      </c>
      <c r="AD94" s="1204">
        <v>6.2300000000000003E-3</v>
      </c>
      <c r="AE94" s="1204">
        <v>1.5259999999999999E-2</v>
      </c>
      <c r="AF94" s="1204">
        <v>1.221E-2</v>
      </c>
      <c r="AG94" s="1204">
        <v>8.2699999999999996E-3</v>
      </c>
      <c r="AH94" s="1204">
        <v>1.3809999999999999E-2</v>
      </c>
      <c r="AI94" s="1204">
        <v>1.8450000000000001E-2</v>
      </c>
      <c r="AJ94" s="1204">
        <v>1.8350000000000002E-2</v>
      </c>
      <c r="AK94" s="1204">
        <v>8.5100000000000002E-3</v>
      </c>
      <c r="AL94" s="1204">
        <v>1.325E-2</v>
      </c>
      <c r="AM94" s="1204">
        <v>2.2530000000000001E-2</v>
      </c>
      <c r="AN94" s="1204">
        <v>2.2589999999999999E-2</v>
      </c>
      <c r="AO94" s="1204">
        <v>2.4150000000000001E-2</v>
      </c>
      <c r="AP94" s="1204">
        <v>1.3780000000000001E-2</v>
      </c>
      <c r="AQ94" s="1204">
        <v>7.1599999999999997E-3</v>
      </c>
      <c r="AR94" s="1204">
        <v>5.5199999999999997E-3</v>
      </c>
      <c r="AS94" s="1204">
        <v>9.2499999999999995E-3</v>
      </c>
      <c r="AT94" s="1204">
        <v>5.9199999999999999E-3</v>
      </c>
      <c r="AU94" s="1204">
        <v>1.0240000000000001E-2</v>
      </c>
      <c r="AV94" s="1204">
        <v>5.2700000000000004E-3</v>
      </c>
      <c r="AW94" s="1201">
        <v>5.2399999999999999E-3</v>
      </c>
    </row>
    <row r="95" spans="1:49">
      <c r="A95" s="1206"/>
      <c r="N95" s="1204"/>
      <c r="O95" s="1204"/>
      <c r="P95" s="1204"/>
      <c r="Q95" s="1204"/>
      <c r="R95" s="1204"/>
      <c r="S95" s="1204"/>
      <c r="T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row>
    <row r="96" spans="1:49">
      <c r="A96" s="1206" t="s">
        <v>517</v>
      </c>
      <c r="B96" s="1201">
        <v>0</v>
      </c>
      <c r="C96" s="1201">
        <v>0</v>
      </c>
      <c r="D96" s="1201">
        <v>0</v>
      </c>
      <c r="E96" s="1201">
        <v>0</v>
      </c>
      <c r="F96" s="1201">
        <v>0</v>
      </c>
      <c r="G96" s="1201">
        <v>0</v>
      </c>
      <c r="N96" s="1204"/>
      <c r="O96" s="1204"/>
      <c r="P96" s="1204"/>
      <c r="Q96" s="1204"/>
      <c r="R96" s="1204"/>
      <c r="S96" s="1204"/>
      <c r="T96" s="1204"/>
      <c r="V96" s="1204"/>
      <c r="W96" s="1204"/>
      <c r="X96" s="1204"/>
      <c r="Y96" s="1204"/>
      <c r="Z96" s="1204">
        <v>0</v>
      </c>
      <c r="AA96" s="1204">
        <v>0</v>
      </c>
      <c r="AB96" s="1204">
        <v>0</v>
      </c>
      <c r="AC96" s="1204">
        <v>0</v>
      </c>
      <c r="AD96" s="1204">
        <v>0</v>
      </c>
      <c r="AE96" s="1204">
        <v>0</v>
      </c>
      <c r="AF96" s="1204">
        <v>0</v>
      </c>
      <c r="AG96" s="1204">
        <v>0</v>
      </c>
      <c r="AH96" s="1204">
        <v>0</v>
      </c>
      <c r="AI96" s="1204">
        <v>0</v>
      </c>
      <c r="AJ96" s="1204">
        <v>0</v>
      </c>
      <c r="AK96" s="1204">
        <v>0</v>
      </c>
      <c r="AL96" s="1204">
        <v>0</v>
      </c>
      <c r="AM96" s="1204">
        <v>0</v>
      </c>
      <c r="AN96" s="1204">
        <v>0</v>
      </c>
      <c r="AO96" s="1204"/>
      <c r="AP96" s="1204">
        <v>0</v>
      </c>
      <c r="AQ96" s="1204">
        <v>0</v>
      </c>
      <c r="AR96" s="1204">
        <v>0</v>
      </c>
      <c r="AS96" s="1204"/>
      <c r="AT96" s="1204">
        <v>0</v>
      </c>
      <c r="AU96" s="1204">
        <v>0</v>
      </c>
      <c r="AV96" s="1204">
        <v>0</v>
      </c>
    </row>
    <row r="98" spans="1:49" s="1202" customFormat="1">
      <c r="A98" s="1202" t="s">
        <v>302</v>
      </c>
    </row>
    <row r="99" spans="1:49">
      <c r="A99" s="1203" t="s">
        <v>518</v>
      </c>
      <c r="B99" s="1204">
        <v>515.80832999999996</v>
      </c>
      <c r="C99" s="1204">
        <v>261.61500000000001</v>
      </c>
      <c r="D99" s="1204">
        <v>358.49</v>
      </c>
      <c r="E99" s="1204">
        <v>462.483</v>
      </c>
      <c r="F99" s="1204">
        <v>603.03599999999994</v>
      </c>
      <c r="G99" s="1204">
        <v>1005.201</v>
      </c>
      <c r="H99" s="1204">
        <v>2126.011</v>
      </c>
      <c r="I99" s="1204">
        <v>1838.3</v>
      </c>
      <c r="J99" s="1204">
        <v>1786.42</v>
      </c>
      <c r="W99" s="1204"/>
      <c r="X99" s="1204"/>
      <c r="Y99" s="1204">
        <v>358.49</v>
      </c>
      <c r="Z99" s="1204">
        <v>292.93200000000002</v>
      </c>
      <c r="AA99" s="1204">
        <v>262.95499999999998</v>
      </c>
      <c r="AB99" s="1204">
        <v>473.50700000000001</v>
      </c>
      <c r="AC99" s="1204">
        <v>462.483</v>
      </c>
      <c r="AD99" s="1204">
        <v>437.57499999999999</v>
      </c>
      <c r="AE99" s="1204">
        <v>573.33199999999999</v>
      </c>
      <c r="AF99" s="1204">
        <v>362.23899999999998</v>
      </c>
      <c r="AG99" s="1204">
        <v>603.03599999999994</v>
      </c>
      <c r="AH99" s="1204">
        <v>402.37799999999999</v>
      </c>
      <c r="AI99" s="1204">
        <v>766.16499999999996</v>
      </c>
      <c r="AJ99" s="1204">
        <v>741.57600000000002</v>
      </c>
      <c r="AK99" s="1204">
        <v>1005.201</v>
      </c>
      <c r="AL99" s="1204">
        <v>1034.9549999999999</v>
      </c>
      <c r="AM99" s="1204">
        <v>1586.671</v>
      </c>
      <c r="AN99" s="1204">
        <v>1634.752</v>
      </c>
      <c r="AO99" s="1204">
        <v>2126.011</v>
      </c>
      <c r="AP99" s="1204">
        <v>1552.0429999999999</v>
      </c>
      <c r="AQ99" s="1204">
        <v>876.11800000000005</v>
      </c>
      <c r="AR99" s="1204">
        <v>1119.1489999999999</v>
      </c>
      <c r="AS99" s="1204">
        <v>1838.3</v>
      </c>
      <c r="AT99" s="1204">
        <v>1008.4829999999999</v>
      </c>
      <c r="AU99" s="1204">
        <v>1414.26</v>
      </c>
      <c r="AV99" s="1204">
        <v>822.61900000000003</v>
      </c>
      <c r="AW99" s="1204">
        <v>1786.42</v>
      </c>
    </row>
    <row r="100" spans="1:49">
      <c r="A100" s="1203" t="s">
        <v>519</v>
      </c>
      <c r="B100" s="1204"/>
      <c r="C100" s="1204">
        <v>1.9730000000000001</v>
      </c>
      <c r="D100" s="1204">
        <v>18.73</v>
      </c>
      <c r="E100" s="1204">
        <v>240.31100000000001</v>
      </c>
      <c r="F100" s="1204">
        <v>644.07100000000003</v>
      </c>
      <c r="G100" s="1204">
        <v>282.88</v>
      </c>
      <c r="H100" s="1204">
        <v>31.542999999999999</v>
      </c>
      <c r="I100" s="1204">
        <v>683.81200000000001</v>
      </c>
      <c r="J100" s="1204"/>
      <c r="W100" s="1204"/>
      <c r="X100" s="1204"/>
      <c r="Y100" s="1204">
        <v>18.73</v>
      </c>
      <c r="Z100" s="1204">
        <v>1.2390000000000001</v>
      </c>
      <c r="AA100" s="1204">
        <v>2.851</v>
      </c>
      <c r="AB100" s="1204">
        <v>2.5739999999999998</v>
      </c>
      <c r="AC100" s="1204">
        <v>240.31100000000001</v>
      </c>
      <c r="AD100" s="1204">
        <v>178.38300000000001</v>
      </c>
      <c r="AE100" s="1204">
        <v>358.41699999999997</v>
      </c>
      <c r="AF100" s="1204">
        <v>336.79300000000001</v>
      </c>
      <c r="AG100" s="1204">
        <v>644.07100000000003</v>
      </c>
      <c r="AH100" s="1204">
        <v>586.04700000000003</v>
      </c>
      <c r="AI100" s="1204">
        <v>568.88599999999997</v>
      </c>
      <c r="AJ100" s="1204">
        <v>462.28</v>
      </c>
      <c r="AK100" s="1204">
        <v>282.88</v>
      </c>
      <c r="AL100" s="1204">
        <v>107.167</v>
      </c>
      <c r="AM100" s="1204">
        <v>303.721</v>
      </c>
      <c r="AN100" s="1204">
        <v>141.08199999999999</v>
      </c>
      <c r="AO100" s="1204">
        <v>31.542999999999999</v>
      </c>
      <c r="AP100" s="1204">
        <v>557.04</v>
      </c>
      <c r="AQ100" s="1204">
        <v>516.00199999999995</v>
      </c>
      <c r="AR100" s="1204">
        <v>607.25800000000004</v>
      </c>
      <c r="AS100" s="1204">
        <v>683.81200000000001</v>
      </c>
      <c r="AT100" s="1204">
        <v>1289.0640000000001</v>
      </c>
      <c r="AU100" s="1204">
        <v>1296.0450000000001</v>
      </c>
      <c r="AV100" s="1204">
        <v>2130.1779999999999</v>
      </c>
      <c r="AW100" s="1204">
        <v>2038.4929999999999</v>
      </c>
    </row>
    <row r="101" spans="1:49">
      <c r="A101" s="1203" t="s">
        <v>520</v>
      </c>
      <c r="B101" s="1204">
        <v>515.80832999999996</v>
      </c>
      <c r="C101" s="1204">
        <v>263.58800000000002</v>
      </c>
      <c r="D101" s="1204">
        <v>377.22</v>
      </c>
      <c r="E101" s="1204">
        <v>702.79399999999998</v>
      </c>
      <c r="F101" s="1204">
        <v>1247.107</v>
      </c>
      <c r="G101" s="1204">
        <v>1288.0809999999999</v>
      </c>
      <c r="H101" s="1204">
        <v>2157.5540000000001</v>
      </c>
      <c r="I101" s="1204">
        <v>2522.1120000000001</v>
      </c>
      <c r="J101" s="1204"/>
      <c r="W101" s="1204"/>
      <c r="X101" s="1204"/>
      <c r="Y101" s="1204">
        <v>377.22</v>
      </c>
      <c r="Z101" s="1204">
        <v>294.17099999999999</v>
      </c>
      <c r="AA101" s="1204">
        <v>265.80599999999998</v>
      </c>
      <c r="AB101" s="1204">
        <v>476.08100000000002</v>
      </c>
      <c r="AC101" s="1204">
        <v>702.79399999999998</v>
      </c>
      <c r="AD101" s="1204">
        <v>615.95799999999997</v>
      </c>
      <c r="AE101" s="1204">
        <v>931.74900000000002</v>
      </c>
      <c r="AF101" s="1204">
        <v>699.03200000000004</v>
      </c>
      <c r="AG101" s="1204">
        <v>1247.107</v>
      </c>
      <c r="AH101" s="1204">
        <v>988.42499999999995</v>
      </c>
      <c r="AI101" s="1204">
        <v>1335.0509999999999</v>
      </c>
      <c r="AJ101" s="1204">
        <v>1203.856</v>
      </c>
      <c r="AK101" s="1204">
        <v>1288.0809999999999</v>
      </c>
      <c r="AL101" s="1204">
        <v>1142.1220000000001</v>
      </c>
      <c r="AM101" s="1204">
        <v>1890.3920000000001</v>
      </c>
      <c r="AN101" s="1204">
        <v>1775.8340000000001</v>
      </c>
      <c r="AO101" s="1204">
        <v>2157.5540000000001</v>
      </c>
      <c r="AP101" s="1204">
        <v>2109.0830000000001</v>
      </c>
      <c r="AQ101" s="1204">
        <v>1392.12</v>
      </c>
      <c r="AR101" s="1204">
        <v>1726.4069999999999</v>
      </c>
      <c r="AS101" s="1204">
        <v>2522.1120000000001</v>
      </c>
      <c r="AT101" s="1204">
        <v>2297.547</v>
      </c>
      <c r="AU101" s="1204">
        <v>2710.3049999999998</v>
      </c>
      <c r="AV101" s="1204">
        <v>2952.797</v>
      </c>
      <c r="AW101" s="1204">
        <v>3824.913</v>
      </c>
    </row>
    <row r="102" spans="1:49">
      <c r="A102" s="1205" t="s">
        <v>521</v>
      </c>
      <c r="B102" s="1204">
        <v>255.99614</v>
      </c>
      <c r="C102" s="1204">
        <v>208.054</v>
      </c>
      <c r="D102" s="1204">
        <v>323.45100000000002</v>
      </c>
      <c r="E102" s="1204">
        <v>352.87200000000001</v>
      </c>
      <c r="F102" s="1204">
        <v>424.661</v>
      </c>
      <c r="G102" s="1204">
        <v>399.2</v>
      </c>
      <c r="H102" s="1204">
        <v>491.01799999999997</v>
      </c>
      <c r="I102" s="1204">
        <v>407.97500000000002</v>
      </c>
      <c r="J102" s="1204"/>
      <c r="W102" s="1204"/>
      <c r="X102" s="1204"/>
      <c r="Y102" s="1204">
        <v>323.45100000000002</v>
      </c>
      <c r="Z102" s="1204"/>
      <c r="AA102" s="1204">
        <v>406.00700000000001</v>
      </c>
      <c r="AB102" s="1204"/>
      <c r="AC102" s="1204"/>
      <c r="AD102" s="1204"/>
      <c r="AE102" s="1204">
        <v>432.45699999999999</v>
      </c>
      <c r="AF102" s="1204"/>
      <c r="AG102" s="1204"/>
      <c r="AH102" s="1204"/>
      <c r="AI102" s="1204"/>
      <c r="AJ102" s="1204"/>
      <c r="AK102" s="1204"/>
      <c r="AL102" s="1204"/>
      <c r="AM102" s="1204"/>
      <c r="AN102" s="1204"/>
      <c r="AO102" s="1204"/>
      <c r="AP102" s="1204"/>
      <c r="AQ102" s="1204"/>
      <c r="AR102" s="1204"/>
      <c r="AS102" s="1204"/>
      <c r="AT102" s="1204"/>
      <c r="AU102" s="1204"/>
      <c r="AV102" s="1204"/>
      <c r="AW102" s="1204"/>
    </row>
    <row r="103" spans="1:49">
      <c r="A103" s="1203" t="s">
        <v>522</v>
      </c>
      <c r="B103" s="1204">
        <v>-49.3733</v>
      </c>
      <c r="C103" s="1204">
        <v>-42.82</v>
      </c>
      <c r="D103" s="1204">
        <v>-45.34</v>
      </c>
      <c r="E103" s="1204">
        <v>-44.643000000000001</v>
      </c>
      <c r="F103" s="1204">
        <v>-42.014000000000003</v>
      </c>
      <c r="G103" s="1204">
        <v>-41.975999999999999</v>
      </c>
      <c r="H103" s="1204">
        <v>-1.4910000000000001</v>
      </c>
      <c r="I103" s="1204">
        <v>-1.335</v>
      </c>
      <c r="J103" s="1204"/>
      <c r="W103" s="1204"/>
      <c r="X103" s="1204"/>
      <c r="Y103" s="1204">
        <v>-45.34</v>
      </c>
      <c r="Z103" s="1204"/>
      <c r="AA103" s="1204">
        <v>-45.997999999999998</v>
      </c>
      <c r="AB103" s="1204"/>
      <c r="AC103" s="1204"/>
      <c r="AD103" s="1204"/>
      <c r="AE103" s="1204">
        <v>-45.49</v>
      </c>
      <c r="AF103" s="1204"/>
      <c r="AG103" s="1204"/>
      <c r="AH103" s="1204"/>
      <c r="AI103" s="1204"/>
      <c r="AJ103" s="1204"/>
      <c r="AK103" s="1204"/>
      <c r="AL103" s="1204"/>
      <c r="AM103" s="1204"/>
      <c r="AN103" s="1204"/>
      <c r="AO103" s="1204"/>
      <c r="AP103" s="1204"/>
      <c r="AQ103" s="1204"/>
      <c r="AR103" s="1204"/>
      <c r="AS103" s="1204"/>
      <c r="AT103" s="1204"/>
      <c r="AU103" s="1204"/>
      <c r="AV103" s="1204"/>
      <c r="AW103" s="1204"/>
    </row>
    <row r="104" spans="1:49">
      <c r="A104" s="1208" t="s">
        <v>523</v>
      </c>
      <c r="B104" s="1204">
        <v>206.62284</v>
      </c>
      <c r="C104" s="1204">
        <v>165.23400000000001</v>
      </c>
      <c r="D104" s="1204">
        <v>278.11099999999999</v>
      </c>
      <c r="E104" s="1204">
        <v>308.22899999999998</v>
      </c>
      <c r="F104" s="1204">
        <v>382.64699999999999</v>
      </c>
      <c r="G104" s="1204">
        <v>357.22399999999999</v>
      </c>
      <c r="H104" s="1204">
        <v>489.52699999999999</v>
      </c>
      <c r="I104" s="1204">
        <v>406.64</v>
      </c>
      <c r="J104" s="1204"/>
      <c r="W104" s="1204"/>
      <c r="X104" s="1204"/>
      <c r="Y104" s="1204">
        <v>278.11099999999999</v>
      </c>
      <c r="Z104" s="1204">
        <v>355.29300000000001</v>
      </c>
      <c r="AA104" s="1204">
        <v>360.00900000000001</v>
      </c>
      <c r="AB104" s="1204">
        <v>396.108</v>
      </c>
      <c r="AC104" s="1204">
        <v>379.36099999999999</v>
      </c>
      <c r="AD104" s="1204">
        <v>361.536</v>
      </c>
      <c r="AE104" s="1204">
        <v>386.96699999999998</v>
      </c>
      <c r="AF104" s="1204">
        <v>490.91</v>
      </c>
      <c r="AG104" s="1204">
        <v>456.38799999999998</v>
      </c>
      <c r="AH104" s="1204">
        <v>454.38299999999998</v>
      </c>
      <c r="AI104" s="1204">
        <v>489.67500000000001</v>
      </c>
      <c r="AJ104" s="1204">
        <v>466.13</v>
      </c>
      <c r="AK104" s="1204">
        <v>499.846</v>
      </c>
      <c r="AL104" s="1204">
        <v>581.99400000000003</v>
      </c>
      <c r="AM104" s="1204">
        <v>657.40599999999995</v>
      </c>
      <c r="AN104" s="1204">
        <v>754.14</v>
      </c>
      <c r="AO104" s="1204">
        <v>645.822</v>
      </c>
      <c r="AP104" s="1204">
        <v>705.26499999999999</v>
      </c>
      <c r="AQ104" s="1204">
        <v>722.91099999999994</v>
      </c>
      <c r="AR104" s="1204">
        <v>609.84900000000005</v>
      </c>
      <c r="AS104" s="1204">
        <v>616.30799999999999</v>
      </c>
      <c r="AT104" s="1204">
        <v>783.45</v>
      </c>
      <c r="AU104" s="1204">
        <v>919.49</v>
      </c>
      <c r="AV104" s="1204">
        <v>926.31700000000001</v>
      </c>
      <c r="AW104" s="1204">
        <v>837.82799999999997</v>
      </c>
    </row>
    <row r="105" spans="1:49">
      <c r="A105" s="1203" t="s">
        <v>524</v>
      </c>
      <c r="B105" s="1204"/>
      <c r="C105" s="1204"/>
      <c r="D105" s="1204"/>
      <c r="E105" s="1204"/>
      <c r="F105" s="1204"/>
      <c r="G105" s="1204"/>
      <c r="H105" s="1204"/>
      <c r="I105" s="1204"/>
      <c r="J105" s="1204"/>
      <c r="W105" s="1204"/>
      <c r="X105" s="1204"/>
      <c r="Y105" s="1204"/>
      <c r="Z105" s="1204"/>
      <c r="AA105" s="1204"/>
      <c r="AB105" s="1204"/>
      <c r="AC105" s="1204"/>
      <c r="AD105" s="1204"/>
      <c r="AE105" s="1204"/>
      <c r="AF105" s="1204"/>
      <c r="AG105" s="1204"/>
      <c r="AH105" s="1204"/>
      <c r="AI105" s="1204"/>
      <c r="AJ105" s="1204"/>
      <c r="AK105" s="1204"/>
      <c r="AL105" s="1204"/>
      <c r="AM105" s="1204"/>
      <c r="AN105" s="1204"/>
      <c r="AO105" s="1204"/>
      <c r="AP105" s="1204"/>
      <c r="AQ105" s="1204"/>
      <c r="AR105" s="1204"/>
      <c r="AS105" s="1204"/>
      <c r="AT105" s="1204"/>
      <c r="AU105" s="1204"/>
      <c r="AV105" s="1204"/>
      <c r="AW105" s="1204"/>
    </row>
    <row r="106" spans="1:49">
      <c r="A106" s="1203" t="s">
        <v>525</v>
      </c>
      <c r="B106" s="1204"/>
      <c r="C106" s="1204">
        <v>35.670999999999999</v>
      </c>
      <c r="D106" s="1204">
        <v>50.1</v>
      </c>
      <c r="E106" s="1204">
        <v>71.132000000000005</v>
      </c>
      <c r="F106" s="1204">
        <v>73.741</v>
      </c>
      <c r="G106" s="1204">
        <v>142.62200000000001</v>
      </c>
      <c r="H106" s="1204">
        <v>156.29499999999999</v>
      </c>
      <c r="I106" s="1204">
        <v>209.66800000000001</v>
      </c>
      <c r="J106" s="1204"/>
      <c r="W106" s="1204"/>
      <c r="X106" s="1204"/>
      <c r="Y106" s="1204">
        <v>50.1</v>
      </c>
      <c r="Z106" s="1204"/>
      <c r="AA106" s="1204">
        <v>112.417</v>
      </c>
      <c r="AB106" s="1204"/>
      <c r="AC106" s="1204"/>
      <c r="AD106" s="1204"/>
      <c r="AE106" s="1204">
        <v>71.798000000000002</v>
      </c>
      <c r="AF106" s="1204"/>
      <c r="AG106" s="1204"/>
      <c r="AH106" s="1204"/>
      <c r="AI106" s="1204"/>
      <c r="AJ106" s="1204"/>
      <c r="AK106" s="1204"/>
      <c r="AL106" s="1204"/>
      <c r="AM106" s="1204"/>
      <c r="AN106" s="1204"/>
      <c r="AO106" s="1204"/>
      <c r="AP106" s="1204"/>
      <c r="AQ106" s="1204"/>
      <c r="AR106" s="1204"/>
      <c r="AS106" s="1204"/>
      <c r="AT106" s="1204"/>
      <c r="AU106" s="1204"/>
      <c r="AV106" s="1204"/>
      <c r="AW106" s="1204"/>
    </row>
    <row r="107" spans="1:49">
      <c r="A107" s="1203" t="s">
        <v>526</v>
      </c>
      <c r="B107" s="1204">
        <v>206.62284</v>
      </c>
      <c r="C107" s="1204">
        <v>200.905</v>
      </c>
      <c r="D107" s="1204">
        <v>328.21100000000001</v>
      </c>
      <c r="E107" s="1204">
        <v>379.36099999999999</v>
      </c>
      <c r="F107" s="1204">
        <v>456.38799999999998</v>
      </c>
      <c r="G107" s="1204">
        <v>499.846</v>
      </c>
      <c r="H107" s="1204">
        <v>645.822</v>
      </c>
      <c r="I107" s="1204">
        <v>616.30799999999999</v>
      </c>
      <c r="J107" s="1204"/>
      <c r="W107" s="1204"/>
      <c r="X107" s="1204"/>
      <c r="Y107" s="1204">
        <v>328.21100000000001</v>
      </c>
      <c r="Z107" s="1204">
        <v>355.29300000000001</v>
      </c>
      <c r="AA107" s="1204">
        <v>472.42599999999999</v>
      </c>
      <c r="AB107" s="1204">
        <v>396.108</v>
      </c>
      <c r="AC107" s="1204">
        <v>379.36099999999999</v>
      </c>
      <c r="AD107" s="1204">
        <v>361.536</v>
      </c>
      <c r="AE107" s="1204">
        <v>458.76499999999999</v>
      </c>
      <c r="AF107" s="1204">
        <v>490.91</v>
      </c>
      <c r="AG107" s="1204">
        <v>456.38799999999998</v>
      </c>
      <c r="AH107" s="1204">
        <v>454.38299999999998</v>
      </c>
      <c r="AI107" s="1204">
        <v>489.67500000000001</v>
      </c>
      <c r="AJ107" s="1204">
        <v>466.13</v>
      </c>
      <c r="AK107" s="1204">
        <v>499.846</v>
      </c>
      <c r="AL107" s="1204">
        <v>581.99400000000003</v>
      </c>
      <c r="AM107" s="1204">
        <v>657.40599999999995</v>
      </c>
      <c r="AN107" s="1204">
        <v>754.14</v>
      </c>
      <c r="AO107" s="1204">
        <v>645.822</v>
      </c>
      <c r="AP107" s="1204">
        <v>705.26499999999999</v>
      </c>
      <c r="AQ107" s="1204">
        <v>722.91099999999994</v>
      </c>
      <c r="AR107" s="1204">
        <v>609.84900000000005</v>
      </c>
      <c r="AS107" s="1204">
        <v>616.30799999999999</v>
      </c>
      <c r="AT107" s="1204">
        <v>783.45</v>
      </c>
      <c r="AU107" s="1204">
        <v>919.49</v>
      </c>
      <c r="AV107" s="1204">
        <v>926.31700000000001</v>
      </c>
      <c r="AW107" s="1204">
        <v>837.82799999999997</v>
      </c>
    </row>
    <row r="108" spans="1:49">
      <c r="A108" s="1205" t="s">
        <v>527</v>
      </c>
      <c r="B108" s="1204">
        <v>48.131729999999997</v>
      </c>
      <c r="C108" s="1204">
        <v>58.982999999999997</v>
      </c>
      <c r="D108" s="1204">
        <v>87.108000000000004</v>
      </c>
      <c r="E108" s="1204">
        <v>49.298999999999999</v>
      </c>
      <c r="F108" s="1204">
        <v>71.396000000000001</v>
      </c>
      <c r="G108" s="1204">
        <v>73.716999999999999</v>
      </c>
      <c r="H108" s="1204">
        <v>57.473999999999997</v>
      </c>
      <c r="I108" s="1204">
        <v>151.41</v>
      </c>
      <c r="J108" s="1204"/>
      <c r="W108" s="1204"/>
      <c r="X108" s="1204"/>
      <c r="Y108" s="1204">
        <v>87.108000000000004</v>
      </c>
      <c r="Z108" s="1204"/>
      <c r="AA108" s="1204">
        <v>70.540999999999997</v>
      </c>
      <c r="AB108" s="1204"/>
      <c r="AC108" s="1204"/>
      <c r="AD108" s="1204"/>
      <c r="AE108" s="1204">
        <v>64.429000000000002</v>
      </c>
      <c r="AF108" s="1204"/>
      <c r="AG108" s="1204"/>
      <c r="AH108" s="1204"/>
      <c r="AI108" s="1204"/>
      <c r="AJ108" s="1204"/>
      <c r="AK108" s="1204"/>
      <c r="AL108" s="1204"/>
      <c r="AM108" s="1204"/>
      <c r="AN108" s="1204"/>
      <c r="AO108" s="1204"/>
      <c r="AP108" s="1204"/>
      <c r="AQ108" s="1204"/>
      <c r="AR108" s="1204"/>
      <c r="AS108" s="1204"/>
      <c r="AT108" s="1204"/>
      <c r="AU108" s="1204"/>
      <c r="AV108" s="1204"/>
      <c r="AW108" s="1204"/>
    </row>
    <row r="109" spans="1:49">
      <c r="A109" s="1203" t="s">
        <v>528</v>
      </c>
      <c r="B109" s="1204">
        <v>86.234859999999998</v>
      </c>
      <c r="C109" s="1204">
        <v>93.471999999999994</v>
      </c>
      <c r="D109" s="1204">
        <v>156.392</v>
      </c>
      <c r="E109" s="1204">
        <v>180.71</v>
      </c>
      <c r="F109" s="1204">
        <v>179.047</v>
      </c>
      <c r="G109" s="1204">
        <v>225.47499999999999</v>
      </c>
      <c r="H109" s="1204">
        <v>280.21600000000001</v>
      </c>
      <c r="I109" s="1204">
        <v>321.69499999999999</v>
      </c>
      <c r="J109" s="1204"/>
      <c r="W109" s="1204"/>
      <c r="X109" s="1204"/>
      <c r="Y109" s="1204">
        <v>156.392</v>
      </c>
      <c r="Z109" s="1204"/>
      <c r="AA109" s="1204">
        <v>168.82400000000001</v>
      </c>
      <c r="AB109" s="1204"/>
      <c r="AC109" s="1204"/>
      <c r="AD109" s="1204"/>
      <c r="AE109" s="1204">
        <v>191.48</v>
      </c>
      <c r="AF109" s="1204"/>
      <c r="AG109" s="1204"/>
      <c r="AH109" s="1204"/>
      <c r="AI109" s="1204"/>
      <c r="AJ109" s="1204"/>
      <c r="AK109" s="1204"/>
      <c r="AL109" s="1204"/>
      <c r="AM109" s="1204"/>
      <c r="AN109" s="1204"/>
      <c r="AO109" s="1204"/>
      <c r="AP109" s="1204"/>
      <c r="AQ109" s="1204"/>
      <c r="AR109" s="1204"/>
      <c r="AS109" s="1204"/>
      <c r="AT109" s="1204"/>
      <c r="AU109" s="1204"/>
      <c r="AV109" s="1204"/>
      <c r="AW109" s="1204"/>
    </row>
    <row r="110" spans="1:49">
      <c r="A110" s="1203" t="s">
        <v>529</v>
      </c>
      <c r="B110" s="1204">
        <v>79.037909999999997</v>
      </c>
      <c r="C110" s="1204">
        <v>54.853000000000002</v>
      </c>
      <c r="D110" s="1204">
        <v>52.228000000000002</v>
      </c>
      <c r="E110" s="1204">
        <v>56.241999999999997</v>
      </c>
      <c r="F110" s="1204">
        <v>65.597999999999999</v>
      </c>
      <c r="G110" s="1204">
        <v>88.134</v>
      </c>
      <c r="H110" s="1204">
        <v>126.526</v>
      </c>
      <c r="I110" s="1204">
        <v>149.57400000000001</v>
      </c>
      <c r="J110" s="1204"/>
      <c r="W110" s="1204"/>
      <c r="X110" s="1204"/>
      <c r="Y110" s="1204">
        <v>52.228000000000002</v>
      </c>
      <c r="Z110" s="1204"/>
      <c r="AA110" s="1204">
        <v>68.962999999999994</v>
      </c>
      <c r="AB110" s="1204"/>
      <c r="AC110" s="1204"/>
      <c r="AD110" s="1204"/>
      <c r="AE110" s="1204">
        <v>63.18</v>
      </c>
      <c r="AF110" s="1204"/>
      <c r="AG110" s="1204"/>
      <c r="AH110" s="1204"/>
      <c r="AI110" s="1204"/>
      <c r="AJ110" s="1204"/>
      <c r="AK110" s="1204"/>
      <c r="AL110" s="1204"/>
      <c r="AM110" s="1204"/>
      <c r="AN110" s="1204"/>
      <c r="AO110" s="1204"/>
      <c r="AP110" s="1204"/>
      <c r="AQ110" s="1204"/>
      <c r="AR110" s="1204"/>
      <c r="AS110" s="1204"/>
      <c r="AT110" s="1204"/>
      <c r="AU110" s="1204"/>
      <c r="AV110" s="1204"/>
      <c r="AW110" s="1204"/>
    </row>
    <row r="111" spans="1:49">
      <c r="A111" s="1203" t="s">
        <v>530</v>
      </c>
      <c r="B111" s="1204"/>
      <c r="C111" s="1204"/>
      <c r="D111" s="1204"/>
      <c r="E111" s="1204"/>
      <c r="F111" s="1204"/>
      <c r="G111" s="1204"/>
      <c r="H111" s="1204"/>
      <c r="I111" s="1204"/>
      <c r="J111" s="1204"/>
      <c r="W111" s="1204"/>
      <c r="X111" s="1204"/>
      <c r="Y111" s="1204"/>
      <c r="Z111" s="1204"/>
      <c r="AA111" s="1204"/>
      <c r="AB111" s="1204"/>
      <c r="AC111" s="1204"/>
      <c r="AD111" s="1204"/>
      <c r="AE111" s="1204"/>
      <c r="AF111" s="1204"/>
      <c r="AG111" s="1204"/>
      <c r="AH111" s="1204"/>
      <c r="AI111" s="1204"/>
      <c r="AJ111" s="1204"/>
      <c r="AK111" s="1204"/>
      <c r="AL111" s="1204"/>
      <c r="AM111" s="1204"/>
      <c r="AN111" s="1204"/>
      <c r="AO111" s="1204"/>
      <c r="AP111" s="1204"/>
      <c r="AQ111" s="1204"/>
      <c r="AR111" s="1204"/>
      <c r="AS111" s="1204"/>
      <c r="AT111" s="1204"/>
      <c r="AU111" s="1204"/>
      <c r="AV111" s="1204"/>
      <c r="AW111" s="1204"/>
    </row>
    <row r="112" spans="1:49">
      <c r="A112" s="1203" t="s">
        <v>531</v>
      </c>
      <c r="B112" s="1204"/>
      <c r="C112" s="1204"/>
      <c r="D112" s="1204"/>
      <c r="E112" s="1204"/>
      <c r="F112" s="1204"/>
      <c r="G112" s="1204"/>
      <c r="H112" s="1204"/>
      <c r="I112" s="1204"/>
      <c r="J112" s="1204"/>
      <c r="W112" s="1204"/>
      <c r="X112" s="1204"/>
      <c r="Y112" s="1204"/>
      <c r="Z112" s="1204"/>
      <c r="AA112" s="1204"/>
      <c r="AB112" s="1204"/>
      <c r="AC112" s="1204"/>
      <c r="AD112" s="1204"/>
      <c r="AE112" s="1204"/>
      <c r="AF112" s="1204"/>
      <c r="AG112" s="1204"/>
      <c r="AH112" s="1204"/>
      <c r="AI112" s="1204"/>
      <c r="AJ112" s="1204"/>
      <c r="AK112" s="1204"/>
      <c r="AL112" s="1204"/>
      <c r="AM112" s="1204"/>
      <c r="AN112" s="1204"/>
      <c r="AO112" s="1204"/>
      <c r="AP112" s="1204"/>
      <c r="AQ112" s="1204"/>
      <c r="AR112" s="1204"/>
      <c r="AS112" s="1204"/>
      <c r="AT112" s="1204"/>
      <c r="AU112" s="1204"/>
      <c r="AV112" s="1204"/>
      <c r="AW112" s="1204"/>
    </row>
    <row r="113" spans="1:49">
      <c r="A113" s="1203" t="s">
        <v>532</v>
      </c>
      <c r="B113" s="1204">
        <v>213.40450000000001</v>
      </c>
      <c r="C113" s="1204">
        <v>207.30799999999999</v>
      </c>
      <c r="D113" s="1204">
        <v>295.72800000000001</v>
      </c>
      <c r="E113" s="1204">
        <v>286.25099999999998</v>
      </c>
      <c r="F113" s="1204">
        <v>316.041</v>
      </c>
      <c r="G113" s="1204">
        <v>387.32600000000002</v>
      </c>
      <c r="H113" s="1204">
        <v>464.21600000000001</v>
      </c>
      <c r="I113" s="1204">
        <v>622.67899999999997</v>
      </c>
      <c r="J113" s="1204"/>
      <c r="W113" s="1204"/>
      <c r="X113" s="1204"/>
      <c r="Y113" s="1204">
        <v>295.72800000000001</v>
      </c>
      <c r="Z113" s="1204">
        <v>284.65300000000002</v>
      </c>
      <c r="AA113" s="1204">
        <v>308.32799999999997</v>
      </c>
      <c r="AB113" s="1204">
        <v>289.95400000000001</v>
      </c>
      <c r="AC113" s="1204">
        <v>286.25099999999998</v>
      </c>
      <c r="AD113" s="1204">
        <v>294.375</v>
      </c>
      <c r="AE113" s="1204">
        <v>319.089</v>
      </c>
      <c r="AF113" s="1204">
        <v>315.36399999999998</v>
      </c>
      <c r="AG113" s="1204">
        <v>316.041</v>
      </c>
      <c r="AH113" s="1204">
        <v>340.88900000000001</v>
      </c>
      <c r="AI113" s="1204">
        <v>365.33199999999999</v>
      </c>
      <c r="AJ113" s="1204">
        <v>398.98700000000002</v>
      </c>
      <c r="AK113" s="1204">
        <v>387.32600000000002</v>
      </c>
      <c r="AL113" s="1204">
        <v>386.18</v>
      </c>
      <c r="AM113" s="1204">
        <v>404.26499999999999</v>
      </c>
      <c r="AN113" s="1204">
        <v>459.29899999999998</v>
      </c>
      <c r="AO113" s="1204">
        <v>464.21600000000001</v>
      </c>
      <c r="AP113" s="1204">
        <v>503.80099999999999</v>
      </c>
      <c r="AQ113" s="1204">
        <v>577.17899999999997</v>
      </c>
      <c r="AR113" s="1204">
        <v>625.28300000000002</v>
      </c>
      <c r="AS113" s="1204">
        <v>622.67899999999997</v>
      </c>
      <c r="AT113" s="1204">
        <v>699.82</v>
      </c>
      <c r="AU113" s="1204">
        <v>697.02099999999996</v>
      </c>
      <c r="AV113" s="1204">
        <v>697.96400000000006</v>
      </c>
      <c r="AW113" s="1204">
        <v>593.00900000000001</v>
      </c>
    </row>
    <row r="114" spans="1:49">
      <c r="A114" s="1205" t="s">
        <v>533</v>
      </c>
      <c r="B114" s="1204">
        <v>78.278130000000004</v>
      </c>
      <c r="C114" s="1204">
        <v>52.805</v>
      </c>
      <c r="D114" s="1204">
        <v>46.985999999999997</v>
      </c>
      <c r="E114" s="1204">
        <v>43.945</v>
      </c>
      <c r="F114" s="1204">
        <v>40.628</v>
      </c>
      <c r="G114" s="1204">
        <v>40.183999999999997</v>
      </c>
      <c r="H114" s="1204">
        <v>27.649000000000001</v>
      </c>
      <c r="I114" s="1204">
        <v>34.371000000000002</v>
      </c>
      <c r="J114" s="1204"/>
      <c r="W114" s="1204"/>
      <c r="X114" s="1204"/>
      <c r="Y114" s="1204">
        <v>46.985999999999997</v>
      </c>
      <c r="Z114" s="1204">
        <v>51.061</v>
      </c>
      <c r="AA114" s="1204">
        <v>57.231000000000002</v>
      </c>
      <c r="AB114" s="1204">
        <v>48.383000000000003</v>
      </c>
      <c r="AC114" s="1204">
        <v>43.945</v>
      </c>
      <c r="AD114" s="1204">
        <v>43.180999999999997</v>
      </c>
      <c r="AE114" s="1204">
        <v>42.261000000000003</v>
      </c>
      <c r="AF114" s="1204">
        <v>43.735999999999997</v>
      </c>
      <c r="AG114" s="1204">
        <v>40.628</v>
      </c>
      <c r="AH114" s="1204">
        <v>38.969000000000001</v>
      </c>
      <c r="AI114" s="1204">
        <v>37.506999999999998</v>
      </c>
      <c r="AJ114" s="1204">
        <v>47.518000000000001</v>
      </c>
      <c r="AK114" s="1204">
        <v>40.183999999999997</v>
      </c>
      <c r="AL114" s="1204">
        <v>79.319999999999993</v>
      </c>
      <c r="AM114" s="1204">
        <v>51.493000000000002</v>
      </c>
      <c r="AN114" s="1204">
        <v>35.878</v>
      </c>
      <c r="AO114" s="1204">
        <v>27.649000000000001</v>
      </c>
      <c r="AP114" s="1204">
        <v>57.889000000000003</v>
      </c>
      <c r="AQ114" s="1204">
        <v>53.061</v>
      </c>
      <c r="AR114" s="1204">
        <v>37.545000000000002</v>
      </c>
      <c r="AS114" s="1204">
        <v>34.371000000000002</v>
      </c>
      <c r="AT114" s="1204">
        <v>56.881</v>
      </c>
      <c r="AU114" s="1204">
        <v>46.753999999999998</v>
      </c>
      <c r="AV114" s="1204">
        <v>40.255000000000003</v>
      </c>
      <c r="AW114" s="1204">
        <v>28.161000000000001</v>
      </c>
    </row>
    <row r="115" spans="1:49">
      <c r="A115" s="1205" t="s">
        <v>534</v>
      </c>
      <c r="B115" s="1204">
        <v>161.35025999999999</v>
      </c>
      <c r="C115" s="1204">
        <v>136.90700000000001</v>
      </c>
      <c r="D115" s="1204">
        <v>217.60300000000001</v>
      </c>
      <c r="E115" s="1204">
        <v>147.625</v>
      </c>
      <c r="F115" s="1204">
        <v>238.05099999999999</v>
      </c>
      <c r="G115" s="1204">
        <v>302.416</v>
      </c>
      <c r="H115" s="1204">
        <v>337.69900000000001</v>
      </c>
      <c r="I115" s="1204">
        <v>336.04300000000001</v>
      </c>
      <c r="J115" s="1204"/>
      <c r="W115" s="1204"/>
      <c r="X115" s="1204"/>
      <c r="Y115" s="1204">
        <v>217.60300000000001</v>
      </c>
      <c r="Z115" s="1204">
        <v>185.03100000000001</v>
      </c>
      <c r="AA115" s="1204">
        <v>214.43</v>
      </c>
      <c r="AB115" s="1204">
        <v>195.81299999999999</v>
      </c>
      <c r="AC115" s="1204">
        <v>147.625</v>
      </c>
      <c r="AD115" s="1204">
        <v>120.33799999999999</v>
      </c>
      <c r="AE115" s="1204">
        <v>181.57300000000001</v>
      </c>
      <c r="AF115" s="1204">
        <v>159.11799999999999</v>
      </c>
      <c r="AG115" s="1204">
        <v>238.05099999999999</v>
      </c>
      <c r="AH115" s="1204">
        <v>229.5</v>
      </c>
      <c r="AI115" s="1204">
        <v>105.791</v>
      </c>
      <c r="AJ115" s="1204">
        <v>88.685000000000002</v>
      </c>
      <c r="AK115" s="1204">
        <v>302.416</v>
      </c>
      <c r="AL115" s="1204">
        <v>232.995</v>
      </c>
      <c r="AM115" s="1204">
        <v>228.381</v>
      </c>
      <c r="AN115" s="1204">
        <v>493.03100000000001</v>
      </c>
      <c r="AO115" s="1204">
        <v>337.69900000000001</v>
      </c>
      <c r="AP115" s="1204">
        <v>280.77100000000002</v>
      </c>
      <c r="AQ115" s="1204">
        <v>344.1</v>
      </c>
      <c r="AR115" s="1204">
        <v>339.596</v>
      </c>
      <c r="AS115" s="1204">
        <v>336.04300000000001</v>
      </c>
      <c r="AT115" s="1204">
        <v>311.55</v>
      </c>
      <c r="AU115" s="1204">
        <v>349.97399999999999</v>
      </c>
      <c r="AV115" s="1204">
        <v>586.08600000000001</v>
      </c>
      <c r="AW115" s="1204">
        <v>592.29</v>
      </c>
    </row>
    <row r="116" spans="1:49">
      <c r="A116" s="1203" t="s">
        <v>535</v>
      </c>
      <c r="B116" s="1204">
        <v>3.6384300000000001</v>
      </c>
      <c r="C116" s="1204"/>
      <c r="D116" s="1204"/>
      <c r="E116" s="1204"/>
      <c r="F116" s="1204"/>
      <c r="G116" s="1204"/>
      <c r="H116" s="1204"/>
      <c r="I116" s="1204"/>
      <c r="J116" s="1204"/>
      <c r="W116" s="1204"/>
      <c r="X116" s="1204"/>
      <c r="Y116" s="1204"/>
      <c r="Z116" s="1204"/>
      <c r="AA116" s="1204"/>
      <c r="AB116" s="1204"/>
      <c r="AC116" s="1204"/>
      <c r="AD116" s="1204"/>
      <c r="AE116" s="1204"/>
      <c r="AF116" s="1204"/>
      <c r="AG116" s="1204"/>
      <c r="AH116" s="1204"/>
      <c r="AI116" s="1204"/>
      <c r="AJ116" s="1204"/>
      <c r="AK116" s="1204"/>
      <c r="AL116" s="1204"/>
      <c r="AM116" s="1204"/>
      <c r="AN116" s="1204"/>
      <c r="AO116" s="1204"/>
      <c r="AP116" s="1204"/>
      <c r="AQ116" s="1204"/>
      <c r="AR116" s="1204"/>
      <c r="AS116" s="1204"/>
      <c r="AT116" s="1204"/>
      <c r="AU116" s="1204"/>
      <c r="AV116" s="1204"/>
      <c r="AW116" s="1204"/>
    </row>
    <row r="117" spans="1:49">
      <c r="A117" s="1203" t="s">
        <v>536</v>
      </c>
      <c r="B117" s="1204">
        <v>0</v>
      </c>
      <c r="C117" s="1204">
        <v>0</v>
      </c>
      <c r="D117" s="1204">
        <v>4.2389999999999999</v>
      </c>
      <c r="E117" s="1204">
        <v>3.2650000000000001</v>
      </c>
      <c r="F117" s="1204">
        <v>4.3999999999999997E-2</v>
      </c>
      <c r="G117" s="1204">
        <v>72.197000000000003</v>
      </c>
      <c r="H117" s="1204">
        <v>50.813000000000002</v>
      </c>
      <c r="I117" s="1204">
        <v>37.470999999999997</v>
      </c>
      <c r="J117" s="1204"/>
      <c r="W117" s="1204"/>
      <c r="X117" s="1204"/>
      <c r="Y117" s="1204">
        <v>4.2389999999999999</v>
      </c>
      <c r="Z117" s="1204">
        <v>1.4279999999999999</v>
      </c>
      <c r="AA117" s="1204">
        <v>0.92200000000000004</v>
      </c>
      <c r="AB117" s="1204">
        <v>0.21</v>
      </c>
      <c r="AC117" s="1204">
        <v>3.2650000000000001</v>
      </c>
      <c r="AD117" s="1204">
        <v>2.3610000000000002</v>
      </c>
      <c r="AE117" s="1204">
        <v>1.5429999999999999</v>
      </c>
      <c r="AF117" s="1204">
        <v>0.57799999999999996</v>
      </c>
      <c r="AG117" s="1204">
        <v>4.3999999999999997E-2</v>
      </c>
      <c r="AH117" s="1204">
        <v>0</v>
      </c>
      <c r="AI117" s="1204"/>
      <c r="AJ117" s="1204">
        <v>111.374</v>
      </c>
      <c r="AK117" s="1204">
        <v>72.197000000000003</v>
      </c>
      <c r="AL117" s="1204">
        <v>69.853999999999999</v>
      </c>
      <c r="AM117" s="1204">
        <v>57.332999999999998</v>
      </c>
      <c r="AN117" s="1204">
        <v>53.378999999999998</v>
      </c>
      <c r="AO117" s="1204">
        <v>50.813000000000002</v>
      </c>
      <c r="AP117" s="1204">
        <v>45.420999999999999</v>
      </c>
      <c r="AQ117" s="1204">
        <v>49.654000000000003</v>
      </c>
      <c r="AR117" s="1204">
        <v>38.942</v>
      </c>
      <c r="AS117" s="1204">
        <v>37.470999999999997</v>
      </c>
      <c r="AT117" s="1204">
        <v>26.704000000000001</v>
      </c>
      <c r="AU117" s="1204">
        <v>18.545999999999999</v>
      </c>
      <c r="AV117" s="1204">
        <v>12.912000000000001</v>
      </c>
      <c r="AW117" s="1204">
        <v>270.80700000000002</v>
      </c>
    </row>
    <row r="118" spans="1:49">
      <c r="A118" s="1203" t="s">
        <v>537</v>
      </c>
      <c r="B118" s="1204"/>
      <c r="C118" s="1204"/>
      <c r="D118" s="1204"/>
      <c r="E118" s="1204"/>
      <c r="F118" s="1204"/>
      <c r="G118" s="1204"/>
      <c r="H118" s="1204"/>
      <c r="I118" s="1204"/>
      <c r="J118" s="1204"/>
      <c r="W118" s="1204"/>
      <c r="X118" s="1204"/>
      <c r="Y118" s="1204"/>
      <c r="Z118" s="1204"/>
      <c r="AA118" s="1204">
        <v>0.03</v>
      </c>
      <c r="AB118" s="1204"/>
      <c r="AC118" s="1204"/>
      <c r="AD118" s="1204"/>
      <c r="AE118" s="1204"/>
      <c r="AF118" s="1204"/>
      <c r="AG118" s="1204"/>
      <c r="AH118" s="1204"/>
      <c r="AI118" s="1204"/>
      <c r="AJ118" s="1204"/>
      <c r="AK118" s="1204"/>
      <c r="AL118" s="1204"/>
      <c r="AM118" s="1204"/>
      <c r="AN118" s="1204"/>
      <c r="AO118" s="1204"/>
      <c r="AP118" s="1204"/>
      <c r="AQ118" s="1204"/>
      <c r="AR118" s="1204"/>
      <c r="AS118" s="1204"/>
      <c r="AT118" s="1204"/>
      <c r="AU118" s="1204">
        <v>8.9309999999999992</v>
      </c>
      <c r="AV118" s="1204">
        <v>4.8339999999999996</v>
      </c>
      <c r="AW118" s="1204">
        <v>2.5830000000000002</v>
      </c>
    </row>
    <row r="119" spans="1:49">
      <c r="A119" s="1203" t="s">
        <v>538</v>
      </c>
      <c r="B119" s="1204">
        <v>164.98867999999999</v>
      </c>
      <c r="C119" s="1204">
        <v>136.90700000000001</v>
      </c>
      <c r="D119" s="1204">
        <v>221.84200000000001</v>
      </c>
      <c r="E119" s="1204">
        <v>150.88999999999999</v>
      </c>
      <c r="F119" s="1204">
        <v>238.095</v>
      </c>
      <c r="G119" s="1204">
        <v>374.613</v>
      </c>
      <c r="H119" s="1204">
        <v>388.512</v>
      </c>
      <c r="I119" s="1204">
        <v>373.51400000000001</v>
      </c>
      <c r="J119" s="1204"/>
      <c r="W119" s="1204"/>
      <c r="X119" s="1204"/>
      <c r="Y119" s="1204">
        <v>221.84200000000001</v>
      </c>
      <c r="Z119" s="1204">
        <v>186.459</v>
      </c>
      <c r="AA119" s="1204">
        <v>215.38200000000001</v>
      </c>
      <c r="AB119" s="1204">
        <v>196.023</v>
      </c>
      <c r="AC119" s="1204">
        <v>150.88999999999999</v>
      </c>
      <c r="AD119" s="1204">
        <v>122.699</v>
      </c>
      <c r="AE119" s="1204">
        <v>183.11600000000001</v>
      </c>
      <c r="AF119" s="1204">
        <v>159.696</v>
      </c>
      <c r="AG119" s="1204">
        <v>238.095</v>
      </c>
      <c r="AH119" s="1204">
        <v>229.5</v>
      </c>
      <c r="AI119" s="1204">
        <v>105.791</v>
      </c>
      <c r="AJ119" s="1204">
        <v>200.059</v>
      </c>
      <c r="AK119" s="1204">
        <v>374.613</v>
      </c>
      <c r="AL119" s="1204">
        <v>302.84899999999999</v>
      </c>
      <c r="AM119" s="1204">
        <v>285.714</v>
      </c>
      <c r="AN119" s="1204">
        <v>546.41</v>
      </c>
      <c r="AO119" s="1204">
        <v>388.512</v>
      </c>
      <c r="AP119" s="1204">
        <v>326.19200000000001</v>
      </c>
      <c r="AQ119" s="1204">
        <v>393.75400000000002</v>
      </c>
      <c r="AR119" s="1204">
        <v>378.53800000000001</v>
      </c>
      <c r="AS119" s="1204">
        <v>373.51400000000001</v>
      </c>
      <c r="AT119" s="1204">
        <v>338.25400000000002</v>
      </c>
      <c r="AU119" s="1204">
        <v>377.45100000000002</v>
      </c>
      <c r="AV119" s="1204">
        <v>603.83199999999999</v>
      </c>
      <c r="AW119" s="1204">
        <v>865.68</v>
      </c>
    </row>
    <row r="120" spans="1:49">
      <c r="A120" s="1205" t="s">
        <v>539</v>
      </c>
      <c r="B120" s="1204">
        <v>1179.10249</v>
      </c>
      <c r="C120" s="1204">
        <v>861.51300000000003</v>
      </c>
      <c r="D120" s="1204">
        <v>1269.9870000000001</v>
      </c>
      <c r="E120" s="1204">
        <v>1563.241</v>
      </c>
      <c r="F120" s="1204">
        <v>2298.259</v>
      </c>
      <c r="G120" s="1204">
        <v>2590.0500000000002</v>
      </c>
      <c r="H120" s="1204">
        <v>3683.7530000000002</v>
      </c>
      <c r="I120" s="1204">
        <v>4168.9840000000004</v>
      </c>
      <c r="J120" s="1204"/>
      <c r="W120" s="1204"/>
      <c r="X120" s="1204"/>
      <c r="Y120" s="1204">
        <v>1269.9870000000001</v>
      </c>
      <c r="Z120" s="1204">
        <v>1171.6369999999999</v>
      </c>
      <c r="AA120" s="1204">
        <v>1319.173</v>
      </c>
      <c r="AB120" s="1204">
        <v>1406.549</v>
      </c>
      <c r="AC120" s="1204">
        <v>1563.241</v>
      </c>
      <c r="AD120" s="1204">
        <v>1437.749</v>
      </c>
      <c r="AE120" s="1204">
        <v>1934.98</v>
      </c>
      <c r="AF120" s="1204">
        <v>1708.7380000000001</v>
      </c>
      <c r="AG120" s="1204">
        <v>2298.259</v>
      </c>
      <c r="AH120" s="1204">
        <v>2052.1660000000002</v>
      </c>
      <c r="AI120" s="1204">
        <v>2333.3560000000002</v>
      </c>
      <c r="AJ120" s="1204">
        <v>2316.5500000000002</v>
      </c>
      <c r="AK120" s="1204">
        <v>2590.0500000000002</v>
      </c>
      <c r="AL120" s="1204">
        <v>2492.4650000000001</v>
      </c>
      <c r="AM120" s="1204">
        <v>3289.27</v>
      </c>
      <c r="AN120" s="1204">
        <v>3571.5610000000001</v>
      </c>
      <c r="AO120" s="1204">
        <v>3683.7530000000002</v>
      </c>
      <c r="AP120" s="1204">
        <v>3702.23</v>
      </c>
      <c r="AQ120" s="1204">
        <v>3139.0250000000001</v>
      </c>
      <c r="AR120" s="1204">
        <v>3377.6219999999998</v>
      </c>
      <c r="AS120" s="1204">
        <v>4168.9840000000004</v>
      </c>
      <c r="AT120" s="1204">
        <v>4175.9520000000002</v>
      </c>
      <c r="AU120" s="1204">
        <v>4751.0209999999997</v>
      </c>
      <c r="AV120" s="1204">
        <v>5221.165</v>
      </c>
      <c r="AW120" s="1204">
        <v>6149.5910000000003</v>
      </c>
    </row>
    <row r="121" spans="1:49">
      <c r="A121" s="1206" t="s">
        <v>540</v>
      </c>
      <c r="B121" s="1204">
        <v>311.71726000000001</v>
      </c>
      <c r="C121" s="1204">
        <v>319.89100000000002</v>
      </c>
      <c r="D121" s="1204">
        <v>335.54199999999997</v>
      </c>
      <c r="E121" s="1204">
        <v>319.08300000000003</v>
      </c>
      <c r="F121" s="1204">
        <v>325.34399999999999</v>
      </c>
      <c r="G121" s="1204">
        <v>588.82000000000005</v>
      </c>
      <c r="H121" s="1204">
        <v>724.96699999999998</v>
      </c>
      <c r="I121" s="1204">
        <v>870.56700000000001</v>
      </c>
      <c r="J121" s="1204"/>
      <c r="W121" s="1204"/>
      <c r="X121" s="1204"/>
      <c r="Y121" s="1204"/>
      <c r="Z121" s="1204"/>
      <c r="AA121" s="1204"/>
      <c r="AB121" s="1204"/>
      <c r="AC121" s="1204"/>
      <c r="AD121" s="1204"/>
      <c r="AE121" s="1204"/>
      <c r="AF121" s="1204"/>
      <c r="AG121" s="1204"/>
      <c r="AH121" s="1204"/>
      <c r="AI121" s="1204"/>
      <c r="AJ121" s="1204"/>
      <c r="AK121" s="1204"/>
      <c r="AL121" s="1204"/>
      <c r="AM121" s="1204"/>
      <c r="AN121" s="1204"/>
      <c r="AO121" s="1204"/>
      <c r="AP121" s="1204"/>
      <c r="AQ121" s="1204"/>
      <c r="AR121" s="1204"/>
      <c r="AS121" s="1204"/>
      <c r="AT121" s="1204"/>
      <c r="AU121" s="1204"/>
      <c r="AV121" s="1204"/>
      <c r="AW121" s="1204"/>
    </row>
    <row r="122" spans="1:49">
      <c r="A122" s="1203" t="s">
        <v>541</v>
      </c>
      <c r="B122" s="1204"/>
      <c r="C122" s="1204"/>
      <c r="D122" s="1204"/>
      <c r="E122" s="1204"/>
      <c r="F122" s="1204"/>
      <c r="G122" s="1204"/>
      <c r="H122" s="1204">
        <v>2.4849999999999999</v>
      </c>
      <c r="I122" s="1204">
        <v>2.4849999999999999</v>
      </c>
      <c r="J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row>
    <row r="123" spans="1:49">
      <c r="A123" s="1203" t="s">
        <v>542</v>
      </c>
      <c r="B123" s="1204">
        <v>6152.8457900000003</v>
      </c>
      <c r="C123" s="1204">
        <v>7003.7139999999999</v>
      </c>
      <c r="D123" s="1204">
        <v>7577.375</v>
      </c>
      <c r="E123" s="1204">
        <v>8129.3739999999998</v>
      </c>
      <c r="F123" s="1204">
        <v>8472.1859999999997</v>
      </c>
      <c r="G123" s="1204">
        <v>9404.4560000000001</v>
      </c>
      <c r="H123" s="1204">
        <v>11523.217000000001</v>
      </c>
      <c r="I123" s="1204">
        <v>12452.099</v>
      </c>
      <c r="J123" s="1204"/>
      <c r="W123" s="1204"/>
      <c r="X123" s="1204"/>
      <c r="Y123" s="1204"/>
      <c r="Z123" s="1204"/>
      <c r="AA123" s="1204"/>
      <c r="AB123" s="1204"/>
      <c r="AC123" s="1204"/>
      <c r="AD123" s="1204"/>
      <c r="AE123" s="1204"/>
      <c r="AF123" s="1204"/>
      <c r="AG123" s="1204"/>
      <c r="AH123" s="1204"/>
      <c r="AI123" s="1204"/>
      <c r="AJ123" s="1204"/>
      <c r="AK123" s="1204"/>
      <c r="AL123" s="1204"/>
      <c r="AM123" s="1204"/>
      <c r="AN123" s="1204"/>
      <c r="AO123" s="1204"/>
      <c r="AP123" s="1204"/>
      <c r="AQ123" s="1204"/>
      <c r="AR123" s="1204"/>
      <c r="AS123" s="1204"/>
      <c r="AT123" s="1204"/>
      <c r="AU123" s="1204"/>
      <c r="AV123" s="1204"/>
      <c r="AW123" s="1204"/>
    </row>
    <row r="124" spans="1:49">
      <c r="A124" s="1203" t="s">
        <v>543</v>
      </c>
      <c r="B124" s="1204">
        <v>711.97892000000002</v>
      </c>
      <c r="C124" s="1204">
        <v>624.64800000000002</v>
      </c>
      <c r="D124" s="1204">
        <v>410.06700000000001</v>
      </c>
      <c r="E124" s="1204">
        <v>500.91</v>
      </c>
      <c r="F124" s="1204">
        <v>1088.08</v>
      </c>
      <c r="G124" s="1204">
        <v>1206.8309999999999</v>
      </c>
      <c r="H124" s="1204">
        <v>1333.0139999999999</v>
      </c>
      <c r="I124" s="1204">
        <v>1851.6030000000001</v>
      </c>
      <c r="J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row>
    <row r="125" spans="1:49">
      <c r="A125" s="1203" t="s">
        <v>544</v>
      </c>
      <c r="B125" s="1204"/>
      <c r="C125" s="1204"/>
      <c r="D125" s="1204"/>
      <c r="E125" s="1204"/>
      <c r="F125" s="1204"/>
      <c r="G125" s="1204"/>
      <c r="H125" s="1204"/>
      <c r="I125" s="1204"/>
      <c r="J125" s="1204"/>
      <c r="W125" s="1204"/>
      <c r="X125" s="1204"/>
      <c r="Y125" s="1204"/>
      <c r="Z125" s="1204"/>
      <c r="AA125" s="1204"/>
      <c r="AB125" s="1204"/>
      <c r="AC125" s="1204"/>
      <c r="AD125" s="1204"/>
      <c r="AE125" s="1204"/>
      <c r="AF125" s="1204"/>
      <c r="AG125" s="1204"/>
      <c r="AH125" s="1204"/>
      <c r="AI125" s="1204"/>
      <c r="AJ125" s="1204"/>
      <c r="AK125" s="1204"/>
      <c r="AL125" s="1204"/>
      <c r="AM125" s="1204"/>
      <c r="AN125" s="1204"/>
      <c r="AO125" s="1204"/>
      <c r="AP125" s="1204"/>
      <c r="AQ125" s="1204"/>
      <c r="AR125" s="1204"/>
      <c r="AS125" s="1204"/>
      <c r="AT125" s="1204"/>
      <c r="AU125" s="1204"/>
      <c r="AV125" s="1204"/>
      <c r="AW125" s="1204"/>
    </row>
    <row r="126" spans="1:49">
      <c r="A126" s="1203" t="s">
        <v>545</v>
      </c>
      <c r="B126" s="1204"/>
      <c r="C126" s="1204"/>
      <c r="D126" s="1204"/>
      <c r="E126" s="1204"/>
      <c r="F126" s="1204"/>
      <c r="G126" s="1204"/>
      <c r="H126" s="1204"/>
      <c r="I126" s="1204"/>
      <c r="J126" s="1204"/>
      <c r="N126" s="1201" t="s">
        <v>855</v>
      </c>
      <c r="O126" s="1201" t="s">
        <v>856</v>
      </c>
      <c r="W126" s="1204"/>
      <c r="X126" s="1204"/>
      <c r="Y126" s="1204"/>
      <c r="Z126" s="1204"/>
      <c r="AA126" s="1204"/>
      <c r="AB126" s="1204"/>
      <c r="AC126" s="1204"/>
      <c r="AD126" s="1204"/>
      <c r="AE126" s="1204"/>
      <c r="AF126" s="1204"/>
      <c r="AG126" s="1204"/>
      <c r="AH126" s="1204"/>
      <c r="AI126" s="1204"/>
      <c r="AJ126" s="1204"/>
      <c r="AK126" s="1204"/>
      <c r="AL126" s="1204"/>
      <c r="AM126" s="1204"/>
      <c r="AN126" s="1204"/>
      <c r="AO126" s="1204"/>
      <c r="AP126" s="1204"/>
      <c r="AQ126" s="1204"/>
      <c r="AR126" s="1204"/>
      <c r="AS126" s="1204"/>
      <c r="AT126" s="1204"/>
      <c r="AU126" s="1204"/>
      <c r="AV126" s="1204"/>
      <c r="AW126" s="1204"/>
    </row>
    <row r="127" spans="1:49">
      <c r="A127" s="1203" t="s">
        <v>546</v>
      </c>
      <c r="B127" s="1204">
        <v>78.075569999999999</v>
      </c>
      <c r="C127" s="1204">
        <v>86.537000000000006</v>
      </c>
      <c r="D127" s="1204">
        <v>103.95399999999999</v>
      </c>
      <c r="E127" s="1204">
        <v>108.03100000000001</v>
      </c>
      <c r="F127" s="1204">
        <v>120.072</v>
      </c>
      <c r="G127" s="1204">
        <v>134.858</v>
      </c>
      <c r="H127" s="1204">
        <v>167.55799999999999</v>
      </c>
      <c r="I127" s="1204">
        <v>195.32499999999999</v>
      </c>
      <c r="J127" s="1204"/>
      <c r="W127" s="1204"/>
      <c r="X127" s="1204"/>
      <c r="Y127" s="1204"/>
      <c r="Z127" s="1204"/>
      <c r="AA127" s="1204"/>
      <c r="AB127" s="1204"/>
      <c r="AC127" s="1204"/>
      <c r="AD127" s="1204"/>
      <c r="AE127" s="1204"/>
      <c r="AF127" s="1204"/>
      <c r="AG127" s="1204"/>
      <c r="AH127" s="1204"/>
      <c r="AI127" s="1204"/>
      <c r="AJ127" s="1204"/>
      <c r="AK127" s="1204"/>
      <c r="AL127" s="1204"/>
      <c r="AM127" s="1204"/>
      <c r="AN127" s="1204"/>
      <c r="AO127" s="1204"/>
      <c r="AP127" s="1204"/>
      <c r="AQ127" s="1204"/>
      <c r="AR127" s="1204"/>
      <c r="AS127" s="1204"/>
      <c r="AT127" s="1204"/>
      <c r="AU127" s="1204"/>
      <c r="AV127" s="1204"/>
      <c r="AW127" s="1204"/>
    </row>
    <row r="128" spans="1:49">
      <c r="A128" s="1203" t="s">
        <v>547</v>
      </c>
      <c r="B128" s="1204">
        <v>7254.6175400000002</v>
      </c>
      <c r="C128" s="1204">
        <v>8034.79</v>
      </c>
      <c r="D128" s="1204">
        <v>8426.9380000000001</v>
      </c>
      <c r="E128" s="1204">
        <v>9057.3979999999992</v>
      </c>
      <c r="F128" s="1204">
        <v>10005.682000000001</v>
      </c>
      <c r="G128" s="1204">
        <v>11334.965</v>
      </c>
      <c r="H128" s="1204">
        <v>13751.241</v>
      </c>
      <c r="I128" s="1204">
        <v>15372.079</v>
      </c>
      <c r="J128" s="1204"/>
      <c r="W128" s="1204"/>
      <c r="X128" s="1204"/>
      <c r="Y128" s="1204"/>
      <c r="Z128" s="1204"/>
      <c r="AA128" s="1204"/>
      <c r="AB128" s="1204"/>
      <c r="AC128" s="1204"/>
      <c r="AD128" s="1204"/>
      <c r="AE128" s="1204"/>
      <c r="AF128" s="1204"/>
      <c r="AG128" s="1204"/>
      <c r="AH128" s="1204"/>
      <c r="AI128" s="1204"/>
      <c r="AJ128" s="1204"/>
      <c r="AK128" s="1204"/>
      <c r="AL128" s="1204"/>
      <c r="AM128" s="1204"/>
      <c r="AN128" s="1204"/>
      <c r="AO128" s="1204"/>
      <c r="AP128" s="1204"/>
      <c r="AQ128" s="1204"/>
      <c r="AR128" s="1204"/>
      <c r="AS128" s="1204"/>
      <c r="AT128" s="1204"/>
      <c r="AU128" s="1204"/>
      <c r="AV128" s="1204"/>
      <c r="AW128" s="1204"/>
    </row>
    <row r="129" spans="1:49">
      <c r="A129" s="1205" t="s">
        <v>548</v>
      </c>
      <c r="B129" s="1204">
        <v>-4902.7547599999998</v>
      </c>
      <c r="C129" s="1204">
        <v>-5518.2120000000004</v>
      </c>
      <c r="D129" s="1204">
        <v>-6041.5029999999997</v>
      </c>
      <c r="E129" s="1204">
        <v>-6528.5640000000003</v>
      </c>
      <c r="F129" s="1204">
        <v>-7010.5959999999995</v>
      </c>
      <c r="G129" s="1204">
        <v>-7431.1469999999999</v>
      </c>
      <c r="H129" s="1204">
        <v>-8063.884</v>
      </c>
      <c r="I129" s="1204">
        <v>-8848.6759999999995</v>
      </c>
      <c r="J129" s="1204">
        <f>I129-505.358-216.558-208.335</f>
        <v>-9778.9269999999997</v>
      </c>
      <c r="N129" s="1204">
        <f>J129-I129</f>
        <v>-930.2510000000002</v>
      </c>
      <c r="O129" s="1201">
        <f>Model!I31</f>
        <v>-994.64200000000005</v>
      </c>
      <c r="W129" s="1204"/>
      <c r="X129" s="1204"/>
      <c r="Y129" s="1204"/>
      <c r="Z129" s="1204"/>
      <c r="AA129" s="1204"/>
      <c r="AB129" s="1204"/>
      <c r="AC129" s="1204"/>
      <c r="AD129" s="1204"/>
      <c r="AE129" s="1204"/>
      <c r="AF129" s="1204"/>
      <c r="AG129" s="1204"/>
      <c r="AH129" s="1204"/>
      <c r="AI129" s="1204"/>
      <c r="AJ129" s="1204"/>
      <c r="AK129" s="1204"/>
      <c r="AL129" s="1204"/>
      <c r="AM129" s="1204"/>
      <c r="AN129" s="1204"/>
      <c r="AO129" s="1204"/>
      <c r="AP129" s="1204"/>
      <c r="AQ129" s="1204"/>
      <c r="AR129" s="1204"/>
      <c r="AS129" s="1204"/>
      <c r="AT129" s="1204"/>
      <c r="AU129" s="1204"/>
      <c r="AV129" s="1204"/>
      <c r="AW129" s="1204"/>
    </row>
    <row r="130" spans="1:49">
      <c r="A130" s="1203" t="s">
        <v>549</v>
      </c>
      <c r="B130" s="1204">
        <v>2351.8627900000001</v>
      </c>
      <c r="C130" s="1204">
        <v>2516.578</v>
      </c>
      <c r="D130" s="1204">
        <v>2385.4349999999999</v>
      </c>
      <c r="E130" s="1204">
        <v>2528.8339999999998</v>
      </c>
      <c r="F130" s="1204">
        <v>2995.0859999999998</v>
      </c>
      <c r="G130" s="1204">
        <v>3903.8180000000002</v>
      </c>
      <c r="H130" s="1204">
        <v>5687.357</v>
      </c>
      <c r="I130" s="1204">
        <v>6523.4030000000002</v>
      </c>
      <c r="J130" s="1204"/>
      <c r="W130" s="1204"/>
      <c r="X130" s="1204"/>
      <c r="Y130" s="1204">
        <v>2385.4349999999999</v>
      </c>
      <c r="Z130" s="1204">
        <v>2443.23</v>
      </c>
      <c r="AA130" s="1204">
        <v>2523.893</v>
      </c>
      <c r="AB130" s="1204">
        <v>2558.5630000000001</v>
      </c>
      <c r="AC130" s="1204">
        <v>2528.8339999999998</v>
      </c>
      <c r="AD130" s="1204">
        <v>2500.8449999999998</v>
      </c>
      <c r="AE130" s="1204">
        <v>2515.105</v>
      </c>
      <c r="AF130" s="1204">
        <v>2646.87</v>
      </c>
      <c r="AG130" s="1204">
        <v>2995.0859999999998</v>
      </c>
      <c r="AH130" s="1204">
        <v>3017.1489999999999</v>
      </c>
      <c r="AI130" s="1204">
        <v>3252.9630000000002</v>
      </c>
      <c r="AJ130" s="1204">
        <v>3289.2170000000001</v>
      </c>
      <c r="AK130" s="1204">
        <v>3903.8180000000002</v>
      </c>
      <c r="AL130" s="1204">
        <v>4503.4669999999996</v>
      </c>
      <c r="AM130" s="1204">
        <v>5120.1049999999996</v>
      </c>
      <c r="AN130" s="1204">
        <v>5718.7860000000001</v>
      </c>
      <c r="AO130" s="1204">
        <v>5687.357</v>
      </c>
      <c r="AP130" s="1204">
        <v>5935.18</v>
      </c>
      <c r="AQ130" s="1204">
        <v>6482.5259999999998</v>
      </c>
      <c r="AR130" s="1204">
        <v>6289.7430000000004</v>
      </c>
      <c r="AS130" s="1204">
        <v>6523.4030000000002</v>
      </c>
      <c r="AT130" s="1204">
        <v>6584.9380000000001</v>
      </c>
      <c r="AU130" s="1204">
        <v>6867.74</v>
      </c>
      <c r="AV130" s="1204">
        <v>6835.0039999999999</v>
      </c>
      <c r="AW130" s="1204">
        <v>6777.97</v>
      </c>
    </row>
    <row r="131" spans="1:49">
      <c r="A131" s="1206" t="s">
        <v>550</v>
      </c>
      <c r="B131" s="1204"/>
      <c r="C131" s="1204"/>
      <c r="D131" s="1204"/>
      <c r="E131" s="1204"/>
      <c r="F131" s="1204"/>
      <c r="G131" s="1204"/>
      <c r="H131" s="1204"/>
      <c r="I131" s="1204"/>
      <c r="J131" s="1204"/>
      <c r="W131" s="1204"/>
      <c r="X131" s="1204"/>
      <c r="Y131" s="1204"/>
      <c r="Z131" s="1204"/>
      <c r="AA131" s="1204"/>
      <c r="AB131" s="1204"/>
      <c r="AC131" s="1204"/>
      <c r="AD131" s="1204"/>
      <c r="AE131" s="1204"/>
      <c r="AF131" s="1204"/>
      <c r="AG131" s="1204"/>
      <c r="AH131" s="1204"/>
      <c r="AI131" s="1204"/>
      <c r="AJ131" s="1204"/>
      <c r="AK131" s="1204"/>
      <c r="AL131" s="1204"/>
      <c r="AM131" s="1204"/>
      <c r="AN131" s="1204"/>
      <c r="AO131" s="1204"/>
      <c r="AP131" s="1204"/>
      <c r="AQ131" s="1204"/>
      <c r="AR131" s="1204"/>
      <c r="AS131" s="1204"/>
      <c r="AT131" s="1204"/>
      <c r="AU131" s="1204"/>
      <c r="AV131" s="1204"/>
      <c r="AW131" s="1204"/>
    </row>
    <row r="132" spans="1:49">
      <c r="A132" s="1203" t="s">
        <v>551</v>
      </c>
      <c r="B132" s="1204"/>
      <c r="C132" s="1204"/>
      <c r="D132" s="1204"/>
      <c r="E132" s="1204"/>
      <c r="F132" s="1204"/>
      <c r="G132" s="1204"/>
      <c r="H132" s="1204"/>
      <c r="I132" s="1204"/>
      <c r="J132" s="1204"/>
      <c r="W132" s="1204"/>
      <c r="X132" s="1204"/>
      <c r="Y132" s="1204"/>
      <c r="Z132" s="1204"/>
      <c r="AA132" s="1204"/>
      <c r="AB132" s="1204"/>
      <c r="AC132" s="1204"/>
      <c r="AD132" s="1204"/>
      <c r="AE132" s="1204"/>
      <c r="AF132" s="1204"/>
      <c r="AG132" s="1204"/>
      <c r="AH132" s="1204"/>
      <c r="AI132" s="1204"/>
      <c r="AJ132" s="1204"/>
      <c r="AK132" s="1204"/>
      <c r="AL132" s="1204"/>
      <c r="AM132" s="1204"/>
      <c r="AN132" s="1204"/>
      <c r="AO132" s="1204"/>
      <c r="AP132" s="1204"/>
      <c r="AQ132" s="1204"/>
      <c r="AR132" s="1204"/>
      <c r="AS132" s="1204"/>
      <c r="AT132" s="1204"/>
      <c r="AU132" s="1204"/>
      <c r="AV132" s="1204"/>
      <c r="AW132" s="1204"/>
    </row>
    <row r="133" spans="1:49">
      <c r="A133" s="1203" t="s">
        <v>552</v>
      </c>
      <c r="B133" s="1204"/>
      <c r="C133" s="1204"/>
      <c r="D133" s="1204"/>
      <c r="E133" s="1204"/>
      <c r="F133" s="1204"/>
      <c r="G133" s="1204"/>
      <c r="H133" s="1204"/>
      <c r="I133" s="1204"/>
      <c r="J133" s="1204"/>
      <c r="W133" s="1204"/>
      <c r="X133" s="1204"/>
      <c r="Y133" s="1204"/>
      <c r="Z133" s="1204"/>
      <c r="AA133" s="1204"/>
      <c r="AB133" s="1204"/>
      <c r="AC133" s="1204"/>
      <c r="AD133" s="1204"/>
      <c r="AE133" s="1204"/>
      <c r="AF133" s="1204"/>
      <c r="AG133" s="1204"/>
      <c r="AH133" s="1204"/>
      <c r="AI133" s="1204"/>
      <c r="AJ133" s="1204"/>
      <c r="AK133" s="1204"/>
      <c r="AL133" s="1204"/>
      <c r="AM133" s="1204"/>
      <c r="AN133" s="1204"/>
      <c r="AO133" s="1204"/>
      <c r="AP133" s="1204"/>
      <c r="AQ133" s="1204"/>
      <c r="AR133" s="1204"/>
      <c r="AS133" s="1204"/>
      <c r="AT133" s="1204"/>
      <c r="AU133" s="1204"/>
      <c r="AV133" s="1204"/>
      <c r="AW133" s="1204"/>
    </row>
    <row r="134" spans="1:49">
      <c r="A134" s="1206" t="s">
        <v>553</v>
      </c>
      <c r="B134" s="1204"/>
      <c r="C134" s="1204"/>
      <c r="D134" s="1204"/>
      <c r="E134" s="1204"/>
      <c r="F134" s="1204"/>
      <c r="G134" s="1204"/>
      <c r="H134" s="1204"/>
      <c r="I134" s="1204"/>
      <c r="J134" s="1204"/>
      <c r="W134" s="1204"/>
      <c r="X134" s="1204"/>
      <c r="Y134" s="1204"/>
      <c r="Z134" s="1204"/>
      <c r="AA134" s="1204"/>
      <c r="AB134" s="1204"/>
      <c r="AC134" s="1204"/>
      <c r="AD134" s="1204"/>
      <c r="AE134" s="1204"/>
      <c r="AF134" s="1204"/>
      <c r="AG134" s="1204"/>
      <c r="AH134" s="1204"/>
      <c r="AI134" s="1204"/>
      <c r="AJ134" s="1204"/>
      <c r="AK134" s="1204"/>
      <c r="AL134" s="1204"/>
      <c r="AM134" s="1204"/>
      <c r="AN134" s="1204"/>
      <c r="AO134" s="1204"/>
      <c r="AP134" s="1204"/>
      <c r="AQ134" s="1204"/>
      <c r="AR134" s="1204"/>
      <c r="AS134" s="1204"/>
      <c r="AT134" s="1204"/>
      <c r="AU134" s="1204"/>
      <c r="AV134" s="1204"/>
      <c r="AW134" s="1204"/>
    </row>
    <row r="135" spans="1:49">
      <c r="A135" s="1203" t="s">
        <v>554</v>
      </c>
      <c r="B135" s="1204">
        <v>-62.869599999999998</v>
      </c>
      <c r="C135" s="1204">
        <v>-72.994</v>
      </c>
      <c r="D135" s="1204">
        <v>-106.53100000000001</v>
      </c>
      <c r="E135" s="1204">
        <v>-133.15600000000001</v>
      </c>
      <c r="F135" s="1204">
        <v>-162.899</v>
      </c>
      <c r="G135" s="1204">
        <v>-166.898</v>
      </c>
      <c r="H135" s="1204">
        <v>-201.38900000000001</v>
      </c>
      <c r="I135" s="1204">
        <v>-264.48700000000002</v>
      </c>
      <c r="J135" s="1204">
        <f>I135+(O129-N129)</f>
        <v>-328.87799999999987</v>
      </c>
      <c r="W135" s="1204"/>
      <c r="X135" s="1204"/>
      <c r="Y135" s="1204"/>
      <c r="Z135" s="1204"/>
      <c r="AA135" s="1204"/>
      <c r="AB135" s="1204"/>
      <c r="AC135" s="1204"/>
      <c r="AD135" s="1204"/>
      <c r="AE135" s="1204"/>
      <c r="AF135" s="1204"/>
      <c r="AG135" s="1204"/>
      <c r="AH135" s="1204"/>
      <c r="AI135" s="1204"/>
      <c r="AJ135" s="1204"/>
      <c r="AK135" s="1204"/>
      <c r="AL135" s="1204"/>
      <c r="AM135" s="1204"/>
      <c r="AN135" s="1204"/>
      <c r="AO135" s="1204"/>
      <c r="AP135" s="1204"/>
      <c r="AQ135" s="1204"/>
      <c r="AR135" s="1204"/>
      <c r="AS135" s="1204"/>
      <c r="AT135" s="1204"/>
      <c r="AU135" s="1204"/>
      <c r="AV135" s="1204"/>
      <c r="AW135" s="1204"/>
    </row>
    <row r="136" spans="1:49">
      <c r="A136" s="1203" t="s">
        <v>555</v>
      </c>
      <c r="B136" s="1204">
        <v>173.82085000000001</v>
      </c>
      <c r="C136" s="1204">
        <v>179.279</v>
      </c>
      <c r="D136" s="1204">
        <v>235.37799999999999</v>
      </c>
      <c r="E136" s="1204">
        <v>215.26499999999999</v>
      </c>
      <c r="F136" s="1204">
        <v>207.822</v>
      </c>
      <c r="G136" s="1204">
        <v>224.279</v>
      </c>
      <c r="H136" s="1204">
        <v>248.58099999999999</v>
      </c>
      <c r="I136" s="1204">
        <v>219.94399999999999</v>
      </c>
      <c r="J136" s="1204"/>
      <c r="W136" s="1204"/>
      <c r="X136" s="1204"/>
      <c r="Y136" s="1204">
        <v>235.37799999999999</v>
      </c>
      <c r="Z136" s="1204">
        <v>226.78700000000001</v>
      </c>
      <c r="AA136" s="1204">
        <v>228.898</v>
      </c>
      <c r="AB136" s="1204">
        <v>227.38</v>
      </c>
      <c r="AC136" s="1204">
        <v>215.26499999999999</v>
      </c>
      <c r="AD136" s="1204">
        <v>208.77500000000001</v>
      </c>
      <c r="AE136" s="1204">
        <v>198.952</v>
      </c>
      <c r="AF136" s="1204">
        <v>210.69900000000001</v>
      </c>
      <c r="AG136" s="1204">
        <v>207.822</v>
      </c>
      <c r="AH136" s="1204">
        <v>206.56200000000001</v>
      </c>
      <c r="AI136" s="1204">
        <v>202.488</v>
      </c>
      <c r="AJ136" s="1204">
        <v>232.41499999999999</v>
      </c>
      <c r="AK136" s="1204">
        <v>224.279</v>
      </c>
      <c r="AL136" s="1204">
        <v>216.12700000000001</v>
      </c>
      <c r="AM136" s="1204">
        <v>218.25399999999999</v>
      </c>
      <c r="AN136" s="1204">
        <v>225.10900000000001</v>
      </c>
      <c r="AO136" s="1204">
        <v>248.58099999999999</v>
      </c>
      <c r="AP136" s="1204">
        <v>243.19499999999999</v>
      </c>
      <c r="AQ136" s="1204">
        <v>234.976</v>
      </c>
      <c r="AR136" s="1204">
        <v>228.072</v>
      </c>
      <c r="AS136" s="1204">
        <v>219.94399999999999</v>
      </c>
      <c r="AT136" s="1204">
        <v>208.46600000000001</v>
      </c>
      <c r="AU136" s="1204">
        <v>159.49100000000001</v>
      </c>
      <c r="AV136" s="1204">
        <v>144.44399999999999</v>
      </c>
      <c r="AW136" s="1204">
        <v>122.854</v>
      </c>
    </row>
    <row r="137" spans="1:49">
      <c r="A137" s="1206" t="s">
        <v>556</v>
      </c>
      <c r="B137" s="1204">
        <v>9.8435600000000001</v>
      </c>
      <c r="C137" s="1204">
        <v>15.856</v>
      </c>
      <c r="D137" s="1204">
        <v>21.635999999999999</v>
      </c>
      <c r="E137" s="1204">
        <v>29.2</v>
      </c>
      <c r="F137" s="1204">
        <v>57.631</v>
      </c>
      <c r="G137" s="1204">
        <v>198.977</v>
      </c>
      <c r="H137" s="1204">
        <v>254.495</v>
      </c>
      <c r="I137" s="1204">
        <v>789.92200000000003</v>
      </c>
      <c r="J137" s="1204">
        <f>1135.442+15.687</f>
        <v>1151.1289999999999</v>
      </c>
      <c r="W137" s="1204"/>
      <c r="X137" s="1204"/>
      <c r="Y137" s="1204">
        <v>21.635999999999999</v>
      </c>
      <c r="Z137" s="1204">
        <v>22.19</v>
      </c>
      <c r="AA137" s="1204">
        <v>23.189</v>
      </c>
      <c r="AB137" s="1204">
        <v>23.757999999999999</v>
      </c>
      <c r="AC137" s="1204">
        <v>29.2</v>
      </c>
      <c r="AD137" s="1204">
        <v>29.997</v>
      </c>
      <c r="AE137" s="1204">
        <v>30.82</v>
      </c>
      <c r="AF137" s="1204">
        <v>31.433</v>
      </c>
      <c r="AG137" s="1204">
        <v>57.631</v>
      </c>
      <c r="AH137" s="1204">
        <v>57.52</v>
      </c>
      <c r="AI137" s="1204">
        <v>175.33799999999999</v>
      </c>
      <c r="AJ137" s="1204">
        <v>178.51300000000001</v>
      </c>
      <c r="AK137" s="1204">
        <v>198.977</v>
      </c>
      <c r="AL137" s="1204">
        <v>192.72</v>
      </c>
      <c r="AM137" s="1204">
        <v>248.26499999999999</v>
      </c>
      <c r="AN137" s="1204">
        <v>263.18299999999999</v>
      </c>
      <c r="AO137" s="1204">
        <v>254.495</v>
      </c>
      <c r="AP137" s="1204">
        <v>250.83600000000001</v>
      </c>
      <c r="AQ137" s="1204">
        <v>751.69899999999996</v>
      </c>
      <c r="AR137" s="1204">
        <v>755.947</v>
      </c>
      <c r="AS137" s="1204">
        <v>789.92200000000003</v>
      </c>
      <c r="AT137" s="1204">
        <v>814.06</v>
      </c>
      <c r="AU137" s="1204">
        <v>899.23800000000006</v>
      </c>
      <c r="AV137" s="1204">
        <v>961.16</v>
      </c>
      <c r="AW137" s="1204">
        <v>1151.1289999999999</v>
      </c>
    </row>
    <row r="138" spans="1:49">
      <c r="A138" s="1203" t="s">
        <v>557</v>
      </c>
      <c r="B138" s="1204"/>
      <c r="C138" s="1204"/>
      <c r="D138" s="1204"/>
      <c r="E138" s="1204"/>
      <c r="F138" s="1204"/>
      <c r="G138" s="1204"/>
      <c r="H138" s="1204"/>
      <c r="I138" s="1204">
        <v>17.597999999999999</v>
      </c>
      <c r="J138" s="1204"/>
      <c r="W138" s="1204"/>
      <c r="X138" s="1204"/>
      <c r="Y138" s="1204"/>
      <c r="Z138" s="1204"/>
      <c r="AA138" s="1204"/>
      <c r="AB138" s="1204"/>
      <c r="AC138" s="1204"/>
      <c r="AD138" s="1204"/>
      <c r="AE138" s="1204"/>
      <c r="AF138" s="1204"/>
      <c r="AG138" s="1204"/>
      <c r="AH138" s="1204"/>
      <c r="AI138" s="1204"/>
      <c r="AJ138" s="1204"/>
      <c r="AK138" s="1204"/>
      <c r="AL138" s="1204"/>
      <c r="AM138" s="1204"/>
      <c r="AN138" s="1204"/>
      <c r="AO138" s="1204"/>
      <c r="AP138" s="1204"/>
      <c r="AQ138" s="1204">
        <v>4.12</v>
      </c>
      <c r="AR138" s="1204">
        <v>10.448</v>
      </c>
      <c r="AS138" s="1204">
        <v>17.597999999999999</v>
      </c>
      <c r="AT138" s="1204">
        <v>60.14</v>
      </c>
      <c r="AU138" s="1204">
        <v>36.787999999999997</v>
      </c>
      <c r="AV138" s="1204">
        <v>43.645000000000003</v>
      </c>
      <c r="AW138" s="1204">
        <v>55.472000000000001</v>
      </c>
    </row>
    <row r="139" spans="1:49">
      <c r="A139" s="1203" t="s">
        <v>558</v>
      </c>
      <c r="B139" s="1204">
        <v>9.8435600000000001</v>
      </c>
      <c r="C139" s="1204">
        <v>15.856</v>
      </c>
      <c r="D139" s="1204">
        <v>21.635999999999999</v>
      </c>
      <c r="E139" s="1204">
        <v>29.2</v>
      </c>
      <c r="F139" s="1204">
        <v>57.631</v>
      </c>
      <c r="G139" s="1204">
        <v>198.977</v>
      </c>
      <c r="H139" s="1204">
        <v>254.495</v>
      </c>
      <c r="I139" s="1204">
        <v>807.52</v>
      </c>
      <c r="J139" s="1204"/>
      <c r="W139" s="1204"/>
      <c r="X139" s="1204"/>
      <c r="Y139" s="1204">
        <v>21.635999999999999</v>
      </c>
      <c r="Z139" s="1204">
        <v>22.19</v>
      </c>
      <c r="AA139" s="1204">
        <v>23.189</v>
      </c>
      <c r="AB139" s="1204">
        <v>23.757999999999999</v>
      </c>
      <c r="AC139" s="1204">
        <v>29.2</v>
      </c>
      <c r="AD139" s="1204">
        <v>29.997</v>
      </c>
      <c r="AE139" s="1204">
        <v>30.82</v>
      </c>
      <c r="AF139" s="1204">
        <v>31.433</v>
      </c>
      <c r="AG139" s="1204">
        <v>57.631</v>
      </c>
      <c r="AH139" s="1204">
        <v>57.52</v>
      </c>
      <c r="AI139" s="1204">
        <v>175.33799999999999</v>
      </c>
      <c r="AJ139" s="1204">
        <v>178.51300000000001</v>
      </c>
      <c r="AK139" s="1204">
        <v>198.977</v>
      </c>
      <c r="AL139" s="1204">
        <v>192.72</v>
      </c>
      <c r="AM139" s="1204">
        <v>248.26499999999999</v>
      </c>
      <c r="AN139" s="1204">
        <v>263.18299999999999</v>
      </c>
      <c r="AO139" s="1204">
        <v>254.495</v>
      </c>
      <c r="AP139" s="1204">
        <v>250.83600000000001</v>
      </c>
      <c r="AQ139" s="1204">
        <v>755.81899999999996</v>
      </c>
      <c r="AR139" s="1204">
        <v>766.39499999999998</v>
      </c>
      <c r="AS139" s="1204">
        <v>807.52</v>
      </c>
      <c r="AT139" s="1204">
        <v>874.2</v>
      </c>
      <c r="AU139" s="1204">
        <v>936.02599999999995</v>
      </c>
      <c r="AV139" s="1204">
        <v>1004.8049999999999</v>
      </c>
      <c r="AW139" s="1204">
        <v>1206.6010000000001</v>
      </c>
    </row>
    <row r="140" spans="1:49">
      <c r="A140" s="1206" t="s">
        <v>559</v>
      </c>
      <c r="B140" s="1204"/>
      <c r="C140" s="1204"/>
      <c r="D140" s="1204"/>
      <c r="E140" s="1204"/>
      <c r="F140" s="1204"/>
      <c r="G140" s="1204"/>
      <c r="H140" s="1204"/>
      <c r="I140" s="1204"/>
      <c r="J140" s="1204"/>
      <c r="W140" s="1204"/>
      <c r="X140" s="1204"/>
      <c r="Y140" s="1204"/>
      <c r="Z140" s="1204"/>
      <c r="AA140" s="1204"/>
      <c r="AB140" s="1204"/>
      <c r="AC140" s="1204"/>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row>
    <row r="141" spans="1:49">
      <c r="A141" s="1206" t="s">
        <v>560</v>
      </c>
      <c r="B141" s="1204">
        <v>78.798289999999994</v>
      </c>
      <c r="C141" s="1204">
        <v>77.230999999999995</v>
      </c>
      <c r="D141" s="1204">
        <v>73.962000000000003</v>
      </c>
      <c r="E141" s="1204">
        <v>136.72499999999999</v>
      </c>
      <c r="F141" s="1204">
        <v>135.33099999999999</v>
      </c>
      <c r="G141" s="1204">
        <v>91.03</v>
      </c>
      <c r="H141" s="1204">
        <v>99.266999999999996</v>
      </c>
      <c r="I141" s="1204">
        <v>97.477000000000004</v>
      </c>
      <c r="J141" s="1204"/>
      <c r="W141" s="1204"/>
      <c r="X141" s="1204"/>
      <c r="Y141" s="1204">
        <v>73.962000000000003</v>
      </c>
      <c r="Z141" s="1204">
        <v>73.575999999999993</v>
      </c>
      <c r="AA141" s="1204">
        <v>124.818</v>
      </c>
      <c r="AB141" s="1204">
        <v>123.974</v>
      </c>
      <c r="AC141" s="1204">
        <v>136.72499999999999</v>
      </c>
      <c r="AD141" s="1204">
        <v>137.29599999999999</v>
      </c>
      <c r="AE141" s="1204">
        <v>136.62299999999999</v>
      </c>
      <c r="AF141" s="1204">
        <v>136</v>
      </c>
      <c r="AG141" s="1204">
        <v>135.33099999999999</v>
      </c>
      <c r="AH141" s="1204">
        <v>134.655</v>
      </c>
      <c r="AI141" s="1204">
        <v>143.22</v>
      </c>
      <c r="AJ141" s="1204">
        <v>91.647000000000006</v>
      </c>
      <c r="AK141" s="1204">
        <v>91.03</v>
      </c>
      <c r="AL141" s="1204">
        <v>90.454999999999998</v>
      </c>
      <c r="AM141" s="1204">
        <v>90.680999999999997</v>
      </c>
      <c r="AN141" s="1204">
        <v>90.168999999999997</v>
      </c>
      <c r="AO141" s="1204">
        <v>99.266999999999996</v>
      </c>
      <c r="AP141" s="1204">
        <v>98.977999999999994</v>
      </c>
      <c r="AQ141" s="1204">
        <v>98.603999999999999</v>
      </c>
      <c r="AR141" s="1204">
        <v>98.04</v>
      </c>
      <c r="AS141" s="1204">
        <v>97.477000000000004</v>
      </c>
      <c r="AT141" s="1204">
        <v>92.620999999999995</v>
      </c>
      <c r="AU141" s="1204">
        <v>92.084000000000003</v>
      </c>
      <c r="AV141" s="1204">
        <v>91.548000000000002</v>
      </c>
      <c r="AW141" s="1204">
        <v>105.43600000000001</v>
      </c>
    </row>
    <row r="142" spans="1:49">
      <c r="A142" s="1203" t="s">
        <v>561</v>
      </c>
      <c r="B142" s="1204"/>
      <c r="C142" s="1204"/>
      <c r="D142" s="1204"/>
      <c r="E142" s="1204"/>
      <c r="F142" s="1204"/>
      <c r="G142" s="1204"/>
      <c r="H142" s="1204"/>
      <c r="I142" s="1204"/>
      <c r="J142" s="1204"/>
      <c r="W142" s="1204"/>
      <c r="X142" s="1204"/>
      <c r="Y142" s="1204"/>
      <c r="Z142" s="1204"/>
      <c r="AA142" s="1204"/>
      <c r="AB142" s="1204"/>
      <c r="AC142" s="1204"/>
      <c r="AD142" s="1204"/>
      <c r="AE142" s="1204"/>
      <c r="AF142" s="1204"/>
      <c r="AG142" s="1204"/>
      <c r="AH142" s="1204"/>
      <c r="AI142" s="1204"/>
      <c r="AJ142" s="1204"/>
      <c r="AK142" s="1204"/>
      <c r="AL142" s="1204"/>
      <c r="AM142" s="1204"/>
      <c r="AN142" s="1204"/>
      <c r="AO142" s="1204"/>
      <c r="AP142" s="1204"/>
      <c r="AQ142" s="1204"/>
      <c r="AR142" s="1204"/>
      <c r="AS142" s="1204"/>
      <c r="AT142" s="1204"/>
      <c r="AU142" s="1204"/>
      <c r="AV142" s="1204"/>
      <c r="AW142" s="1204"/>
    </row>
    <row r="143" spans="1:49">
      <c r="A143" s="1203" t="s">
        <v>562</v>
      </c>
      <c r="B143" s="1204">
        <v>109.05007000000001</v>
      </c>
      <c r="C143" s="1204">
        <v>31.786999999999999</v>
      </c>
      <c r="D143" s="1204">
        <v>43.38</v>
      </c>
      <c r="E143" s="1204">
        <v>43.89</v>
      </c>
      <c r="F143" s="1204">
        <v>44.383000000000003</v>
      </c>
      <c r="G143" s="1204">
        <v>44.942</v>
      </c>
      <c r="H143" s="1204">
        <v>45.981000000000002</v>
      </c>
      <c r="I143" s="1204">
        <v>44.875</v>
      </c>
      <c r="J143" s="1204"/>
      <c r="W143" s="1204"/>
      <c r="X143" s="1204"/>
      <c r="Y143" s="1204">
        <v>43.38</v>
      </c>
      <c r="Z143" s="1204">
        <v>43.460999999999999</v>
      </c>
      <c r="AA143" s="1204">
        <v>43.802</v>
      </c>
      <c r="AB143" s="1204">
        <v>43.889000000000003</v>
      </c>
      <c r="AC143" s="1204">
        <v>43.89</v>
      </c>
      <c r="AD143" s="1204">
        <v>43.973999999999997</v>
      </c>
      <c r="AE143" s="1204">
        <v>44.161000000000001</v>
      </c>
      <c r="AF143" s="1204">
        <v>44.274999999999999</v>
      </c>
      <c r="AG143" s="1204">
        <v>44.383000000000003</v>
      </c>
      <c r="AH143" s="1204">
        <v>44.529000000000003</v>
      </c>
      <c r="AI143" s="1204">
        <v>44.701000000000001</v>
      </c>
      <c r="AJ143" s="1204">
        <v>44.908000000000001</v>
      </c>
      <c r="AK143" s="1204">
        <v>44.942</v>
      </c>
      <c r="AL143" s="1204">
        <v>45.143000000000001</v>
      </c>
      <c r="AM143" s="1204">
        <v>45.432000000000002</v>
      </c>
      <c r="AN143" s="1204">
        <v>45.649000000000001</v>
      </c>
      <c r="AO143" s="1204">
        <v>45.981000000000002</v>
      </c>
      <c r="AP143" s="1204">
        <v>46.179000000000002</v>
      </c>
      <c r="AQ143" s="1204">
        <v>46.537999999999997</v>
      </c>
      <c r="AR143" s="1204">
        <v>42.027000000000001</v>
      </c>
      <c r="AS143" s="1204">
        <v>44.875</v>
      </c>
      <c r="AT143" s="1204">
        <v>44.3</v>
      </c>
      <c r="AU143" s="1204">
        <v>45.612000000000002</v>
      </c>
      <c r="AV143" s="1204">
        <v>45.808999999999997</v>
      </c>
      <c r="AW143" s="1204">
        <v>45.426000000000002</v>
      </c>
    </row>
    <row r="144" spans="1:49">
      <c r="A144" s="1203" t="s">
        <v>563</v>
      </c>
      <c r="B144" s="1204"/>
      <c r="C144" s="1204"/>
      <c r="D144" s="1204"/>
      <c r="E144" s="1204"/>
      <c r="F144" s="1204"/>
      <c r="G144" s="1204"/>
      <c r="H144" s="1204"/>
      <c r="I144" s="1204"/>
      <c r="J144" s="1204"/>
      <c r="W144" s="1204"/>
      <c r="X144" s="1204"/>
      <c r="Y144" s="1204"/>
      <c r="Z144" s="1204"/>
      <c r="AA144" s="1204"/>
      <c r="AB144" s="1204"/>
      <c r="AC144" s="1204"/>
      <c r="AD144" s="1204"/>
      <c r="AE144" s="1204"/>
      <c r="AF144" s="1204"/>
      <c r="AG144" s="1204"/>
      <c r="AH144" s="1204"/>
      <c r="AI144" s="1204"/>
      <c r="AJ144" s="1204"/>
      <c r="AK144" s="1204"/>
      <c r="AL144" s="1204"/>
      <c r="AM144" s="1204"/>
      <c r="AN144" s="1204"/>
      <c r="AO144" s="1204"/>
      <c r="AP144" s="1204"/>
      <c r="AQ144" s="1204"/>
      <c r="AR144" s="1204"/>
      <c r="AS144" s="1204"/>
      <c r="AT144" s="1204"/>
      <c r="AU144" s="1204"/>
      <c r="AV144" s="1204"/>
      <c r="AW144" s="1204"/>
    </row>
    <row r="145" spans="1:49">
      <c r="A145" s="1203" t="s">
        <v>564</v>
      </c>
      <c r="B145" s="1204"/>
      <c r="C145" s="1204"/>
      <c r="D145" s="1204"/>
      <c r="E145" s="1204"/>
      <c r="F145" s="1204"/>
      <c r="G145" s="1204"/>
      <c r="H145" s="1204">
        <v>20.079999999999998</v>
      </c>
      <c r="I145" s="1204">
        <v>13.438000000000001</v>
      </c>
      <c r="J145" s="1204"/>
      <c r="W145" s="1204"/>
      <c r="X145" s="1204"/>
      <c r="Y145" s="1204"/>
      <c r="Z145" s="1204"/>
      <c r="AA145" s="1204"/>
      <c r="AB145" s="1204"/>
      <c r="AC145" s="1204"/>
      <c r="AD145" s="1204"/>
      <c r="AE145" s="1204"/>
      <c r="AF145" s="1204"/>
      <c r="AG145" s="1204"/>
      <c r="AH145" s="1204"/>
      <c r="AI145" s="1204"/>
      <c r="AJ145" s="1204"/>
      <c r="AK145" s="1204"/>
      <c r="AL145" s="1204"/>
      <c r="AM145" s="1204"/>
      <c r="AN145" s="1204">
        <v>21.359000000000002</v>
      </c>
      <c r="AO145" s="1204">
        <v>20.079999999999998</v>
      </c>
      <c r="AP145" s="1204">
        <v>18.277999999999999</v>
      </c>
      <c r="AQ145" s="1204">
        <v>12.788</v>
      </c>
      <c r="AR145" s="1204">
        <v>13.228</v>
      </c>
      <c r="AS145" s="1204">
        <v>13.438000000000001</v>
      </c>
      <c r="AT145" s="1204">
        <v>13.826000000000001</v>
      </c>
      <c r="AU145" s="1204">
        <v>8.5280000000000005</v>
      </c>
      <c r="AV145" s="1204">
        <v>8.468</v>
      </c>
      <c r="AW145" s="1204">
        <v>0</v>
      </c>
    </row>
    <row r="146" spans="1:49">
      <c r="A146" s="1203" t="s">
        <v>565</v>
      </c>
      <c r="B146" s="1204">
        <v>0.21518000000000001</v>
      </c>
      <c r="C146" s="1204">
        <v>45.685000000000002</v>
      </c>
      <c r="D146" s="1204">
        <v>43.381999999999998</v>
      </c>
      <c r="E146" s="1204">
        <v>6.2370000000000001</v>
      </c>
      <c r="F146" s="1204">
        <v>30.867000000000001</v>
      </c>
      <c r="G146" s="1204">
        <v>62.250999999999998</v>
      </c>
      <c r="H146" s="1204">
        <v>75.763999999999996</v>
      </c>
      <c r="I146" s="1204">
        <v>42.81</v>
      </c>
      <c r="J146" s="1204"/>
      <c r="W146" s="1204"/>
      <c r="X146" s="1204"/>
      <c r="Y146" s="1204">
        <v>43.381999999999998</v>
      </c>
      <c r="Z146" s="1204">
        <v>41.064999999999998</v>
      </c>
      <c r="AA146" s="1204">
        <v>37.926000000000002</v>
      </c>
      <c r="AB146" s="1204">
        <v>36.969000000000001</v>
      </c>
      <c r="AC146" s="1204">
        <v>6.2370000000000001</v>
      </c>
      <c r="AD146" s="1204">
        <v>7.6660000000000004</v>
      </c>
      <c r="AE146" s="1204">
        <v>7.2279999999999998</v>
      </c>
      <c r="AF146" s="1204">
        <v>9.9179999999999993</v>
      </c>
      <c r="AG146" s="1204">
        <v>30.867000000000001</v>
      </c>
      <c r="AH146" s="1204">
        <v>28.582000000000001</v>
      </c>
      <c r="AI146" s="1204">
        <v>12.957000000000001</v>
      </c>
      <c r="AJ146" s="1204">
        <v>53.564</v>
      </c>
      <c r="AK146" s="1204">
        <v>62.250999999999998</v>
      </c>
      <c r="AL146" s="1204">
        <v>59.706000000000003</v>
      </c>
      <c r="AM146" s="1204">
        <v>56.274000000000001</v>
      </c>
      <c r="AN146" s="1204">
        <v>72.564999999999998</v>
      </c>
      <c r="AO146" s="1204">
        <v>75.763999999999996</v>
      </c>
      <c r="AP146" s="1204">
        <v>67.239000000000004</v>
      </c>
      <c r="AQ146" s="1204">
        <v>31.373999999999999</v>
      </c>
      <c r="AR146" s="1204">
        <v>33.359000000000002</v>
      </c>
      <c r="AS146" s="1204">
        <v>42.81</v>
      </c>
      <c r="AT146" s="1204">
        <v>35.662999999999997</v>
      </c>
      <c r="AU146" s="1204">
        <v>23.347000000000001</v>
      </c>
      <c r="AV146" s="1204">
        <v>16.454000000000001</v>
      </c>
      <c r="AW146" s="1204">
        <v>16.442</v>
      </c>
    </row>
    <row r="147" spans="1:49">
      <c r="A147" s="1203" t="s">
        <v>566</v>
      </c>
      <c r="B147" s="1204">
        <v>188.06352999999999</v>
      </c>
      <c r="C147" s="1204">
        <v>154.703</v>
      </c>
      <c r="D147" s="1204">
        <v>160.72399999999999</v>
      </c>
      <c r="E147" s="1204">
        <v>186.852</v>
      </c>
      <c r="F147" s="1204">
        <v>210.58099999999999</v>
      </c>
      <c r="G147" s="1204">
        <v>198.22300000000001</v>
      </c>
      <c r="H147" s="1204">
        <v>241.09200000000001</v>
      </c>
      <c r="I147" s="1204">
        <v>198.6</v>
      </c>
      <c r="J147" s="1204"/>
      <c r="W147" s="1204"/>
      <c r="X147" s="1204"/>
      <c r="Y147" s="1204">
        <v>160.72399999999999</v>
      </c>
      <c r="Z147" s="1204">
        <v>158.102</v>
      </c>
      <c r="AA147" s="1204">
        <v>206.54599999999999</v>
      </c>
      <c r="AB147" s="1204">
        <v>204.83199999999999</v>
      </c>
      <c r="AC147" s="1204">
        <v>186.852</v>
      </c>
      <c r="AD147" s="1204">
        <v>188.93600000000001</v>
      </c>
      <c r="AE147" s="1204">
        <v>188.012</v>
      </c>
      <c r="AF147" s="1204">
        <v>190.19300000000001</v>
      </c>
      <c r="AG147" s="1204">
        <v>210.58099999999999</v>
      </c>
      <c r="AH147" s="1204">
        <v>207.76599999999999</v>
      </c>
      <c r="AI147" s="1204">
        <v>200.87799999999999</v>
      </c>
      <c r="AJ147" s="1204">
        <v>190.119</v>
      </c>
      <c r="AK147" s="1204">
        <v>198.22300000000001</v>
      </c>
      <c r="AL147" s="1204">
        <v>195.304</v>
      </c>
      <c r="AM147" s="1204">
        <v>192.387</v>
      </c>
      <c r="AN147" s="1204">
        <v>229.74199999999999</v>
      </c>
      <c r="AO147" s="1204">
        <v>241.09200000000001</v>
      </c>
      <c r="AP147" s="1204">
        <v>230.67400000000001</v>
      </c>
      <c r="AQ147" s="1204">
        <v>189.304</v>
      </c>
      <c r="AR147" s="1204">
        <v>186.654</v>
      </c>
      <c r="AS147" s="1204">
        <v>198.6</v>
      </c>
      <c r="AT147" s="1204">
        <v>186.41</v>
      </c>
      <c r="AU147" s="1204">
        <v>169.571</v>
      </c>
      <c r="AV147" s="1204">
        <v>162.279</v>
      </c>
      <c r="AW147" s="1204">
        <v>167.304</v>
      </c>
    </row>
    <row r="148" spans="1:49">
      <c r="A148" s="1206" t="s">
        <v>567</v>
      </c>
      <c r="B148" s="1204"/>
      <c r="C148" s="1204"/>
      <c r="D148" s="1204"/>
      <c r="E148" s="1204"/>
      <c r="F148" s="1204"/>
      <c r="G148" s="1204"/>
      <c r="H148" s="1204"/>
      <c r="I148" s="1204"/>
      <c r="J148" s="1204"/>
      <c r="W148" s="1204"/>
      <c r="X148" s="1204"/>
      <c r="Y148" s="1204"/>
      <c r="Z148" s="1204"/>
      <c r="AA148" s="1204"/>
      <c r="AB148" s="1204"/>
      <c r="AC148" s="1204"/>
      <c r="AD148" s="1204"/>
      <c r="AE148" s="1204"/>
      <c r="AF148" s="1204"/>
      <c r="AG148" s="1204"/>
      <c r="AH148" s="1204"/>
      <c r="AI148" s="1204"/>
      <c r="AJ148" s="1204"/>
      <c r="AK148" s="1204"/>
      <c r="AL148" s="1204"/>
      <c r="AM148" s="1204"/>
      <c r="AN148" s="1204"/>
      <c r="AO148" s="1204"/>
      <c r="AP148" s="1204"/>
      <c r="AQ148" s="1204"/>
      <c r="AR148" s="1204"/>
      <c r="AS148" s="1204"/>
      <c r="AT148" s="1204"/>
      <c r="AU148" s="1204"/>
      <c r="AV148" s="1204"/>
      <c r="AW148" s="1204"/>
    </row>
    <row r="149" spans="1:49">
      <c r="A149" s="1206" t="s">
        <v>568</v>
      </c>
      <c r="B149" s="1204">
        <v>3902.6932099999999</v>
      </c>
      <c r="C149" s="1204">
        <v>3727.9290000000001</v>
      </c>
      <c r="D149" s="1204">
        <v>4073.16</v>
      </c>
      <c r="E149" s="1204">
        <v>4523.3919999999998</v>
      </c>
      <c r="F149" s="1204">
        <v>5769.3789999999999</v>
      </c>
      <c r="G149" s="1204">
        <v>7115.3469999999998</v>
      </c>
      <c r="H149" s="1204">
        <v>10115.278</v>
      </c>
      <c r="I149" s="1204">
        <v>11918.450999999999</v>
      </c>
      <c r="J149" s="1204"/>
      <c r="W149" s="1204"/>
      <c r="X149" s="1204"/>
      <c r="Y149" s="1204">
        <v>4073.16</v>
      </c>
      <c r="Z149" s="1204">
        <v>4021.9459999999999</v>
      </c>
      <c r="AA149" s="1204">
        <v>4301.6989999999996</v>
      </c>
      <c r="AB149" s="1204">
        <v>4421.0820000000003</v>
      </c>
      <c r="AC149" s="1204">
        <v>4523.3919999999998</v>
      </c>
      <c r="AD149" s="1204">
        <v>4366.3019999999997</v>
      </c>
      <c r="AE149" s="1204">
        <v>4867.8689999999997</v>
      </c>
      <c r="AF149" s="1204">
        <v>4787.933</v>
      </c>
      <c r="AG149" s="1204">
        <v>5769.3789999999999</v>
      </c>
      <c r="AH149" s="1204">
        <v>5541.1629999999996</v>
      </c>
      <c r="AI149" s="1204">
        <v>6165.0230000000001</v>
      </c>
      <c r="AJ149" s="1204">
        <v>6206.8140000000003</v>
      </c>
      <c r="AK149" s="1204">
        <v>7115.3469999999998</v>
      </c>
      <c r="AL149" s="1204">
        <v>7600.0829999999996</v>
      </c>
      <c r="AM149" s="1204">
        <v>9068.2810000000009</v>
      </c>
      <c r="AN149" s="1204">
        <v>10008.380999999999</v>
      </c>
      <c r="AO149" s="1204">
        <v>10115.278</v>
      </c>
      <c r="AP149" s="1204">
        <v>10362.115</v>
      </c>
      <c r="AQ149" s="1204">
        <v>10801.65</v>
      </c>
      <c r="AR149" s="1204">
        <v>10848.486000000001</v>
      </c>
      <c r="AS149" s="1204">
        <v>11918.450999999999</v>
      </c>
      <c r="AT149" s="1204">
        <v>12029.966</v>
      </c>
      <c r="AU149" s="1204">
        <v>12883.849</v>
      </c>
      <c r="AV149" s="1204">
        <v>13367.697</v>
      </c>
      <c r="AW149" s="1204">
        <v>14424.32</v>
      </c>
    </row>
    <row r="150" spans="1:49">
      <c r="A150" s="1206" t="s">
        <v>569</v>
      </c>
      <c r="B150" s="1204"/>
      <c r="C150" s="1204"/>
      <c r="D150" s="1204"/>
      <c r="E150" s="1204">
        <v>4523.3919999999998</v>
      </c>
      <c r="F150" s="1204">
        <v>5769.3789999999999</v>
      </c>
      <c r="G150" s="1204">
        <v>7115.3469999999998</v>
      </c>
      <c r="H150" s="1204">
        <v>10115.278</v>
      </c>
      <c r="I150" s="1204">
        <v>11918.450999999999</v>
      </c>
      <c r="J150" s="1204"/>
      <c r="W150" s="1204"/>
      <c r="X150" s="1204"/>
      <c r="Y150" s="1204"/>
      <c r="Z150" s="1204"/>
      <c r="AA150" s="1204"/>
      <c r="AB150" s="1204"/>
      <c r="AC150" s="1204"/>
      <c r="AD150" s="1204"/>
      <c r="AE150" s="1204"/>
      <c r="AF150" s="1204"/>
      <c r="AG150" s="1204"/>
      <c r="AH150" s="1204"/>
      <c r="AI150" s="1204"/>
      <c r="AJ150" s="1204"/>
      <c r="AK150" s="1204"/>
      <c r="AL150" s="1204"/>
      <c r="AM150" s="1204"/>
      <c r="AN150" s="1204"/>
      <c r="AO150" s="1204"/>
      <c r="AP150" s="1204"/>
      <c r="AQ150" s="1204"/>
      <c r="AR150" s="1204"/>
      <c r="AS150" s="1204"/>
      <c r="AT150" s="1204"/>
      <c r="AU150" s="1204"/>
      <c r="AV150" s="1204"/>
      <c r="AW150" s="1204"/>
    </row>
    <row r="151" spans="1:49">
      <c r="A151" s="1206"/>
      <c r="B151" s="1204"/>
      <c r="C151" s="1204"/>
      <c r="D151" s="1204"/>
      <c r="E151" s="1204"/>
      <c r="F151" s="1204"/>
      <c r="G151" s="1204"/>
      <c r="H151" s="1204"/>
      <c r="I151" s="1204"/>
      <c r="J151" s="1204"/>
      <c r="W151" s="1204"/>
      <c r="X151" s="1204"/>
      <c r="Y151" s="1204"/>
      <c r="Z151" s="1204"/>
      <c r="AA151" s="1204"/>
      <c r="AB151" s="1204"/>
      <c r="AC151" s="1204"/>
      <c r="AD151" s="1204"/>
      <c r="AE151" s="1204"/>
      <c r="AF151" s="1204"/>
      <c r="AG151" s="1204"/>
      <c r="AH151" s="1204"/>
      <c r="AI151" s="1204"/>
      <c r="AJ151" s="1204"/>
      <c r="AK151" s="1204"/>
      <c r="AL151" s="1204"/>
      <c r="AM151" s="1204"/>
      <c r="AN151" s="1204"/>
      <c r="AO151" s="1204"/>
      <c r="AP151" s="1204"/>
      <c r="AQ151" s="1204"/>
      <c r="AR151" s="1204"/>
      <c r="AS151" s="1204"/>
      <c r="AT151" s="1204"/>
      <c r="AU151" s="1204"/>
      <c r="AV151" s="1204"/>
      <c r="AW151" s="1204"/>
    </row>
    <row r="152" spans="1:49">
      <c r="A152" s="1206"/>
      <c r="B152" s="1204">
        <v>515.57728999999995</v>
      </c>
      <c r="C152" s="1204">
        <v>280.69099999999997</v>
      </c>
      <c r="D152" s="1204">
        <v>331.39400000000001</v>
      </c>
      <c r="E152" s="1204">
        <v>285.96699999999998</v>
      </c>
      <c r="F152" s="1204">
        <v>645.41399999999999</v>
      </c>
      <c r="G152" s="1204">
        <v>885.43799999999999</v>
      </c>
      <c r="H152" s="1204">
        <v>781.16099999999994</v>
      </c>
      <c r="I152" s="1204">
        <v>837.84299999999996</v>
      </c>
      <c r="J152" s="1204"/>
      <c r="W152" s="1204"/>
      <c r="X152" s="1204"/>
      <c r="Y152" s="1204">
        <v>331.39400000000001</v>
      </c>
      <c r="Z152" s="1204">
        <v>459.23500000000001</v>
      </c>
      <c r="AA152" s="1204">
        <v>405.41699999999997</v>
      </c>
      <c r="AB152" s="1204">
        <v>402.827</v>
      </c>
      <c r="AC152" s="1204">
        <v>393.89</v>
      </c>
      <c r="AD152" s="1204">
        <v>401.041</v>
      </c>
      <c r="AE152" s="1204">
        <v>474.26799999999997</v>
      </c>
      <c r="AF152" s="1204">
        <v>531.33399999999995</v>
      </c>
      <c r="AG152" s="1204">
        <v>794.36099999999999</v>
      </c>
      <c r="AH152" s="1204">
        <v>699.46699999999998</v>
      </c>
      <c r="AI152" s="1204">
        <v>863.21</v>
      </c>
      <c r="AJ152" s="1204">
        <v>786.96100000000001</v>
      </c>
      <c r="AK152" s="1204">
        <v>1047.7660000000001</v>
      </c>
      <c r="AL152" s="1204">
        <v>1252.2829999999999</v>
      </c>
      <c r="AM152" s="1204">
        <v>1097.7429999999999</v>
      </c>
      <c r="AN152" s="1204">
        <v>1099.528</v>
      </c>
      <c r="AO152" s="1204">
        <v>940.553</v>
      </c>
      <c r="AP152" s="1204">
        <v>1039.2239999999999</v>
      </c>
      <c r="AQ152" s="1204">
        <v>1268.1579999999999</v>
      </c>
      <c r="AR152" s="1204">
        <v>1019.153</v>
      </c>
      <c r="AS152" s="1204">
        <v>1050.46</v>
      </c>
      <c r="AT152" s="1204">
        <v>1002.886</v>
      </c>
      <c r="AU152" s="1204">
        <v>949.44</v>
      </c>
      <c r="AV152" s="1204">
        <v>1050.2829999999999</v>
      </c>
      <c r="AW152" s="1204">
        <v>964.86</v>
      </c>
    </row>
    <row r="153" spans="1:49">
      <c r="A153" s="1205" t="s">
        <v>570</v>
      </c>
      <c r="B153" s="1204"/>
      <c r="C153" s="1204"/>
      <c r="D153" s="1204"/>
      <c r="E153" s="1204"/>
      <c r="F153" s="1204"/>
      <c r="G153" s="1204"/>
      <c r="H153" s="1204"/>
      <c r="I153" s="1204"/>
      <c r="J153" s="1204"/>
      <c r="W153" s="1204"/>
      <c r="X153" s="1204"/>
      <c r="Y153" s="1204"/>
      <c r="Z153" s="1204"/>
      <c r="AA153" s="1204"/>
      <c r="AB153" s="1204"/>
      <c r="AC153" s="1204"/>
      <c r="AD153" s="1204"/>
      <c r="AE153" s="1204"/>
      <c r="AF153" s="1204"/>
      <c r="AG153" s="1204"/>
      <c r="AH153" s="1204"/>
      <c r="AI153" s="1204"/>
      <c r="AJ153" s="1204"/>
      <c r="AK153" s="1204"/>
      <c r="AL153" s="1204"/>
      <c r="AM153" s="1204"/>
      <c r="AN153" s="1204"/>
      <c r="AO153" s="1204"/>
      <c r="AP153" s="1204"/>
      <c r="AQ153" s="1204"/>
      <c r="AR153" s="1204"/>
      <c r="AS153" s="1204"/>
      <c r="AT153" s="1204"/>
      <c r="AU153" s="1204"/>
      <c r="AV153" s="1204"/>
      <c r="AW153" s="1204"/>
    </row>
    <row r="154" spans="1:49">
      <c r="A154" s="1205" t="s">
        <v>571</v>
      </c>
      <c r="B154" s="1204">
        <v>146.98668000000001</v>
      </c>
      <c r="C154" s="1204">
        <v>45.673999999999999</v>
      </c>
      <c r="D154" s="1204">
        <v>84.611000000000004</v>
      </c>
      <c r="E154" s="1204">
        <v>153.94200000000001</v>
      </c>
      <c r="F154" s="1204">
        <v>131.114</v>
      </c>
      <c r="G154" s="1204">
        <v>132.452</v>
      </c>
      <c r="H154" s="1204">
        <v>230.45</v>
      </c>
      <c r="I154" s="1204">
        <v>180.91200000000001</v>
      </c>
      <c r="J154" s="1204"/>
      <c r="W154" s="1204"/>
      <c r="X154" s="1204"/>
      <c r="Y154" s="1204">
        <v>84.611000000000004</v>
      </c>
      <c r="Z154" s="1204">
        <v>73.695999999999998</v>
      </c>
      <c r="AA154" s="1204">
        <v>104.678</v>
      </c>
      <c r="AB154" s="1204">
        <v>105.497</v>
      </c>
      <c r="AC154" s="1204">
        <v>153.94200000000001</v>
      </c>
      <c r="AD154" s="1204">
        <v>114.46299999999999</v>
      </c>
      <c r="AE154" s="1204">
        <v>132.273</v>
      </c>
      <c r="AF154" s="1204">
        <v>117.956</v>
      </c>
      <c r="AG154" s="1204">
        <v>131.114</v>
      </c>
      <c r="AH154" s="1204">
        <v>124.711</v>
      </c>
      <c r="AI154" s="1204">
        <v>132.714</v>
      </c>
      <c r="AJ154" s="1204">
        <v>146.84399999999999</v>
      </c>
      <c r="AK154" s="1204">
        <v>132.452</v>
      </c>
      <c r="AL154" s="1204">
        <v>132.84399999999999</v>
      </c>
      <c r="AM154" s="1204">
        <v>148.55500000000001</v>
      </c>
      <c r="AN154" s="1204">
        <v>163.66300000000001</v>
      </c>
      <c r="AO154" s="1204">
        <v>230.45</v>
      </c>
      <c r="AP154" s="1204">
        <v>185.68100000000001</v>
      </c>
      <c r="AQ154" s="1204">
        <v>179.59700000000001</v>
      </c>
      <c r="AR154" s="1204">
        <v>170.73500000000001</v>
      </c>
      <c r="AS154" s="1204">
        <v>180.91200000000001</v>
      </c>
      <c r="AT154" s="1204">
        <v>137.28399999999999</v>
      </c>
      <c r="AU154" s="1204">
        <v>136.67699999999999</v>
      </c>
      <c r="AV154" s="1204">
        <v>146.62799999999999</v>
      </c>
      <c r="AW154" s="1204">
        <v>164.60400000000001</v>
      </c>
    </row>
    <row r="155" spans="1:49">
      <c r="A155" s="1205" t="s">
        <v>572</v>
      </c>
      <c r="B155" s="1204">
        <v>29.374459999999999</v>
      </c>
      <c r="C155" s="1204">
        <v>636.80100000000004</v>
      </c>
      <c r="D155" s="1204">
        <v>412.59899999999999</v>
      </c>
      <c r="E155" s="1204">
        <v>0</v>
      </c>
      <c r="F155" s="1204">
        <v>0</v>
      </c>
      <c r="G155" s="1204">
        <v>392.63200000000001</v>
      </c>
      <c r="H155" s="1204">
        <v>477.89400000000001</v>
      </c>
      <c r="I155" s="1204">
        <v>0</v>
      </c>
      <c r="J155" s="1204"/>
      <c r="W155" s="1204"/>
      <c r="X155" s="1204"/>
      <c r="Y155" s="1204">
        <v>29.373999999999999</v>
      </c>
      <c r="Z155" s="1204">
        <v>29.582000000000001</v>
      </c>
      <c r="AA155" s="1204">
        <v>345.71600000000001</v>
      </c>
      <c r="AB155" s="1204">
        <v>14.895</v>
      </c>
      <c r="AC155" s="1204">
        <v>0</v>
      </c>
      <c r="AD155" s="1204">
        <v>0</v>
      </c>
      <c r="AE155" s="1204">
        <v>0</v>
      </c>
      <c r="AF155" s="1204">
        <v>0</v>
      </c>
      <c r="AG155" s="1204">
        <v>0</v>
      </c>
      <c r="AH155" s="1204">
        <v>0</v>
      </c>
      <c r="AI155" s="1204">
        <v>0</v>
      </c>
      <c r="AJ155" s="1204">
        <v>0</v>
      </c>
      <c r="AK155" s="1204">
        <v>392.63200000000001</v>
      </c>
      <c r="AL155" s="1204">
        <v>396.02199999999999</v>
      </c>
      <c r="AM155" s="1204">
        <v>489.88099999999997</v>
      </c>
      <c r="AN155" s="1204">
        <v>492.80900000000003</v>
      </c>
      <c r="AO155" s="1204">
        <v>477.89400000000001</v>
      </c>
      <c r="AP155" s="1204">
        <v>87.096999999999994</v>
      </c>
      <c r="AQ155" s="1204">
        <v>0</v>
      </c>
      <c r="AR155" s="1204">
        <v>0</v>
      </c>
      <c r="AS155" s="1204">
        <v>0</v>
      </c>
      <c r="AT155" s="1204">
        <v>0</v>
      </c>
      <c r="AU155" s="1204">
        <v>225.99600000000001</v>
      </c>
      <c r="AV155" s="1204">
        <v>217.554</v>
      </c>
      <c r="AW155" s="1204">
        <v>716.798</v>
      </c>
    </row>
    <row r="156" spans="1:49">
      <c r="A156" s="1205" t="s">
        <v>573</v>
      </c>
      <c r="B156" s="1204">
        <v>705.51422000000002</v>
      </c>
      <c r="C156" s="1204">
        <v>191.35499999999999</v>
      </c>
      <c r="D156" s="1204">
        <v>184.578</v>
      </c>
      <c r="E156" s="1204">
        <v>390.54700000000003</v>
      </c>
      <c r="F156" s="1204">
        <v>162.054</v>
      </c>
      <c r="G156" s="1204">
        <v>113.068</v>
      </c>
      <c r="H156" s="1204">
        <v>209.17400000000001</v>
      </c>
      <c r="I156" s="1204">
        <v>440.608</v>
      </c>
      <c r="J156" s="1204"/>
      <c r="W156" s="1204"/>
      <c r="X156" s="1204"/>
      <c r="Y156" s="1204">
        <v>567.803</v>
      </c>
      <c r="Z156" s="1204">
        <v>529.44000000000005</v>
      </c>
      <c r="AA156" s="1204">
        <v>255.5</v>
      </c>
      <c r="AB156" s="1204">
        <v>548.38499999999999</v>
      </c>
      <c r="AC156" s="1204">
        <v>390.54700000000003</v>
      </c>
      <c r="AD156" s="1204">
        <v>313.19099999999997</v>
      </c>
      <c r="AE156" s="1204">
        <v>365.26900000000001</v>
      </c>
      <c r="AF156" s="1204">
        <v>376.97800000000001</v>
      </c>
      <c r="AG156" s="1204">
        <v>162.054</v>
      </c>
      <c r="AH156" s="1204">
        <v>192.77500000000001</v>
      </c>
      <c r="AI156" s="1204">
        <v>119.727</v>
      </c>
      <c r="AJ156" s="1204">
        <v>57.499000000000002</v>
      </c>
      <c r="AK156" s="1204">
        <v>113.068</v>
      </c>
      <c r="AL156" s="1204">
        <v>125.52</v>
      </c>
      <c r="AM156" s="1204">
        <v>91.375</v>
      </c>
      <c r="AN156" s="1204">
        <v>66.655000000000001</v>
      </c>
      <c r="AO156" s="1204">
        <v>209.17400000000001</v>
      </c>
      <c r="AP156" s="1204">
        <v>204.97300000000001</v>
      </c>
      <c r="AQ156" s="1204">
        <v>305.89800000000002</v>
      </c>
      <c r="AR156" s="1204">
        <v>437.375</v>
      </c>
      <c r="AS156" s="1204">
        <v>440.608</v>
      </c>
      <c r="AT156" s="1204">
        <v>523.43399999999997</v>
      </c>
      <c r="AU156" s="1204">
        <v>781.13400000000001</v>
      </c>
      <c r="AV156" s="1204">
        <v>728.09699999999998</v>
      </c>
      <c r="AW156" s="1204">
        <v>530.005</v>
      </c>
    </row>
    <row r="157" spans="1:49">
      <c r="A157" s="1205" t="s">
        <v>574</v>
      </c>
      <c r="B157" s="1204"/>
      <c r="C157" s="1204"/>
      <c r="D157" s="1204"/>
      <c r="E157" s="1204"/>
      <c r="F157" s="1204"/>
      <c r="G157" s="1204"/>
      <c r="H157" s="1204"/>
      <c r="I157" s="1204"/>
      <c r="J157" s="1204"/>
      <c r="W157" s="1204"/>
      <c r="X157" s="1204"/>
      <c r="Y157" s="1204"/>
      <c r="Z157" s="1204"/>
      <c r="AA157" s="1204"/>
      <c r="AB157" s="1204"/>
      <c r="AC157" s="1204"/>
      <c r="AD157" s="1204"/>
      <c r="AE157" s="1204"/>
      <c r="AF157" s="1204"/>
      <c r="AG157" s="1204"/>
      <c r="AH157" s="1204"/>
      <c r="AI157" s="1204"/>
      <c r="AJ157" s="1204"/>
      <c r="AK157" s="1204"/>
      <c r="AL157" s="1204"/>
      <c r="AM157" s="1204"/>
      <c r="AN157" s="1204"/>
      <c r="AO157" s="1204"/>
      <c r="AP157" s="1204"/>
      <c r="AQ157" s="1204"/>
      <c r="AR157" s="1204"/>
      <c r="AS157" s="1204"/>
      <c r="AT157" s="1204"/>
      <c r="AU157" s="1204"/>
      <c r="AV157" s="1204"/>
      <c r="AW157" s="1204"/>
    </row>
    <row r="158" spans="1:49">
      <c r="A158" s="1203" t="s">
        <v>575</v>
      </c>
      <c r="B158" s="1204"/>
      <c r="C158" s="1204">
        <v>68.66</v>
      </c>
      <c r="D158" s="1204">
        <v>67.108000000000004</v>
      </c>
      <c r="E158" s="1204">
        <v>90.14</v>
      </c>
      <c r="F158" s="1204">
        <v>132.02000000000001</v>
      </c>
      <c r="G158" s="1204">
        <v>120.333</v>
      </c>
      <c r="H158" s="1204">
        <v>101.48099999999999</v>
      </c>
      <c r="I158" s="1204">
        <v>119.93899999999999</v>
      </c>
      <c r="J158" s="1204"/>
      <c r="W158" s="1204"/>
      <c r="X158" s="1204"/>
      <c r="Y158" s="1204">
        <v>67.108000000000004</v>
      </c>
      <c r="Z158" s="1204"/>
      <c r="AA158" s="1204">
        <v>104.848</v>
      </c>
      <c r="AB158" s="1204"/>
      <c r="AC158" s="1204"/>
      <c r="AD158" s="1204"/>
      <c r="AE158" s="1204"/>
      <c r="AF158" s="1204"/>
      <c r="AG158" s="1204"/>
      <c r="AH158" s="1204"/>
      <c r="AI158" s="1204"/>
      <c r="AJ158" s="1204"/>
      <c r="AK158" s="1204"/>
      <c r="AL158" s="1204"/>
      <c r="AM158" s="1204"/>
      <c r="AN158" s="1204"/>
      <c r="AO158" s="1204"/>
      <c r="AP158" s="1204"/>
      <c r="AQ158" s="1204"/>
      <c r="AR158" s="1204"/>
      <c r="AS158" s="1204"/>
      <c r="AT158" s="1204"/>
      <c r="AU158" s="1204">
        <v>66.403999999999996</v>
      </c>
      <c r="AV158" s="1204">
        <v>57.844999999999999</v>
      </c>
      <c r="AW158" s="1204">
        <v>44.13</v>
      </c>
    </row>
    <row r="159" spans="1:49">
      <c r="A159" s="1203" t="s">
        <v>576</v>
      </c>
      <c r="B159" s="1204"/>
      <c r="C159" s="1204">
        <v>5.6310000000000002</v>
      </c>
      <c r="D159" s="1204">
        <v>10.590999999999999</v>
      </c>
      <c r="E159" s="1204"/>
      <c r="F159" s="1204"/>
      <c r="G159" s="1204"/>
      <c r="H159" s="1204"/>
      <c r="I159" s="1204"/>
      <c r="J159" s="1204"/>
      <c r="W159" s="1204"/>
      <c r="X159" s="1204"/>
      <c r="Y159" s="1204">
        <v>10.590999999999999</v>
      </c>
      <c r="Z159" s="1204"/>
      <c r="AA159" s="1204">
        <v>9.2490000000000006</v>
      </c>
      <c r="AB159" s="1204"/>
      <c r="AC159" s="1204"/>
      <c r="AD159" s="1204"/>
      <c r="AE159" s="1204"/>
      <c r="AF159" s="1204"/>
      <c r="AG159" s="1204"/>
      <c r="AH159" s="1204"/>
      <c r="AI159" s="1204"/>
      <c r="AJ159" s="1204"/>
      <c r="AK159" s="1204"/>
      <c r="AL159" s="1204"/>
      <c r="AM159" s="1204"/>
      <c r="AN159" s="1204"/>
      <c r="AO159" s="1204"/>
      <c r="AP159" s="1204"/>
      <c r="AQ159" s="1204"/>
      <c r="AR159" s="1204"/>
      <c r="AS159" s="1204"/>
      <c r="AT159" s="1204"/>
      <c r="AU159" s="1204"/>
      <c r="AV159" s="1204"/>
      <c r="AW159" s="1204"/>
    </row>
    <row r="160" spans="1:49">
      <c r="A160" s="1203" t="s">
        <v>577</v>
      </c>
      <c r="B160" s="1204">
        <v>1.89269</v>
      </c>
      <c r="C160" s="1204">
        <v>6.3E-2</v>
      </c>
      <c r="D160" s="1204">
        <v>2.3210000000000002</v>
      </c>
      <c r="E160" s="1204">
        <v>0.158</v>
      </c>
      <c r="F160" s="1204">
        <v>0.10299999999999999</v>
      </c>
      <c r="G160" s="1204">
        <v>0.35499999999999998</v>
      </c>
      <c r="H160" s="1204">
        <v>0.46</v>
      </c>
      <c r="I160" s="1204">
        <v>0.27</v>
      </c>
      <c r="J160" s="1204"/>
      <c r="W160" s="1204"/>
      <c r="X160" s="1204"/>
      <c r="Y160" s="1204">
        <v>2.3210000000000002</v>
      </c>
      <c r="Z160" s="1204">
        <v>0.06</v>
      </c>
      <c r="AA160" s="1204">
        <v>0.14299999999999999</v>
      </c>
      <c r="AB160" s="1204">
        <v>0.01</v>
      </c>
      <c r="AC160" s="1204">
        <v>0.158</v>
      </c>
      <c r="AD160" s="1204">
        <v>0.161</v>
      </c>
      <c r="AE160" s="1204">
        <v>0.246</v>
      </c>
      <c r="AF160" s="1204">
        <v>0.157</v>
      </c>
      <c r="AG160" s="1204">
        <v>0.10299999999999999</v>
      </c>
      <c r="AH160" s="1204">
        <v>3.3000000000000002E-2</v>
      </c>
      <c r="AI160" s="1204">
        <v>0.41199999999999998</v>
      </c>
      <c r="AJ160" s="1204">
        <v>0.69399999999999995</v>
      </c>
      <c r="AK160" s="1204">
        <v>0.35499999999999998</v>
      </c>
      <c r="AL160" s="1204">
        <v>0.36199999999999999</v>
      </c>
      <c r="AM160" s="1204">
        <v>0.29199999999999998</v>
      </c>
      <c r="AN160" s="1204">
        <v>0.245</v>
      </c>
      <c r="AO160" s="1204">
        <v>0.46</v>
      </c>
      <c r="AP160" s="1204">
        <v>0.53900000000000003</v>
      </c>
      <c r="AQ160" s="1204">
        <v>1.1120000000000001</v>
      </c>
      <c r="AR160" s="1204">
        <v>0.78</v>
      </c>
      <c r="AS160" s="1204">
        <v>0.27</v>
      </c>
      <c r="AT160" s="1204">
        <v>16.405000000000001</v>
      </c>
      <c r="AU160" s="1204">
        <v>6.0650000000000004</v>
      </c>
      <c r="AV160" s="1204">
        <v>7.6639999999999997</v>
      </c>
      <c r="AW160" s="1204">
        <v>2.6070000000000002</v>
      </c>
    </row>
    <row r="161" spans="1:49">
      <c r="A161" s="1203" t="s">
        <v>578</v>
      </c>
      <c r="B161" s="1204"/>
      <c r="C161" s="1204">
        <v>20.765999999999998</v>
      </c>
      <c r="D161" s="1204">
        <v>14.859</v>
      </c>
      <c r="E161" s="1204">
        <v>17.783000000000001</v>
      </c>
      <c r="F161" s="1204">
        <v>16.927</v>
      </c>
      <c r="G161" s="1204">
        <v>41.994999999999997</v>
      </c>
      <c r="H161" s="1204">
        <v>57.911000000000001</v>
      </c>
      <c r="I161" s="1204">
        <v>92.677999999999997</v>
      </c>
      <c r="J161" s="1204"/>
      <c r="W161" s="1204"/>
      <c r="X161" s="1204"/>
      <c r="Y161" s="1204">
        <v>14.859</v>
      </c>
      <c r="Z161" s="1204"/>
      <c r="AA161" s="1204">
        <v>17.489000000000001</v>
      </c>
      <c r="AB161" s="1204"/>
      <c r="AC161" s="1204"/>
      <c r="AD161" s="1204"/>
      <c r="AE161" s="1204"/>
      <c r="AF161" s="1204"/>
      <c r="AG161" s="1204"/>
      <c r="AH161" s="1204"/>
      <c r="AI161" s="1204"/>
      <c r="AJ161" s="1204"/>
      <c r="AK161" s="1204"/>
      <c r="AL161" s="1204"/>
      <c r="AM161" s="1204"/>
      <c r="AN161" s="1204"/>
      <c r="AO161" s="1204"/>
      <c r="AP161" s="1204"/>
      <c r="AQ161" s="1204"/>
      <c r="AR161" s="1204"/>
      <c r="AS161" s="1204"/>
      <c r="AT161" s="1204"/>
      <c r="AU161" s="1204"/>
      <c r="AV161" s="1204"/>
      <c r="AW161" s="1204"/>
    </row>
    <row r="162" spans="1:49">
      <c r="A162" s="1203" t="s">
        <v>579</v>
      </c>
      <c r="B162" s="1204"/>
      <c r="C162" s="1204"/>
      <c r="D162" s="1204"/>
      <c r="E162" s="1204"/>
      <c r="F162" s="1204"/>
      <c r="G162" s="1204"/>
      <c r="H162" s="1204"/>
      <c r="I162" s="1204"/>
      <c r="J162" s="1204"/>
      <c r="W162" s="1204"/>
      <c r="X162" s="1204"/>
      <c r="Y162" s="1204"/>
      <c r="Z162" s="1204"/>
      <c r="AA162" s="1204"/>
      <c r="AB162" s="1204"/>
      <c r="AC162" s="1204"/>
      <c r="AD162" s="1204"/>
      <c r="AE162" s="1204"/>
      <c r="AF162" s="1204"/>
      <c r="AG162" s="1204"/>
      <c r="AH162" s="1204"/>
      <c r="AI162" s="1204"/>
      <c r="AJ162" s="1204"/>
      <c r="AK162" s="1204"/>
      <c r="AL162" s="1204"/>
      <c r="AM162" s="1204"/>
      <c r="AN162" s="1204"/>
      <c r="AO162" s="1204"/>
      <c r="AP162" s="1204"/>
      <c r="AQ162" s="1204"/>
      <c r="AR162" s="1204"/>
      <c r="AS162" s="1204"/>
      <c r="AT162" s="1204"/>
      <c r="AU162" s="1204"/>
      <c r="AV162" s="1204"/>
      <c r="AW162" s="1204"/>
    </row>
    <row r="163" spans="1:49">
      <c r="A163" s="1203" t="s">
        <v>580</v>
      </c>
      <c r="B163" s="1204"/>
      <c r="C163" s="1204"/>
      <c r="D163" s="1204"/>
      <c r="E163" s="1204"/>
      <c r="F163" s="1204"/>
      <c r="G163" s="1204"/>
      <c r="H163" s="1204"/>
      <c r="I163" s="1204"/>
      <c r="J163" s="1204"/>
      <c r="W163" s="1204"/>
      <c r="X163" s="1204"/>
      <c r="Y163" s="1204"/>
      <c r="Z163" s="1204"/>
      <c r="AA163" s="1204"/>
      <c r="AB163" s="1204"/>
      <c r="AC163" s="1204"/>
      <c r="AD163" s="1204"/>
      <c r="AE163" s="1204"/>
      <c r="AF163" s="1204"/>
      <c r="AG163" s="1204"/>
      <c r="AH163" s="1204"/>
      <c r="AI163" s="1204"/>
      <c r="AJ163" s="1204"/>
      <c r="AK163" s="1204"/>
      <c r="AL163" s="1204"/>
      <c r="AM163" s="1204"/>
      <c r="AN163" s="1204"/>
      <c r="AO163" s="1204"/>
      <c r="AP163" s="1204"/>
      <c r="AQ163" s="1204"/>
      <c r="AR163" s="1204"/>
      <c r="AS163" s="1204"/>
      <c r="AT163" s="1204"/>
      <c r="AU163" s="1204"/>
      <c r="AV163" s="1204"/>
      <c r="AW163" s="1204">
        <v>143.447</v>
      </c>
    </row>
    <row r="164" spans="1:49">
      <c r="A164" s="1203" t="s">
        <v>581</v>
      </c>
      <c r="B164" s="1204">
        <v>0</v>
      </c>
      <c r="C164" s="1204">
        <v>1.6830000000000001</v>
      </c>
      <c r="D164" s="1204">
        <v>2.5000000000000001E-2</v>
      </c>
      <c r="E164" s="1204">
        <v>0</v>
      </c>
      <c r="F164" s="1204">
        <v>62.609000000000002</v>
      </c>
      <c r="G164" s="1204">
        <v>80.918000000000006</v>
      </c>
      <c r="H164" s="1204">
        <v>122.369</v>
      </c>
      <c r="I164" s="1204">
        <v>234.529</v>
      </c>
      <c r="J164" s="1204"/>
      <c r="W164" s="1204"/>
      <c r="X164" s="1204"/>
      <c r="Y164" s="1204">
        <v>2.5000000000000001E-2</v>
      </c>
      <c r="Z164" s="1204">
        <v>8.0000000000000002E-3</v>
      </c>
      <c r="AA164" s="1204">
        <v>0.107</v>
      </c>
      <c r="AB164" s="1204">
        <v>17.917999999999999</v>
      </c>
      <c r="AC164" s="1204">
        <v>0</v>
      </c>
      <c r="AD164" s="1204">
        <v>24.507000000000001</v>
      </c>
      <c r="AE164" s="1204">
        <v>31.484000000000002</v>
      </c>
      <c r="AF164" s="1204">
        <v>53.563000000000002</v>
      </c>
      <c r="AG164" s="1204">
        <v>62.609000000000002</v>
      </c>
      <c r="AH164" s="1204">
        <v>65.2</v>
      </c>
      <c r="AI164" s="1204">
        <v>62.368000000000002</v>
      </c>
      <c r="AJ164" s="1204">
        <v>67.19</v>
      </c>
      <c r="AK164" s="1204">
        <v>80.918000000000006</v>
      </c>
      <c r="AL164" s="1204">
        <v>82.888999999999996</v>
      </c>
      <c r="AM164" s="1204">
        <v>84.394999999999996</v>
      </c>
      <c r="AN164" s="1204">
        <v>118.804</v>
      </c>
      <c r="AO164" s="1204">
        <v>122.369</v>
      </c>
      <c r="AP164" s="1204">
        <v>123.078</v>
      </c>
      <c r="AQ164" s="1204">
        <v>146.071</v>
      </c>
      <c r="AR164" s="1204">
        <v>178.29300000000001</v>
      </c>
      <c r="AS164" s="1204">
        <v>234.529</v>
      </c>
      <c r="AT164" s="1204">
        <v>239.876</v>
      </c>
      <c r="AU164" s="1204">
        <v>236.62299999999999</v>
      </c>
      <c r="AV164" s="1204">
        <v>278.80099999999999</v>
      </c>
      <c r="AW164" s="1204">
        <v>292.77699999999999</v>
      </c>
    </row>
    <row r="165" spans="1:49">
      <c r="A165" s="1203" t="s">
        <v>582</v>
      </c>
      <c r="B165" s="1204">
        <v>1.89269</v>
      </c>
      <c r="C165" s="1204">
        <v>96.802999999999997</v>
      </c>
      <c r="D165" s="1204">
        <v>94.903999999999996</v>
      </c>
      <c r="E165" s="1204">
        <v>108.081</v>
      </c>
      <c r="F165" s="1204">
        <v>211.65899999999999</v>
      </c>
      <c r="G165" s="1204">
        <v>243.601</v>
      </c>
      <c r="H165" s="1204">
        <v>282.221</v>
      </c>
      <c r="I165" s="1204">
        <v>447.416</v>
      </c>
      <c r="J165" s="1204"/>
      <c r="W165" s="1204"/>
      <c r="X165" s="1204"/>
      <c r="Y165" s="1204">
        <v>94.903999999999996</v>
      </c>
      <c r="Z165" s="1204">
        <v>6.8000000000000005E-2</v>
      </c>
      <c r="AA165" s="1204">
        <v>131.83600000000001</v>
      </c>
      <c r="AB165" s="1204">
        <v>17.928000000000001</v>
      </c>
      <c r="AC165" s="1204">
        <v>0.158</v>
      </c>
      <c r="AD165" s="1204">
        <v>24.667999999999999</v>
      </c>
      <c r="AE165" s="1204">
        <v>31.73</v>
      </c>
      <c r="AF165" s="1204">
        <v>53.72</v>
      </c>
      <c r="AG165" s="1204">
        <v>62.712000000000003</v>
      </c>
      <c r="AH165" s="1204">
        <v>65.233000000000004</v>
      </c>
      <c r="AI165" s="1204">
        <v>62.78</v>
      </c>
      <c r="AJ165" s="1204">
        <v>67.884</v>
      </c>
      <c r="AK165" s="1204">
        <v>81.272999999999996</v>
      </c>
      <c r="AL165" s="1204">
        <v>83.251000000000005</v>
      </c>
      <c r="AM165" s="1204">
        <v>84.686999999999998</v>
      </c>
      <c r="AN165" s="1204">
        <v>119.04900000000001</v>
      </c>
      <c r="AO165" s="1204">
        <v>122.82899999999999</v>
      </c>
      <c r="AP165" s="1204">
        <v>123.617</v>
      </c>
      <c r="AQ165" s="1204">
        <v>147.18299999999999</v>
      </c>
      <c r="AR165" s="1204">
        <v>179.07300000000001</v>
      </c>
      <c r="AS165" s="1204">
        <v>234.79900000000001</v>
      </c>
      <c r="AT165" s="1204">
        <v>256.28100000000001</v>
      </c>
      <c r="AU165" s="1204">
        <v>309.09199999999998</v>
      </c>
      <c r="AV165" s="1204">
        <v>344.31</v>
      </c>
      <c r="AW165" s="1204">
        <v>482.96100000000001</v>
      </c>
    </row>
    <row r="166" spans="1:49">
      <c r="A166" s="1205" t="s">
        <v>583</v>
      </c>
      <c r="B166" s="1204">
        <v>1399.3453300000001</v>
      </c>
      <c r="C166" s="1204">
        <v>1251.3240000000001</v>
      </c>
      <c r="D166" s="1204">
        <v>1108.086</v>
      </c>
      <c r="E166" s="1204">
        <v>938.53700000000003</v>
      </c>
      <c r="F166" s="1204">
        <v>1150.241</v>
      </c>
      <c r="G166" s="1204">
        <v>1767.191</v>
      </c>
      <c r="H166" s="1204">
        <v>1980.9</v>
      </c>
      <c r="I166" s="1204">
        <v>1906.779</v>
      </c>
      <c r="J166" s="1204"/>
      <c r="W166" s="1204"/>
      <c r="X166" s="1204"/>
      <c r="Y166" s="1204">
        <v>1108.086</v>
      </c>
      <c r="Z166" s="1204">
        <v>1092.021</v>
      </c>
      <c r="AA166" s="1204">
        <v>1243.1469999999999</v>
      </c>
      <c r="AB166" s="1204">
        <v>1089.5319999999999</v>
      </c>
      <c r="AC166" s="1204">
        <v>938.53700000000003</v>
      </c>
      <c r="AD166" s="1204">
        <v>853.36300000000006</v>
      </c>
      <c r="AE166" s="1204">
        <v>1003.54</v>
      </c>
      <c r="AF166" s="1204">
        <v>1079.9880000000001</v>
      </c>
      <c r="AG166" s="1204">
        <v>1150.241</v>
      </c>
      <c r="AH166" s="1204">
        <v>1082.1859999999999</v>
      </c>
      <c r="AI166" s="1204">
        <v>1178.431</v>
      </c>
      <c r="AJ166" s="1204">
        <v>1059.1880000000001</v>
      </c>
      <c r="AK166" s="1204">
        <v>1767.191</v>
      </c>
      <c r="AL166" s="1204">
        <v>1989.92</v>
      </c>
      <c r="AM166" s="1204">
        <v>1912.241</v>
      </c>
      <c r="AN166" s="1204">
        <v>1941.704</v>
      </c>
      <c r="AO166" s="1204">
        <v>1980.9</v>
      </c>
      <c r="AP166" s="1204">
        <v>1640.5920000000001</v>
      </c>
      <c r="AQ166" s="1204">
        <v>1900.836</v>
      </c>
      <c r="AR166" s="1204">
        <v>1806.336</v>
      </c>
      <c r="AS166" s="1204">
        <v>1906.779</v>
      </c>
      <c r="AT166" s="1204">
        <v>1919.885</v>
      </c>
      <c r="AU166" s="1204">
        <v>2402.3389999999999</v>
      </c>
      <c r="AV166" s="1204">
        <v>2486.8719999999998</v>
      </c>
      <c r="AW166" s="1204">
        <v>2859.2280000000001</v>
      </c>
    </row>
    <row r="167" spans="1:49">
      <c r="A167" s="1206" t="s">
        <v>584</v>
      </c>
      <c r="B167" s="1204">
        <v>234.92328000000001</v>
      </c>
      <c r="C167" s="1204">
        <v>103.93899999999999</v>
      </c>
      <c r="D167" s="1204">
        <v>532.83500000000004</v>
      </c>
      <c r="E167" s="1204">
        <v>781.53800000000001</v>
      </c>
      <c r="F167" s="1204">
        <v>1127.173</v>
      </c>
      <c r="G167" s="1204">
        <v>909.24300000000005</v>
      </c>
      <c r="H167" s="1204">
        <v>2338.2150000000001</v>
      </c>
      <c r="I167" s="1204">
        <v>2872.44</v>
      </c>
      <c r="J167" s="1204"/>
      <c r="W167" s="1204"/>
      <c r="X167" s="1204"/>
      <c r="Y167" s="1204">
        <v>532.83500000000004</v>
      </c>
      <c r="Z167" s="1204">
        <v>433.58800000000002</v>
      </c>
      <c r="AA167" s="1204">
        <v>479.68099999999998</v>
      </c>
      <c r="AB167" s="1204">
        <v>558.86400000000003</v>
      </c>
      <c r="AC167" s="1204">
        <v>781.53800000000001</v>
      </c>
      <c r="AD167" s="1204">
        <v>694.22400000000005</v>
      </c>
      <c r="AE167" s="1204">
        <v>782.83699999999999</v>
      </c>
      <c r="AF167" s="1204">
        <v>572.36199999999997</v>
      </c>
      <c r="AG167" s="1204">
        <v>1127.173</v>
      </c>
      <c r="AH167" s="1204">
        <v>913.73099999999999</v>
      </c>
      <c r="AI167" s="1204">
        <v>963.81399999999996</v>
      </c>
      <c r="AJ167" s="1204">
        <v>990.61500000000001</v>
      </c>
      <c r="AK167" s="1204">
        <v>909.24300000000005</v>
      </c>
      <c r="AL167" s="1204">
        <v>1148.721</v>
      </c>
      <c r="AM167" s="1204">
        <v>1950.501</v>
      </c>
      <c r="AN167" s="1204">
        <v>2349.2689999999998</v>
      </c>
      <c r="AO167" s="1204">
        <v>2338.2150000000001</v>
      </c>
      <c r="AP167" s="1204">
        <v>2479.877</v>
      </c>
      <c r="AQ167" s="1204">
        <v>2573.8159999999998</v>
      </c>
      <c r="AR167" s="1204">
        <v>2700.4960000000001</v>
      </c>
      <c r="AS167" s="1204">
        <v>2872.44</v>
      </c>
      <c r="AT167" s="1204">
        <v>2882.5439999999999</v>
      </c>
      <c r="AU167" s="1204">
        <v>2441.1669999999999</v>
      </c>
      <c r="AV167" s="1204">
        <v>2378.3290000000002</v>
      </c>
      <c r="AW167" s="1204">
        <v>2179.355</v>
      </c>
    </row>
    <row r="168" spans="1:49">
      <c r="A168" s="1203" t="s">
        <v>585</v>
      </c>
      <c r="B168" s="1204"/>
      <c r="C168" s="1204"/>
      <c r="D168" s="1204"/>
      <c r="E168" s="1204"/>
      <c r="F168" s="1204"/>
      <c r="G168" s="1204"/>
      <c r="H168" s="1204"/>
      <c r="I168" s="1204"/>
      <c r="J168" s="1204"/>
      <c r="W168" s="1204"/>
      <c r="X168" s="1204"/>
      <c r="Y168" s="1204"/>
      <c r="Z168" s="1204"/>
      <c r="AA168" s="1204"/>
      <c r="AB168" s="1204"/>
      <c r="AC168" s="1204"/>
      <c r="AD168" s="1204"/>
      <c r="AE168" s="1204"/>
      <c r="AF168" s="1204"/>
      <c r="AG168" s="1204"/>
      <c r="AH168" s="1204"/>
      <c r="AI168" s="1204"/>
      <c r="AJ168" s="1204"/>
      <c r="AK168" s="1204"/>
      <c r="AL168" s="1204"/>
      <c r="AM168" s="1204"/>
      <c r="AN168" s="1204"/>
      <c r="AO168" s="1204"/>
      <c r="AP168" s="1204"/>
      <c r="AQ168" s="1204"/>
      <c r="AR168" s="1204"/>
      <c r="AS168" s="1204"/>
      <c r="AT168" s="1204"/>
      <c r="AU168" s="1204"/>
      <c r="AV168" s="1204"/>
      <c r="AW168" s="1204"/>
    </row>
    <row r="169" spans="1:49">
      <c r="A169" s="1203" t="s">
        <v>586</v>
      </c>
      <c r="B169" s="1204">
        <v>234.92328000000001</v>
      </c>
      <c r="C169" s="1204">
        <v>103.93899999999999</v>
      </c>
      <c r="D169" s="1204">
        <v>532.83500000000004</v>
      </c>
      <c r="E169" s="1204">
        <v>781.53800000000001</v>
      </c>
      <c r="F169" s="1204">
        <v>1127.173</v>
      </c>
      <c r="G169" s="1204">
        <v>909.24300000000005</v>
      </c>
      <c r="H169" s="1204">
        <v>2338.2150000000001</v>
      </c>
      <c r="I169" s="1204">
        <v>2872.44</v>
      </c>
      <c r="J169" s="1204"/>
      <c r="W169" s="1204"/>
      <c r="X169" s="1204"/>
      <c r="Y169" s="1204">
        <v>532.83500000000004</v>
      </c>
      <c r="Z169" s="1204">
        <v>433.58800000000002</v>
      </c>
      <c r="AA169" s="1204">
        <v>479.68099999999998</v>
      </c>
      <c r="AB169" s="1204">
        <v>558.86400000000003</v>
      </c>
      <c r="AC169" s="1204">
        <v>781.53800000000001</v>
      </c>
      <c r="AD169" s="1204">
        <v>694.22400000000005</v>
      </c>
      <c r="AE169" s="1204">
        <v>782.83699999999999</v>
      </c>
      <c r="AF169" s="1204">
        <v>572.36199999999997</v>
      </c>
      <c r="AG169" s="1204">
        <v>1127.173</v>
      </c>
      <c r="AH169" s="1204">
        <v>913.73099999999999</v>
      </c>
      <c r="AI169" s="1204">
        <v>963.81399999999996</v>
      </c>
      <c r="AJ169" s="1204">
        <v>990.61500000000001</v>
      </c>
      <c r="AK169" s="1204">
        <v>909.24300000000005</v>
      </c>
      <c r="AL169" s="1204">
        <v>1148.721</v>
      </c>
      <c r="AM169" s="1204">
        <v>1950.501</v>
      </c>
      <c r="AN169" s="1204">
        <v>2349.2689999999998</v>
      </c>
      <c r="AO169" s="1204">
        <v>2338.2150000000001</v>
      </c>
      <c r="AP169" s="1204">
        <v>2479.877</v>
      </c>
      <c r="AQ169" s="1204">
        <v>2573.8159999999998</v>
      </c>
      <c r="AR169" s="1204">
        <v>2700.4960000000001</v>
      </c>
      <c r="AS169" s="1204">
        <v>2872.44</v>
      </c>
      <c r="AT169" s="1204">
        <v>2882.5439999999999</v>
      </c>
      <c r="AU169" s="1204">
        <v>2441.1669999999999</v>
      </c>
      <c r="AV169" s="1204">
        <v>2378.3290000000002</v>
      </c>
      <c r="AW169" s="1204">
        <v>2179.355</v>
      </c>
    </row>
    <row r="170" spans="1:49">
      <c r="A170" s="1205" t="s">
        <v>587</v>
      </c>
      <c r="B170" s="1204">
        <v>969.81196</v>
      </c>
      <c r="C170" s="1204">
        <v>932.09500000000003</v>
      </c>
      <c r="D170" s="1204">
        <v>1130.0119999999999</v>
      </c>
      <c r="E170" s="1204">
        <v>1172.085</v>
      </c>
      <c r="F170" s="1204">
        <v>1289.2270000000001</v>
      </c>
      <c r="G170" s="1204">
        <v>1414.943</v>
      </c>
      <c r="H170" s="1204">
        <v>3025.2829999999999</v>
      </c>
      <c r="I170" s="1204">
        <v>3313.0479999999998</v>
      </c>
      <c r="J170" s="1204"/>
      <c r="W170" s="1204"/>
      <c r="X170" s="1204"/>
      <c r="Y170" s="1204">
        <v>1130.0119999999999</v>
      </c>
      <c r="Z170" s="1204">
        <v>992.61</v>
      </c>
      <c r="AA170" s="1204">
        <v>1080.8969999999999</v>
      </c>
      <c r="AB170" s="1204">
        <v>1122.144</v>
      </c>
      <c r="AC170" s="1204">
        <v>1172.085</v>
      </c>
      <c r="AD170" s="1204">
        <v>1007.415</v>
      </c>
      <c r="AE170" s="1204">
        <v>1148.106</v>
      </c>
      <c r="AF170" s="1204">
        <v>949.34</v>
      </c>
      <c r="AG170" s="1204">
        <v>1289.2270000000001</v>
      </c>
      <c r="AH170" s="1204">
        <v>1106.5060000000001</v>
      </c>
      <c r="AI170" s="1204">
        <v>1083.5409999999999</v>
      </c>
      <c r="AJ170" s="1204">
        <v>1048.114</v>
      </c>
      <c r="AK170" s="1204">
        <v>1414.943</v>
      </c>
      <c r="AL170" s="1204">
        <v>1670.2629999999999</v>
      </c>
      <c r="AM170" s="1204">
        <v>2531.7570000000001</v>
      </c>
      <c r="AN170" s="1204">
        <v>2908.7330000000002</v>
      </c>
      <c r="AO170" s="1204">
        <v>3025.2829999999999</v>
      </c>
      <c r="AP170" s="1204">
        <v>2771.9470000000001</v>
      </c>
      <c r="AQ170" s="1204">
        <v>2879.7139999999999</v>
      </c>
      <c r="AR170" s="1204">
        <v>3137.8710000000001</v>
      </c>
      <c r="AS170" s="1204">
        <v>3313.0479999999998</v>
      </c>
      <c r="AT170" s="1204">
        <v>3405.9780000000001</v>
      </c>
      <c r="AU170" s="1204">
        <v>3448.297</v>
      </c>
      <c r="AV170" s="1204">
        <v>3323.98</v>
      </c>
      <c r="AW170" s="1204">
        <v>3426.1579999999999</v>
      </c>
    </row>
    <row r="171" spans="1:49">
      <c r="A171" s="1206" t="s">
        <v>588</v>
      </c>
      <c r="B171" s="1204">
        <v>1.09426</v>
      </c>
      <c r="C171" s="1204">
        <v>1.333</v>
      </c>
      <c r="D171" s="1204">
        <v>0.44</v>
      </c>
      <c r="E171" s="1204">
        <v>0.16700000000000001</v>
      </c>
      <c r="F171" s="1204">
        <v>6.9000000000000006E-2</v>
      </c>
      <c r="G171" s="1204">
        <v>7.2930000000000001</v>
      </c>
      <c r="H171" s="1204">
        <v>15.382</v>
      </c>
      <c r="I171" s="1204">
        <v>16.411999999999999</v>
      </c>
      <c r="J171" s="1204"/>
      <c r="W171" s="1204"/>
      <c r="X171" s="1204"/>
      <c r="Y171" s="1204">
        <v>0.44</v>
      </c>
      <c r="Z171" s="1204">
        <v>0.314</v>
      </c>
      <c r="AA171" s="1204">
        <v>0.25700000000000001</v>
      </c>
      <c r="AB171" s="1204">
        <v>0.20699999999999999</v>
      </c>
      <c r="AC171" s="1204">
        <v>0.16700000000000001</v>
      </c>
      <c r="AD171" s="1204">
        <v>0.16700000000000001</v>
      </c>
      <c r="AE171" s="1204">
        <v>0.122</v>
      </c>
      <c r="AF171" s="1204">
        <v>0.122</v>
      </c>
      <c r="AG171" s="1204">
        <v>6.9000000000000006E-2</v>
      </c>
      <c r="AH171" s="1204">
        <v>6.9000000000000006E-2</v>
      </c>
      <c r="AI171" s="1204">
        <v>1.383</v>
      </c>
      <c r="AJ171" s="1204">
        <v>2.048</v>
      </c>
      <c r="AK171" s="1204">
        <v>7.2930000000000001</v>
      </c>
      <c r="AL171" s="1204">
        <v>7.6159999999999997</v>
      </c>
      <c r="AM171" s="1204">
        <v>8.1259999999999994</v>
      </c>
      <c r="AN171" s="1204">
        <v>24.541</v>
      </c>
      <c r="AO171" s="1204">
        <v>15.382</v>
      </c>
      <c r="AP171" s="1204">
        <v>15.987</v>
      </c>
      <c r="AQ171" s="1204">
        <v>18.353000000000002</v>
      </c>
      <c r="AR171" s="1204">
        <v>13.28</v>
      </c>
      <c r="AS171" s="1204">
        <v>16.411999999999999</v>
      </c>
      <c r="AT171" s="1204">
        <v>15.554</v>
      </c>
      <c r="AU171" s="1204">
        <v>15.244999999999999</v>
      </c>
      <c r="AV171" s="1204">
        <v>15.372999999999999</v>
      </c>
      <c r="AW171" s="1204">
        <v>1.639</v>
      </c>
    </row>
    <row r="172" spans="1:49">
      <c r="A172" s="1203" t="s">
        <v>589</v>
      </c>
      <c r="B172" s="1204">
        <v>1.09426</v>
      </c>
      <c r="C172" s="1204">
        <v>1.333</v>
      </c>
      <c r="D172" s="1204">
        <v>0.44</v>
      </c>
      <c r="E172" s="1204">
        <v>0.16700000000000001</v>
      </c>
      <c r="F172" s="1204">
        <v>6.9000000000000006E-2</v>
      </c>
      <c r="G172" s="1204">
        <v>7.2930000000000001</v>
      </c>
      <c r="H172" s="1204">
        <v>15.382</v>
      </c>
      <c r="I172" s="1204">
        <v>16.411999999999999</v>
      </c>
      <c r="J172" s="1204"/>
      <c r="W172" s="1204"/>
      <c r="X172" s="1204"/>
      <c r="Y172" s="1204">
        <v>0.44</v>
      </c>
      <c r="Z172" s="1204">
        <v>0.314</v>
      </c>
      <c r="AA172" s="1204">
        <v>0.25700000000000001</v>
      </c>
      <c r="AB172" s="1204">
        <v>0.20699999999999999</v>
      </c>
      <c r="AC172" s="1204">
        <v>0.16700000000000001</v>
      </c>
      <c r="AD172" s="1204">
        <v>0.16700000000000001</v>
      </c>
      <c r="AE172" s="1204">
        <v>0.122</v>
      </c>
      <c r="AF172" s="1204">
        <v>0.122</v>
      </c>
      <c r="AG172" s="1204">
        <v>6.9000000000000006E-2</v>
      </c>
      <c r="AH172" s="1204">
        <v>6.9000000000000006E-2</v>
      </c>
      <c r="AI172" s="1204">
        <v>1.383</v>
      </c>
      <c r="AJ172" s="1204">
        <v>2.048</v>
      </c>
      <c r="AK172" s="1204">
        <v>7.2930000000000001</v>
      </c>
      <c r="AL172" s="1204">
        <v>7.6159999999999997</v>
      </c>
      <c r="AM172" s="1204">
        <v>8.1259999999999994</v>
      </c>
      <c r="AN172" s="1204">
        <v>24.541</v>
      </c>
      <c r="AO172" s="1204">
        <v>15.382</v>
      </c>
      <c r="AP172" s="1204">
        <v>15.987</v>
      </c>
      <c r="AQ172" s="1204">
        <v>18.353000000000002</v>
      </c>
      <c r="AR172" s="1204">
        <v>13.28</v>
      </c>
      <c r="AS172" s="1204">
        <v>16.411999999999999</v>
      </c>
      <c r="AT172" s="1204">
        <v>15.554</v>
      </c>
      <c r="AU172" s="1204">
        <v>15.244999999999999</v>
      </c>
      <c r="AV172" s="1204">
        <v>15.372999999999999</v>
      </c>
      <c r="AW172" s="1204">
        <v>1.639</v>
      </c>
    </row>
    <row r="173" spans="1:49">
      <c r="A173" s="1205" t="s">
        <v>589</v>
      </c>
      <c r="B173" s="1204">
        <v>39.004170000000002</v>
      </c>
      <c r="C173" s="1204">
        <v>1.1819999999999999</v>
      </c>
      <c r="D173" s="1204">
        <v>0.95199999999999996</v>
      </c>
      <c r="E173" s="1204">
        <v>109.41</v>
      </c>
      <c r="F173" s="1204">
        <v>359.30700000000002</v>
      </c>
      <c r="G173" s="1204">
        <v>460.399</v>
      </c>
      <c r="H173" s="1204">
        <v>1252.5530000000001</v>
      </c>
      <c r="I173" s="1204">
        <v>1488.3019999999999</v>
      </c>
      <c r="J173" s="1204"/>
      <c r="W173" s="1204"/>
      <c r="X173" s="1204"/>
      <c r="Y173" s="1204">
        <v>0.95199999999999996</v>
      </c>
      <c r="Z173" s="1204">
        <v>0.86</v>
      </c>
      <c r="AA173" s="1204">
        <v>0.78900000000000003</v>
      </c>
      <c r="AB173" s="1204">
        <v>109.238</v>
      </c>
      <c r="AC173" s="1204">
        <v>109.41</v>
      </c>
      <c r="AD173" s="1204">
        <v>108.336</v>
      </c>
      <c r="AE173" s="1204">
        <v>108.715</v>
      </c>
      <c r="AF173" s="1204">
        <v>109.872</v>
      </c>
      <c r="AG173" s="1204">
        <v>359.30700000000002</v>
      </c>
      <c r="AH173" s="1204">
        <v>355.41899999999998</v>
      </c>
      <c r="AI173" s="1204">
        <v>350.25400000000002</v>
      </c>
      <c r="AJ173" s="1204">
        <v>336.601</v>
      </c>
      <c r="AK173" s="1204">
        <v>460.399</v>
      </c>
      <c r="AL173" s="1204">
        <v>450.79399999999998</v>
      </c>
      <c r="AM173" s="1204">
        <v>1083.69</v>
      </c>
      <c r="AN173" s="1204">
        <v>1248.925</v>
      </c>
      <c r="AO173" s="1204">
        <v>1252.5530000000001</v>
      </c>
      <c r="AP173" s="1204">
        <v>1247.2429999999999</v>
      </c>
      <c r="AQ173" s="1204">
        <v>1244.6869999999999</v>
      </c>
      <c r="AR173" s="1204">
        <v>1250.2639999999999</v>
      </c>
      <c r="AS173" s="1204">
        <v>1488.3019999999999</v>
      </c>
      <c r="AT173" s="1204">
        <v>1487.05</v>
      </c>
      <c r="AU173" s="1204">
        <v>1975.2850000000001</v>
      </c>
      <c r="AV173" s="1204">
        <v>1956.191</v>
      </c>
      <c r="AW173" s="1204">
        <v>2905.7660000000001</v>
      </c>
    </row>
    <row r="174" spans="1:49">
      <c r="A174" s="1205" t="s">
        <v>491</v>
      </c>
      <c r="B174" s="1204"/>
      <c r="C174" s="1204"/>
      <c r="D174" s="1204"/>
      <c r="E174" s="1204"/>
      <c r="F174" s="1204"/>
      <c r="G174" s="1204"/>
      <c r="H174" s="1204"/>
      <c r="I174" s="1204"/>
      <c r="J174" s="1204"/>
      <c r="W174" s="1204"/>
      <c r="X174" s="1204"/>
      <c r="Y174" s="1204"/>
      <c r="Z174" s="1204"/>
      <c r="AA174" s="1204"/>
      <c r="AB174" s="1204"/>
      <c r="AC174" s="1204"/>
      <c r="AD174" s="1204"/>
      <c r="AE174" s="1204"/>
      <c r="AF174" s="1204"/>
      <c r="AG174" s="1204"/>
      <c r="AH174" s="1204"/>
      <c r="AI174" s="1204"/>
      <c r="AJ174" s="1204"/>
      <c r="AK174" s="1204"/>
      <c r="AL174" s="1204"/>
      <c r="AM174" s="1204"/>
      <c r="AN174" s="1204"/>
      <c r="AO174" s="1204"/>
      <c r="AP174" s="1204"/>
      <c r="AQ174" s="1204"/>
      <c r="AR174" s="1204"/>
      <c r="AS174" s="1204"/>
      <c r="AT174" s="1204"/>
      <c r="AU174" s="1204"/>
      <c r="AV174" s="1204"/>
      <c r="AW174" s="1204"/>
    </row>
    <row r="175" spans="1:49">
      <c r="A175" s="1203" t="s">
        <v>590</v>
      </c>
      <c r="B175" s="1204"/>
      <c r="C175" s="1204"/>
      <c r="D175" s="1204"/>
      <c r="E175" s="1204"/>
      <c r="F175" s="1204"/>
      <c r="G175" s="1204"/>
      <c r="H175" s="1204"/>
      <c r="I175" s="1204"/>
      <c r="J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row>
    <row r="176" spans="1:49">
      <c r="A176" s="1203" t="s">
        <v>591</v>
      </c>
      <c r="B176" s="1204">
        <v>58.788809999999998</v>
      </c>
      <c r="C176" s="1204">
        <v>125.33499999999999</v>
      </c>
      <c r="D176" s="1204">
        <v>155.34700000000001</v>
      </c>
      <c r="E176" s="1204">
        <v>209.96799999999999</v>
      </c>
      <c r="F176" s="1204">
        <v>184.17400000000001</v>
      </c>
      <c r="G176" s="1204">
        <v>241.36500000000001</v>
      </c>
      <c r="H176" s="1204">
        <v>377.55399999999997</v>
      </c>
      <c r="I176" s="1204">
        <v>401.48500000000001</v>
      </c>
      <c r="J176" s="1204"/>
      <c r="W176" s="1204"/>
      <c r="X176" s="1204"/>
      <c r="Y176" s="1204">
        <v>155.34700000000001</v>
      </c>
      <c r="Z176" s="1204">
        <v>176.98699999999999</v>
      </c>
      <c r="AA176" s="1204">
        <v>174.876</v>
      </c>
      <c r="AB176" s="1204">
        <v>213.09800000000001</v>
      </c>
      <c r="AC176" s="1204">
        <v>209.96799999999999</v>
      </c>
      <c r="AD176" s="1204">
        <v>200.85</v>
      </c>
      <c r="AE176" s="1204">
        <v>192.32499999999999</v>
      </c>
      <c r="AF176" s="1204">
        <v>190.691</v>
      </c>
      <c r="AG176" s="1204">
        <v>184.17400000000001</v>
      </c>
      <c r="AH176" s="1204">
        <v>180.91300000000001</v>
      </c>
      <c r="AI176" s="1204">
        <v>175.37100000000001</v>
      </c>
      <c r="AJ176" s="1204">
        <v>212.065</v>
      </c>
      <c r="AK176" s="1204">
        <v>241.36500000000001</v>
      </c>
      <c r="AL176" s="1204">
        <v>208.911</v>
      </c>
      <c r="AM176" s="1204">
        <v>223.97200000000001</v>
      </c>
      <c r="AN176" s="1204">
        <v>377.31099999999998</v>
      </c>
      <c r="AO176" s="1204">
        <v>377.55399999999997</v>
      </c>
      <c r="AP176" s="1204">
        <v>334.76900000000001</v>
      </c>
      <c r="AQ176" s="1204">
        <v>363.56099999999998</v>
      </c>
      <c r="AR176" s="1204">
        <v>337.83600000000001</v>
      </c>
      <c r="AS176" s="1204">
        <v>401.48500000000001</v>
      </c>
      <c r="AT176" s="1204">
        <v>422.95499999999998</v>
      </c>
      <c r="AU176" s="1204">
        <v>410.34199999999998</v>
      </c>
      <c r="AV176" s="1204">
        <v>517.70699999999999</v>
      </c>
      <c r="AW176" s="1204">
        <v>460.51799999999997</v>
      </c>
    </row>
    <row r="177" spans="1:49">
      <c r="A177" s="1203" t="s">
        <v>592</v>
      </c>
      <c r="B177" s="1204"/>
      <c r="C177" s="1204"/>
      <c r="D177" s="1204"/>
      <c r="E177" s="1204"/>
      <c r="F177" s="1204"/>
      <c r="G177" s="1204"/>
      <c r="H177" s="1204"/>
      <c r="I177" s="1204"/>
      <c r="J177" s="1204"/>
      <c r="W177" s="1204"/>
      <c r="X177" s="1204"/>
      <c r="Y177" s="1204"/>
      <c r="Z177" s="1204"/>
      <c r="AA177" s="1204"/>
      <c r="AB177" s="1204"/>
      <c r="AC177" s="1204"/>
      <c r="AD177" s="1204"/>
      <c r="AE177" s="1204"/>
      <c r="AF177" s="1204"/>
      <c r="AG177" s="1204"/>
      <c r="AH177" s="1204"/>
      <c r="AI177" s="1204"/>
      <c r="AJ177" s="1204"/>
      <c r="AK177" s="1204"/>
      <c r="AL177" s="1204"/>
      <c r="AM177" s="1204"/>
      <c r="AN177" s="1204"/>
      <c r="AO177" s="1204"/>
      <c r="AP177" s="1204"/>
      <c r="AQ177" s="1204"/>
      <c r="AR177" s="1204"/>
      <c r="AS177" s="1204"/>
      <c r="AT177" s="1204"/>
      <c r="AU177" s="1204"/>
      <c r="AV177" s="1204"/>
      <c r="AW177" s="1204"/>
    </row>
    <row r="178" spans="1:49">
      <c r="A178" s="1203" t="s">
        <v>593</v>
      </c>
      <c r="B178" s="1204"/>
      <c r="C178" s="1204"/>
      <c r="D178" s="1204"/>
      <c r="E178" s="1204"/>
      <c r="F178" s="1204"/>
      <c r="G178" s="1204"/>
      <c r="H178" s="1204"/>
      <c r="I178" s="1204"/>
      <c r="J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row>
    <row r="179" spans="1:49">
      <c r="A179" s="1203" t="s">
        <v>594</v>
      </c>
      <c r="B179" s="1204">
        <v>58.788809999999998</v>
      </c>
      <c r="C179" s="1204">
        <v>125.33499999999999</v>
      </c>
      <c r="D179" s="1204">
        <v>155.34700000000001</v>
      </c>
      <c r="E179" s="1204">
        <v>209.96799999999999</v>
      </c>
      <c r="F179" s="1204">
        <v>184.17400000000001</v>
      </c>
      <c r="G179" s="1204">
        <v>241.36500000000001</v>
      </c>
      <c r="H179" s="1204">
        <v>377.55399999999997</v>
      </c>
      <c r="I179" s="1204">
        <v>401.48500000000001</v>
      </c>
      <c r="J179" s="1204"/>
      <c r="W179" s="1204"/>
      <c r="X179" s="1204"/>
      <c r="Y179" s="1204">
        <v>155.34700000000001</v>
      </c>
      <c r="Z179" s="1204">
        <v>176.98699999999999</v>
      </c>
      <c r="AA179" s="1204">
        <v>174.876</v>
      </c>
      <c r="AB179" s="1204">
        <v>213.09800000000001</v>
      </c>
      <c r="AC179" s="1204">
        <v>209.96799999999999</v>
      </c>
      <c r="AD179" s="1204">
        <v>200.85</v>
      </c>
      <c r="AE179" s="1204">
        <v>192.32499999999999</v>
      </c>
      <c r="AF179" s="1204">
        <v>190.691</v>
      </c>
      <c r="AG179" s="1204">
        <v>184.17400000000001</v>
      </c>
      <c r="AH179" s="1204">
        <v>180.91300000000001</v>
      </c>
      <c r="AI179" s="1204">
        <v>175.37100000000001</v>
      </c>
      <c r="AJ179" s="1204">
        <v>212.065</v>
      </c>
      <c r="AK179" s="1204">
        <v>241.36500000000001</v>
      </c>
      <c r="AL179" s="1204">
        <v>208.911</v>
      </c>
      <c r="AM179" s="1204">
        <v>223.97200000000001</v>
      </c>
      <c r="AN179" s="1204">
        <v>377.31099999999998</v>
      </c>
      <c r="AO179" s="1204">
        <v>377.55399999999997</v>
      </c>
      <c r="AP179" s="1204">
        <v>334.76900000000001</v>
      </c>
      <c r="AQ179" s="1204">
        <v>363.56099999999998</v>
      </c>
      <c r="AR179" s="1204">
        <v>337.83600000000001</v>
      </c>
      <c r="AS179" s="1204">
        <v>401.48500000000001</v>
      </c>
      <c r="AT179" s="1204">
        <v>422.95499999999998</v>
      </c>
      <c r="AU179" s="1204">
        <v>410.34199999999998</v>
      </c>
      <c r="AV179" s="1204">
        <v>517.70699999999999</v>
      </c>
      <c r="AW179" s="1204">
        <v>460.51799999999997</v>
      </c>
    </row>
    <row r="180" spans="1:49">
      <c r="A180" s="1205" t="s">
        <v>595</v>
      </c>
      <c r="B180" s="1204">
        <v>1733.1558399999999</v>
      </c>
      <c r="C180" s="1204">
        <v>1483.1130000000001</v>
      </c>
      <c r="D180" s="1204">
        <v>1797.66</v>
      </c>
      <c r="E180" s="1204">
        <v>2039.62</v>
      </c>
      <c r="F180" s="1204">
        <v>2820.9639999999999</v>
      </c>
      <c r="G180" s="1204">
        <v>3385.491</v>
      </c>
      <c r="H180" s="1204">
        <v>5964.6040000000003</v>
      </c>
      <c r="I180" s="1204">
        <v>6685.4179999999997</v>
      </c>
      <c r="J180" s="1204"/>
      <c r="W180" s="1204"/>
      <c r="X180" s="1204"/>
      <c r="Y180" s="1204">
        <v>1797.66</v>
      </c>
      <c r="Z180" s="1204">
        <v>1703.77</v>
      </c>
      <c r="AA180" s="1204">
        <v>1898.75</v>
      </c>
      <c r="AB180" s="1204">
        <v>1970.9390000000001</v>
      </c>
      <c r="AC180" s="1204">
        <v>2039.62</v>
      </c>
      <c r="AD180" s="1204">
        <v>1856.94</v>
      </c>
      <c r="AE180" s="1204">
        <v>2087.5390000000002</v>
      </c>
      <c r="AF180" s="1204">
        <v>1953.0350000000001</v>
      </c>
      <c r="AG180" s="1204">
        <v>2820.9639999999999</v>
      </c>
      <c r="AH180" s="1204">
        <v>2532.3180000000002</v>
      </c>
      <c r="AI180" s="1204">
        <v>2669.2530000000002</v>
      </c>
      <c r="AJ180" s="1204">
        <v>2600.5169999999998</v>
      </c>
      <c r="AK180" s="1204">
        <v>3385.491</v>
      </c>
      <c r="AL180" s="1204">
        <v>3805.962</v>
      </c>
      <c r="AM180" s="1204">
        <v>5178.53</v>
      </c>
      <c r="AN180" s="1204">
        <v>5941.75</v>
      </c>
      <c r="AO180" s="1204">
        <v>5964.6040000000003</v>
      </c>
      <c r="AP180" s="1204">
        <v>5718.4679999999998</v>
      </c>
      <c r="AQ180" s="1204">
        <v>6101.2529999999997</v>
      </c>
      <c r="AR180" s="1204">
        <v>6108.2120000000004</v>
      </c>
      <c r="AS180" s="1204">
        <v>6685.4179999999997</v>
      </c>
      <c r="AT180" s="1204">
        <v>6727.9880000000003</v>
      </c>
      <c r="AU180" s="1204">
        <v>7244.3779999999997</v>
      </c>
      <c r="AV180" s="1204">
        <v>7354.4719999999998</v>
      </c>
      <c r="AW180" s="1204">
        <v>8406.5059999999994</v>
      </c>
    </row>
    <row r="181" spans="1:49">
      <c r="A181" s="1206" t="s">
        <v>596</v>
      </c>
      <c r="B181" s="1204"/>
      <c r="C181" s="1204"/>
      <c r="D181" s="1204"/>
      <c r="E181" s="1204"/>
      <c r="F181" s="1204"/>
      <c r="G181" s="1204"/>
      <c r="H181" s="1204"/>
      <c r="I181" s="1204"/>
      <c r="J181" s="1204"/>
      <c r="W181" s="1204"/>
      <c r="X181" s="1204"/>
      <c r="Y181" s="1204"/>
      <c r="Z181" s="1204"/>
      <c r="AA181" s="1204"/>
      <c r="AB181" s="1204"/>
      <c r="AC181" s="1204"/>
      <c r="AD181" s="1204"/>
      <c r="AE181" s="1204"/>
      <c r="AF181" s="1204"/>
      <c r="AG181" s="1204"/>
      <c r="AH181" s="1204"/>
      <c r="AI181" s="1204"/>
      <c r="AJ181" s="1204"/>
      <c r="AK181" s="1204"/>
      <c r="AL181" s="1204"/>
      <c r="AM181" s="1204"/>
      <c r="AN181" s="1204"/>
      <c r="AO181" s="1204"/>
      <c r="AP181" s="1204"/>
      <c r="AQ181" s="1204"/>
      <c r="AR181" s="1204"/>
      <c r="AS181" s="1204"/>
      <c r="AT181" s="1204"/>
      <c r="AU181" s="1204"/>
      <c r="AV181" s="1204"/>
      <c r="AW181" s="1204"/>
    </row>
    <row r="182" spans="1:49">
      <c r="A182" s="1203"/>
      <c r="B182" s="1204"/>
      <c r="C182" s="1204"/>
      <c r="D182" s="1204"/>
      <c r="E182" s="1204"/>
      <c r="F182" s="1204"/>
      <c r="G182" s="1204"/>
      <c r="H182" s="1204"/>
      <c r="I182" s="1204"/>
      <c r="J182" s="1204"/>
      <c r="W182" s="1204"/>
      <c r="X182" s="1204"/>
      <c r="Y182" s="1204"/>
      <c r="Z182" s="1204"/>
      <c r="AA182" s="1204"/>
      <c r="AB182" s="1204"/>
      <c r="AC182" s="1204"/>
      <c r="AD182" s="1204"/>
      <c r="AE182" s="1204"/>
      <c r="AF182" s="1204"/>
      <c r="AG182" s="1204"/>
      <c r="AH182" s="1204"/>
      <c r="AI182" s="1204"/>
      <c r="AJ182" s="1204"/>
      <c r="AK182" s="1204"/>
      <c r="AL182" s="1204"/>
      <c r="AM182" s="1204"/>
      <c r="AN182" s="1204"/>
      <c r="AO182" s="1204"/>
      <c r="AP182" s="1204"/>
      <c r="AQ182" s="1204"/>
      <c r="AR182" s="1204"/>
      <c r="AS182" s="1204"/>
      <c r="AT182" s="1204"/>
      <c r="AU182" s="1204"/>
      <c r="AV182" s="1204"/>
      <c r="AW182" s="1204"/>
    </row>
    <row r="183" spans="1:49">
      <c r="A183" s="1203"/>
      <c r="B183" s="1204"/>
      <c r="C183" s="1204"/>
      <c r="D183" s="1204"/>
      <c r="E183" s="1204"/>
      <c r="F183" s="1204"/>
      <c r="G183" s="1204"/>
      <c r="H183" s="1204"/>
      <c r="I183" s="1204"/>
      <c r="J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row>
    <row r="184" spans="1:49">
      <c r="A184" s="1203" t="s">
        <v>597</v>
      </c>
      <c r="B184" s="1204"/>
      <c r="C184" s="1204"/>
      <c r="D184" s="1204"/>
      <c r="E184" s="1204"/>
      <c r="F184" s="1204"/>
      <c r="G184" s="1204"/>
      <c r="H184" s="1204"/>
      <c r="I184" s="1204"/>
      <c r="J184" s="1204"/>
      <c r="W184" s="1204"/>
      <c r="X184" s="1204"/>
      <c r="Y184" s="1204"/>
      <c r="Z184" s="1204"/>
      <c r="AA184" s="1204"/>
      <c r="AB184" s="1204"/>
      <c r="AC184" s="1204"/>
      <c r="AD184" s="1204"/>
      <c r="AE184" s="1204"/>
      <c r="AF184" s="1204"/>
      <c r="AG184" s="1204"/>
      <c r="AH184" s="1204"/>
      <c r="AI184" s="1204"/>
      <c r="AJ184" s="1204"/>
      <c r="AK184" s="1204"/>
      <c r="AL184" s="1204"/>
      <c r="AM184" s="1204"/>
      <c r="AN184" s="1204"/>
      <c r="AO184" s="1204"/>
      <c r="AP184" s="1204"/>
      <c r="AQ184" s="1204"/>
      <c r="AR184" s="1204"/>
      <c r="AS184" s="1204"/>
      <c r="AT184" s="1204"/>
      <c r="AU184" s="1204"/>
      <c r="AV184" s="1204"/>
      <c r="AW184" s="1204"/>
    </row>
    <row r="185" spans="1:49">
      <c r="A185" s="1203" t="s">
        <v>598</v>
      </c>
      <c r="B185" s="1204"/>
      <c r="C185" s="1204"/>
      <c r="D185" s="1204"/>
      <c r="E185" s="1204"/>
      <c r="F185" s="1204"/>
      <c r="G185" s="1204"/>
      <c r="H185" s="1204"/>
      <c r="I185" s="1204"/>
      <c r="J185" s="1204"/>
      <c r="W185" s="1204"/>
      <c r="X185" s="1204"/>
      <c r="Y185" s="1204"/>
      <c r="Z185" s="1204"/>
      <c r="AA185" s="1204"/>
      <c r="AB185" s="1204"/>
      <c r="AC185" s="1204"/>
      <c r="AD185" s="1204"/>
      <c r="AE185" s="1204"/>
      <c r="AF185" s="1204"/>
      <c r="AG185" s="1204"/>
      <c r="AH185" s="1204"/>
      <c r="AI185" s="1204"/>
      <c r="AJ185" s="1204"/>
      <c r="AK185" s="1204"/>
      <c r="AL185" s="1204"/>
      <c r="AM185" s="1204"/>
      <c r="AN185" s="1204"/>
      <c r="AO185" s="1204"/>
      <c r="AP185" s="1204"/>
      <c r="AQ185" s="1204"/>
      <c r="AR185" s="1204"/>
      <c r="AS185" s="1204"/>
      <c r="AT185" s="1204"/>
      <c r="AU185" s="1204"/>
      <c r="AV185" s="1204"/>
      <c r="AW185" s="1204"/>
    </row>
    <row r="186" spans="1:49">
      <c r="A186" s="1205" t="s">
        <v>599</v>
      </c>
      <c r="B186" s="1204"/>
      <c r="C186" s="1204"/>
      <c r="D186" s="1204"/>
      <c r="E186" s="1204"/>
      <c r="F186" s="1204"/>
      <c r="G186" s="1204"/>
      <c r="H186" s="1204"/>
      <c r="I186" s="1204"/>
      <c r="J186" s="1204"/>
      <c r="W186" s="1204"/>
      <c r="X186" s="1204"/>
      <c r="Y186" s="1204"/>
      <c r="Z186" s="1204"/>
      <c r="AA186" s="1204"/>
      <c r="AB186" s="1204"/>
      <c r="AC186" s="1204"/>
      <c r="AD186" s="1204"/>
      <c r="AE186" s="1204"/>
      <c r="AF186" s="1204"/>
      <c r="AG186" s="1204"/>
      <c r="AH186" s="1204"/>
      <c r="AI186" s="1204"/>
      <c r="AJ186" s="1204"/>
      <c r="AK186" s="1204"/>
      <c r="AL186" s="1204"/>
      <c r="AM186" s="1204"/>
      <c r="AN186" s="1204"/>
      <c r="AO186" s="1204"/>
      <c r="AP186" s="1204"/>
      <c r="AQ186" s="1204"/>
      <c r="AR186" s="1204"/>
      <c r="AS186" s="1204"/>
      <c r="AT186" s="1204"/>
      <c r="AU186" s="1204"/>
      <c r="AV186" s="1204"/>
      <c r="AW186" s="1204"/>
    </row>
    <row r="187" spans="1:49">
      <c r="A187" s="1203" t="s">
        <v>600</v>
      </c>
      <c r="B187" s="1204">
        <v>0</v>
      </c>
      <c r="C187" s="1204">
        <v>0.17799999999999999</v>
      </c>
      <c r="D187" s="1204">
        <v>0</v>
      </c>
      <c r="E187" s="1204">
        <v>0</v>
      </c>
      <c r="F187" s="1204"/>
      <c r="G187" s="1204"/>
      <c r="H187" s="1204"/>
      <c r="I187" s="1204"/>
      <c r="J187" s="1204"/>
      <c r="W187" s="1204"/>
      <c r="X187" s="1204"/>
      <c r="Y187" s="1204">
        <v>0</v>
      </c>
      <c r="Z187" s="1204"/>
      <c r="AA187" s="1204">
        <v>0</v>
      </c>
      <c r="AB187" s="1204"/>
      <c r="AC187" s="1204">
        <v>0</v>
      </c>
      <c r="AD187" s="1204"/>
      <c r="AE187" s="1204"/>
      <c r="AF187" s="1204"/>
      <c r="AG187" s="1204"/>
      <c r="AH187" s="1204"/>
      <c r="AI187" s="1204"/>
      <c r="AJ187" s="1204"/>
      <c r="AK187" s="1204"/>
      <c r="AL187" s="1204"/>
      <c r="AM187" s="1204"/>
      <c r="AN187" s="1204"/>
      <c r="AO187" s="1204"/>
      <c r="AP187" s="1204"/>
      <c r="AQ187" s="1204"/>
      <c r="AR187" s="1204"/>
      <c r="AS187" s="1204"/>
      <c r="AT187" s="1204"/>
      <c r="AU187" s="1204"/>
      <c r="AV187" s="1204"/>
      <c r="AW187" s="1204"/>
    </row>
    <row r="188" spans="1:49">
      <c r="A188" s="1203" t="s">
        <v>601</v>
      </c>
      <c r="B188" s="1204"/>
      <c r="C188" s="1204"/>
      <c r="D188" s="1204"/>
      <c r="E188" s="1204"/>
      <c r="F188" s="1204"/>
      <c r="G188" s="1204"/>
      <c r="H188" s="1204"/>
      <c r="I188" s="1204"/>
      <c r="J188" s="1204"/>
      <c r="W188" s="1204"/>
      <c r="X188" s="1204"/>
      <c r="Y188" s="1204"/>
      <c r="Z188" s="1204"/>
      <c r="AA188" s="1204"/>
      <c r="AB188" s="1204"/>
      <c r="AC188" s="1204"/>
      <c r="AD188" s="1204"/>
      <c r="AE188" s="1204"/>
      <c r="AF188" s="1204"/>
      <c r="AG188" s="1204"/>
      <c r="AH188" s="1204"/>
      <c r="AI188" s="1204"/>
      <c r="AJ188" s="1204"/>
      <c r="AK188" s="1204"/>
      <c r="AL188" s="1204"/>
      <c r="AM188" s="1204"/>
      <c r="AN188" s="1204"/>
      <c r="AO188" s="1204"/>
      <c r="AP188" s="1204"/>
      <c r="AQ188" s="1204"/>
      <c r="AR188" s="1204"/>
      <c r="AS188" s="1204"/>
      <c r="AT188" s="1204"/>
      <c r="AU188" s="1204"/>
      <c r="AV188" s="1204"/>
      <c r="AW188" s="1204"/>
    </row>
    <row r="189" spans="1:49">
      <c r="A189" s="1203" t="s">
        <v>602</v>
      </c>
      <c r="B189" s="1204"/>
      <c r="C189" s="1204"/>
      <c r="D189" s="1204"/>
      <c r="E189" s="1204"/>
      <c r="F189" s="1204"/>
      <c r="G189" s="1204"/>
      <c r="H189" s="1204"/>
      <c r="I189" s="1204"/>
      <c r="J189" s="1204"/>
      <c r="W189" s="1204"/>
      <c r="X189" s="1204"/>
      <c r="Y189" s="1204"/>
      <c r="Z189" s="1204"/>
      <c r="AA189" s="1204"/>
      <c r="AB189" s="1204"/>
      <c r="AC189" s="1204"/>
      <c r="AD189" s="1204"/>
      <c r="AE189" s="1204"/>
      <c r="AF189" s="1204"/>
      <c r="AG189" s="1204"/>
      <c r="AH189" s="1204"/>
      <c r="AI189" s="1204"/>
      <c r="AJ189" s="1204"/>
      <c r="AK189" s="1204"/>
      <c r="AL189" s="1204"/>
      <c r="AM189" s="1204"/>
      <c r="AN189" s="1204"/>
      <c r="AO189" s="1204"/>
      <c r="AP189" s="1204"/>
      <c r="AQ189" s="1204"/>
      <c r="AR189" s="1204"/>
      <c r="AS189" s="1204"/>
      <c r="AT189" s="1204"/>
      <c r="AU189" s="1204"/>
      <c r="AV189" s="1204"/>
      <c r="AW189" s="1204"/>
    </row>
    <row r="190" spans="1:49">
      <c r="A190" s="1203" t="s">
        <v>603</v>
      </c>
      <c r="B190" s="1204">
        <v>0</v>
      </c>
      <c r="C190" s="1204">
        <v>0.17799999999999999</v>
      </c>
      <c r="D190" s="1204">
        <v>0</v>
      </c>
      <c r="E190" s="1204">
        <v>0</v>
      </c>
      <c r="F190" s="1204"/>
      <c r="G190" s="1204"/>
      <c r="H190" s="1204"/>
      <c r="I190" s="1204"/>
      <c r="J190" s="1204"/>
      <c r="W190" s="1204"/>
      <c r="X190" s="1204"/>
      <c r="Y190" s="1204">
        <v>0</v>
      </c>
      <c r="Z190" s="1204"/>
      <c r="AA190" s="1204">
        <v>0</v>
      </c>
      <c r="AB190" s="1204"/>
      <c r="AC190" s="1204">
        <v>0</v>
      </c>
      <c r="AD190" s="1204"/>
      <c r="AE190" s="1204"/>
      <c r="AF190" s="1204"/>
      <c r="AG190" s="1204"/>
      <c r="AH190" s="1204"/>
      <c r="AI190" s="1204"/>
      <c r="AJ190" s="1204"/>
      <c r="AK190" s="1204"/>
      <c r="AL190" s="1204"/>
      <c r="AM190" s="1204"/>
      <c r="AN190" s="1204"/>
      <c r="AO190" s="1204"/>
      <c r="AP190" s="1204"/>
      <c r="AQ190" s="1204"/>
      <c r="AR190" s="1204"/>
      <c r="AS190" s="1204"/>
      <c r="AT190" s="1204"/>
      <c r="AU190" s="1204"/>
      <c r="AV190" s="1204"/>
      <c r="AW190" s="1204"/>
    </row>
    <row r="191" spans="1:49">
      <c r="A191" s="1205" t="s">
        <v>604</v>
      </c>
      <c r="B191" s="1204">
        <v>10.933630000000001</v>
      </c>
      <c r="C191" s="1204">
        <v>10.994999999999999</v>
      </c>
      <c r="D191" s="1204">
        <v>12.8</v>
      </c>
      <c r="E191" s="1204">
        <v>12.845000000000001</v>
      </c>
      <c r="F191" s="1204">
        <v>14.342000000000001</v>
      </c>
      <c r="G191" s="1204">
        <v>16.829999999999998</v>
      </c>
      <c r="H191" s="1204">
        <v>17.012</v>
      </c>
      <c r="I191" s="1204">
        <v>19.664000000000001</v>
      </c>
      <c r="J191" s="1204"/>
      <c r="W191" s="1204"/>
      <c r="X191" s="1204"/>
      <c r="Y191" s="1204">
        <v>12.8</v>
      </c>
      <c r="Z191" s="1204">
        <v>12.808999999999999</v>
      </c>
      <c r="AA191" s="1204">
        <v>12.83</v>
      </c>
      <c r="AB191" s="1204">
        <v>12.836</v>
      </c>
      <c r="AC191" s="1204">
        <v>12.845000000000001</v>
      </c>
      <c r="AD191" s="1204">
        <v>12.885999999999999</v>
      </c>
      <c r="AE191" s="1204">
        <v>13.933</v>
      </c>
      <c r="AF191" s="1204">
        <v>13.952999999999999</v>
      </c>
      <c r="AG191" s="1204">
        <v>14.342000000000001</v>
      </c>
      <c r="AH191" s="1204">
        <v>14.372</v>
      </c>
      <c r="AI191" s="1204">
        <v>16.3</v>
      </c>
      <c r="AJ191" s="1204">
        <v>16.431999999999999</v>
      </c>
      <c r="AK191" s="1204">
        <v>16.829999999999998</v>
      </c>
      <c r="AL191" s="1204">
        <v>16.861999999999998</v>
      </c>
      <c r="AM191" s="1204">
        <v>16.876000000000001</v>
      </c>
      <c r="AN191" s="1204">
        <v>16.91</v>
      </c>
      <c r="AO191" s="1204">
        <v>17.012</v>
      </c>
      <c r="AP191" s="1204">
        <v>18.59</v>
      </c>
      <c r="AQ191" s="1204">
        <v>18.603000000000002</v>
      </c>
      <c r="AR191" s="1204">
        <v>18.606000000000002</v>
      </c>
      <c r="AS191" s="1204">
        <v>19.664000000000001</v>
      </c>
      <c r="AT191" s="1204">
        <v>19.715</v>
      </c>
      <c r="AU191" s="1204">
        <v>19.975000000000001</v>
      </c>
      <c r="AV191" s="1204">
        <v>20.213999999999999</v>
      </c>
      <c r="AW191" s="1204">
        <v>20.158999999999999</v>
      </c>
    </row>
    <row r="192" spans="1:49">
      <c r="A192" s="1203" t="s">
        <v>590</v>
      </c>
      <c r="B192" s="1204"/>
      <c r="C192" s="1204"/>
      <c r="D192" s="1204"/>
      <c r="E192" s="1204">
        <v>74.94</v>
      </c>
      <c r="F192" s="1204">
        <v>98.332999999999998</v>
      </c>
      <c r="G192" s="1204">
        <v>96.644000000000005</v>
      </c>
      <c r="H192" s="1204">
        <v>93.563000000000002</v>
      </c>
      <c r="I192" s="1204">
        <v>134.66900000000001</v>
      </c>
      <c r="J192" s="1204"/>
      <c r="W192" s="1204"/>
      <c r="X192" s="1204"/>
      <c r="Y192" s="1204"/>
      <c r="Z192" s="1204"/>
      <c r="AA192" s="1204"/>
      <c r="AB192" s="1204"/>
      <c r="AC192" s="1204"/>
      <c r="AD192" s="1204"/>
      <c r="AE192" s="1204"/>
      <c r="AF192" s="1204"/>
      <c r="AG192" s="1204"/>
      <c r="AH192" s="1204"/>
      <c r="AI192" s="1204"/>
      <c r="AJ192" s="1204"/>
      <c r="AK192" s="1204"/>
      <c r="AL192" s="1204"/>
      <c r="AM192" s="1204"/>
      <c r="AN192" s="1204"/>
      <c r="AO192" s="1204"/>
      <c r="AP192" s="1204"/>
      <c r="AQ192" s="1204"/>
      <c r="AR192" s="1204"/>
      <c r="AS192" s="1204"/>
      <c r="AT192" s="1204"/>
      <c r="AU192" s="1204"/>
      <c r="AV192" s="1204"/>
      <c r="AW192" s="1204"/>
    </row>
    <row r="193" spans="1:49">
      <c r="A193" s="1203" t="s">
        <v>853</v>
      </c>
      <c r="B193" s="1204">
        <v>10.933630000000001</v>
      </c>
      <c r="C193" s="1204">
        <v>10.994999999999999</v>
      </c>
      <c r="D193" s="1204">
        <v>12.8</v>
      </c>
      <c r="E193" s="1204">
        <v>12.845000000000001</v>
      </c>
      <c r="F193" s="1204">
        <v>14.342000000000001</v>
      </c>
      <c r="G193" s="1204">
        <v>16.829999999999998</v>
      </c>
      <c r="H193" s="1204">
        <v>17.012</v>
      </c>
      <c r="I193" s="1204">
        <v>19.664000000000001</v>
      </c>
      <c r="J193" s="1204"/>
      <c r="W193" s="1204"/>
      <c r="X193" s="1204"/>
      <c r="Y193" s="1204">
        <v>12.8</v>
      </c>
      <c r="Z193" s="1204">
        <v>12.808999999999999</v>
      </c>
      <c r="AA193" s="1204">
        <v>12.83</v>
      </c>
      <c r="AB193" s="1204">
        <v>12.836</v>
      </c>
      <c r="AC193" s="1204">
        <v>12.845000000000001</v>
      </c>
      <c r="AD193" s="1204">
        <v>12.885999999999999</v>
      </c>
      <c r="AE193" s="1204">
        <v>13.933</v>
      </c>
      <c r="AF193" s="1204">
        <v>13.952999999999999</v>
      </c>
      <c r="AG193" s="1204">
        <v>14.342000000000001</v>
      </c>
      <c r="AH193" s="1204">
        <v>14.372</v>
      </c>
      <c r="AI193" s="1204">
        <v>16.3</v>
      </c>
      <c r="AJ193" s="1204">
        <v>16.431999999999999</v>
      </c>
      <c r="AK193" s="1204">
        <v>16.829999999999998</v>
      </c>
      <c r="AL193" s="1204">
        <v>16.861999999999998</v>
      </c>
      <c r="AM193" s="1204">
        <v>16.876000000000001</v>
      </c>
      <c r="AN193" s="1204">
        <v>16.91</v>
      </c>
      <c r="AO193" s="1204">
        <v>17.012</v>
      </c>
      <c r="AP193" s="1204">
        <v>18.59</v>
      </c>
      <c r="AQ193" s="1204">
        <v>18.603000000000002</v>
      </c>
      <c r="AR193" s="1204">
        <v>18.606000000000002</v>
      </c>
      <c r="AS193" s="1204">
        <v>19.664000000000001</v>
      </c>
      <c r="AT193" s="1204">
        <v>19.715</v>
      </c>
      <c r="AU193" s="1204">
        <v>19.975000000000001</v>
      </c>
      <c r="AV193" s="1204">
        <v>20.213999999999999</v>
      </c>
      <c r="AW193" s="1204">
        <v>20.158999999999999</v>
      </c>
    </row>
    <row r="194" spans="1:49">
      <c r="A194" s="1209" t="s">
        <v>605</v>
      </c>
      <c r="B194" s="1204">
        <v>3858.6426099999999</v>
      </c>
      <c r="C194" s="1204">
        <v>4082.1350000000002</v>
      </c>
      <c r="D194" s="1204">
        <v>4083.5880000000002</v>
      </c>
      <c r="E194" s="1204">
        <v>4089.846</v>
      </c>
      <c r="F194" s="1204">
        <v>4376.63</v>
      </c>
      <c r="G194" s="1204">
        <v>4903.8609999999999</v>
      </c>
      <c r="H194" s="1204">
        <v>4950.9480000000003</v>
      </c>
      <c r="I194" s="1204">
        <v>4827.6189999999997</v>
      </c>
      <c r="J194" s="1204"/>
      <c r="W194" s="1204"/>
      <c r="X194" s="1204"/>
      <c r="Y194" s="1204">
        <v>4083.5880000000002</v>
      </c>
      <c r="Z194" s="1204">
        <v>4084.942</v>
      </c>
      <c r="AA194" s="1204">
        <v>4136.9129999999996</v>
      </c>
      <c r="AB194" s="1204">
        <v>4088.8539999999998</v>
      </c>
      <c r="AC194" s="1204">
        <v>4089.846</v>
      </c>
      <c r="AD194" s="1204">
        <v>4098.49</v>
      </c>
      <c r="AE194" s="1204">
        <v>4352.6710000000003</v>
      </c>
      <c r="AF194" s="1204">
        <v>4301.268</v>
      </c>
      <c r="AG194" s="1204">
        <v>4376.63</v>
      </c>
      <c r="AH194" s="1204">
        <v>4383.1030000000001</v>
      </c>
      <c r="AI194" s="1204">
        <v>4792.0110000000004</v>
      </c>
      <c r="AJ194" s="1204">
        <v>4819.9210000000003</v>
      </c>
      <c r="AK194" s="1204">
        <v>4903.8609999999999</v>
      </c>
      <c r="AL194" s="1204">
        <v>4911.8590000000004</v>
      </c>
      <c r="AM194" s="1204">
        <v>4914.3850000000002</v>
      </c>
      <c r="AN194" s="1204">
        <v>4923.4589999999998</v>
      </c>
      <c r="AO194" s="1204">
        <v>4950.9480000000003</v>
      </c>
      <c r="AP194" s="1204">
        <v>5382.3310000000001</v>
      </c>
      <c r="AQ194" s="1204">
        <v>4474.9960000000001</v>
      </c>
      <c r="AR194" s="1204">
        <v>4475.8069999999998</v>
      </c>
      <c r="AS194" s="1204">
        <v>4827.6189999999997</v>
      </c>
      <c r="AT194" s="1204">
        <v>4841.2809999999999</v>
      </c>
      <c r="AU194" s="1204">
        <v>4928.5370000000003</v>
      </c>
      <c r="AV194" s="1204">
        <v>5008.5379999999996</v>
      </c>
      <c r="AW194" s="1204">
        <v>4993.1629999999996</v>
      </c>
    </row>
    <row r="195" spans="1:49">
      <c r="A195" s="1209"/>
      <c r="B195" s="1204"/>
      <c r="C195" s="1204"/>
      <c r="D195" s="1204"/>
      <c r="E195" s="1204"/>
      <c r="F195" s="1204"/>
      <c r="G195" s="1204"/>
      <c r="H195" s="1204"/>
      <c r="I195" s="1204"/>
      <c r="J195" s="1204"/>
      <c r="W195" s="1204"/>
      <c r="X195" s="1204"/>
      <c r="Y195" s="1204"/>
      <c r="Z195" s="1204"/>
      <c r="AA195" s="1204"/>
      <c r="AB195" s="1204"/>
      <c r="AC195" s="1204"/>
      <c r="AD195" s="1204"/>
      <c r="AE195" s="1204"/>
      <c r="AF195" s="1204"/>
      <c r="AG195" s="1204"/>
      <c r="AH195" s="1204"/>
      <c r="AI195" s="1204"/>
      <c r="AJ195" s="1204"/>
      <c r="AK195" s="1204"/>
      <c r="AL195" s="1204"/>
      <c r="AM195" s="1204"/>
      <c r="AN195" s="1204"/>
      <c r="AO195" s="1204"/>
      <c r="AP195" s="1204"/>
      <c r="AQ195" s="1204"/>
      <c r="AR195" s="1204"/>
      <c r="AS195" s="1204"/>
      <c r="AT195" s="1204"/>
      <c r="AU195" s="1204"/>
      <c r="AV195" s="1204"/>
      <c r="AW195" s="1204"/>
    </row>
    <row r="196" spans="1:49">
      <c r="A196" s="1205" t="s">
        <v>607</v>
      </c>
      <c r="B196" s="1204"/>
      <c r="C196" s="1204"/>
      <c r="D196" s="1204"/>
      <c r="E196" s="1204">
        <v>-1693.8589999999999</v>
      </c>
      <c r="F196" s="1204">
        <v>-1540.89</v>
      </c>
      <c r="G196" s="1204">
        <v>-1287.479</v>
      </c>
      <c r="H196" s="1204">
        <v>-910.84900000000005</v>
      </c>
      <c r="I196" s="1204">
        <v>187.00800000000001</v>
      </c>
      <c r="J196" s="1204"/>
      <c r="W196" s="1204"/>
      <c r="X196" s="1204"/>
      <c r="Y196" s="1204"/>
      <c r="Z196" s="1204"/>
      <c r="AA196" s="1204"/>
      <c r="AB196" s="1204"/>
      <c r="AC196" s="1204"/>
      <c r="AD196" s="1204"/>
      <c r="AE196" s="1204"/>
      <c r="AF196" s="1204"/>
      <c r="AG196" s="1204"/>
      <c r="AH196" s="1204"/>
      <c r="AI196" s="1204"/>
      <c r="AJ196" s="1204"/>
      <c r="AK196" s="1204"/>
      <c r="AL196" s="1204"/>
      <c r="AM196" s="1204"/>
      <c r="AN196" s="1204"/>
      <c r="AO196" s="1204"/>
      <c r="AP196" s="1204"/>
      <c r="AQ196" s="1204"/>
      <c r="AR196" s="1204"/>
      <c r="AS196" s="1204"/>
      <c r="AT196" s="1204"/>
      <c r="AU196" s="1204"/>
      <c r="AV196" s="1204">
        <v>-7.7610000000000001</v>
      </c>
      <c r="AW196" s="1204">
        <v>0</v>
      </c>
    </row>
    <row r="197" spans="1:49">
      <c r="A197" s="1205"/>
      <c r="B197" s="1204"/>
      <c r="C197" s="1204"/>
      <c r="D197" s="1204"/>
      <c r="E197" s="1204"/>
      <c r="F197" s="1204"/>
      <c r="G197" s="1204"/>
      <c r="H197" s="1204"/>
      <c r="I197" s="1204"/>
      <c r="J197" s="1204"/>
      <c r="W197" s="1204"/>
      <c r="X197" s="1204"/>
      <c r="Y197" s="1204"/>
      <c r="Z197" s="1204"/>
      <c r="AA197" s="1204"/>
      <c r="AB197" s="1204"/>
      <c r="AC197" s="1204"/>
      <c r="AD197" s="1204"/>
      <c r="AE197" s="1204"/>
      <c r="AF197" s="1204"/>
      <c r="AG197" s="1204"/>
      <c r="AH197" s="1204"/>
      <c r="AI197" s="1204"/>
      <c r="AJ197" s="1204"/>
      <c r="AK197" s="1204"/>
      <c r="AL197" s="1204"/>
      <c r="AM197" s="1204"/>
      <c r="AN197" s="1204"/>
      <c r="AO197" s="1204"/>
      <c r="AP197" s="1204"/>
      <c r="AQ197" s="1204"/>
      <c r="AR197" s="1204"/>
      <c r="AS197" s="1204"/>
      <c r="AT197" s="1204"/>
      <c r="AU197" s="1204"/>
      <c r="AV197" s="1204"/>
      <c r="AW197" s="1204"/>
    </row>
    <row r="198" spans="1:49">
      <c r="A198" s="1205" t="s">
        <v>606</v>
      </c>
      <c r="B198" s="1204">
        <v>-1698.9465700000001</v>
      </c>
      <c r="C198" s="1204">
        <v>-1852.338</v>
      </c>
      <c r="D198" s="1204">
        <v>-1824.8040000000001</v>
      </c>
      <c r="E198" s="1204">
        <v>-1638.682</v>
      </c>
      <c r="F198" s="1204">
        <v>-1476.35</v>
      </c>
      <c r="G198" s="1204">
        <v>-1217.02</v>
      </c>
      <c r="H198" s="1204">
        <v>-845.14599999999996</v>
      </c>
      <c r="I198" s="1204">
        <v>251.98599999999999</v>
      </c>
      <c r="J198" s="1204"/>
      <c r="W198" s="1204"/>
      <c r="X198" s="1204"/>
      <c r="Y198" s="1204">
        <v>-1820.8879999999999</v>
      </c>
      <c r="Z198" s="1204">
        <v>-1779.575</v>
      </c>
      <c r="AA198" s="1204">
        <v>-1751.0309999999999</v>
      </c>
      <c r="AB198" s="1204">
        <v>-1651.547</v>
      </c>
      <c r="AC198" s="1204">
        <v>-1618.9190000000001</v>
      </c>
      <c r="AD198" s="1204">
        <v>-1602.0139999999999</v>
      </c>
      <c r="AE198" s="1204">
        <v>-1616.797</v>
      </c>
      <c r="AF198" s="1204">
        <v>-1480.3230000000001</v>
      </c>
      <c r="AG198" s="1204">
        <v>-1442.557</v>
      </c>
      <c r="AH198" s="1204">
        <v>-1388.63</v>
      </c>
      <c r="AI198" s="1204">
        <v>-1312.5409999999999</v>
      </c>
      <c r="AJ198" s="1204">
        <v>-1230.056</v>
      </c>
      <c r="AK198" s="1204">
        <v>-1190.835</v>
      </c>
      <c r="AL198" s="1204">
        <v>-1134.5999999999999</v>
      </c>
      <c r="AM198" s="1204">
        <v>-1041.51</v>
      </c>
      <c r="AN198" s="1204">
        <v>-873.73800000000006</v>
      </c>
      <c r="AO198" s="1204">
        <v>-817.28599999999994</v>
      </c>
      <c r="AP198" s="1204">
        <v>-757.274</v>
      </c>
      <c r="AQ198" s="1204">
        <v>206.798</v>
      </c>
      <c r="AR198" s="1204">
        <v>245.86099999999999</v>
      </c>
      <c r="AS198" s="1204">
        <v>321.67700000000002</v>
      </c>
      <c r="AT198" s="1204">
        <v>376.90899999999999</v>
      </c>
      <c r="AU198" s="1204">
        <v>426.88600000000002</v>
      </c>
      <c r="AV198" s="1204">
        <v>428.161</v>
      </c>
      <c r="AW198" s="1204">
        <v>440.64400000000001</v>
      </c>
    </row>
    <row r="199" spans="1:49">
      <c r="A199" s="1205" t="s">
        <v>608</v>
      </c>
      <c r="B199" s="1204"/>
      <c r="C199" s="1204"/>
      <c r="D199" s="1204"/>
      <c r="E199" s="1204"/>
      <c r="F199" s="1204"/>
      <c r="G199" s="1204"/>
      <c r="H199" s="1204"/>
      <c r="I199" s="1204"/>
      <c r="J199" s="1204"/>
      <c r="W199" s="1204"/>
      <c r="X199" s="1204"/>
      <c r="Y199" s="1204"/>
      <c r="Z199" s="1204"/>
      <c r="AA199" s="1204"/>
      <c r="AB199" s="1204"/>
      <c r="AC199" s="1204"/>
      <c r="AD199" s="1204"/>
      <c r="AE199" s="1204"/>
      <c r="AF199" s="1204"/>
      <c r="AG199" s="1204"/>
      <c r="AH199" s="1204"/>
      <c r="AI199" s="1204"/>
      <c r="AJ199" s="1204"/>
      <c r="AK199" s="1204"/>
      <c r="AL199" s="1204"/>
      <c r="AM199" s="1204"/>
      <c r="AN199" s="1204"/>
      <c r="AO199" s="1204"/>
      <c r="AP199" s="1204"/>
      <c r="AQ199" s="1204"/>
      <c r="AR199" s="1204"/>
      <c r="AS199" s="1204"/>
      <c r="AT199" s="1204"/>
      <c r="AU199" s="1204"/>
      <c r="AV199" s="1204"/>
      <c r="AW199" s="1204"/>
    </row>
    <row r="200" spans="1:49">
      <c r="A200" s="1205" t="s">
        <v>609</v>
      </c>
      <c r="B200" s="1204"/>
      <c r="C200" s="1204"/>
      <c r="D200" s="1204"/>
      <c r="E200" s="1204"/>
      <c r="F200" s="1204"/>
      <c r="G200" s="1204">
        <v>0.44700000000000001</v>
      </c>
      <c r="H200" s="1204">
        <v>1.2450000000000001</v>
      </c>
      <c r="I200" s="1204">
        <v>-1.111</v>
      </c>
      <c r="J200" s="1204"/>
      <c r="W200" s="1204"/>
      <c r="X200" s="1204"/>
      <c r="Y200" s="1204"/>
      <c r="Z200" s="1204"/>
      <c r="AA200" s="1204"/>
      <c r="AB200" s="1204"/>
      <c r="AC200" s="1204"/>
      <c r="AD200" s="1204"/>
      <c r="AE200" s="1204"/>
      <c r="AF200" s="1204"/>
      <c r="AG200" s="1204"/>
      <c r="AH200" s="1204"/>
      <c r="AI200" s="1204"/>
      <c r="AJ200" s="1204"/>
      <c r="AK200" s="1204"/>
      <c r="AL200" s="1204"/>
      <c r="AM200" s="1204"/>
      <c r="AN200" s="1204"/>
      <c r="AO200" s="1204"/>
      <c r="AP200" s="1204"/>
      <c r="AQ200" s="1204"/>
      <c r="AR200" s="1204"/>
      <c r="AS200" s="1204"/>
      <c r="AT200" s="1204"/>
      <c r="AU200" s="1204"/>
      <c r="AV200" s="1204"/>
      <c r="AW200" s="1204"/>
    </row>
    <row r="201" spans="1:49">
      <c r="A201" s="1205" t="s">
        <v>610</v>
      </c>
      <c r="B201" s="1204"/>
      <c r="C201" s="1204">
        <v>3.8460000000000001</v>
      </c>
      <c r="D201" s="1204">
        <v>3.9159999999999999</v>
      </c>
      <c r="E201" s="1204">
        <v>4.5529999999999999</v>
      </c>
      <c r="F201" s="1204">
        <v>4.2290000000000001</v>
      </c>
      <c r="G201" s="1204">
        <v>-3.956</v>
      </c>
      <c r="H201" s="1204">
        <v>-22.087</v>
      </c>
      <c r="I201" s="1204">
        <v>-0.497</v>
      </c>
      <c r="J201" s="1204"/>
      <c r="W201" s="1204"/>
      <c r="X201" s="1204"/>
      <c r="Y201" s="1204"/>
      <c r="Z201" s="1204"/>
      <c r="AA201" s="1204">
        <v>4.2370000000000001</v>
      </c>
      <c r="AB201" s="1204"/>
      <c r="AC201" s="1204"/>
      <c r="AD201" s="1204"/>
      <c r="AE201" s="1204">
        <v>2.6</v>
      </c>
      <c r="AF201" s="1204"/>
      <c r="AG201" s="1204"/>
      <c r="AH201" s="1204"/>
      <c r="AI201" s="1204"/>
      <c r="AJ201" s="1204"/>
      <c r="AK201" s="1204"/>
      <c r="AL201" s="1204"/>
      <c r="AM201" s="1204"/>
      <c r="AN201" s="1204"/>
      <c r="AO201" s="1204"/>
      <c r="AP201" s="1204"/>
      <c r="AQ201" s="1204"/>
      <c r="AR201" s="1204"/>
      <c r="AS201" s="1204"/>
      <c r="AT201" s="1204"/>
      <c r="AU201" s="1204"/>
      <c r="AV201" s="1204"/>
      <c r="AW201" s="1204"/>
    </row>
    <row r="202" spans="1:49">
      <c r="A202" s="1203" t="s">
        <v>611</v>
      </c>
      <c r="B202" s="1204"/>
      <c r="C202" s="1204"/>
      <c r="D202" s="1204"/>
      <c r="E202" s="1204">
        <v>15.21</v>
      </c>
      <c r="F202" s="1204">
        <v>29.564</v>
      </c>
      <c r="G202" s="1204">
        <v>29.693999999999999</v>
      </c>
      <c r="H202" s="1204">
        <v>81.808999999999997</v>
      </c>
      <c r="I202" s="1204">
        <v>116.126</v>
      </c>
      <c r="J202" s="1204"/>
      <c r="W202" s="1204"/>
      <c r="X202" s="1204"/>
      <c r="Y202" s="1204"/>
      <c r="Z202" s="1204"/>
      <c r="AA202" s="1204"/>
      <c r="AB202" s="1204"/>
      <c r="AC202" s="1204"/>
      <c r="AD202" s="1204"/>
      <c r="AE202" s="1204">
        <v>27.922999999999998</v>
      </c>
      <c r="AF202" s="1204"/>
      <c r="AG202" s="1204"/>
      <c r="AH202" s="1204"/>
      <c r="AI202" s="1204"/>
      <c r="AJ202" s="1204"/>
      <c r="AK202" s="1204"/>
      <c r="AL202" s="1204"/>
      <c r="AM202" s="1204"/>
      <c r="AN202" s="1204"/>
      <c r="AO202" s="1204"/>
      <c r="AP202" s="1204"/>
      <c r="AQ202" s="1204"/>
      <c r="AR202" s="1204"/>
      <c r="AS202" s="1204">
        <v>64.072999999999993</v>
      </c>
      <c r="AT202" s="1204">
        <v>64.072999999999993</v>
      </c>
      <c r="AU202" s="1204">
        <v>264.07299999999998</v>
      </c>
      <c r="AV202" s="1204">
        <v>564.07299999999998</v>
      </c>
      <c r="AW202" s="1204">
        <v>563.84799999999996</v>
      </c>
    </row>
    <row r="203" spans="1:49">
      <c r="A203" s="1203" t="s">
        <v>612</v>
      </c>
      <c r="B203" s="1204"/>
      <c r="C203" s="1204"/>
      <c r="D203" s="1204"/>
      <c r="E203" s="1204"/>
      <c r="F203" s="1204"/>
      <c r="G203" s="1204"/>
      <c r="H203" s="1204">
        <v>1.52</v>
      </c>
      <c r="I203" s="1204">
        <v>1.0840000000000001</v>
      </c>
      <c r="J203" s="1204"/>
      <c r="W203" s="1204"/>
      <c r="X203" s="1204"/>
      <c r="Y203" s="1204"/>
      <c r="Z203" s="1204"/>
      <c r="AA203" s="1204"/>
      <c r="AB203" s="1204"/>
      <c r="AC203" s="1204"/>
      <c r="AD203" s="1204"/>
      <c r="AE203" s="1204"/>
      <c r="AF203" s="1204"/>
      <c r="AG203" s="1204"/>
      <c r="AH203" s="1204"/>
      <c r="AI203" s="1204"/>
      <c r="AJ203" s="1204"/>
      <c r="AK203" s="1204"/>
      <c r="AL203" s="1204"/>
      <c r="AM203" s="1204"/>
      <c r="AN203" s="1204"/>
      <c r="AO203" s="1204"/>
      <c r="AP203" s="1204"/>
      <c r="AQ203" s="1204"/>
      <c r="AR203" s="1204"/>
      <c r="AS203" s="1204"/>
      <c r="AT203" s="1204"/>
      <c r="AU203" s="1204"/>
      <c r="AV203" s="1204"/>
      <c r="AW203" s="1204"/>
    </row>
    <row r="204" spans="1:49">
      <c r="A204" s="1203" t="s">
        <v>472</v>
      </c>
      <c r="B204" s="1204">
        <v>-1.09229</v>
      </c>
      <c r="C204" s="1204"/>
      <c r="D204" s="1204"/>
      <c r="E204" s="1204"/>
      <c r="F204" s="1204"/>
      <c r="G204" s="1204"/>
      <c r="H204" s="1204">
        <v>-34.627000000000002</v>
      </c>
      <c r="I204" s="1204">
        <v>18.161999999999999</v>
      </c>
      <c r="J204" s="1204"/>
      <c r="W204" s="1204"/>
      <c r="X204" s="1204"/>
      <c r="Y204" s="1204"/>
      <c r="Z204" s="1204"/>
      <c r="AA204" s="1204"/>
      <c r="AB204" s="1204"/>
      <c r="AC204" s="1204"/>
      <c r="AD204" s="1204"/>
      <c r="AE204" s="1204"/>
      <c r="AF204" s="1204"/>
      <c r="AG204" s="1204"/>
      <c r="AH204" s="1204"/>
      <c r="AI204" s="1204"/>
      <c r="AJ204" s="1204"/>
      <c r="AK204" s="1204"/>
      <c r="AL204" s="1204"/>
      <c r="AM204" s="1204"/>
      <c r="AN204" s="1204"/>
      <c r="AO204" s="1204"/>
      <c r="AP204" s="1204"/>
      <c r="AQ204" s="1204"/>
      <c r="AR204" s="1204"/>
      <c r="AS204" s="1204"/>
      <c r="AT204" s="1204"/>
      <c r="AU204" s="1204"/>
      <c r="AV204" s="1204"/>
      <c r="AW204" s="1204"/>
    </row>
    <row r="205" spans="1:49">
      <c r="A205" s="1203" t="s">
        <v>613</v>
      </c>
      <c r="B205" s="1204">
        <v>-1.09229</v>
      </c>
      <c r="C205" s="1204">
        <v>3.8460000000000001</v>
      </c>
      <c r="D205" s="1204">
        <v>3.9159999999999999</v>
      </c>
      <c r="E205" s="1204">
        <v>19.763000000000002</v>
      </c>
      <c r="F205" s="1204">
        <v>33.792999999999999</v>
      </c>
      <c r="G205" s="1204">
        <v>25.738</v>
      </c>
      <c r="H205" s="1204">
        <v>26.614999999999998</v>
      </c>
      <c r="I205" s="1204">
        <v>134.875</v>
      </c>
      <c r="J205" s="1204"/>
      <c r="W205" s="1204"/>
      <c r="X205" s="1204"/>
      <c r="Y205" s="1204"/>
      <c r="Z205" s="1204"/>
      <c r="AA205" s="1204">
        <v>4.2370000000000001</v>
      </c>
      <c r="AB205" s="1204"/>
      <c r="AC205" s="1204"/>
      <c r="AD205" s="1204"/>
      <c r="AE205" s="1204">
        <v>30.523</v>
      </c>
      <c r="AF205" s="1204"/>
      <c r="AG205" s="1204"/>
      <c r="AH205" s="1204"/>
      <c r="AI205" s="1204"/>
      <c r="AJ205" s="1204"/>
      <c r="AK205" s="1204"/>
      <c r="AL205" s="1204"/>
      <c r="AM205" s="1204"/>
      <c r="AN205" s="1204"/>
      <c r="AO205" s="1204"/>
      <c r="AP205" s="1204"/>
      <c r="AQ205" s="1204"/>
      <c r="AR205" s="1204"/>
      <c r="AS205" s="1204">
        <v>64.072999999999993</v>
      </c>
      <c r="AT205" s="1204">
        <v>64.072999999999993</v>
      </c>
      <c r="AU205" s="1204">
        <v>264.07299999999998</v>
      </c>
      <c r="AV205" s="1204">
        <v>564.07299999999998</v>
      </c>
      <c r="AW205" s="1204">
        <v>563.84799999999996</v>
      </c>
    </row>
    <row r="206" spans="1:49">
      <c r="A206" s="1205" t="s">
        <v>614</v>
      </c>
      <c r="B206" s="1204">
        <v>2169.5373800000002</v>
      </c>
      <c r="C206" s="1204">
        <v>2244.8159999999998</v>
      </c>
      <c r="D206" s="1204">
        <v>2275.5</v>
      </c>
      <c r="E206" s="1204">
        <v>2483.7719999999999</v>
      </c>
      <c r="F206" s="1204">
        <v>2948.415</v>
      </c>
      <c r="G206" s="1204">
        <v>3729.8560000000002</v>
      </c>
      <c r="H206" s="1204">
        <v>4150.674</v>
      </c>
      <c r="I206" s="1204">
        <v>5233.0330000000004</v>
      </c>
      <c r="J206" s="1204"/>
      <c r="W206" s="1204"/>
      <c r="X206" s="1204"/>
      <c r="Y206" s="1204">
        <v>2275.5</v>
      </c>
      <c r="Z206" s="1204">
        <v>2318.1759999999999</v>
      </c>
      <c r="AA206" s="1204">
        <v>2402.9490000000001</v>
      </c>
      <c r="AB206" s="1204">
        <v>2450.143</v>
      </c>
      <c r="AC206" s="1204">
        <v>2483.7719999999999</v>
      </c>
      <c r="AD206" s="1204">
        <v>2509.3620000000001</v>
      </c>
      <c r="AE206" s="1204">
        <v>2780.33</v>
      </c>
      <c r="AF206" s="1204">
        <v>2834.8980000000001</v>
      </c>
      <c r="AG206" s="1204">
        <v>2948.415</v>
      </c>
      <c r="AH206" s="1204">
        <v>3008.8449999999998</v>
      </c>
      <c r="AI206" s="1204">
        <v>3495.77</v>
      </c>
      <c r="AJ206" s="1204">
        <v>3606.297</v>
      </c>
      <c r="AK206" s="1204">
        <v>3729.8560000000002</v>
      </c>
      <c r="AL206" s="1204">
        <v>3794.1210000000001</v>
      </c>
      <c r="AM206" s="1204">
        <v>3889.7510000000002</v>
      </c>
      <c r="AN206" s="1204">
        <v>4066.6309999999999</v>
      </c>
      <c r="AO206" s="1204">
        <v>4150.674</v>
      </c>
      <c r="AP206" s="1204">
        <v>4643.6469999999999</v>
      </c>
      <c r="AQ206" s="1204">
        <v>4700.3969999999999</v>
      </c>
      <c r="AR206" s="1204">
        <v>4740.2740000000003</v>
      </c>
      <c r="AS206" s="1204">
        <v>5233.0330000000004</v>
      </c>
      <c r="AT206" s="1204">
        <v>5301.9780000000001</v>
      </c>
      <c r="AU206" s="1204">
        <v>5639.4709999999995</v>
      </c>
      <c r="AV206" s="1204">
        <v>6013.2250000000004</v>
      </c>
      <c r="AW206" s="1204">
        <v>6017.8140000000003</v>
      </c>
    </row>
    <row r="207" spans="1:49">
      <c r="A207" s="1206" t="s">
        <v>615</v>
      </c>
      <c r="B207" s="1204"/>
      <c r="C207" s="1204"/>
      <c r="D207" s="1204"/>
      <c r="E207" s="1204">
        <v>2593.1819999999998</v>
      </c>
      <c r="F207" s="1204">
        <v>3307.7220000000002</v>
      </c>
      <c r="G207" s="1204">
        <v>4190.2550000000001</v>
      </c>
      <c r="H207" s="1204">
        <v>5403.2269999999999</v>
      </c>
      <c r="I207" s="1204">
        <v>6721.335</v>
      </c>
      <c r="J207" s="1204"/>
      <c r="W207" s="1204"/>
      <c r="X207" s="1204"/>
      <c r="Y207" s="1204"/>
      <c r="Z207" s="1204"/>
      <c r="AA207" s="1204"/>
      <c r="AB207" s="1204"/>
      <c r="AC207" s="1204"/>
      <c r="AD207" s="1204"/>
      <c r="AE207" s="1204"/>
      <c r="AF207" s="1204"/>
      <c r="AG207" s="1204"/>
      <c r="AH207" s="1204"/>
      <c r="AI207" s="1204"/>
      <c r="AJ207" s="1204"/>
      <c r="AK207" s="1204"/>
      <c r="AL207" s="1204"/>
      <c r="AM207" s="1204"/>
      <c r="AN207" s="1204"/>
      <c r="AO207" s="1204"/>
      <c r="AP207" s="1204"/>
      <c r="AQ207" s="1204"/>
      <c r="AR207" s="1204"/>
      <c r="AS207" s="1204"/>
      <c r="AT207" s="1204"/>
      <c r="AU207" s="1204"/>
      <c r="AV207" s="1204"/>
      <c r="AW207" s="1204"/>
    </row>
    <row r="208" spans="1:49">
      <c r="A208" s="1206" t="s">
        <v>615</v>
      </c>
      <c r="B208" s="1204">
        <v>3902.6932099999999</v>
      </c>
      <c r="C208" s="1204">
        <v>3727.9290000000001</v>
      </c>
      <c r="D208" s="1204">
        <v>4073.16</v>
      </c>
      <c r="E208" s="1204">
        <v>4523.3919999999998</v>
      </c>
      <c r="F208" s="1204">
        <v>5769.3789999999999</v>
      </c>
      <c r="G208" s="1204">
        <v>7115.3469999999998</v>
      </c>
      <c r="H208" s="1204">
        <v>10115.278</v>
      </c>
      <c r="I208" s="1204">
        <v>11918.450999999999</v>
      </c>
      <c r="J208" s="1204"/>
      <c r="W208" s="1204"/>
      <c r="X208" s="1204"/>
      <c r="Y208" s="1204">
        <v>4073.16</v>
      </c>
      <c r="Z208" s="1204">
        <v>4021.9459999999999</v>
      </c>
      <c r="AA208" s="1204">
        <v>4301.6989999999996</v>
      </c>
      <c r="AB208" s="1204">
        <v>4421.0820000000003</v>
      </c>
      <c r="AC208" s="1204">
        <v>4523.3919999999998</v>
      </c>
      <c r="AD208" s="1204">
        <v>4366.3019999999997</v>
      </c>
      <c r="AE208" s="1204">
        <v>4867.8689999999997</v>
      </c>
      <c r="AF208" s="1204">
        <v>4787.933</v>
      </c>
      <c r="AG208" s="1204">
        <v>5769.3789999999999</v>
      </c>
      <c r="AH208" s="1204">
        <v>5541.1629999999996</v>
      </c>
      <c r="AI208" s="1204">
        <v>6165.0230000000001</v>
      </c>
      <c r="AJ208" s="1204">
        <v>6206.8140000000003</v>
      </c>
      <c r="AK208" s="1204">
        <v>7115.3469999999998</v>
      </c>
      <c r="AL208" s="1204">
        <v>7600.0829999999996</v>
      </c>
      <c r="AM208" s="1204">
        <v>9068.2810000000009</v>
      </c>
      <c r="AN208" s="1204">
        <v>10008.380999999999</v>
      </c>
      <c r="AO208" s="1204">
        <v>10115.278</v>
      </c>
      <c r="AP208" s="1204">
        <v>10362.115</v>
      </c>
      <c r="AQ208" s="1204">
        <v>10801.65</v>
      </c>
      <c r="AR208" s="1204">
        <v>10848.486000000001</v>
      </c>
      <c r="AS208" s="1204">
        <v>11918.450999999999</v>
      </c>
      <c r="AT208" s="1204">
        <v>12029.966</v>
      </c>
      <c r="AU208" s="1204">
        <v>12883.849</v>
      </c>
      <c r="AV208" s="1204">
        <v>13367.697</v>
      </c>
      <c r="AW208" s="1204">
        <v>14424.32</v>
      </c>
    </row>
    <row r="209" spans="1:49">
      <c r="A209" s="1206" t="s">
        <v>616</v>
      </c>
      <c r="B209" s="1204">
        <v>2733.4063700000002</v>
      </c>
      <c r="C209" s="1204">
        <v>2748.7676099999999</v>
      </c>
      <c r="D209" s="1204">
        <v>3200.0139600000002</v>
      </c>
      <c r="E209" s="1204">
        <v>3211.2307099999998</v>
      </c>
      <c r="F209" s="1204">
        <v>3585.6096200000002</v>
      </c>
      <c r="G209" s="1204">
        <v>4207.3748999999998</v>
      </c>
      <c r="H209" s="1204">
        <v>4252.9222600000003</v>
      </c>
      <c r="I209" s="1204">
        <v>4916.10689</v>
      </c>
      <c r="J209" s="1204"/>
      <c r="W209" s="1204"/>
      <c r="X209" s="1204"/>
      <c r="Y209" s="1204">
        <v>3200.0139600000002</v>
      </c>
      <c r="Z209" s="1204">
        <v>3202.3168099999998</v>
      </c>
      <c r="AA209" s="1204">
        <v>3207.5631400000002</v>
      </c>
      <c r="AB209" s="1204">
        <v>3208.8989700000002</v>
      </c>
      <c r="AC209" s="1204">
        <v>3211.2307099999998</v>
      </c>
      <c r="AD209" s="1204">
        <v>3221.4208100000001</v>
      </c>
      <c r="AE209" s="1204">
        <v>3483.1860299999998</v>
      </c>
      <c r="AF209" s="1204">
        <v>3488.3181300000001</v>
      </c>
      <c r="AG209" s="1204">
        <v>3585.6096200000002</v>
      </c>
      <c r="AH209" s="1204">
        <v>3592.9902299999999</v>
      </c>
      <c r="AI209" s="1204">
        <v>4075.0102999999999</v>
      </c>
      <c r="AJ209" s="1204">
        <v>4107.9582700000001</v>
      </c>
      <c r="AK209" s="1204">
        <v>4207.3748999999998</v>
      </c>
      <c r="AL209" s="1204">
        <v>4215.5386200000003</v>
      </c>
      <c r="AM209" s="1204">
        <v>4219.0317500000001</v>
      </c>
      <c r="AN209" s="1204">
        <v>4227.50972</v>
      </c>
      <c r="AO209" s="1204">
        <v>4252.9222600000003</v>
      </c>
      <c r="AP209" s="1204">
        <v>4647.40672</v>
      </c>
      <c r="AQ209" s="1204">
        <v>4650.8739999999998</v>
      </c>
      <c r="AR209" s="1204">
        <v>4651.6247499999999</v>
      </c>
      <c r="AS209" s="1204">
        <v>4916.10689</v>
      </c>
      <c r="AT209" s="1204">
        <v>4928.72901</v>
      </c>
      <c r="AU209" s="1204">
        <v>4993.7741500000002</v>
      </c>
      <c r="AV209" s="1204">
        <v>5046.1916799999999</v>
      </c>
      <c r="AW209" s="1204">
        <v>5039.8191999999999</v>
      </c>
    </row>
    <row r="210" spans="1:49">
      <c r="A210" s="1209" t="s">
        <v>617</v>
      </c>
      <c r="B210" s="1204">
        <v>0</v>
      </c>
      <c r="C210" s="1204">
        <v>445.54590999999999</v>
      </c>
      <c r="D210" s="1204">
        <v>0</v>
      </c>
      <c r="E210" s="1204">
        <v>2593.1819999999998</v>
      </c>
      <c r="F210" s="1204">
        <v>3307.7220000000002</v>
      </c>
      <c r="G210" s="1204">
        <v>4190.2550000000001</v>
      </c>
      <c r="H210" s="1204">
        <v>5403.2269999999999</v>
      </c>
      <c r="I210" s="1204">
        <v>6721.335</v>
      </c>
      <c r="J210" s="1204"/>
      <c r="W210" s="1204"/>
      <c r="X210" s="1204"/>
      <c r="Y210" s="1204">
        <v>0</v>
      </c>
      <c r="Z210" s="1204"/>
      <c r="AA210" s="1204"/>
      <c r="AB210" s="1204"/>
      <c r="AC210" s="1204"/>
      <c r="AD210" s="1204"/>
      <c r="AE210" s="1204"/>
      <c r="AF210" s="1204"/>
      <c r="AG210" s="1204"/>
      <c r="AH210" s="1204"/>
      <c r="AI210" s="1204"/>
      <c r="AJ210" s="1204"/>
      <c r="AK210" s="1204"/>
      <c r="AL210" s="1204"/>
      <c r="AM210" s="1204"/>
      <c r="AN210" s="1204"/>
      <c r="AO210" s="1204"/>
      <c r="AP210" s="1204"/>
      <c r="AQ210" s="1204"/>
      <c r="AR210" s="1204"/>
      <c r="AS210" s="1204"/>
      <c r="AT210" s="1204"/>
      <c r="AU210" s="1204"/>
      <c r="AV210" s="1204"/>
      <c r="AW210" s="1204"/>
    </row>
    <row r="211" spans="1:49">
      <c r="A211" s="1209" t="s">
        <v>618</v>
      </c>
      <c r="B211" s="1204"/>
      <c r="C211" s="1204"/>
      <c r="D211" s="1204"/>
      <c r="E211" s="1204"/>
      <c r="F211" s="1204"/>
      <c r="G211" s="1204"/>
      <c r="H211" s="1204"/>
      <c r="I211" s="1204"/>
      <c r="J211" s="1204"/>
      <c r="W211" s="1204"/>
      <c r="X211" s="1204"/>
      <c r="Y211" s="1204"/>
      <c r="Z211" s="1204"/>
      <c r="AA211" s="1204"/>
      <c r="AB211" s="1204"/>
      <c r="AC211" s="1204"/>
      <c r="AD211" s="1204"/>
      <c r="AE211" s="1204"/>
      <c r="AF211" s="1204"/>
      <c r="AG211" s="1204"/>
      <c r="AH211" s="1204"/>
      <c r="AI211" s="1204"/>
      <c r="AJ211" s="1204"/>
      <c r="AK211" s="1204"/>
      <c r="AL211" s="1204"/>
      <c r="AM211" s="1204"/>
      <c r="AN211" s="1204"/>
      <c r="AO211" s="1204"/>
      <c r="AP211" s="1204"/>
      <c r="AQ211" s="1204"/>
      <c r="AR211" s="1204"/>
      <c r="AS211" s="1204"/>
      <c r="AT211" s="1204"/>
      <c r="AU211" s="1204"/>
      <c r="AV211" s="1204"/>
      <c r="AW211" s="1204"/>
    </row>
    <row r="212" spans="1:49">
      <c r="W212" s="1204"/>
      <c r="X212" s="1204"/>
      <c r="Y212" s="1204"/>
      <c r="Z212" s="1204"/>
      <c r="AA212" s="1204"/>
      <c r="AB212" s="1204"/>
      <c r="AC212" s="1204"/>
      <c r="AD212" s="1204"/>
      <c r="AE212" s="1204"/>
      <c r="AF212" s="1204"/>
      <c r="AG212" s="1204"/>
      <c r="AH212" s="1204"/>
      <c r="AI212" s="1204"/>
      <c r="AJ212" s="1204"/>
      <c r="AK212" s="1204"/>
      <c r="AL212" s="1204"/>
      <c r="AM212" s="1204"/>
      <c r="AN212" s="1204"/>
      <c r="AO212" s="1204"/>
      <c r="AP212" s="1204"/>
      <c r="AQ212" s="1204"/>
      <c r="AR212" s="1204"/>
      <c r="AS212" s="1204"/>
      <c r="AT212" s="1204"/>
      <c r="AU212" s="1204"/>
      <c r="AV212" s="1204"/>
      <c r="AW212" s="1204"/>
    </row>
    <row r="213" spans="1:49" s="1202" customFormat="1">
      <c r="A213" s="1202" t="s">
        <v>427</v>
      </c>
    </row>
    <row r="214" spans="1:49">
      <c r="A214" s="1205" t="s">
        <v>619</v>
      </c>
      <c r="B214" s="1204">
        <v>14.01065</v>
      </c>
      <c r="C214" s="1204">
        <v>-246.88</v>
      </c>
      <c r="D214" s="1204">
        <v>22.541</v>
      </c>
      <c r="E214" s="1204">
        <v>174.46700000000001</v>
      </c>
      <c r="F214" s="1204">
        <v>126.261</v>
      </c>
      <c r="G214" s="1204">
        <v>222.32300000000001</v>
      </c>
      <c r="H214" s="1204">
        <v>316.43400000000003</v>
      </c>
      <c r="I214" s="1204">
        <v>126.423</v>
      </c>
      <c r="N214" s="1204"/>
      <c r="O214" s="1204"/>
      <c r="P214" s="1204"/>
      <c r="Q214" s="1204"/>
      <c r="R214" s="1204"/>
      <c r="S214" s="1204"/>
      <c r="T214" s="1204"/>
      <c r="U214" s="1204"/>
      <c r="V214" s="1204"/>
      <c r="W214" s="1204"/>
      <c r="X214" s="1204"/>
      <c r="Y214" s="1204">
        <v>22.541</v>
      </c>
      <c r="Z214" s="1204"/>
      <c r="AA214" s="1204"/>
      <c r="AB214" s="1204"/>
      <c r="AC214" s="1204"/>
      <c r="AD214" s="1204">
        <v>18.942</v>
      </c>
      <c r="AE214" s="1204"/>
      <c r="AF214" s="1204">
        <v>124.8</v>
      </c>
      <c r="AG214" s="1204"/>
      <c r="AH214" s="1204">
        <v>51.575000000000003</v>
      </c>
      <c r="AI214" s="1204">
        <v>123.271</v>
      </c>
      <c r="AJ214" s="1204">
        <v>192.245</v>
      </c>
      <c r="AK214" s="1204"/>
      <c r="AL214" s="1204">
        <v>51.762</v>
      </c>
      <c r="AM214" s="1204"/>
      <c r="AN214" s="1204"/>
      <c r="AO214" s="1204"/>
      <c r="AP214" s="1204">
        <v>64.212999999999994</v>
      </c>
      <c r="AQ214" s="1204"/>
      <c r="AR214" s="1204"/>
      <c r="AS214" s="1204"/>
      <c r="AT214" s="1204">
        <v>27.08</v>
      </c>
      <c r="AU214" s="1204"/>
      <c r="AV214" s="1204">
        <v>66.335999999999999</v>
      </c>
      <c r="AW214" s="1201">
        <v>10.875</v>
      </c>
    </row>
    <row r="215" spans="1:49">
      <c r="A215" s="1203" t="s">
        <v>620</v>
      </c>
      <c r="B215" s="1204">
        <v>584.24180999999999</v>
      </c>
      <c r="C215" s="1204">
        <v>518.84</v>
      </c>
      <c r="D215" s="1204">
        <v>531.82299999999998</v>
      </c>
      <c r="E215" s="1204">
        <v>501.923</v>
      </c>
      <c r="F215" s="1204">
        <v>506.36599999999999</v>
      </c>
      <c r="G215" s="1204">
        <v>473.00799999999998</v>
      </c>
      <c r="H215" s="1204">
        <v>673.16099999999994</v>
      </c>
      <c r="I215" s="1204">
        <v>906.03399999999999</v>
      </c>
      <c r="N215" s="1204"/>
      <c r="O215" s="1204"/>
      <c r="P215" s="1204"/>
      <c r="Q215" s="1204"/>
      <c r="R215" s="1204"/>
      <c r="S215" s="1204"/>
      <c r="T215" s="1204"/>
      <c r="U215" s="1204"/>
      <c r="V215" s="1204"/>
      <c r="W215" s="1204"/>
      <c r="X215" s="1204"/>
      <c r="Y215" s="1204">
        <v>531.82299999999998</v>
      </c>
      <c r="Z215" s="1204"/>
      <c r="AA215" s="1204"/>
      <c r="AB215" s="1204"/>
      <c r="AC215" s="1204"/>
      <c r="AD215" s="1204">
        <v>136.87100000000001</v>
      </c>
      <c r="AE215" s="1204"/>
      <c r="AF215" s="1204">
        <v>414.22300000000001</v>
      </c>
      <c r="AG215" s="1204"/>
      <c r="AH215" s="1204">
        <v>125.461</v>
      </c>
      <c r="AI215" s="1204">
        <v>250.37200000000001</v>
      </c>
      <c r="AJ215" s="1204">
        <v>380.83199999999999</v>
      </c>
      <c r="AK215" s="1204"/>
      <c r="AL215" s="1204">
        <v>159.684</v>
      </c>
      <c r="AM215" s="1204"/>
      <c r="AN215" s="1204"/>
      <c r="AO215" s="1204"/>
      <c r="AP215" s="1204">
        <v>235.4</v>
      </c>
      <c r="AQ215" s="1204"/>
      <c r="AR215" s="1204"/>
      <c r="AS215" s="1204"/>
      <c r="AT215" s="1204">
        <v>268.51600000000002</v>
      </c>
      <c r="AU215" s="1204"/>
      <c r="AV215" s="1204">
        <v>795.12</v>
      </c>
      <c r="AW215" s="1201">
        <v>253.29</v>
      </c>
    </row>
    <row r="216" spans="1:49">
      <c r="A216" s="1205" t="s">
        <v>621</v>
      </c>
      <c r="B216" s="1204">
        <v>584.24180999999999</v>
      </c>
      <c r="C216" s="1204">
        <v>518.84</v>
      </c>
      <c r="D216" s="1204">
        <v>531.82299999999998</v>
      </c>
      <c r="E216" s="1204">
        <v>501.923</v>
      </c>
      <c r="F216" s="1204">
        <v>506.36599999999999</v>
      </c>
      <c r="G216" s="1204">
        <v>473.00799999999998</v>
      </c>
      <c r="H216" s="1204">
        <v>673.16099999999994</v>
      </c>
      <c r="I216" s="1204">
        <v>906.03399999999999</v>
      </c>
      <c r="N216" s="1204"/>
      <c r="O216" s="1204"/>
      <c r="P216" s="1204"/>
      <c r="Q216" s="1204"/>
      <c r="R216" s="1204"/>
      <c r="S216" s="1204"/>
      <c r="T216" s="1204"/>
      <c r="U216" s="1204"/>
      <c r="V216" s="1204"/>
      <c r="W216" s="1204"/>
      <c r="X216" s="1204"/>
      <c r="Y216" s="1204">
        <v>531.82299999999998</v>
      </c>
      <c r="Z216" s="1204"/>
      <c r="AA216" s="1204"/>
      <c r="AB216" s="1204"/>
      <c r="AC216" s="1204"/>
      <c r="AD216" s="1204">
        <v>136.87100000000001</v>
      </c>
      <c r="AE216" s="1204"/>
      <c r="AF216" s="1204">
        <v>414.22300000000001</v>
      </c>
      <c r="AG216" s="1204"/>
      <c r="AH216" s="1204">
        <v>125.461</v>
      </c>
      <c r="AI216" s="1204">
        <v>250.37200000000001</v>
      </c>
      <c r="AJ216" s="1204">
        <v>380.83199999999999</v>
      </c>
      <c r="AK216" s="1204"/>
      <c r="AL216" s="1204">
        <v>159.684</v>
      </c>
      <c r="AM216" s="1204"/>
      <c r="AN216" s="1204"/>
      <c r="AO216" s="1204"/>
      <c r="AP216" s="1204">
        <v>235.4</v>
      </c>
      <c r="AQ216" s="1204"/>
      <c r="AR216" s="1204"/>
      <c r="AS216" s="1204"/>
      <c r="AT216" s="1204">
        <v>268.51600000000002</v>
      </c>
      <c r="AU216" s="1204"/>
      <c r="AV216" s="1204">
        <v>795.12</v>
      </c>
      <c r="AW216" s="1201">
        <v>253.29</v>
      </c>
    </row>
    <row r="217" spans="1:49">
      <c r="A217" s="1203" t="s">
        <v>622</v>
      </c>
      <c r="B217" s="1204">
        <v>27.167870000000001</v>
      </c>
      <c r="C217" s="1204">
        <v>33.017000000000003</v>
      </c>
      <c r="D217" s="1204">
        <v>35.076000000000001</v>
      </c>
      <c r="E217" s="1204">
        <v>44.987000000000002</v>
      </c>
      <c r="F217" s="1204">
        <v>43.101999999999997</v>
      </c>
      <c r="G217" s="1204">
        <v>50.540999999999997</v>
      </c>
      <c r="H217" s="1204">
        <v>56.704999999999998</v>
      </c>
      <c r="I217" s="1204">
        <v>65.347999999999999</v>
      </c>
      <c r="N217" s="1204"/>
      <c r="O217" s="1204"/>
      <c r="P217" s="1204"/>
      <c r="Q217" s="1204"/>
      <c r="R217" s="1204"/>
      <c r="S217" s="1204"/>
      <c r="T217" s="1204"/>
      <c r="U217" s="1204"/>
      <c r="V217" s="1204"/>
      <c r="W217" s="1204"/>
      <c r="X217" s="1204"/>
      <c r="Y217" s="1204">
        <v>35.076000000000001</v>
      </c>
      <c r="Z217" s="1204"/>
      <c r="AA217" s="1204"/>
      <c r="AB217" s="1204"/>
      <c r="AC217" s="1204"/>
      <c r="AD217" s="1204"/>
      <c r="AE217" s="1204"/>
      <c r="AF217" s="1204"/>
      <c r="AG217" s="1204"/>
      <c r="AH217" s="1204"/>
      <c r="AI217" s="1204"/>
      <c r="AJ217" s="1204"/>
      <c r="AK217" s="1204"/>
      <c r="AL217" s="1204"/>
      <c r="AM217" s="1204"/>
      <c r="AN217" s="1204"/>
      <c r="AO217" s="1204"/>
      <c r="AP217" s="1204"/>
      <c r="AQ217" s="1204"/>
      <c r="AR217" s="1204"/>
      <c r="AS217" s="1204"/>
      <c r="AT217" s="1204"/>
      <c r="AU217" s="1204"/>
      <c r="AV217" s="1204"/>
    </row>
    <row r="218" spans="1:49">
      <c r="A218" s="1203" t="s">
        <v>623</v>
      </c>
      <c r="B218" s="1204"/>
      <c r="C218" s="1204"/>
      <c r="D218" s="1204"/>
      <c r="E218" s="1204"/>
      <c r="F218" s="1204"/>
      <c r="G218" s="1204"/>
      <c r="H218" s="1204"/>
      <c r="I218" s="1204"/>
      <c r="N218" s="1204"/>
      <c r="O218" s="1204"/>
      <c r="P218" s="1204"/>
      <c r="Q218" s="1204"/>
      <c r="R218" s="1204"/>
      <c r="S218" s="1204"/>
      <c r="T218" s="1204"/>
      <c r="U218" s="1204"/>
      <c r="V218" s="1204"/>
      <c r="W218" s="1204"/>
      <c r="X218" s="1204"/>
      <c r="Y218" s="1204"/>
      <c r="Z218" s="1204"/>
      <c r="AA218" s="1204"/>
      <c r="AB218" s="1204"/>
      <c r="AC218" s="1204"/>
      <c r="AD218" s="1204"/>
      <c r="AE218" s="1204"/>
      <c r="AF218" s="1204"/>
      <c r="AG218" s="1204"/>
      <c r="AH218" s="1204"/>
      <c r="AI218" s="1204"/>
      <c r="AJ218" s="1204"/>
      <c r="AK218" s="1204"/>
      <c r="AL218" s="1204"/>
      <c r="AM218" s="1204"/>
      <c r="AN218" s="1204"/>
      <c r="AO218" s="1204"/>
      <c r="AP218" s="1204"/>
      <c r="AQ218" s="1204"/>
      <c r="AR218" s="1204"/>
      <c r="AS218" s="1204"/>
      <c r="AT218" s="1204"/>
      <c r="AU218" s="1204"/>
      <c r="AV218" s="1204"/>
    </row>
    <row r="219" spans="1:49">
      <c r="A219" s="1205" t="s">
        <v>624</v>
      </c>
      <c r="B219" s="1204">
        <v>27.167870000000001</v>
      </c>
      <c r="C219" s="1204">
        <v>33.017000000000003</v>
      </c>
      <c r="D219" s="1204">
        <v>35.076000000000001</v>
      </c>
      <c r="E219" s="1204">
        <v>44.987000000000002</v>
      </c>
      <c r="F219" s="1204">
        <v>43.101999999999997</v>
      </c>
      <c r="G219" s="1204">
        <v>50.540999999999997</v>
      </c>
      <c r="H219" s="1204">
        <v>56.704999999999998</v>
      </c>
      <c r="I219" s="1204">
        <v>65.347999999999999</v>
      </c>
      <c r="N219" s="1204"/>
      <c r="O219" s="1204"/>
      <c r="P219" s="1204"/>
      <c r="Q219" s="1204"/>
      <c r="R219" s="1204"/>
      <c r="S219" s="1204"/>
      <c r="T219" s="1204"/>
      <c r="U219" s="1204"/>
      <c r="V219" s="1204"/>
      <c r="W219" s="1204"/>
      <c r="X219" s="1204"/>
      <c r="Y219" s="1204">
        <v>35.076000000000001</v>
      </c>
      <c r="Z219" s="1204"/>
      <c r="AA219" s="1204"/>
      <c r="AB219" s="1204"/>
      <c r="AC219" s="1204"/>
      <c r="AD219" s="1204"/>
      <c r="AE219" s="1204"/>
      <c r="AF219" s="1204"/>
      <c r="AG219" s="1204"/>
      <c r="AH219" s="1204"/>
      <c r="AI219" s="1204"/>
      <c r="AJ219" s="1204"/>
      <c r="AK219" s="1204"/>
      <c r="AL219" s="1204"/>
      <c r="AM219" s="1204"/>
      <c r="AN219" s="1204"/>
      <c r="AO219" s="1204"/>
      <c r="AP219" s="1204"/>
      <c r="AQ219" s="1204"/>
      <c r="AR219" s="1204"/>
      <c r="AS219" s="1204"/>
      <c r="AT219" s="1204"/>
      <c r="AU219" s="1204"/>
      <c r="AV219" s="1204"/>
    </row>
    <row r="220" spans="1:49">
      <c r="A220" s="1205" t="s">
        <v>625</v>
      </c>
      <c r="B220" s="1204">
        <v>-10.09755</v>
      </c>
      <c r="C220" s="1204"/>
      <c r="D220" s="1204"/>
      <c r="E220" s="1204"/>
      <c r="F220" s="1204"/>
      <c r="G220" s="1204"/>
      <c r="H220" s="1204"/>
      <c r="I220" s="1204"/>
      <c r="N220" s="1204"/>
      <c r="O220" s="1204"/>
      <c r="P220" s="1204"/>
      <c r="Q220" s="1204"/>
      <c r="R220" s="1204"/>
      <c r="S220" s="1204"/>
      <c r="T220" s="1204"/>
      <c r="U220" s="1204"/>
      <c r="V220" s="1204"/>
      <c r="W220" s="1204"/>
      <c r="X220" s="1204"/>
      <c r="Y220" s="1204"/>
      <c r="Z220" s="1204"/>
      <c r="AA220" s="1204"/>
      <c r="AB220" s="1204"/>
      <c r="AC220" s="1204"/>
      <c r="AD220" s="1204"/>
      <c r="AE220" s="1204"/>
      <c r="AF220" s="1204"/>
      <c r="AG220" s="1204"/>
      <c r="AH220" s="1204"/>
      <c r="AI220" s="1204"/>
      <c r="AJ220" s="1204"/>
      <c r="AK220" s="1204"/>
      <c r="AL220" s="1204"/>
      <c r="AM220" s="1204"/>
      <c r="AN220" s="1204"/>
      <c r="AO220" s="1204"/>
      <c r="AP220" s="1204"/>
      <c r="AQ220" s="1204"/>
      <c r="AR220" s="1204"/>
      <c r="AS220" s="1204"/>
      <c r="AT220" s="1204"/>
      <c r="AU220" s="1204"/>
      <c r="AV220" s="1204"/>
    </row>
    <row r="221" spans="1:49">
      <c r="A221" s="1203" t="s">
        <v>626</v>
      </c>
      <c r="B221" s="1204"/>
      <c r="C221" s="1204"/>
      <c r="D221" s="1204"/>
      <c r="E221" s="1204"/>
      <c r="F221" s="1204"/>
      <c r="G221" s="1204"/>
      <c r="H221" s="1204"/>
      <c r="I221" s="1204"/>
      <c r="N221" s="1204"/>
      <c r="O221" s="1204"/>
      <c r="P221" s="1204"/>
      <c r="Q221" s="1204"/>
      <c r="R221" s="1204"/>
      <c r="S221" s="1204"/>
      <c r="T221" s="1204"/>
      <c r="U221" s="1204"/>
      <c r="V221" s="1204"/>
      <c r="W221" s="1204"/>
      <c r="X221" s="1204"/>
      <c r="Y221" s="1204"/>
      <c r="Z221" s="1204"/>
      <c r="AA221" s="1204"/>
      <c r="AB221" s="1204"/>
      <c r="AC221" s="1204"/>
      <c r="AD221" s="1204"/>
      <c r="AE221" s="1204"/>
      <c r="AF221" s="1204"/>
      <c r="AG221" s="1204"/>
      <c r="AH221" s="1204"/>
      <c r="AI221" s="1204"/>
      <c r="AJ221" s="1204"/>
      <c r="AK221" s="1204"/>
      <c r="AL221" s="1204"/>
      <c r="AM221" s="1204"/>
      <c r="AN221" s="1204"/>
      <c r="AO221" s="1204"/>
      <c r="AP221" s="1204"/>
      <c r="AQ221" s="1204"/>
      <c r="AR221" s="1204"/>
      <c r="AS221" s="1204"/>
      <c r="AT221" s="1204"/>
      <c r="AU221" s="1204"/>
      <c r="AV221" s="1204"/>
    </row>
    <row r="222" spans="1:49">
      <c r="A222" s="1203" t="s">
        <v>627</v>
      </c>
      <c r="B222" s="1204">
        <v>0</v>
      </c>
      <c r="C222" s="1204">
        <v>-17.103000000000002</v>
      </c>
      <c r="D222" s="1204">
        <v>0</v>
      </c>
      <c r="E222" s="1204">
        <v>0</v>
      </c>
      <c r="F222" s="1204"/>
      <c r="G222" s="1204"/>
      <c r="H222" s="1204"/>
      <c r="I222" s="1204"/>
      <c r="N222" s="1204"/>
      <c r="O222" s="1204"/>
      <c r="P222" s="1204"/>
      <c r="Q222" s="1204"/>
      <c r="R222" s="1204"/>
      <c r="S222" s="1204"/>
      <c r="T222" s="1204"/>
      <c r="U222" s="1204"/>
      <c r="V222" s="1204"/>
      <c r="W222" s="1204"/>
      <c r="X222" s="1204"/>
      <c r="Y222" s="1204">
        <v>0</v>
      </c>
      <c r="Z222" s="1204"/>
      <c r="AA222" s="1204"/>
      <c r="AB222" s="1204"/>
      <c r="AC222" s="1204"/>
      <c r="AD222" s="1204"/>
      <c r="AE222" s="1204"/>
      <c r="AF222" s="1204"/>
      <c r="AG222" s="1204"/>
      <c r="AH222" s="1204"/>
      <c r="AI222" s="1204"/>
      <c r="AJ222" s="1204"/>
      <c r="AK222" s="1204"/>
      <c r="AL222" s="1204"/>
      <c r="AM222" s="1204"/>
      <c r="AN222" s="1204"/>
      <c r="AO222" s="1204"/>
      <c r="AP222" s="1204"/>
      <c r="AQ222" s="1204"/>
      <c r="AR222" s="1204"/>
      <c r="AS222" s="1204"/>
      <c r="AT222" s="1204"/>
      <c r="AU222" s="1204"/>
      <c r="AV222" s="1204"/>
    </row>
    <row r="223" spans="1:49">
      <c r="A223" s="1203" t="s">
        <v>628</v>
      </c>
      <c r="B223" s="1204"/>
      <c r="C223" s="1204"/>
      <c r="D223" s="1204"/>
      <c r="E223" s="1204"/>
      <c r="F223" s="1204"/>
      <c r="G223" s="1204"/>
      <c r="H223" s="1204"/>
      <c r="I223" s="1204"/>
      <c r="N223" s="1204"/>
      <c r="O223" s="1204"/>
      <c r="P223" s="1204"/>
      <c r="Q223" s="1204"/>
      <c r="R223" s="1204"/>
      <c r="S223" s="1204"/>
      <c r="T223" s="1204"/>
      <c r="U223" s="1204"/>
      <c r="V223" s="1204"/>
      <c r="W223" s="1204"/>
      <c r="X223" s="1204"/>
      <c r="Y223" s="1204"/>
      <c r="Z223" s="1204"/>
      <c r="AA223" s="1204"/>
      <c r="AB223" s="1204"/>
      <c r="AC223" s="1204"/>
      <c r="AD223" s="1204"/>
      <c r="AE223" s="1204"/>
      <c r="AF223" s="1204"/>
      <c r="AG223" s="1204"/>
      <c r="AH223" s="1204"/>
      <c r="AI223" s="1204"/>
      <c r="AJ223" s="1204"/>
      <c r="AK223" s="1204"/>
      <c r="AL223" s="1204"/>
      <c r="AM223" s="1204"/>
      <c r="AN223" s="1204"/>
      <c r="AO223" s="1204"/>
      <c r="AP223" s="1204"/>
      <c r="AQ223" s="1204"/>
      <c r="AR223" s="1204"/>
      <c r="AS223" s="1204"/>
      <c r="AT223" s="1204"/>
      <c r="AU223" s="1204"/>
      <c r="AV223" s="1204"/>
    </row>
    <row r="224" spans="1:49">
      <c r="A224" s="1203" t="s">
        <v>629</v>
      </c>
      <c r="B224" s="1204">
        <v>37.314140000000002</v>
      </c>
      <c r="C224" s="1204">
        <v>17.954999999999998</v>
      </c>
      <c r="D224" s="1204">
        <v>-18.463999999999999</v>
      </c>
      <c r="E224" s="1204">
        <v>-67.364000000000004</v>
      </c>
      <c r="F224" s="1204">
        <v>-22.344999999999999</v>
      </c>
      <c r="G224" s="1204">
        <v>-82.113</v>
      </c>
      <c r="H224" s="1204">
        <v>2.0030000000000001</v>
      </c>
      <c r="I224" s="1204">
        <v>-43.286999999999999</v>
      </c>
      <c r="N224" s="1204"/>
      <c r="O224" s="1204"/>
      <c r="P224" s="1204"/>
      <c r="Q224" s="1204"/>
      <c r="R224" s="1204"/>
      <c r="S224" s="1204"/>
      <c r="T224" s="1204"/>
      <c r="U224" s="1204"/>
      <c r="V224" s="1204"/>
      <c r="W224" s="1204"/>
      <c r="X224" s="1204"/>
      <c r="Y224" s="1204">
        <v>-19.324999999999999</v>
      </c>
      <c r="Z224" s="1204"/>
      <c r="AA224" s="1204"/>
      <c r="AB224" s="1204"/>
      <c r="AC224" s="1204"/>
      <c r="AD224" s="1204"/>
      <c r="AE224" s="1204"/>
      <c r="AF224" s="1204"/>
      <c r="AG224" s="1204"/>
      <c r="AH224" s="1204"/>
      <c r="AI224" s="1204"/>
      <c r="AJ224" s="1204"/>
      <c r="AK224" s="1204"/>
      <c r="AL224" s="1204"/>
      <c r="AM224" s="1204"/>
      <c r="AN224" s="1204"/>
      <c r="AO224" s="1204"/>
      <c r="AP224" s="1204"/>
      <c r="AQ224" s="1204"/>
      <c r="AR224" s="1204"/>
      <c r="AS224" s="1204"/>
      <c r="AT224" s="1204"/>
      <c r="AU224" s="1204"/>
      <c r="AV224" s="1204"/>
    </row>
    <row r="225" spans="1:49">
      <c r="A225" s="1203" t="s">
        <v>630</v>
      </c>
      <c r="B225" s="1204"/>
      <c r="C225" s="1204"/>
      <c r="D225" s="1204"/>
      <c r="E225" s="1204"/>
      <c r="F225" s="1204"/>
      <c r="G225" s="1204"/>
      <c r="H225" s="1204"/>
      <c r="I225" s="1204"/>
      <c r="N225" s="1204"/>
      <c r="O225" s="1204"/>
      <c r="P225" s="1204"/>
      <c r="Q225" s="1204"/>
      <c r="R225" s="1204"/>
      <c r="S225" s="1204"/>
      <c r="T225" s="1204"/>
      <c r="U225" s="1204"/>
      <c r="V225" s="1204"/>
      <c r="W225" s="1204"/>
      <c r="X225" s="1204"/>
      <c r="Y225" s="1204"/>
      <c r="Z225" s="1204"/>
      <c r="AA225" s="1204"/>
      <c r="AB225" s="1204"/>
      <c r="AC225" s="1204"/>
      <c r="AD225" s="1204"/>
      <c r="AE225" s="1204"/>
      <c r="AF225" s="1204"/>
      <c r="AG225" s="1204"/>
      <c r="AH225" s="1204"/>
      <c r="AI225" s="1204"/>
      <c r="AJ225" s="1204"/>
      <c r="AK225" s="1204"/>
      <c r="AL225" s="1204"/>
      <c r="AM225" s="1204"/>
      <c r="AN225" s="1204"/>
      <c r="AO225" s="1204"/>
      <c r="AP225" s="1204"/>
      <c r="AQ225" s="1204"/>
      <c r="AR225" s="1204"/>
      <c r="AS225" s="1204"/>
      <c r="AT225" s="1204"/>
      <c r="AU225" s="1204"/>
      <c r="AV225" s="1204"/>
    </row>
    <row r="226" spans="1:49">
      <c r="A226" s="1203" t="s">
        <v>631</v>
      </c>
      <c r="B226" s="1204"/>
      <c r="C226" s="1204">
        <v>-4.4790000000000001</v>
      </c>
      <c r="D226" s="1204">
        <v>-1.7030000000000001</v>
      </c>
      <c r="E226" s="1204">
        <v>-2.278</v>
      </c>
      <c r="F226" s="1204">
        <v>-2.073</v>
      </c>
      <c r="G226" s="1204">
        <v>13.382999999999999</v>
      </c>
      <c r="H226" s="1204">
        <v>13.776999999999999</v>
      </c>
      <c r="I226" s="1204">
        <v>9.5</v>
      </c>
      <c r="N226" s="1204"/>
      <c r="O226" s="1204"/>
      <c r="P226" s="1204"/>
      <c r="Q226" s="1204"/>
      <c r="R226" s="1204"/>
      <c r="S226" s="1204"/>
      <c r="T226" s="1204"/>
      <c r="U226" s="1204"/>
      <c r="V226" s="1204"/>
      <c r="W226" s="1204"/>
      <c r="X226" s="1204"/>
      <c r="Y226" s="1204">
        <v>-1.7030000000000001</v>
      </c>
      <c r="Z226" s="1204"/>
      <c r="AA226" s="1204"/>
      <c r="AB226" s="1204"/>
      <c r="AC226" s="1204"/>
      <c r="AD226" s="1204">
        <v>-0.88500000000000001</v>
      </c>
      <c r="AE226" s="1204"/>
      <c r="AF226" s="1204"/>
      <c r="AG226" s="1204"/>
      <c r="AH226" s="1204">
        <v>-2.5000000000000001E-2</v>
      </c>
      <c r="AI226" s="1204">
        <v>0.124</v>
      </c>
      <c r="AJ226" s="1204">
        <v>5.516</v>
      </c>
      <c r="AK226" s="1204"/>
      <c r="AL226" s="1204">
        <v>5.702</v>
      </c>
      <c r="AM226" s="1204"/>
      <c r="AN226" s="1204"/>
      <c r="AO226" s="1204"/>
      <c r="AP226" s="1204">
        <v>5.3710000000000004</v>
      </c>
      <c r="AQ226" s="1204"/>
      <c r="AR226" s="1204"/>
      <c r="AS226" s="1204"/>
      <c r="AT226" s="1204">
        <v>-3.343</v>
      </c>
      <c r="AU226" s="1204"/>
      <c r="AV226" s="1204">
        <v>0.17799999999999999</v>
      </c>
      <c r="AW226" s="1201">
        <v>-21.381</v>
      </c>
    </row>
    <row r="227" spans="1:49">
      <c r="A227" s="1203" t="s">
        <v>632</v>
      </c>
      <c r="B227" s="1204">
        <v>14.62106</v>
      </c>
      <c r="C227" s="1204">
        <v>85.718000000000004</v>
      </c>
      <c r="D227" s="1204">
        <v>38.488999999999997</v>
      </c>
      <c r="E227" s="1204">
        <v>47.860999999999997</v>
      </c>
      <c r="F227" s="1204">
        <v>67.027000000000001</v>
      </c>
      <c r="G227" s="1204">
        <v>37.604999999999997</v>
      </c>
      <c r="H227" s="1204">
        <v>1.875</v>
      </c>
      <c r="I227" s="1204">
        <v>83.811999999999998</v>
      </c>
      <c r="N227" s="1204"/>
      <c r="O227" s="1204"/>
      <c r="P227" s="1204"/>
      <c r="Q227" s="1204"/>
      <c r="R227" s="1204"/>
      <c r="S227" s="1204"/>
      <c r="T227" s="1204"/>
      <c r="U227" s="1204"/>
      <c r="V227" s="1204"/>
      <c r="W227" s="1204"/>
      <c r="X227" s="1204"/>
      <c r="Y227" s="1204">
        <v>39.35</v>
      </c>
      <c r="Z227" s="1204"/>
      <c r="AA227" s="1204"/>
      <c r="AB227" s="1204"/>
      <c r="AC227" s="1204"/>
      <c r="AD227" s="1204"/>
      <c r="AE227" s="1204"/>
      <c r="AF227" s="1204"/>
      <c r="AG227" s="1204"/>
      <c r="AH227" s="1204"/>
      <c r="AI227" s="1204"/>
      <c r="AJ227" s="1204"/>
      <c r="AK227" s="1204"/>
      <c r="AL227" s="1204"/>
      <c r="AM227" s="1204"/>
      <c r="AN227" s="1204"/>
      <c r="AO227" s="1204"/>
      <c r="AP227" s="1204"/>
      <c r="AQ227" s="1204"/>
      <c r="AR227" s="1204"/>
      <c r="AS227" s="1204"/>
      <c r="AT227" s="1204"/>
      <c r="AU227" s="1204"/>
      <c r="AV227" s="1204"/>
    </row>
    <row r="228" spans="1:49">
      <c r="A228" s="1205" t="s">
        <v>633</v>
      </c>
      <c r="B228" s="1204">
        <v>51.935200000000002</v>
      </c>
      <c r="C228" s="1204">
        <v>82.090999999999994</v>
      </c>
      <c r="D228" s="1204">
        <v>18.321999999999999</v>
      </c>
      <c r="E228" s="1204">
        <v>-21.780999999999999</v>
      </c>
      <c r="F228" s="1204">
        <v>42.609000000000002</v>
      </c>
      <c r="G228" s="1204">
        <v>-31.125</v>
      </c>
      <c r="H228" s="1204">
        <v>17.655000000000001</v>
      </c>
      <c r="I228" s="1204">
        <v>50.024999999999999</v>
      </c>
      <c r="N228" s="1204"/>
      <c r="O228" s="1204"/>
      <c r="P228" s="1204"/>
      <c r="Q228" s="1204"/>
      <c r="R228" s="1204"/>
      <c r="S228" s="1204"/>
      <c r="T228" s="1204"/>
      <c r="U228" s="1204"/>
      <c r="V228" s="1204"/>
      <c r="W228" s="1204"/>
      <c r="X228" s="1204"/>
      <c r="Y228" s="1204">
        <v>18.321999999999999</v>
      </c>
      <c r="Z228" s="1204"/>
      <c r="AA228" s="1204"/>
      <c r="AB228" s="1204"/>
      <c r="AC228" s="1204"/>
      <c r="AD228" s="1204">
        <v>-0.88500000000000001</v>
      </c>
      <c r="AE228" s="1204"/>
      <c r="AF228" s="1204"/>
      <c r="AG228" s="1204"/>
      <c r="AH228" s="1204">
        <v>-2.5000000000000001E-2</v>
      </c>
      <c r="AI228" s="1204">
        <v>0.124</v>
      </c>
      <c r="AJ228" s="1204">
        <v>5.516</v>
      </c>
      <c r="AK228" s="1204"/>
      <c r="AL228" s="1204">
        <v>5.702</v>
      </c>
      <c r="AM228" s="1204"/>
      <c r="AN228" s="1204"/>
      <c r="AO228" s="1204"/>
      <c r="AP228" s="1204">
        <v>5.3710000000000004</v>
      </c>
      <c r="AQ228" s="1204"/>
      <c r="AR228" s="1204"/>
      <c r="AS228" s="1204"/>
      <c r="AT228" s="1204">
        <v>-3.343</v>
      </c>
      <c r="AU228" s="1204"/>
      <c r="AV228" s="1204">
        <v>0.17799999999999999</v>
      </c>
      <c r="AW228" s="1201">
        <v>-21.381</v>
      </c>
    </row>
    <row r="229" spans="1:49">
      <c r="A229" s="1203" t="s">
        <v>634</v>
      </c>
      <c r="B229" s="1204">
        <v>-2.4022299999999999</v>
      </c>
      <c r="C229" s="1204">
        <v>73.069000000000003</v>
      </c>
      <c r="D229" s="1204">
        <v>-112.41</v>
      </c>
      <c r="E229" s="1204">
        <v>-33.375</v>
      </c>
      <c r="F229" s="1204">
        <v>-89.231999999999999</v>
      </c>
      <c r="G229" s="1204">
        <v>-39.902000000000001</v>
      </c>
      <c r="H229" s="1204">
        <v>-100.98</v>
      </c>
      <c r="I229" s="1204">
        <v>59.084000000000003</v>
      </c>
      <c r="N229" s="1204"/>
      <c r="O229" s="1204"/>
      <c r="P229" s="1204"/>
      <c r="Q229" s="1204"/>
      <c r="R229" s="1204"/>
      <c r="S229" s="1204"/>
      <c r="T229" s="1204"/>
      <c r="U229" s="1204"/>
      <c r="V229" s="1204"/>
      <c r="W229" s="1204"/>
      <c r="X229" s="1204"/>
      <c r="Y229" s="1204">
        <v>-112.41</v>
      </c>
      <c r="Z229" s="1204"/>
      <c r="AA229" s="1204"/>
      <c r="AB229" s="1204"/>
      <c r="AC229" s="1204"/>
      <c r="AD229" s="1204"/>
      <c r="AE229" s="1204"/>
      <c r="AF229" s="1204"/>
      <c r="AG229" s="1204"/>
      <c r="AH229" s="1204"/>
      <c r="AI229" s="1204"/>
      <c r="AJ229" s="1204"/>
      <c r="AK229" s="1204"/>
      <c r="AL229" s="1204"/>
      <c r="AM229" s="1204"/>
      <c r="AN229" s="1204"/>
      <c r="AO229" s="1204"/>
      <c r="AP229" s="1204"/>
      <c r="AQ229" s="1204"/>
      <c r="AR229" s="1204"/>
      <c r="AS229" s="1204"/>
      <c r="AT229" s="1204"/>
      <c r="AU229" s="1204"/>
      <c r="AV229" s="1204"/>
    </row>
    <row r="230" spans="1:49">
      <c r="A230" s="1203" t="s">
        <v>635</v>
      </c>
      <c r="B230" s="1204">
        <v>-19.699300000000001</v>
      </c>
      <c r="C230" s="1204">
        <v>-5.5869999999999997</v>
      </c>
      <c r="D230" s="1204">
        <v>-93.27</v>
      </c>
      <c r="E230" s="1204">
        <v>8.5950000000000006</v>
      </c>
      <c r="F230" s="1204">
        <v>-59.366999999999997</v>
      </c>
      <c r="G230" s="1204">
        <v>-57.947000000000003</v>
      </c>
      <c r="H230" s="1204">
        <v>-51.344000000000001</v>
      </c>
      <c r="I230" s="1204">
        <v>-205.32</v>
      </c>
      <c r="N230" s="1204"/>
      <c r="O230" s="1204"/>
      <c r="P230" s="1204"/>
      <c r="Q230" s="1204"/>
      <c r="R230" s="1204"/>
      <c r="S230" s="1204"/>
      <c r="T230" s="1204"/>
      <c r="U230" s="1204"/>
      <c r="V230" s="1204"/>
      <c r="W230" s="1204"/>
      <c r="X230" s="1204"/>
      <c r="Y230" s="1204">
        <v>-93.27</v>
      </c>
      <c r="Z230" s="1204"/>
      <c r="AA230" s="1204"/>
      <c r="AB230" s="1204"/>
      <c r="AC230" s="1204"/>
      <c r="AD230" s="1204"/>
      <c r="AE230" s="1204"/>
      <c r="AF230" s="1204"/>
      <c r="AG230" s="1204"/>
      <c r="AH230" s="1204"/>
      <c r="AI230" s="1204"/>
      <c r="AJ230" s="1204"/>
      <c r="AK230" s="1204"/>
      <c r="AL230" s="1204"/>
      <c r="AM230" s="1204"/>
      <c r="AN230" s="1204"/>
      <c r="AO230" s="1204"/>
      <c r="AP230" s="1204"/>
      <c r="AQ230" s="1204"/>
      <c r="AR230" s="1204"/>
      <c r="AS230" s="1204"/>
      <c r="AT230" s="1204"/>
      <c r="AU230" s="1204"/>
      <c r="AV230" s="1204"/>
    </row>
    <row r="231" spans="1:49">
      <c r="A231" s="1203" t="s">
        <v>636</v>
      </c>
      <c r="B231" s="1204">
        <v>-47.022350000000003</v>
      </c>
      <c r="C231" s="1204">
        <v>-41.19</v>
      </c>
      <c r="D231" s="1204">
        <v>7.7910000000000004</v>
      </c>
      <c r="E231" s="1204">
        <v>2.129</v>
      </c>
      <c r="F231" s="1204">
        <v>1.129</v>
      </c>
      <c r="G231" s="1204">
        <v>-0.85599999999999998</v>
      </c>
      <c r="H231" s="1204">
        <v>17.614999999999998</v>
      </c>
      <c r="I231" s="1204">
        <v>-6.7220000000000004</v>
      </c>
      <c r="N231" s="1204"/>
      <c r="O231" s="1204"/>
      <c r="P231" s="1204"/>
      <c r="Q231" s="1204"/>
      <c r="R231" s="1204"/>
      <c r="S231" s="1204"/>
      <c r="T231" s="1204"/>
      <c r="U231" s="1204"/>
      <c r="V231" s="1204"/>
      <c r="W231" s="1204"/>
      <c r="X231" s="1204"/>
      <c r="Y231" s="1204">
        <v>7.7910000000000004</v>
      </c>
      <c r="Z231" s="1204"/>
      <c r="AA231" s="1204"/>
      <c r="AB231" s="1204"/>
      <c r="AC231" s="1204"/>
      <c r="AD231" s="1204"/>
      <c r="AE231" s="1204"/>
      <c r="AF231" s="1204"/>
      <c r="AG231" s="1204"/>
      <c r="AH231" s="1204"/>
      <c r="AI231" s="1204"/>
      <c r="AJ231" s="1204"/>
      <c r="AK231" s="1204"/>
      <c r="AL231" s="1204"/>
      <c r="AM231" s="1204"/>
      <c r="AN231" s="1204"/>
      <c r="AO231" s="1204"/>
      <c r="AP231" s="1204"/>
      <c r="AQ231" s="1204"/>
      <c r="AR231" s="1204"/>
      <c r="AS231" s="1204"/>
      <c r="AT231" s="1204"/>
      <c r="AU231" s="1204"/>
      <c r="AV231" s="1204"/>
    </row>
    <row r="232" spans="1:49">
      <c r="A232" s="1203" t="s">
        <v>637</v>
      </c>
      <c r="B232" s="1204">
        <v>-30.077570000000001</v>
      </c>
      <c r="C232" s="1204">
        <v>-70.117999999999995</v>
      </c>
      <c r="D232" s="1204">
        <v>-16.343</v>
      </c>
      <c r="E232" s="1204">
        <v>-5.3250000000000002</v>
      </c>
      <c r="F232" s="1204">
        <v>-43.368000000000002</v>
      </c>
      <c r="G232" s="1204">
        <v>-23.151</v>
      </c>
      <c r="H232" s="1204">
        <v>-146.25800000000001</v>
      </c>
      <c r="I232" s="1204">
        <v>-78.856999999999999</v>
      </c>
      <c r="N232" s="1204"/>
      <c r="O232" s="1204"/>
      <c r="P232" s="1204"/>
      <c r="Q232" s="1204"/>
      <c r="R232" s="1204"/>
      <c r="S232" s="1204"/>
      <c r="T232" s="1204"/>
      <c r="U232" s="1204"/>
      <c r="V232" s="1204"/>
      <c r="W232" s="1204"/>
      <c r="X232" s="1204"/>
      <c r="Y232" s="1204">
        <v>-16.343</v>
      </c>
      <c r="Z232" s="1204"/>
      <c r="AA232" s="1204"/>
      <c r="AB232" s="1204"/>
      <c r="AC232" s="1204"/>
      <c r="AD232" s="1204"/>
      <c r="AE232" s="1204"/>
      <c r="AF232" s="1204"/>
      <c r="AG232" s="1204"/>
      <c r="AH232" s="1204"/>
      <c r="AI232" s="1204"/>
      <c r="AJ232" s="1204"/>
      <c r="AK232" s="1204"/>
      <c r="AL232" s="1204"/>
      <c r="AM232" s="1204"/>
      <c r="AN232" s="1204"/>
      <c r="AO232" s="1204"/>
      <c r="AP232" s="1204"/>
      <c r="AQ232" s="1204"/>
      <c r="AR232" s="1204"/>
      <c r="AS232" s="1204"/>
      <c r="AT232" s="1204"/>
      <c r="AU232" s="1204"/>
      <c r="AV232" s="1204"/>
    </row>
    <row r="233" spans="1:49">
      <c r="A233" s="1203" t="s">
        <v>638</v>
      </c>
      <c r="B233" s="1204">
        <v>34.205950000000001</v>
      </c>
      <c r="C233" s="1204">
        <v>0.90200000000000002</v>
      </c>
      <c r="D233" s="1204">
        <v>22.942</v>
      </c>
      <c r="E233" s="1204">
        <v>-24.311</v>
      </c>
      <c r="F233" s="1204">
        <v>79.34</v>
      </c>
      <c r="G233" s="1204">
        <v>39.095999999999997</v>
      </c>
      <c r="H233" s="1204">
        <v>59.045999999999999</v>
      </c>
      <c r="I233" s="1204">
        <v>109.374</v>
      </c>
      <c r="N233" s="1204"/>
      <c r="O233" s="1204"/>
      <c r="P233" s="1204"/>
      <c r="Q233" s="1204"/>
      <c r="R233" s="1204"/>
      <c r="S233" s="1204"/>
      <c r="T233" s="1204"/>
      <c r="U233" s="1204"/>
      <c r="V233" s="1204"/>
      <c r="W233" s="1204"/>
      <c r="X233" s="1204"/>
      <c r="Y233" s="1204">
        <v>22.942</v>
      </c>
      <c r="Z233" s="1204"/>
      <c r="AA233" s="1204"/>
      <c r="AB233" s="1204"/>
      <c r="AC233" s="1204"/>
      <c r="AD233" s="1204"/>
      <c r="AE233" s="1204"/>
      <c r="AF233" s="1204"/>
      <c r="AG233" s="1204"/>
      <c r="AH233" s="1204"/>
      <c r="AI233" s="1204"/>
      <c r="AJ233" s="1204"/>
      <c r="AK233" s="1204"/>
      <c r="AL233" s="1204"/>
      <c r="AM233" s="1204"/>
      <c r="AN233" s="1204"/>
      <c r="AO233" s="1204"/>
      <c r="AP233" s="1204"/>
      <c r="AQ233" s="1204"/>
      <c r="AR233" s="1204"/>
      <c r="AS233" s="1204"/>
      <c r="AT233" s="1204"/>
      <c r="AU233" s="1204"/>
      <c r="AV233" s="1204"/>
    </row>
    <row r="234" spans="1:49">
      <c r="A234" s="1203" t="s">
        <v>639</v>
      </c>
      <c r="B234" s="1204">
        <v>53.40699</v>
      </c>
      <c r="C234" s="1204">
        <v>5.9109999999999996</v>
      </c>
      <c r="D234" s="1204">
        <v>36.951000000000001</v>
      </c>
      <c r="E234" s="1204">
        <v>42.264000000000003</v>
      </c>
      <c r="F234" s="1204">
        <v>-3.7679999999999998</v>
      </c>
      <c r="G234" s="1204">
        <v>49.927999999999997</v>
      </c>
      <c r="H234" s="1204">
        <v>25.030999999999999</v>
      </c>
      <c r="I234" s="1204">
        <v>-40.603999999999999</v>
      </c>
      <c r="N234" s="1204"/>
      <c r="O234" s="1204"/>
      <c r="P234" s="1204"/>
      <c r="Q234" s="1204"/>
      <c r="R234" s="1204"/>
      <c r="S234" s="1204"/>
      <c r="T234" s="1204"/>
      <c r="U234" s="1204"/>
      <c r="V234" s="1204"/>
      <c r="W234" s="1204"/>
      <c r="X234" s="1204"/>
      <c r="Y234" s="1204">
        <v>36.951000000000001</v>
      </c>
      <c r="Z234" s="1204"/>
      <c r="AA234" s="1204"/>
      <c r="AB234" s="1204"/>
      <c r="AC234" s="1204"/>
      <c r="AD234" s="1204"/>
      <c r="AE234" s="1204"/>
      <c r="AF234" s="1204"/>
      <c r="AG234" s="1204"/>
      <c r="AH234" s="1204"/>
      <c r="AI234" s="1204"/>
      <c r="AJ234" s="1204"/>
      <c r="AK234" s="1204"/>
      <c r="AL234" s="1204"/>
      <c r="AM234" s="1204"/>
      <c r="AN234" s="1204"/>
      <c r="AO234" s="1204"/>
      <c r="AP234" s="1204"/>
      <c r="AQ234" s="1204"/>
      <c r="AR234" s="1204"/>
      <c r="AS234" s="1204"/>
      <c r="AT234" s="1204"/>
      <c r="AU234" s="1204"/>
      <c r="AV234" s="1204"/>
    </row>
    <row r="235" spans="1:49">
      <c r="A235" s="1203" t="s">
        <v>640</v>
      </c>
      <c r="B235" s="1204"/>
      <c r="C235" s="1204"/>
      <c r="D235" s="1204"/>
      <c r="E235" s="1204"/>
      <c r="F235" s="1204"/>
      <c r="G235" s="1204"/>
      <c r="H235" s="1204"/>
      <c r="I235" s="1204"/>
      <c r="N235" s="1204"/>
      <c r="O235" s="1204"/>
      <c r="P235" s="1204"/>
      <c r="Q235" s="1204"/>
      <c r="R235" s="1204"/>
      <c r="S235" s="1204"/>
      <c r="T235" s="1204"/>
      <c r="U235" s="1204"/>
      <c r="V235" s="1204"/>
      <c r="W235" s="1204"/>
      <c r="X235" s="1204"/>
      <c r="Y235" s="1204"/>
      <c r="Z235" s="1204"/>
      <c r="AA235" s="1204"/>
      <c r="AB235" s="1204"/>
      <c r="AC235" s="1204"/>
      <c r="AD235" s="1204"/>
      <c r="AE235" s="1204"/>
      <c r="AF235" s="1204"/>
      <c r="AG235" s="1204"/>
      <c r="AH235" s="1204"/>
      <c r="AI235" s="1204"/>
      <c r="AJ235" s="1204"/>
      <c r="AK235" s="1204"/>
      <c r="AL235" s="1204"/>
      <c r="AM235" s="1204"/>
      <c r="AN235" s="1204"/>
      <c r="AO235" s="1204"/>
      <c r="AP235" s="1204"/>
      <c r="AQ235" s="1204"/>
      <c r="AR235" s="1204"/>
      <c r="AS235" s="1204"/>
      <c r="AT235" s="1204"/>
      <c r="AU235" s="1204"/>
      <c r="AV235" s="1204"/>
    </row>
    <row r="236" spans="1:49">
      <c r="A236" s="1203" t="s">
        <v>641</v>
      </c>
      <c r="B236" s="1204"/>
      <c r="C236" s="1204"/>
      <c r="D236" s="1204"/>
      <c r="E236" s="1204"/>
      <c r="F236" s="1204"/>
      <c r="G236" s="1204"/>
      <c r="H236" s="1204"/>
      <c r="I236" s="1204"/>
      <c r="N236" s="1204"/>
      <c r="O236" s="1204"/>
      <c r="P236" s="1204"/>
      <c r="Q236" s="1204"/>
      <c r="R236" s="1204"/>
      <c r="S236" s="1204"/>
      <c r="T236" s="1204"/>
      <c r="U236" s="1204"/>
      <c r="V236" s="1204"/>
      <c r="W236" s="1204"/>
      <c r="X236" s="1204"/>
      <c r="Y236" s="1204"/>
      <c r="Z236" s="1204"/>
      <c r="AA236" s="1204"/>
      <c r="AB236" s="1204"/>
      <c r="AC236" s="1204"/>
      <c r="AD236" s="1204"/>
      <c r="AE236" s="1204"/>
      <c r="AF236" s="1204"/>
      <c r="AG236" s="1204"/>
      <c r="AH236" s="1204"/>
      <c r="AI236" s="1204"/>
      <c r="AJ236" s="1204"/>
      <c r="AK236" s="1204"/>
      <c r="AL236" s="1204"/>
      <c r="AM236" s="1204"/>
      <c r="AN236" s="1204"/>
      <c r="AO236" s="1204"/>
      <c r="AP236" s="1204"/>
      <c r="AQ236" s="1204"/>
      <c r="AR236" s="1204"/>
      <c r="AS236" s="1204"/>
      <c r="AT236" s="1204"/>
      <c r="AU236" s="1204"/>
      <c r="AV236" s="1204"/>
    </row>
    <row r="237" spans="1:49">
      <c r="A237" s="1203" t="s">
        <v>642</v>
      </c>
      <c r="B237" s="1204">
        <v>37.109119999999997</v>
      </c>
      <c r="C237" s="1204">
        <v>66.546999999999997</v>
      </c>
      <c r="D237" s="1204">
        <v>25.01</v>
      </c>
      <c r="E237" s="1204">
        <v>85.971999999999994</v>
      </c>
      <c r="F237" s="1204">
        <v>8.2680000000000007</v>
      </c>
      <c r="G237" s="1204">
        <v>8.2799999999999994</v>
      </c>
      <c r="H237" s="1204">
        <v>126.845</v>
      </c>
      <c r="I237" s="1204">
        <v>110.999</v>
      </c>
      <c r="N237" s="1204"/>
      <c r="O237" s="1204"/>
      <c r="P237" s="1204"/>
      <c r="Q237" s="1204"/>
      <c r="R237" s="1204"/>
      <c r="S237" s="1204"/>
      <c r="T237" s="1204"/>
      <c r="U237" s="1204"/>
      <c r="V237" s="1204"/>
      <c r="W237" s="1204"/>
      <c r="X237" s="1204"/>
      <c r="Y237" s="1204">
        <v>25.01</v>
      </c>
      <c r="Z237" s="1204"/>
      <c r="AA237" s="1204"/>
      <c r="AB237" s="1204"/>
      <c r="AC237" s="1204"/>
      <c r="AD237" s="1204"/>
      <c r="AE237" s="1204"/>
      <c r="AF237" s="1204"/>
      <c r="AG237" s="1204"/>
      <c r="AH237" s="1204"/>
      <c r="AI237" s="1204"/>
      <c r="AJ237" s="1204"/>
      <c r="AK237" s="1204"/>
      <c r="AL237" s="1204"/>
      <c r="AM237" s="1204"/>
      <c r="AN237" s="1204"/>
      <c r="AO237" s="1204"/>
      <c r="AP237" s="1204"/>
      <c r="AQ237" s="1204"/>
      <c r="AR237" s="1204"/>
      <c r="AS237" s="1204"/>
      <c r="AT237" s="1204"/>
      <c r="AU237" s="1204"/>
      <c r="AV237" s="1204"/>
    </row>
    <row r="238" spans="1:49">
      <c r="A238" s="1203" t="s">
        <v>643</v>
      </c>
      <c r="B238" s="1204"/>
      <c r="C238" s="1204"/>
      <c r="D238" s="1204"/>
      <c r="E238" s="1204"/>
      <c r="F238" s="1204"/>
      <c r="G238" s="1204"/>
      <c r="H238" s="1204"/>
      <c r="I238" s="1204"/>
      <c r="N238" s="1204"/>
      <c r="O238" s="1204"/>
      <c r="P238" s="1204"/>
      <c r="Q238" s="1204"/>
      <c r="R238" s="1204"/>
      <c r="S238" s="1204"/>
      <c r="T238" s="1204"/>
      <c r="U238" s="1204"/>
      <c r="V238" s="1204"/>
      <c r="W238" s="1204"/>
      <c r="X238" s="1204"/>
      <c r="Y238" s="1204"/>
      <c r="Z238" s="1204"/>
      <c r="AA238" s="1204"/>
      <c r="AB238" s="1204"/>
      <c r="AC238" s="1204"/>
      <c r="AD238" s="1204">
        <v>14.45</v>
      </c>
      <c r="AE238" s="1204"/>
      <c r="AF238" s="1204"/>
      <c r="AG238" s="1204"/>
      <c r="AH238" s="1204">
        <v>-42.738</v>
      </c>
      <c r="AI238" s="1204">
        <v>-84.917000000000002</v>
      </c>
      <c r="AJ238" s="1204">
        <v>-109.571</v>
      </c>
      <c r="AK238" s="1204"/>
      <c r="AL238" s="1204">
        <v>-90.757999999999996</v>
      </c>
      <c r="AM238" s="1204">
        <v>372.154</v>
      </c>
      <c r="AN238" s="1204"/>
      <c r="AO238" s="1204"/>
      <c r="AP238" s="1204">
        <v>-158.06100000000001</v>
      </c>
      <c r="AQ238" s="1204">
        <v>392.142</v>
      </c>
      <c r="AR238" s="1204">
        <v>811.68200000000002</v>
      </c>
      <c r="AS238" s="1204">
        <v>1080.6859999999999</v>
      </c>
      <c r="AT238" s="1204">
        <v>-196.44499999999999</v>
      </c>
      <c r="AU238" s="1204">
        <v>205.41499999999999</v>
      </c>
      <c r="AV238" s="1204">
        <v>-438.608</v>
      </c>
      <c r="AW238" s="1201">
        <v>134.702</v>
      </c>
    </row>
    <row r="239" spans="1:49">
      <c r="A239" s="1203" t="s">
        <v>644</v>
      </c>
      <c r="B239" s="1204">
        <v>1.83412</v>
      </c>
      <c r="C239" s="1204">
        <v>-37.234000000000002</v>
      </c>
      <c r="D239" s="1204">
        <v>-43.267000000000003</v>
      </c>
      <c r="E239" s="1204">
        <v>-37.529000000000003</v>
      </c>
      <c r="F239" s="1204">
        <v>-3.238</v>
      </c>
      <c r="G239" s="1204">
        <v>-20.998000000000001</v>
      </c>
      <c r="H239" s="1204">
        <v>-16.707999999999998</v>
      </c>
      <c r="I239" s="1204">
        <v>-15.098000000000001</v>
      </c>
      <c r="N239" s="1204"/>
      <c r="O239" s="1204"/>
      <c r="P239" s="1204"/>
      <c r="Q239" s="1204"/>
      <c r="R239" s="1204"/>
      <c r="S239" s="1204"/>
      <c r="T239" s="1204"/>
      <c r="U239" s="1204"/>
      <c r="V239" s="1204"/>
      <c r="W239" s="1204"/>
      <c r="X239" s="1204"/>
      <c r="Y239" s="1204">
        <v>-43.267000000000003</v>
      </c>
      <c r="Z239" s="1204">
        <v>154.63800000000001</v>
      </c>
      <c r="AA239" s="1204">
        <v>262.99799999999999</v>
      </c>
      <c r="AB239" s="1204">
        <v>532.57899999999995</v>
      </c>
      <c r="AC239" s="1204">
        <v>738.01599999999996</v>
      </c>
      <c r="AD239" s="1204"/>
      <c r="AE239" s="1204">
        <v>278.67399999999998</v>
      </c>
      <c r="AF239" s="1204">
        <v>-126.139</v>
      </c>
      <c r="AG239" s="1204">
        <v>608.10199999999998</v>
      </c>
      <c r="AH239" s="1204"/>
      <c r="AI239" s="1204"/>
      <c r="AJ239" s="1204"/>
      <c r="AK239" s="1204">
        <v>669.197</v>
      </c>
      <c r="AL239" s="1204"/>
      <c r="AM239" s="1204"/>
      <c r="AN239" s="1204">
        <v>571.68600000000004</v>
      </c>
      <c r="AO239" s="1204">
        <v>977.202</v>
      </c>
      <c r="AP239" s="1204"/>
      <c r="AQ239" s="1204"/>
      <c r="AR239" s="1204"/>
      <c r="AS239" s="1204"/>
      <c r="AT239" s="1204"/>
      <c r="AU239" s="1204"/>
      <c r="AV239" s="1204"/>
    </row>
    <row r="240" spans="1:49">
      <c r="A240" s="1205" t="s">
        <v>645</v>
      </c>
      <c r="B240" s="1204">
        <v>27.35472</v>
      </c>
      <c r="C240" s="1204">
        <v>-7.7</v>
      </c>
      <c r="D240" s="1204">
        <v>-172.596</v>
      </c>
      <c r="E240" s="1204">
        <v>38.42</v>
      </c>
      <c r="F240" s="1204">
        <v>-110.236</v>
      </c>
      <c r="G240" s="1204">
        <v>-45.55</v>
      </c>
      <c r="H240" s="1204">
        <v>-86.753</v>
      </c>
      <c r="I240" s="1204">
        <v>-67.144000000000005</v>
      </c>
      <c r="N240" s="1204"/>
      <c r="O240" s="1204"/>
      <c r="P240" s="1204"/>
      <c r="Q240" s="1204"/>
      <c r="R240" s="1204"/>
      <c r="S240" s="1204"/>
      <c r="T240" s="1204"/>
      <c r="U240" s="1204"/>
      <c r="V240" s="1204"/>
      <c r="W240" s="1204"/>
      <c r="X240" s="1204"/>
      <c r="Y240" s="1204">
        <v>-172.596</v>
      </c>
      <c r="Z240" s="1204">
        <v>154.63800000000001</v>
      </c>
      <c r="AA240" s="1204">
        <v>262.99799999999999</v>
      </c>
      <c r="AB240" s="1204">
        <v>532.57899999999995</v>
      </c>
      <c r="AC240" s="1204">
        <v>738.01599999999996</v>
      </c>
      <c r="AD240" s="1204">
        <v>14.45</v>
      </c>
      <c r="AE240" s="1204">
        <v>278.67399999999998</v>
      </c>
      <c r="AF240" s="1204">
        <v>-126.139</v>
      </c>
      <c r="AG240" s="1204">
        <v>608.10199999999998</v>
      </c>
      <c r="AH240" s="1204">
        <v>-42.738</v>
      </c>
      <c r="AI240" s="1204">
        <v>-84.917000000000002</v>
      </c>
      <c r="AJ240" s="1204">
        <v>-109.571</v>
      </c>
      <c r="AK240" s="1204">
        <v>669.197</v>
      </c>
      <c r="AL240" s="1204">
        <v>-90.757999999999996</v>
      </c>
      <c r="AM240" s="1204">
        <v>372.154</v>
      </c>
      <c r="AN240" s="1204">
        <v>571.68600000000004</v>
      </c>
      <c r="AO240" s="1204">
        <v>977.202</v>
      </c>
      <c r="AP240" s="1204">
        <v>-158.06100000000001</v>
      </c>
      <c r="AQ240" s="1204">
        <v>392.142</v>
      </c>
      <c r="AR240" s="1204">
        <v>811.68200000000002</v>
      </c>
      <c r="AS240" s="1204">
        <v>1080.6859999999999</v>
      </c>
      <c r="AT240" s="1204">
        <v>-196.44499999999999</v>
      </c>
      <c r="AU240" s="1204">
        <v>205.41499999999999</v>
      </c>
      <c r="AV240" s="1204">
        <v>-438.608</v>
      </c>
      <c r="AW240" s="1201">
        <v>134.702</v>
      </c>
    </row>
    <row r="241" spans="1:49">
      <c r="A241" s="1206" t="s">
        <v>646</v>
      </c>
      <c r="B241" s="1204">
        <v>694.61269000000004</v>
      </c>
      <c r="C241" s="1204">
        <v>379.36799999999999</v>
      </c>
      <c r="D241" s="1204">
        <v>435.166</v>
      </c>
      <c r="E241" s="1204">
        <v>738.01599999999996</v>
      </c>
      <c r="F241" s="1204">
        <v>608.10199999999998</v>
      </c>
      <c r="G241" s="1204">
        <v>669.197</v>
      </c>
      <c r="H241" s="1204">
        <v>977.202</v>
      </c>
      <c r="I241" s="1204">
        <v>1080.6859999999999</v>
      </c>
      <c r="N241" s="1204"/>
      <c r="O241" s="1204"/>
      <c r="P241" s="1204"/>
      <c r="Q241" s="1204"/>
      <c r="R241" s="1204"/>
      <c r="S241" s="1204"/>
      <c r="T241" s="1204"/>
      <c r="U241" s="1204"/>
      <c r="V241" s="1204"/>
      <c r="W241" s="1204"/>
      <c r="X241" s="1204"/>
      <c r="Y241" s="1204">
        <v>435.166</v>
      </c>
      <c r="Z241" s="1204">
        <v>154.63800000000001</v>
      </c>
      <c r="AA241" s="1204">
        <v>262.99799999999999</v>
      </c>
      <c r="AB241" s="1204">
        <v>532.57899999999995</v>
      </c>
      <c r="AC241" s="1204">
        <v>738.01599999999996</v>
      </c>
      <c r="AD241" s="1204">
        <v>169.37799999999999</v>
      </c>
      <c r="AE241" s="1204">
        <v>278.67399999999998</v>
      </c>
      <c r="AF241" s="1204">
        <v>412.88400000000001</v>
      </c>
      <c r="AG241" s="1204">
        <v>608.10199999999998</v>
      </c>
      <c r="AH241" s="1204">
        <v>134.273</v>
      </c>
      <c r="AI241" s="1204">
        <v>288.85000000000002</v>
      </c>
      <c r="AJ241" s="1204">
        <v>469.02199999999999</v>
      </c>
      <c r="AK241" s="1204">
        <v>669.197</v>
      </c>
      <c r="AL241" s="1204">
        <v>126.39</v>
      </c>
      <c r="AM241" s="1204">
        <v>372.154</v>
      </c>
      <c r="AN241" s="1204">
        <v>571.68600000000004</v>
      </c>
      <c r="AO241" s="1204">
        <v>977.202</v>
      </c>
      <c r="AP241" s="1204">
        <v>146.923</v>
      </c>
      <c r="AQ241" s="1204">
        <v>392.142</v>
      </c>
      <c r="AR241" s="1204">
        <v>811.68200000000002</v>
      </c>
      <c r="AS241" s="1204">
        <v>1080.6859999999999</v>
      </c>
      <c r="AT241" s="1204">
        <v>95.808000000000007</v>
      </c>
      <c r="AU241" s="1204">
        <v>205.41499999999999</v>
      </c>
      <c r="AV241" s="1204">
        <v>423.02600000000001</v>
      </c>
      <c r="AW241" s="1201">
        <v>377.48599999999999</v>
      </c>
    </row>
    <row r="242" spans="1:49">
      <c r="A242" s="1203"/>
      <c r="B242" s="1204"/>
      <c r="C242" s="1204"/>
      <c r="D242" s="1204"/>
      <c r="E242" s="1204"/>
      <c r="F242" s="1204"/>
      <c r="G242" s="1204"/>
      <c r="H242" s="1204"/>
      <c r="I242" s="1204"/>
      <c r="N242" s="1204"/>
      <c r="O242" s="1204"/>
      <c r="P242" s="1204"/>
      <c r="Q242" s="1204"/>
      <c r="R242" s="1204"/>
      <c r="S242" s="1204"/>
      <c r="T242" s="1204"/>
      <c r="U242" s="1204"/>
      <c r="V242" s="1204"/>
      <c r="W242" s="1204"/>
      <c r="X242" s="1204"/>
      <c r="Y242" s="1204"/>
      <c r="Z242" s="1204"/>
      <c r="AA242" s="1204"/>
      <c r="AB242" s="1204"/>
      <c r="AC242" s="1204"/>
      <c r="AD242" s="1204"/>
      <c r="AE242" s="1204"/>
      <c r="AF242" s="1204"/>
      <c r="AG242" s="1204"/>
      <c r="AH242" s="1204"/>
      <c r="AI242" s="1204"/>
      <c r="AJ242" s="1204"/>
      <c r="AK242" s="1204"/>
      <c r="AL242" s="1204"/>
      <c r="AM242" s="1204"/>
      <c r="AN242" s="1204"/>
      <c r="AO242" s="1204"/>
      <c r="AP242" s="1204"/>
      <c r="AQ242" s="1204"/>
      <c r="AR242" s="1204"/>
      <c r="AS242" s="1204"/>
      <c r="AT242" s="1204"/>
      <c r="AU242" s="1204"/>
      <c r="AV242" s="1204"/>
    </row>
    <row r="243" spans="1:49">
      <c r="A243" s="1203" t="s">
        <v>647</v>
      </c>
      <c r="B243" s="1204">
        <v>-491.53859999999997</v>
      </c>
      <c r="C243" s="1204">
        <v>-931.57399999999996</v>
      </c>
      <c r="D243" s="1204">
        <v>-400.291</v>
      </c>
      <c r="E243" s="1204">
        <v>-650.16</v>
      </c>
      <c r="F243" s="1204">
        <v>-653.13400000000001</v>
      </c>
      <c r="G243" s="1204">
        <v>-1230.8119999999999</v>
      </c>
      <c r="H243" s="1204">
        <v>-2757.2020000000002</v>
      </c>
      <c r="I243" s="1204">
        <v>-2287.2049999999999</v>
      </c>
      <c r="J243" s="1201">
        <f>-425.093-477.782-905.378</f>
        <v>-1808.2530000000002</v>
      </c>
      <c r="N243" s="1204"/>
      <c r="O243" s="1204"/>
      <c r="P243" s="1204"/>
      <c r="Q243" s="1204"/>
      <c r="R243" s="1204"/>
      <c r="S243" s="1204"/>
      <c r="T243" s="1204"/>
      <c r="U243" s="1204"/>
      <c r="V243" s="1204"/>
      <c r="W243" s="1204"/>
      <c r="X243" s="1204"/>
      <c r="Y243" s="1204">
        <v>-400.291</v>
      </c>
      <c r="Z243" s="1204">
        <v>-123.13200000000001</v>
      </c>
      <c r="AA243" s="1204">
        <v>-311.14</v>
      </c>
      <c r="AB243" s="1204">
        <v>-566.70100000000002</v>
      </c>
      <c r="AC243" s="1204">
        <v>-650.16</v>
      </c>
      <c r="AD243" s="1204">
        <v>-118.563</v>
      </c>
      <c r="AE243" s="1204">
        <v>-227.24600000000001</v>
      </c>
      <c r="AF243" s="1204">
        <v>-439.56299999999999</v>
      </c>
      <c r="AG243" s="1204">
        <v>-653.13400000000001</v>
      </c>
      <c r="AH243" s="1204">
        <v>-224.43600000000001</v>
      </c>
      <c r="AI243" s="1204">
        <v>-459.95100000000002</v>
      </c>
      <c r="AJ243" s="1204">
        <v>-749</v>
      </c>
      <c r="AK243" s="1204">
        <v>-1230.8119999999999</v>
      </c>
      <c r="AL243" s="1204">
        <v>-578.18499999999995</v>
      </c>
      <c r="AM243" s="1204">
        <v>-1511.3230000000001</v>
      </c>
      <c r="AN243" s="1204">
        <v>-2267.64</v>
      </c>
      <c r="AO243" s="1204">
        <v>-2757.2020000000002</v>
      </c>
      <c r="AP243" s="1204">
        <v>-613.45899999999995</v>
      </c>
      <c r="AQ243" s="1204">
        <v>-1239.7840000000001</v>
      </c>
      <c r="AR243" s="1204">
        <v>-1930.954</v>
      </c>
      <c r="AS243" s="1204">
        <v>-2287.2049999999999</v>
      </c>
      <c r="AT243" s="1204">
        <v>-366.32100000000003</v>
      </c>
      <c r="AU243" s="1204">
        <v>-905.37800000000004</v>
      </c>
      <c r="AV243" s="1204">
        <v>-1378.557</v>
      </c>
      <c r="AW243" s="1201">
        <v>-425.09300000000002</v>
      </c>
    </row>
    <row r="244" spans="1:49">
      <c r="A244" s="1203" t="s">
        <v>648</v>
      </c>
      <c r="B244" s="1204">
        <v>-21.681439999999998</v>
      </c>
      <c r="C244" s="1204">
        <v>-31.184999999999999</v>
      </c>
      <c r="D244" s="1204">
        <v>-76.366</v>
      </c>
      <c r="E244" s="1204">
        <v>-121.45699999999999</v>
      </c>
      <c r="F244" s="1204">
        <v>-50.408000000000001</v>
      </c>
      <c r="G244" s="1204">
        <v>-38.649000000000001</v>
      </c>
      <c r="H244" s="1204">
        <v>-85.728999999999999</v>
      </c>
      <c r="I244" s="1204">
        <v>-43.755000000000003</v>
      </c>
      <c r="N244" s="1204"/>
      <c r="O244" s="1204"/>
      <c r="P244" s="1204"/>
      <c r="Q244" s="1204"/>
      <c r="R244" s="1204"/>
      <c r="S244" s="1204"/>
      <c r="T244" s="1204"/>
      <c r="U244" s="1204"/>
      <c r="V244" s="1204"/>
      <c r="W244" s="1204"/>
      <c r="X244" s="1204"/>
      <c r="Y244" s="1204">
        <v>-76.366</v>
      </c>
      <c r="Z244" s="1204">
        <v>-14.58</v>
      </c>
      <c r="AA244" s="1204">
        <v>-90.885000000000005</v>
      </c>
      <c r="AB244" s="1204">
        <v>-100.29900000000001</v>
      </c>
      <c r="AC244" s="1204">
        <v>-121.45699999999999</v>
      </c>
      <c r="AD244" s="1204">
        <v>-2.4870000000000001</v>
      </c>
      <c r="AE244" s="1204">
        <v>-12.435</v>
      </c>
      <c r="AF244" s="1204">
        <v>-27.117000000000001</v>
      </c>
      <c r="AG244" s="1204">
        <v>-50.408000000000001</v>
      </c>
      <c r="AH244" s="1204">
        <v>-9.9350000000000005</v>
      </c>
      <c r="AI244" s="1204">
        <v>-25.832999999999998</v>
      </c>
      <c r="AJ244" s="1204">
        <v>-35.920999999999999</v>
      </c>
      <c r="AK244" s="1204">
        <v>-38.649000000000001</v>
      </c>
      <c r="AL244" s="1204">
        <v>-21.169</v>
      </c>
      <c r="AM244" s="1204">
        <v>-37.012</v>
      </c>
      <c r="AN244" s="1204">
        <v>-50.557000000000002</v>
      </c>
      <c r="AO244" s="1204">
        <v>-85.728999999999999</v>
      </c>
      <c r="AP244" s="1204">
        <v>-17.177</v>
      </c>
      <c r="AQ244" s="1204">
        <v>-29.128</v>
      </c>
      <c r="AR244" s="1204">
        <v>-36.344999999999999</v>
      </c>
      <c r="AS244" s="1204">
        <v>-43.755000000000003</v>
      </c>
      <c r="AT244" s="1204">
        <v>-10.554</v>
      </c>
      <c r="AU244" s="1204">
        <v>-5.2350000000000003</v>
      </c>
      <c r="AV244" s="1204">
        <v>-15.544</v>
      </c>
      <c r="AW244" s="1201">
        <v>-14.425000000000001</v>
      </c>
    </row>
    <row r="245" spans="1:49">
      <c r="A245" s="1203" t="s">
        <v>649</v>
      </c>
      <c r="B245" s="1204"/>
      <c r="C245" s="1204"/>
      <c r="D245" s="1204"/>
      <c r="E245" s="1204"/>
      <c r="F245" s="1204"/>
      <c r="G245" s="1204"/>
      <c r="H245" s="1204"/>
      <c r="I245" s="1204"/>
      <c r="N245" s="1204"/>
      <c r="O245" s="1204"/>
      <c r="P245" s="1204"/>
      <c r="Q245" s="1204"/>
      <c r="R245" s="1204"/>
      <c r="S245" s="1204"/>
      <c r="T245" s="1204"/>
      <c r="U245" s="1204"/>
      <c r="V245" s="1204"/>
      <c r="W245" s="1204"/>
      <c r="X245" s="1204"/>
      <c r="Y245" s="1204"/>
      <c r="Z245" s="1204"/>
      <c r="AA245" s="1204"/>
      <c r="AB245" s="1204"/>
      <c r="AC245" s="1204"/>
      <c r="AD245" s="1204"/>
      <c r="AE245" s="1204"/>
      <c r="AF245" s="1204"/>
      <c r="AG245" s="1204"/>
      <c r="AH245" s="1204"/>
      <c r="AI245" s="1204"/>
      <c r="AJ245" s="1204"/>
      <c r="AK245" s="1204"/>
      <c r="AL245" s="1204"/>
      <c r="AM245" s="1204"/>
      <c r="AN245" s="1204"/>
      <c r="AO245" s="1204"/>
      <c r="AP245" s="1204"/>
      <c r="AQ245" s="1204"/>
      <c r="AR245" s="1204"/>
      <c r="AS245" s="1204"/>
      <c r="AT245" s="1204"/>
      <c r="AU245" s="1204"/>
      <c r="AV245" s="1204"/>
    </row>
    <row r="246" spans="1:49">
      <c r="A246" s="1205" t="s">
        <v>650</v>
      </c>
      <c r="B246" s="1204">
        <v>-513.22004000000004</v>
      </c>
      <c r="C246" s="1204">
        <v>-962.75900000000001</v>
      </c>
      <c r="D246" s="1204">
        <v>-476.65699999999998</v>
      </c>
      <c r="E246" s="1204">
        <v>-771.61699999999996</v>
      </c>
      <c r="F246" s="1204">
        <v>-703.54200000000003</v>
      </c>
      <c r="G246" s="1204">
        <v>-1269.461</v>
      </c>
      <c r="H246" s="1204">
        <v>-2842.931</v>
      </c>
      <c r="I246" s="1204">
        <v>-2330.96</v>
      </c>
      <c r="N246" s="1204"/>
      <c r="O246" s="1204"/>
      <c r="P246" s="1204"/>
      <c r="Q246" s="1204"/>
      <c r="R246" s="1204"/>
      <c r="S246" s="1204"/>
      <c r="T246" s="1204"/>
      <c r="U246" s="1204"/>
      <c r="V246" s="1204"/>
      <c r="W246" s="1204"/>
      <c r="X246" s="1204"/>
      <c r="Y246" s="1204">
        <v>-476.65699999999998</v>
      </c>
      <c r="Z246" s="1204">
        <v>-137.71199999999999</v>
      </c>
      <c r="AA246" s="1204">
        <v>-402.02499999999998</v>
      </c>
      <c r="AB246" s="1204">
        <v>-667</v>
      </c>
      <c r="AC246" s="1204">
        <v>-771.61699999999996</v>
      </c>
      <c r="AD246" s="1204">
        <v>-121.05</v>
      </c>
      <c r="AE246" s="1204">
        <v>-239.68100000000001</v>
      </c>
      <c r="AF246" s="1204">
        <v>-466.68</v>
      </c>
      <c r="AG246" s="1204">
        <v>-703.54200000000003</v>
      </c>
      <c r="AH246" s="1204">
        <v>-234.37100000000001</v>
      </c>
      <c r="AI246" s="1204">
        <v>-485.78399999999999</v>
      </c>
      <c r="AJ246" s="1204">
        <v>-784.92100000000005</v>
      </c>
      <c r="AK246" s="1204">
        <v>-1269.461</v>
      </c>
      <c r="AL246" s="1204">
        <v>-599.35400000000004</v>
      </c>
      <c r="AM246" s="1204">
        <v>-1548.335</v>
      </c>
      <c r="AN246" s="1204">
        <v>-2318.1970000000001</v>
      </c>
      <c r="AO246" s="1204">
        <v>-2842.931</v>
      </c>
      <c r="AP246" s="1204">
        <v>-630.63599999999997</v>
      </c>
      <c r="AQ246" s="1204">
        <v>-1268.912</v>
      </c>
      <c r="AR246" s="1204">
        <v>-1967.299</v>
      </c>
      <c r="AS246" s="1204">
        <v>-2330.96</v>
      </c>
      <c r="AT246" s="1204">
        <v>-376.875</v>
      </c>
      <c r="AU246" s="1204">
        <v>-910.61300000000006</v>
      </c>
      <c r="AV246" s="1204">
        <v>-1394.1010000000001</v>
      </c>
      <c r="AW246" s="1201">
        <v>-439.51799999999997</v>
      </c>
    </row>
    <row r="247" spans="1:49">
      <c r="A247" s="1203" t="s">
        <v>651</v>
      </c>
      <c r="B247" s="1204">
        <v>1.7706</v>
      </c>
      <c r="C247" s="1204">
        <v>-1</v>
      </c>
      <c r="D247" s="1204">
        <v>0</v>
      </c>
      <c r="E247" s="1204">
        <v>-7.3609999999999998</v>
      </c>
      <c r="F247" s="1204">
        <v>-49.97</v>
      </c>
      <c r="G247" s="1204">
        <v>-161.07400000000001</v>
      </c>
      <c r="H247" s="1204">
        <v>-87.644999999999996</v>
      </c>
      <c r="I247" s="1204">
        <v>-467.88499999999999</v>
      </c>
      <c r="J247" s="1204">
        <v>-427.197</v>
      </c>
      <c r="N247" s="1204"/>
      <c r="O247" s="1204"/>
      <c r="P247" s="1204"/>
      <c r="Q247" s="1204"/>
      <c r="R247" s="1204"/>
      <c r="S247" s="1204"/>
      <c r="T247" s="1204"/>
      <c r="U247" s="1204"/>
      <c r="V247" s="1204"/>
      <c r="W247" s="1204"/>
      <c r="X247" s="1204"/>
      <c r="Y247" s="1204">
        <v>0</v>
      </c>
      <c r="Z247" s="1204"/>
      <c r="AA247" s="1204"/>
      <c r="AB247" s="1204"/>
      <c r="AC247" s="1204">
        <v>-7.3609999999999998</v>
      </c>
      <c r="AD247" s="1204">
        <v>-1.6E-2</v>
      </c>
      <c r="AE247" s="1204">
        <v>-1.6E-2</v>
      </c>
      <c r="AF247" s="1204">
        <v>-2.6040000000000001</v>
      </c>
      <c r="AG247" s="1204">
        <v>-49.97</v>
      </c>
      <c r="AH247" s="1204">
        <v>-0.29299999999999998</v>
      </c>
      <c r="AI247" s="1204">
        <v>-107.426</v>
      </c>
      <c r="AJ247" s="1204">
        <v>-131.358</v>
      </c>
      <c r="AK247" s="1204">
        <v>-161.07400000000001</v>
      </c>
      <c r="AL247" s="1204">
        <v>0</v>
      </c>
      <c r="AM247" s="1204">
        <v>-68.040999999999997</v>
      </c>
      <c r="AN247" s="1204">
        <v>-160.86099999999999</v>
      </c>
      <c r="AO247" s="1204">
        <v>-160.86099999999999</v>
      </c>
      <c r="AP247" s="1204">
        <v>-1.018</v>
      </c>
      <c r="AQ247" s="1204">
        <v>-422.74799999999999</v>
      </c>
      <c r="AR247" s="1204">
        <v>-452.79</v>
      </c>
      <c r="AS247" s="1204">
        <v>-467.88499999999999</v>
      </c>
      <c r="AT247" s="1204">
        <v>-15.79</v>
      </c>
      <c r="AU247" s="1204">
        <v>-118.267</v>
      </c>
      <c r="AV247" s="1204">
        <v>-222.87700000000001</v>
      </c>
      <c r="AW247" s="1201">
        <v>-209.869</v>
      </c>
    </row>
    <row r="248" spans="1:49">
      <c r="A248" s="1203" t="s">
        <v>652</v>
      </c>
      <c r="B248" s="1204"/>
      <c r="C248" s="1204"/>
      <c r="D248" s="1204"/>
      <c r="E248" s="1204">
        <v>57.743000000000002</v>
      </c>
      <c r="F248" s="1204">
        <v>0</v>
      </c>
      <c r="G248" s="1204">
        <v>1.204</v>
      </c>
      <c r="H248" s="1204">
        <v>5.5229999999999997</v>
      </c>
      <c r="I248" s="1204">
        <v>1.028</v>
      </c>
      <c r="J248" s="1204">
        <v>9.2509999999999994</v>
      </c>
      <c r="N248" s="1204"/>
      <c r="O248" s="1204"/>
      <c r="P248" s="1204"/>
      <c r="Q248" s="1204"/>
      <c r="R248" s="1204"/>
      <c r="S248" s="1204"/>
      <c r="T248" s="1204"/>
      <c r="U248" s="1204"/>
      <c r="V248" s="1204"/>
      <c r="W248" s="1204"/>
      <c r="X248" s="1204"/>
      <c r="Y248" s="1204"/>
      <c r="Z248" s="1204"/>
      <c r="AA248" s="1204">
        <v>28.638999999999999</v>
      </c>
      <c r="AB248" s="1204">
        <v>57.743000000000002</v>
      </c>
      <c r="AC248" s="1204">
        <v>57.743000000000002</v>
      </c>
      <c r="AD248" s="1204"/>
      <c r="AE248" s="1204">
        <v>0</v>
      </c>
      <c r="AF248" s="1204"/>
      <c r="AG248" s="1204">
        <v>0</v>
      </c>
      <c r="AH248" s="1204">
        <v>0</v>
      </c>
      <c r="AI248" s="1204"/>
      <c r="AJ248" s="1204"/>
      <c r="AK248" s="1204">
        <v>0</v>
      </c>
      <c r="AL248" s="1204"/>
      <c r="AM248" s="1204">
        <v>0</v>
      </c>
      <c r="AN248" s="1204"/>
      <c r="AO248" s="1204">
        <v>0</v>
      </c>
      <c r="AP248" s="1204"/>
      <c r="AQ248" s="1204"/>
      <c r="AR248" s="1204"/>
      <c r="AS248" s="1204">
        <v>0</v>
      </c>
      <c r="AT248" s="1204"/>
      <c r="AU248" s="1204"/>
      <c r="AV248" s="1204">
        <v>4.4039999999999999</v>
      </c>
      <c r="AW248" s="1201">
        <v>0</v>
      </c>
    </row>
    <row r="249" spans="1:49">
      <c r="A249" s="1203" t="s">
        <v>653</v>
      </c>
      <c r="B249" s="1204">
        <v>14.185420000000001</v>
      </c>
      <c r="C249" s="1204">
        <v>4.4210000000000003</v>
      </c>
      <c r="D249" s="1204">
        <v>37.287999999999997</v>
      </c>
      <c r="E249" s="1204">
        <v>61.098999999999997</v>
      </c>
      <c r="F249" s="1204">
        <v>52.911000000000001</v>
      </c>
      <c r="G249" s="1204">
        <v>87.89</v>
      </c>
      <c r="H249" s="1204">
        <v>259.79899999999998</v>
      </c>
      <c r="I249" s="1204">
        <v>688.19200000000001</v>
      </c>
      <c r="N249" s="1204"/>
      <c r="O249" s="1204"/>
      <c r="P249" s="1204"/>
      <c r="Q249" s="1204"/>
      <c r="R249" s="1204"/>
      <c r="S249" s="1204"/>
      <c r="T249" s="1204"/>
      <c r="U249" s="1204"/>
      <c r="V249" s="1204"/>
      <c r="W249" s="1204"/>
      <c r="X249" s="1204"/>
      <c r="Y249" s="1204">
        <v>37.287999999999997</v>
      </c>
      <c r="Z249" s="1204">
        <v>-8.4160000000000004</v>
      </c>
      <c r="AA249" s="1204"/>
      <c r="AB249" s="1204">
        <v>15.14</v>
      </c>
      <c r="AC249" s="1204">
        <v>61.098999999999997</v>
      </c>
      <c r="AD249" s="1204">
        <v>13.348000000000001</v>
      </c>
      <c r="AE249" s="1204">
        <v>16.001999999999999</v>
      </c>
      <c r="AF249" s="1204">
        <v>25.527999999999999</v>
      </c>
      <c r="AG249" s="1204">
        <v>52.911000000000001</v>
      </c>
      <c r="AH249" s="1204">
        <v>11.486000000000001</v>
      </c>
      <c r="AI249" s="1204">
        <v>53.142000000000003</v>
      </c>
      <c r="AJ249" s="1204">
        <v>63.493000000000002</v>
      </c>
      <c r="AK249" s="1204">
        <v>87.89</v>
      </c>
      <c r="AL249" s="1204">
        <v>2.6760000000000002</v>
      </c>
      <c r="AM249" s="1204">
        <v>5.0979999999999999</v>
      </c>
      <c r="AN249" s="1204">
        <v>9.3689999999999998</v>
      </c>
      <c r="AO249" s="1204">
        <v>259.79899999999998</v>
      </c>
      <c r="AP249" s="1204">
        <v>254.05</v>
      </c>
      <c r="AQ249" s="1204">
        <v>259.05399999999997</v>
      </c>
      <c r="AR249" s="1204">
        <v>678.01</v>
      </c>
      <c r="AS249" s="1204">
        <v>688.19200000000001</v>
      </c>
      <c r="AT249" s="1204">
        <v>10.738</v>
      </c>
      <c r="AU249" s="1204">
        <v>24.663</v>
      </c>
      <c r="AV249" s="1204">
        <v>337.17</v>
      </c>
      <c r="AW249" s="1201">
        <v>60.991999999999997</v>
      </c>
    </row>
    <row r="250" spans="1:49">
      <c r="A250" s="1203" t="s">
        <v>654</v>
      </c>
      <c r="B250" s="1204">
        <v>23.4</v>
      </c>
      <c r="C250" s="1204">
        <v>45.093000000000004</v>
      </c>
      <c r="D250" s="1204">
        <v>26.018999999999998</v>
      </c>
      <c r="E250" s="1204">
        <v>39.244999999999997</v>
      </c>
      <c r="F250" s="1204">
        <v>1602.5129999999999</v>
      </c>
      <c r="G250" s="1204">
        <v>2783.3850000000002</v>
      </c>
      <c r="H250" s="1204">
        <v>1181.2909999999999</v>
      </c>
      <c r="I250" s="1204">
        <v>187.53700000000001</v>
      </c>
      <c r="N250" s="1204"/>
      <c r="O250" s="1204"/>
      <c r="P250" s="1204"/>
      <c r="Q250" s="1204"/>
      <c r="R250" s="1204"/>
      <c r="S250" s="1204"/>
      <c r="T250" s="1204"/>
      <c r="U250" s="1204"/>
      <c r="V250" s="1204"/>
      <c r="W250" s="1204"/>
      <c r="X250" s="1204"/>
      <c r="Y250" s="1204">
        <v>26.018999999999998</v>
      </c>
      <c r="Z250" s="1204">
        <v>18.966000000000001</v>
      </c>
      <c r="AA250" s="1204">
        <v>20.181000000000001</v>
      </c>
      <c r="AB250" s="1204">
        <v>25.699000000000002</v>
      </c>
      <c r="AC250" s="1204">
        <v>39.244999999999997</v>
      </c>
      <c r="AD250" s="1204">
        <v>329.01100000000002</v>
      </c>
      <c r="AE250" s="1204">
        <v>592.59299999999996</v>
      </c>
      <c r="AF250" s="1204">
        <v>1048.3050000000001</v>
      </c>
      <c r="AG250" s="1204">
        <v>1602.5129999999999</v>
      </c>
      <c r="AH250" s="1204">
        <v>724.41899999999998</v>
      </c>
      <c r="AI250" s="1204">
        <v>1299.799</v>
      </c>
      <c r="AJ250" s="1204">
        <v>1942.0650000000001</v>
      </c>
      <c r="AK250" s="1204">
        <v>2783.3850000000002</v>
      </c>
      <c r="AL250" s="1204">
        <v>210.964</v>
      </c>
      <c r="AM250" s="1204">
        <v>362.75799999999998</v>
      </c>
      <c r="AN250" s="1204">
        <v>1034.6869999999999</v>
      </c>
      <c r="AO250" s="1204">
        <v>1181.2909999999999</v>
      </c>
      <c r="AP250" s="1204">
        <v>22.449000000000002</v>
      </c>
      <c r="AQ250" s="1204">
        <v>162.43799999999999</v>
      </c>
      <c r="AR250" s="1204">
        <v>172.309</v>
      </c>
      <c r="AS250" s="1204">
        <v>187.53700000000001</v>
      </c>
      <c r="AT250" s="1204">
        <v>2793.6709999999998</v>
      </c>
      <c r="AU250" s="1204">
        <v>2412.2040000000002</v>
      </c>
      <c r="AV250" s="1204">
        <v>1855.16</v>
      </c>
      <c r="AW250" s="1201">
        <v>858.50300000000004</v>
      </c>
    </row>
    <row r="251" spans="1:49">
      <c r="A251" s="1203" t="s">
        <v>655</v>
      </c>
      <c r="B251" s="1204"/>
      <c r="C251" s="1204"/>
      <c r="D251" s="1204"/>
      <c r="E251" s="1204"/>
      <c r="F251" s="1204"/>
      <c r="G251" s="1204"/>
      <c r="H251" s="1204"/>
      <c r="I251" s="1204"/>
      <c r="N251" s="1204"/>
      <c r="O251" s="1204"/>
      <c r="P251" s="1204"/>
      <c r="Q251" s="1204"/>
      <c r="R251" s="1204"/>
      <c r="S251" s="1204"/>
      <c r="T251" s="1204"/>
      <c r="U251" s="1204"/>
      <c r="V251" s="1204"/>
      <c r="W251" s="1204"/>
      <c r="X251" s="1204"/>
      <c r="Y251" s="1204"/>
      <c r="Z251" s="1204"/>
      <c r="AA251" s="1204"/>
      <c r="AB251" s="1204"/>
      <c r="AC251" s="1204"/>
      <c r="AD251" s="1204"/>
      <c r="AE251" s="1204"/>
      <c r="AF251" s="1204"/>
      <c r="AG251" s="1204"/>
      <c r="AH251" s="1204"/>
      <c r="AI251" s="1204"/>
      <c r="AJ251" s="1204"/>
      <c r="AK251" s="1204"/>
      <c r="AL251" s="1204"/>
      <c r="AM251" s="1204"/>
      <c r="AN251" s="1204"/>
      <c r="AO251" s="1204"/>
      <c r="AP251" s="1204"/>
      <c r="AQ251" s="1204"/>
      <c r="AR251" s="1204"/>
      <c r="AS251" s="1204"/>
      <c r="AT251" s="1204"/>
      <c r="AU251" s="1204"/>
      <c r="AV251" s="1204">
        <v>-592.55799999999999</v>
      </c>
    </row>
    <row r="252" spans="1:49">
      <c r="A252" s="1203" t="s">
        <v>656</v>
      </c>
      <c r="B252" s="1204">
        <v>-25.81287</v>
      </c>
      <c r="C252" s="1204">
        <v>-40.35</v>
      </c>
      <c r="D252" s="1204">
        <v>-43.637999999999998</v>
      </c>
      <c r="E252" s="1204">
        <v>-258.10199999999998</v>
      </c>
      <c r="F252" s="1204">
        <v>-1997.624</v>
      </c>
      <c r="G252" s="1204">
        <v>-2412.259</v>
      </c>
      <c r="H252" s="1204">
        <v>-917.27200000000005</v>
      </c>
      <c r="I252" s="1204">
        <v>-829.37099999999998</v>
      </c>
      <c r="N252" s="1204"/>
      <c r="O252" s="1204"/>
      <c r="P252" s="1204"/>
      <c r="Q252" s="1204"/>
      <c r="R252" s="1204"/>
      <c r="S252" s="1204"/>
      <c r="T252" s="1204"/>
      <c r="U252" s="1204"/>
      <c r="V252" s="1204"/>
      <c r="W252" s="1204"/>
      <c r="X252" s="1204"/>
      <c r="Y252" s="1204">
        <v>-43.637999999999998</v>
      </c>
      <c r="Z252" s="1204">
        <v>-1.5269999999999999</v>
      </c>
      <c r="AA252" s="1204">
        <v>-4.3789999999999996</v>
      </c>
      <c r="AB252" s="1204">
        <v>-9.6039999999999992</v>
      </c>
      <c r="AC252" s="1204">
        <v>-258.10199999999998</v>
      </c>
      <c r="AD252" s="1204">
        <v>-267.084</v>
      </c>
      <c r="AE252" s="1204">
        <v>-710.70100000000002</v>
      </c>
      <c r="AF252" s="1204">
        <v>-1144.7760000000001</v>
      </c>
      <c r="AG252" s="1204">
        <v>-1997.624</v>
      </c>
      <c r="AH252" s="1204">
        <v>-657.899</v>
      </c>
      <c r="AI252" s="1204">
        <v>-1209.318</v>
      </c>
      <c r="AJ252" s="1204">
        <v>-1755.0319999999999</v>
      </c>
      <c r="AK252" s="1204">
        <v>-2412.259</v>
      </c>
      <c r="AL252" s="1204">
        <v>-29.558</v>
      </c>
      <c r="AM252" s="1204">
        <v>-378.51799999999997</v>
      </c>
      <c r="AN252" s="1204">
        <v>-883.37</v>
      </c>
      <c r="AO252" s="1204">
        <v>-917.27200000000005</v>
      </c>
      <c r="AP252" s="1204">
        <v>-547.65700000000004</v>
      </c>
      <c r="AQ252" s="1204">
        <v>-643.47</v>
      </c>
      <c r="AR252" s="1204">
        <v>-743.13800000000003</v>
      </c>
      <c r="AS252" s="1204">
        <v>-829.37099999999998</v>
      </c>
      <c r="AT252" s="1204">
        <v>-3381.3820000000001</v>
      </c>
      <c r="AU252" s="1204">
        <v>-3025.1909999999998</v>
      </c>
      <c r="AV252" s="1204">
        <v>-2698.9989999999998</v>
      </c>
      <c r="AW252" s="1201">
        <v>-778.25400000000002</v>
      </c>
    </row>
    <row r="253" spans="1:49">
      <c r="A253" s="1203" t="s">
        <v>657</v>
      </c>
      <c r="B253" s="1204"/>
      <c r="C253" s="1204"/>
      <c r="D253" s="1204"/>
      <c r="E253" s="1204"/>
      <c r="F253" s="1204"/>
      <c r="G253" s="1204"/>
      <c r="H253" s="1204"/>
      <c r="I253" s="1204"/>
      <c r="N253" s="1204"/>
      <c r="O253" s="1204"/>
      <c r="P253" s="1204"/>
      <c r="Q253" s="1204"/>
      <c r="R253" s="1204"/>
      <c r="S253" s="1204"/>
      <c r="T253" s="1204"/>
      <c r="U253" s="1204"/>
      <c r="V253" s="1204"/>
      <c r="W253" s="1204"/>
      <c r="X253" s="1204"/>
      <c r="Y253" s="1204"/>
      <c r="Z253" s="1204"/>
      <c r="AA253" s="1204"/>
      <c r="AB253" s="1204"/>
      <c r="AC253" s="1204"/>
      <c r="AD253" s="1204"/>
      <c r="AE253" s="1204"/>
      <c r="AF253" s="1204"/>
      <c r="AG253" s="1204"/>
      <c r="AH253" s="1204"/>
      <c r="AI253" s="1204"/>
      <c r="AJ253" s="1204"/>
      <c r="AK253" s="1204"/>
      <c r="AL253" s="1204"/>
      <c r="AM253" s="1204"/>
      <c r="AN253" s="1204"/>
      <c r="AO253" s="1204"/>
      <c r="AP253" s="1204"/>
      <c r="AQ253" s="1204"/>
      <c r="AR253" s="1204"/>
      <c r="AS253" s="1204"/>
      <c r="AT253" s="1204"/>
      <c r="AU253" s="1204"/>
      <c r="AV253" s="1204"/>
    </row>
    <row r="254" spans="1:49">
      <c r="A254" s="1203" t="s">
        <v>658</v>
      </c>
      <c r="B254" s="1204"/>
      <c r="C254" s="1204"/>
      <c r="D254" s="1204"/>
      <c r="E254" s="1204"/>
      <c r="F254" s="1204"/>
      <c r="G254" s="1204"/>
      <c r="H254" s="1204"/>
      <c r="I254" s="1204"/>
      <c r="N254" s="1204"/>
      <c r="O254" s="1204"/>
      <c r="P254" s="1204"/>
      <c r="Q254" s="1204"/>
      <c r="R254" s="1204"/>
      <c r="S254" s="1204"/>
      <c r="T254" s="1204"/>
      <c r="U254" s="1204"/>
      <c r="V254" s="1204"/>
      <c r="W254" s="1204"/>
      <c r="X254" s="1204"/>
      <c r="Y254" s="1204"/>
      <c r="Z254" s="1204"/>
      <c r="AA254" s="1204"/>
      <c r="AB254" s="1204"/>
      <c r="AC254" s="1204"/>
      <c r="AD254" s="1204"/>
      <c r="AE254" s="1204"/>
      <c r="AF254" s="1204"/>
      <c r="AG254" s="1204"/>
      <c r="AH254" s="1204"/>
      <c r="AI254" s="1204"/>
      <c r="AJ254" s="1204"/>
      <c r="AK254" s="1204"/>
      <c r="AL254" s="1204"/>
      <c r="AM254" s="1204"/>
      <c r="AN254" s="1204"/>
      <c r="AO254" s="1204"/>
      <c r="AP254" s="1204"/>
      <c r="AQ254" s="1204"/>
      <c r="AR254" s="1204"/>
      <c r="AS254" s="1204"/>
      <c r="AT254" s="1204"/>
      <c r="AU254" s="1204"/>
      <c r="AV254" s="1204"/>
    </row>
    <row r="255" spans="1:49">
      <c r="A255" s="1203" t="s">
        <v>659</v>
      </c>
      <c r="B255" s="1204">
        <v>-84.036240000000006</v>
      </c>
      <c r="C255" s="1204">
        <v>50.954000000000001</v>
      </c>
      <c r="D255" s="1204">
        <v>-65.289000000000001</v>
      </c>
      <c r="E255" s="1204">
        <v>71.525999999999996</v>
      </c>
      <c r="F255" s="1204">
        <v>-48.411000000000001</v>
      </c>
      <c r="G255" s="1204">
        <v>181.96299999999999</v>
      </c>
      <c r="H255" s="1204">
        <v>36.640999999999998</v>
      </c>
      <c r="I255" s="1204">
        <v>90.347999999999999</v>
      </c>
      <c r="N255" s="1204"/>
      <c r="O255" s="1204"/>
      <c r="P255" s="1204"/>
      <c r="Q255" s="1204"/>
      <c r="R255" s="1204"/>
      <c r="S255" s="1204"/>
      <c r="T255" s="1204"/>
      <c r="U255" s="1204"/>
      <c r="V255" s="1204"/>
      <c r="W255" s="1204"/>
      <c r="X255" s="1204"/>
      <c r="Y255" s="1204">
        <v>-65.289000000000001</v>
      </c>
      <c r="Z255" s="1204">
        <v>46.061</v>
      </c>
      <c r="AA255" s="1204">
        <v>32.396999999999998</v>
      </c>
      <c r="AB255" s="1204">
        <v>39.701999999999998</v>
      </c>
      <c r="AC255" s="1204">
        <v>71.525999999999996</v>
      </c>
      <c r="AD255" s="1204">
        <v>20.879000000000001</v>
      </c>
      <c r="AE255" s="1204">
        <v>-13.531000000000001</v>
      </c>
      <c r="AF255" s="1204">
        <v>40.887</v>
      </c>
      <c r="AG255" s="1204">
        <v>-48.411000000000001</v>
      </c>
      <c r="AH255" s="1204">
        <v>7.77</v>
      </c>
      <c r="AI255" s="1204">
        <v>130.327</v>
      </c>
      <c r="AJ255" s="1204">
        <v>158.57300000000001</v>
      </c>
      <c r="AK255" s="1204">
        <v>181.96299999999999</v>
      </c>
      <c r="AL255" s="1204">
        <v>-0.629</v>
      </c>
      <c r="AM255" s="1204">
        <v>-0.28799999999999998</v>
      </c>
      <c r="AN255" s="1204">
        <v>3.238</v>
      </c>
      <c r="AO255" s="1204">
        <v>36.640999999999998</v>
      </c>
      <c r="AP255" s="1204">
        <v>53.942</v>
      </c>
      <c r="AQ255" s="1204">
        <v>63.360999999999997</v>
      </c>
      <c r="AR255" s="1204">
        <v>63.616</v>
      </c>
      <c r="AS255" s="1204">
        <v>90.347999999999999</v>
      </c>
      <c r="AT255" s="1204">
        <v>4.8019999999999996</v>
      </c>
      <c r="AU255" s="1204">
        <v>5.5629999999999997</v>
      </c>
      <c r="AV255" s="1204">
        <v>12.968</v>
      </c>
      <c r="AW255" s="1201">
        <v>8.5939999999999994</v>
      </c>
    </row>
    <row r="256" spans="1:49">
      <c r="A256" s="1205" t="s">
        <v>660</v>
      </c>
      <c r="B256" s="1204">
        <v>-70.493080000000006</v>
      </c>
      <c r="C256" s="1204">
        <v>59.118000000000002</v>
      </c>
      <c r="D256" s="1204">
        <v>-45.62</v>
      </c>
      <c r="E256" s="1204">
        <v>-35.85</v>
      </c>
      <c r="F256" s="1204">
        <v>-440.58100000000002</v>
      </c>
      <c r="G256" s="1204">
        <v>479.90499999999997</v>
      </c>
      <c r="H256" s="1204">
        <v>399.59800000000001</v>
      </c>
      <c r="I256" s="1204">
        <v>-331.17899999999997</v>
      </c>
      <c r="N256" s="1204"/>
      <c r="O256" s="1204"/>
      <c r="P256" s="1204"/>
      <c r="Q256" s="1204"/>
      <c r="R256" s="1204"/>
      <c r="S256" s="1204"/>
      <c r="T256" s="1204"/>
      <c r="U256" s="1204"/>
      <c r="V256" s="1204"/>
      <c r="W256" s="1204"/>
      <c r="X256" s="1204"/>
      <c r="Y256" s="1204">
        <v>-45.62</v>
      </c>
      <c r="Z256" s="1204">
        <v>55.084000000000003</v>
      </c>
      <c r="AA256" s="1204">
        <v>76.837999999999994</v>
      </c>
      <c r="AB256" s="1204">
        <v>128.68</v>
      </c>
      <c r="AC256" s="1204">
        <v>-35.85</v>
      </c>
      <c r="AD256" s="1204">
        <v>96.138000000000005</v>
      </c>
      <c r="AE256" s="1204">
        <v>-115.65300000000001</v>
      </c>
      <c r="AF256" s="1204">
        <v>-32.659999999999997</v>
      </c>
      <c r="AG256" s="1204">
        <v>-440.58100000000002</v>
      </c>
      <c r="AH256" s="1204">
        <v>85.483000000000004</v>
      </c>
      <c r="AI256" s="1204">
        <v>166.524</v>
      </c>
      <c r="AJ256" s="1204">
        <v>277.74099999999999</v>
      </c>
      <c r="AK256" s="1204">
        <v>479.90499999999997</v>
      </c>
      <c r="AL256" s="1204">
        <v>183.453</v>
      </c>
      <c r="AM256" s="1204">
        <v>-78.991</v>
      </c>
      <c r="AN256" s="1204">
        <v>3.0630000000000002</v>
      </c>
      <c r="AO256" s="1204">
        <v>399.59800000000001</v>
      </c>
      <c r="AP256" s="1204">
        <v>-218.23400000000001</v>
      </c>
      <c r="AQ256" s="1204">
        <v>-581.36500000000001</v>
      </c>
      <c r="AR256" s="1204">
        <v>-281.99299999999999</v>
      </c>
      <c r="AS256" s="1204">
        <v>-331.17899999999997</v>
      </c>
      <c r="AT256" s="1204">
        <v>-587.96100000000001</v>
      </c>
      <c r="AU256" s="1204">
        <v>-701.02800000000002</v>
      </c>
      <c r="AV256" s="1204">
        <v>-1304.732</v>
      </c>
      <c r="AW256" s="1201">
        <v>-60.033999999999999</v>
      </c>
    </row>
    <row r="257" spans="1:49">
      <c r="A257" s="1206" t="s">
        <v>661</v>
      </c>
      <c r="B257" s="1204">
        <v>-583.71312</v>
      </c>
      <c r="C257" s="1204">
        <v>-903.64099999999996</v>
      </c>
      <c r="D257" s="1204">
        <v>-522.27700000000004</v>
      </c>
      <c r="E257" s="1204">
        <v>-807.46699999999998</v>
      </c>
      <c r="F257" s="1204">
        <v>-1144.123</v>
      </c>
      <c r="G257" s="1204">
        <v>-789.55600000000004</v>
      </c>
      <c r="H257" s="1204">
        <v>-2443.3330000000001</v>
      </c>
      <c r="I257" s="1204">
        <v>-2662.1390000000001</v>
      </c>
      <c r="N257" s="1204"/>
      <c r="O257" s="1204"/>
      <c r="P257" s="1204"/>
      <c r="Q257" s="1204"/>
      <c r="R257" s="1204"/>
      <c r="S257" s="1204"/>
      <c r="T257" s="1204"/>
      <c r="U257" s="1204"/>
      <c r="V257" s="1204"/>
      <c r="W257" s="1204"/>
      <c r="X257" s="1204"/>
      <c r="Y257" s="1204">
        <v>-522.27700000000004</v>
      </c>
      <c r="Z257" s="1204">
        <v>-82.628</v>
      </c>
      <c r="AA257" s="1204">
        <v>-325.18700000000001</v>
      </c>
      <c r="AB257" s="1204">
        <v>-538.32000000000005</v>
      </c>
      <c r="AC257" s="1204">
        <v>-807.46699999999998</v>
      </c>
      <c r="AD257" s="1204">
        <v>-24.911999999999999</v>
      </c>
      <c r="AE257" s="1204">
        <v>-355.334</v>
      </c>
      <c r="AF257" s="1204">
        <v>-499.34</v>
      </c>
      <c r="AG257" s="1204">
        <v>-1144.123</v>
      </c>
      <c r="AH257" s="1204">
        <v>-148.88800000000001</v>
      </c>
      <c r="AI257" s="1204">
        <v>-319.26</v>
      </c>
      <c r="AJ257" s="1204">
        <v>-507.18</v>
      </c>
      <c r="AK257" s="1204">
        <v>-789.55600000000004</v>
      </c>
      <c r="AL257" s="1204">
        <v>-415.90100000000001</v>
      </c>
      <c r="AM257" s="1204">
        <v>-1627.326</v>
      </c>
      <c r="AN257" s="1204">
        <v>-2315.134</v>
      </c>
      <c r="AO257" s="1204">
        <v>-2443.3330000000001</v>
      </c>
      <c r="AP257" s="1204">
        <v>-848.87</v>
      </c>
      <c r="AQ257" s="1204">
        <v>-1850.277</v>
      </c>
      <c r="AR257" s="1204">
        <v>-2249.2919999999999</v>
      </c>
      <c r="AS257" s="1204">
        <v>-2662.1390000000001</v>
      </c>
      <c r="AT257" s="1204">
        <v>-964.83600000000001</v>
      </c>
      <c r="AU257" s="1204">
        <v>-1611.6410000000001</v>
      </c>
      <c r="AV257" s="1204">
        <v>-2698.8330000000001</v>
      </c>
      <c r="AW257" s="1201">
        <v>-499.55200000000002</v>
      </c>
    </row>
    <row r="258" spans="1:49">
      <c r="A258" s="1205"/>
      <c r="B258" s="1204"/>
      <c r="C258" s="1204"/>
      <c r="D258" s="1204"/>
      <c r="E258" s="1204"/>
      <c r="F258" s="1204"/>
      <c r="G258" s="1204"/>
      <c r="H258" s="1204"/>
      <c r="I258" s="1204"/>
      <c r="N258" s="1204"/>
      <c r="O258" s="1204"/>
      <c r="P258" s="1204"/>
      <c r="Q258" s="1204"/>
      <c r="R258" s="1204"/>
      <c r="S258" s="1204"/>
      <c r="T258" s="1204"/>
      <c r="U258" s="1204"/>
      <c r="V258" s="1204"/>
      <c r="W258" s="1204"/>
      <c r="X258" s="1204"/>
      <c r="Y258" s="1204"/>
      <c r="Z258" s="1204"/>
      <c r="AA258" s="1204"/>
      <c r="AB258" s="1204"/>
      <c r="AC258" s="1204"/>
      <c r="AD258" s="1204"/>
      <c r="AE258" s="1204"/>
      <c r="AF258" s="1204"/>
      <c r="AG258" s="1204"/>
      <c r="AH258" s="1204"/>
      <c r="AI258" s="1204"/>
      <c r="AJ258" s="1204"/>
      <c r="AK258" s="1204"/>
      <c r="AL258" s="1204"/>
      <c r="AM258" s="1204"/>
      <c r="AN258" s="1204"/>
      <c r="AO258" s="1204"/>
      <c r="AP258" s="1204"/>
      <c r="AQ258" s="1204"/>
      <c r="AR258" s="1204"/>
      <c r="AS258" s="1204"/>
      <c r="AT258" s="1204"/>
      <c r="AU258" s="1204"/>
      <c r="AV258" s="1204"/>
    </row>
    <row r="259" spans="1:49">
      <c r="A259" s="1203" t="s">
        <v>662</v>
      </c>
      <c r="B259" s="1204">
        <v>0</v>
      </c>
      <c r="C259" s="1204"/>
      <c r="D259" s="1204"/>
      <c r="E259" s="1204">
        <v>108</v>
      </c>
      <c r="F259" s="1204">
        <v>276.77100000000002</v>
      </c>
      <c r="G259" s="1204">
        <v>132.08199999999999</v>
      </c>
      <c r="H259" s="1204">
        <v>831.25400000000002</v>
      </c>
      <c r="I259" s="1204">
        <v>358.35</v>
      </c>
      <c r="N259" s="1204"/>
      <c r="O259" s="1204"/>
      <c r="P259" s="1204"/>
      <c r="Q259" s="1204"/>
      <c r="R259" s="1204"/>
      <c r="S259" s="1204"/>
      <c r="T259" s="1204"/>
      <c r="U259" s="1204"/>
      <c r="V259" s="1204"/>
      <c r="W259" s="1204"/>
      <c r="X259" s="1204"/>
      <c r="Y259" s="1204"/>
      <c r="Z259" s="1204"/>
      <c r="AA259" s="1204"/>
      <c r="AB259" s="1204">
        <v>108</v>
      </c>
      <c r="AC259" s="1204">
        <v>108</v>
      </c>
      <c r="AD259" s="1204">
        <v>0.245</v>
      </c>
      <c r="AE259" s="1204">
        <v>0.245</v>
      </c>
      <c r="AF259" s="1204">
        <v>0.245</v>
      </c>
      <c r="AG259" s="1204">
        <v>276.77100000000002</v>
      </c>
      <c r="AH259" s="1204">
        <v>0</v>
      </c>
      <c r="AI259" s="1204"/>
      <c r="AJ259" s="1204"/>
      <c r="AK259" s="1204">
        <v>132.08199999999999</v>
      </c>
      <c r="AL259" s="1204">
        <v>0</v>
      </c>
      <c r="AM259" s="1204">
        <v>636</v>
      </c>
      <c r="AN259" s="1204">
        <v>781</v>
      </c>
      <c r="AO259" s="1204">
        <v>831.25400000000002</v>
      </c>
      <c r="AP259" s="1204">
        <v>0</v>
      </c>
      <c r="AQ259" s="1204">
        <v>0</v>
      </c>
      <c r="AR259" s="1204"/>
      <c r="AS259" s="1204">
        <v>358.35</v>
      </c>
      <c r="AT259" s="1204">
        <v>0</v>
      </c>
      <c r="AU259" s="1204">
        <v>723.3</v>
      </c>
      <c r="AV259" s="1204">
        <v>1023.3</v>
      </c>
      <c r="AW259" s="1201">
        <v>959.04399999999998</v>
      </c>
    </row>
    <row r="260" spans="1:49">
      <c r="A260" s="1205" t="s">
        <v>663</v>
      </c>
      <c r="B260" s="1204">
        <v>0</v>
      </c>
      <c r="C260" s="1204"/>
      <c r="D260" s="1204"/>
      <c r="E260" s="1204">
        <v>108</v>
      </c>
      <c r="F260" s="1204">
        <v>276.77100000000002</v>
      </c>
      <c r="G260" s="1204">
        <v>132.08199999999999</v>
      </c>
      <c r="H260" s="1204">
        <v>831.25400000000002</v>
      </c>
      <c r="I260" s="1204">
        <v>358.35</v>
      </c>
      <c r="N260" s="1204"/>
      <c r="O260" s="1204"/>
      <c r="P260" s="1204"/>
      <c r="Q260" s="1204"/>
      <c r="R260" s="1204"/>
      <c r="S260" s="1204"/>
      <c r="T260" s="1204"/>
      <c r="U260" s="1204"/>
      <c r="V260" s="1204"/>
      <c r="W260" s="1204"/>
      <c r="X260" s="1204"/>
      <c r="Y260" s="1204"/>
      <c r="Z260" s="1204"/>
      <c r="AA260" s="1204"/>
      <c r="AB260" s="1204">
        <v>108</v>
      </c>
      <c r="AC260" s="1204">
        <v>108</v>
      </c>
      <c r="AD260" s="1204">
        <v>0.245</v>
      </c>
      <c r="AE260" s="1204">
        <v>0.245</v>
      </c>
      <c r="AF260" s="1204">
        <v>0.245</v>
      </c>
      <c r="AG260" s="1204">
        <v>276.77100000000002</v>
      </c>
      <c r="AH260" s="1204">
        <v>0</v>
      </c>
      <c r="AI260" s="1204"/>
      <c r="AJ260" s="1204"/>
      <c r="AK260" s="1204">
        <v>132.08199999999999</v>
      </c>
      <c r="AL260" s="1204">
        <v>0</v>
      </c>
      <c r="AM260" s="1204">
        <v>636</v>
      </c>
      <c r="AN260" s="1204">
        <v>781</v>
      </c>
      <c r="AO260" s="1204">
        <v>831.25400000000002</v>
      </c>
      <c r="AP260" s="1204">
        <v>0</v>
      </c>
      <c r="AQ260" s="1204">
        <v>0</v>
      </c>
      <c r="AR260" s="1204"/>
      <c r="AS260" s="1204">
        <v>358.35</v>
      </c>
      <c r="AT260" s="1204">
        <v>0</v>
      </c>
      <c r="AU260" s="1204">
        <v>723.3</v>
      </c>
      <c r="AV260" s="1204">
        <v>1023.3</v>
      </c>
      <c r="AW260" s="1201">
        <v>959.04399999999998</v>
      </c>
    </row>
    <row r="261" spans="1:49">
      <c r="A261" s="1203" t="s">
        <v>664</v>
      </c>
      <c r="B261" s="1204"/>
      <c r="C261" s="1204"/>
      <c r="D261" s="1204"/>
      <c r="E261" s="1204"/>
      <c r="F261" s="1204"/>
      <c r="G261" s="1204"/>
      <c r="H261" s="1204"/>
      <c r="I261" s="1204"/>
      <c r="N261" s="1204"/>
      <c r="O261" s="1204"/>
      <c r="P261" s="1204"/>
      <c r="Q261" s="1204"/>
      <c r="R261" s="1204"/>
      <c r="S261" s="1204"/>
      <c r="T261" s="1204"/>
      <c r="U261" s="1204"/>
      <c r="V261" s="1204"/>
      <c r="W261" s="1204"/>
      <c r="X261" s="1204"/>
      <c r="Y261" s="1204"/>
      <c r="Z261" s="1204"/>
      <c r="AA261" s="1204"/>
      <c r="AB261" s="1204"/>
      <c r="AC261" s="1204"/>
      <c r="AD261" s="1204"/>
      <c r="AE261" s="1204"/>
      <c r="AF261" s="1204"/>
      <c r="AG261" s="1204"/>
      <c r="AH261" s="1204"/>
      <c r="AI261" s="1204"/>
      <c r="AJ261" s="1204"/>
      <c r="AK261" s="1204"/>
      <c r="AL261" s="1204"/>
      <c r="AM261" s="1204"/>
      <c r="AN261" s="1204"/>
      <c r="AO261" s="1204"/>
      <c r="AP261" s="1204"/>
      <c r="AQ261" s="1204"/>
      <c r="AR261" s="1204"/>
      <c r="AS261" s="1204"/>
      <c r="AT261" s="1204"/>
      <c r="AU261" s="1204"/>
      <c r="AV261" s="1204"/>
    </row>
    <row r="262" spans="1:49">
      <c r="A262" s="1203" t="s">
        <v>665</v>
      </c>
      <c r="B262" s="1204"/>
      <c r="C262" s="1204"/>
      <c r="D262" s="1204"/>
      <c r="E262" s="1204"/>
      <c r="F262" s="1204"/>
      <c r="G262" s="1204"/>
      <c r="H262" s="1204"/>
      <c r="I262" s="1204"/>
      <c r="N262" s="1204"/>
      <c r="O262" s="1204"/>
      <c r="P262" s="1204"/>
      <c r="Q262" s="1204"/>
      <c r="R262" s="1204"/>
      <c r="S262" s="1204"/>
      <c r="T262" s="1204"/>
      <c r="U262" s="1204"/>
      <c r="V262" s="1204"/>
      <c r="W262" s="1204"/>
      <c r="X262" s="1204"/>
      <c r="Y262" s="1204"/>
      <c r="Z262" s="1204"/>
      <c r="AA262" s="1204"/>
      <c r="AB262" s="1204"/>
      <c r="AC262" s="1204"/>
      <c r="AD262" s="1204"/>
      <c r="AE262" s="1204"/>
      <c r="AF262" s="1204"/>
      <c r="AG262" s="1204"/>
      <c r="AH262" s="1204"/>
      <c r="AI262" s="1204"/>
      <c r="AJ262" s="1204"/>
      <c r="AK262" s="1204"/>
      <c r="AL262" s="1204"/>
      <c r="AM262" s="1204"/>
      <c r="AN262" s="1204"/>
      <c r="AO262" s="1204"/>
      <c r="AP262" s="1204"/>
      <c r="AQ262" s="1204"/>
      <c r="AR262" s="1204"/>
      <c r="AS262" s="1204"/>
      <c r="AT262" s="1204"/>
      <c r="AU262" s="1204"/>
      <c r="AV262" s="1204"/>
    </row>
    <row r="263" spans="1:49">
      <c r="A263" s="1205" t="s">
        <v>666</v>
      </c>
      <c r="B263" s="1204"/>
      <c r="C263" s="1204"/>
      <c r="D263" s="1204"/>
      <c r="E263" s="1204"/>
      <c r="F263" s="1204"/>
      <c r="G263" s="1204"/>
      <c r="H263" s="1204"/>
      <c r="I263" s="1204"/>
      <c r="N263" s="1204"/>
      <c r="O263" s="1204"/>
      <c r="P263" s="1204"/>
      <c r="Q263" s="1204"/>
      <c r="R263" s="1204"/>
      <c r="S263" s="1204"/>
      <c r="T263" s="1204"/>
      <c r="U263" s="1204"/>
      <c r="V263" s="1204"/>
      <c r="W263" s="1204"/>
      <c r="X263" s="1204"/>
      <c r="Y263" s="1204"/>
      <c r="Z263" s="1204"/>
      <c r="AA263" s="1204"/>
      <c r="AB263" s="1204"/>
      <c r="AC263" s="1204"/>
      <c r="AD263" s="1204"/>
      <c r="AE263" s="1204"/>
      <c r="AF263" s="1204"/>
      <c r="AG263" s="1204"/>
      <c r="AH263" s="1204"/>
      <c r="AI263" s="1204"/>
      <c r="AJ263" s="1204"/>
      <c r="AK263" s="1204"/>
      <c r="AL263" s="1204"/>
      <c r="AM263" s="1204"/>
      <c r="AN263" s="1204"/>
      <c r="AO263" s="1204"/>
      <c r="AP263" s="1204"/>
      <c r="AQ263" s="1204"/>
      <c r="AR263" s="1204"/>
      <c r="AS263" s="1204"/>
      <c r="AT263" s="1204"/>
      <c r="AU263" s="1204"/>
      <c r="AV263" s="1204"/>
    </row>
    <row r="264" spans="1:49">
      <c r="A264" s="1208" t="s">
        <v>667</v>
      </c>
      <c r="B264" s="1204">
        <v>199.12221</v>
      </c>
      <c r="C264" s="1204"/>
      <c r="D264" s="1204"/>
      <c r="E264" s="1204"/>
      <c r="F264" s="1204">
        <v>270.18</v>
      </c>
      <c r="G264" s="1204">
        <v>508.80700000000002</v>
      </c>
      <c r="H264" s="1204">
        <v>0</v>
      </c>
      <c r="I264" s="1204">
        <v>326.351</v>
      </c>
      <c r="N264" s="1204"/>
      <c r="O264" s="1204"/>
      <c r="P264" s="1204"/>
      <c r="Q264" s="1204"/>
      <c r="R264" s="1204"/>
      <c r="S264" s="1204"/>
      <c r="T264" s="1204"/>
      <c r="U264" s="1204"/>
      <c r="V264" s="1204"/>
      <c r="W264" s="1204"/>
      <c r="X264" s="1204"/>
      <c r="Y264" s="1204"/>
      <c r="Z264" s="1204"/>
      <c r="AA264" s="1204"/>
      <c r="AB264" s="1204"/>
      <c r="AC264" s="1204"/>
      <c r="AD264" s="1204"/>
      <c r="AE264" s="1204">
        <v>197.60400000000001</v>
      </c>
      <c r="AF264" s="1204">
        <v>197.60400000000001</v>
      </c>
      <c r="AG264" s="1204">
        <v>270.18</v>
      </c>
      <c r="AH264" s="1204">
        <v>0</v>
      </c>
      <c r="AI264" s="1204">
        <v>399.46</v>
      </c>
      <c r="AJ264" s="1204">
        <v>426.98200000000003</v>
      </c>
      <c r="AK264" s="1204">
        <v>508.80700000000002</v>
      </c>
      <c r="AL264" s="1204">
        <v>0</v>
      </c>
      <c r="AM264" s="1204">
        <v>0</v>
      </c>
      <c r="AN264" s="1204"/>
      <c r="AO264" s="1204">
        <v>0</v>
      </c>
      <c r="AP264" s="1204"/>
      <c r="AQ264" s="1204"/>
      <c r="AR264" s="1204"/>
      <c r="AS264" s="1204">
        <v>326.351</v>
      </c>
      <c r="AT264" s="1204">
        <v>0</v>
      </c>
      <c r="AU264" s="1204">
        <v>83.501999999999995</v>
      </c>
      <c r="AV264" s="1204">
        <v>160.90899999999999</v>
      </c>
    </row>
    <row r="265" spans="1:49">
      <c r="A265" s="1208" t="s">
        <v>668</v>
      </c>
      <c r="B265" s="1204"/>
      <c r="C265" s="1204"/>
      <c r="D265" s="1204"/>
      <c r="E265" s="1204"/>
      <c r="F265" s="1204"/>
      <c r="G265" s="1204"/>
      <c r="H265" s="1204"/>
      <c r="I265" s="1204"/>
      <c r="N265" s="1204"/>
      <c r="O265" s="1204"/>
      <c r="P265" s="1204"/>
      <c r="Q265" s="1204"/>
      <c r="R265" s="1204"/>
      <c r="S265" s="1204"/>
      <c r="T265" s="1204"/>
      <c r="U265" s="1204"/>
      <c r="V265" s="1204"/>
      <c r="W265" s="1204"/>
      <c r="X265" s="1204"/>
      <c r="Y265" s="1204"/>
      <c r="Z265" s="1204"/>
      <c r="AA265" s="1204"/>
      <c r="AB265" s="1204"/>
      <c r="AC265" s="1204"/>
      <c r="AD265" s="1204"/>
      <c r="AE265" s="1204"/>
      <c r="AF265" s="1204"/>
      <c r="AG265" s="1204"/>
      <c r="AH265" s="1204"/>
      <c r="AI265" s="1204"/>
      <c r="AJ265" s="1204"/>
      <c r="AK265" s="1204"/>
      <c r="AL265" s="1204"/>
      <c r="AM265" s="1204"/>
      <c r="AN265" s="1204"/>
      <c r="AO265" s="1204"/>
      <c r="AP265" s="1204"/>
      <c r="AQ265" s="1204"/>
      <c r="AR265" s="1204"/>
      <c r="AS265" s="1204"/>
      <c r="AT265" s="1204"/>
      <c r="AU265" s="1204"/>
      <c r="AV265" s="1204"/>
    </row>
    <row r="266" spans="1:49">
      <c r="A266" s="1203" t="s">
        <v>669</v>
      </c>
      <c r="B266" s="1204">
        <v>199.12221</v>
      </c>
      <c r="C266" s="1204"/>
      <c r="D266" s="1204"/>
      <c r="E266" s="1204"/>
      <c r="F266" s="1204">
        <v>270.18</v>
      </c>
      <c r="G266" s="1204">
        <v>508.80700000000002</v>
      </c>
      <c r="H266" s="1204">
        <v>0</v>
      </c>
      <c r="I266" s="1204">
        <v>326.351</v>
      </c>
      <c r="N266" s="1204"/>
      <c r="O266" s="1204"/>
      <c r="P266" s="1204"/>
      <c r="Q266" s="1204"/>
      <c r="R266" s="1204"/>
      <c r="S266" s="1204"/>
      <c r="T266" s="1204"/>
      <c r="U266" s="1204"/>
      <c r="V266" s="1204"/>
      <c r="W266" s="1204"/>
      <c r="X266" s="1204"/>
      <c r="Y266" s="1204"/>
      <c r="Z266" s="1204"/>
      <c r="AA266" s="1204"/>
      <c r="AB266" s="1204"/>
      <c r="AC266" s="1204"/>
      <c r="AD266" s="1204"/>
      <c r="AE266" s="1204">
        <v>197.60400000000001</v>
      </c>
      <c r="AF266" s="1204">
        <v>197.60400000000001</v>
      </c>
      <c r="AG266" s="1204">
        <v>270.18</v>
      </c>
      <c r="AH266" s="1204">
        <v>0</v>
      </c>
      <c r="AI266" s="1204">
        <v>399.46</v>
      </c>
      <c r="AJ266" s="1204">
        <v>426.98200000000003</v>
      </c>
      <c r="AK266" s="1204">
        <v>508.80700000000002</v>
      </c>
      <c r="AL266" s="1204">
        <v>0</v>
      </c>
      <c r="AM266" s="1204">
        <v>0</v>
      </c>
      <c r="AN266" s="1204"/>
      <c r="AO266" s="1204">
        <v>0</v>
      </c>
      <c r="AP266" s="1204"/>
      <c r="AQ266" s="1204"/>
      <c r="AR266" s="1204"/>
      <c r="AS266" s="1204">
        <v>326.351</v>
      </c>
      <c r="AT266" s="1204">
        <v>0</v>
      </c>
      <c r="AU266" s="1204">
        <v>83.501999999999995</v>
      </c>
      <c r="AV266" s="1204">
        <v>160.90899999999999</v>
      </c>
    </row>
    <row r="267" spans="1:49">
      <c r="A267" s="1208" t="s">
        <v>670</v>
      </c>
      <c r="B267" s="1204">
        <v>0</v>
      </c>
      <c r="C267" s="1204">
        <v>308.29700000000003</v>
      </c>
      <c r="D267" s="1204">
        <v>0</v>
      </c>
      <c r="E267" s="1204">
        <v>0</v>
      </c>
      <c r="F267" s="1204"/>
      <c r="G267" s="1204"/>
      <c r="H267" s="1204"/>
      <c r="I267" s="1204"/>
      <c r="N267" s="1204"/>
      <c r="O267" s="1204"/>
      <c r="P267" s="1204"/>
      <c r="Q267" s="1204"/>
      <c r="R267" s="1204"/>
      <c r="S267" s="1204"/>
      <c r="T267" s="1204"/>
      <c r="U267" s="1204"/>
      <c r="V267" s="1204"/>
      <c r="W267" s="1204"/>
      <c r="X267" s="1204"/>
      <c r="Y267" s="1204">
        <v>0</v>
      </c>
      <c r="Z267" s="1204"/>
      <c r="AA267" s="1204"/>
      <c r="AB267" s="1204"/>
      <c r="AC267" s="1204">
        <v>0</v>
      </c>
      <c r="AD267" s="1204"/>
      <c r="AE267" s="1204"/>
      <c r="AF267" s="1204"/>
      <c r="AG267" s="1204"/>
      <c r="AH267" s="1204"/>
      <c r="AI267" s="1204"/>
      <c r="AJ267" s="1204"/>
      <c r="AK267" s="1204"/>
      <c r="AL267" s="1204"/>
      <c r="AM267" s="1204"/>
      <c r="AN267" s="1204"/>
      <c r="AO267" s="1204"/>
      <c r="AP267" s="1204"/>
      <c r="AQ267" s="1204"/>
      <c r="AR267" s="1204"/>
      <c r="AS267" s="1204"/>
      <c r="AT267" s="1204"/>
      <c r="AU267" s="1204"/>
      <c r="AV267" s="1204"/>
    </row>
    <row r="268" spans="1:49">
      <c r="A268" s="1208" t="s">
        <v>671</v>
      </c>
      <c r="B268" s="1204"/>
      <c r="C268" s="1204"/>
      <c r="D268" s="1204"/>
      <c r="E268" s="1204"/>
      <c r="F268" s="1204"/>
      <c r="G268" s="1204"/>
      <c r="H268" s="1204"/>
      <c r="I268" s="1204"/>
      <c r="N268" s="1204"/>
      <c r="O268" s="1204"/>
      <c r="P268" s="1204"/>
      <c r="Q268" s="1204"/>
      <c r="R268" s="1204"/>
      <c r="S268" s="1204"/>
      <c r="T268" s="1204"/>
      <c r="U268" s="1204"/>
      <c r="V268" s="1204"/>
      <c r="W268" s="1204"/>
      <c r="X268" s="1204"/>
      <c r="Y268" s="1204"/>
      <c r="Z268" s="1204"/>
      <c r="AA268" s="1204"/>
      <c r="AB268" s="1204"/>
      <c r="AC268" s="1204"/>
      <c r="AD268" s="1204"/>
      <c r="AE268" s="1204"/>
      <c r="AF268" s="1204"/>
      <c r="AG268" s="1204"/>
      <c r="AH268" s="1204"/>
      <c r="AI268" s="1204"/>
      <c r="AJ268" s="1204"/>
      <c r="AK268" s="1204"/>
      <c r="AL268" s="1204"/>
      <c r="AM268" s="1204"/>
      <c r="AN268" s="1204"/>
      <c r="AO268" s="1204"/>
      <c r="AP268" s="1204"/>
      <c r="AQ268" s="1204"/>
      <c r="AR268" s="1204"/>
      <c r="AS268" s="1204"/>
      <c r="AT268" s="1204"/>
      <c r="AU268" s="1204"/>
      <c r="AV268" s="1204"/>
    </row>
    <row r="269" spans="1:49">
      <c r="A269" s="1203" t="s">
        <v>672</v>
      </c>
      <c r="B269" s="1204">
        <v>0</v>
      </c>
      <c r="C269" s="1204">
        <v>308.29700000000003</v>
      </c>
      <c r="D269" s="1204">
        <v>0</v>
      </c>
      <c r="E269" s="1204">
        <v>0</v>
      </c>
      <c r="F269" s="1204"/>
      <c r="G269" s="1204"/>
      <c r="H269" s="1204"/>
      <c r="I269" s="1204"/>
      <c r="N269" s="1204"/>
      <c r="O269" s="1204"/>
      <c r="P269" s="1204"/>
      <c r="Q269" s="1204"/>
      <c r="R269" s="1204"/>
      <c r="S269" s="1204"/>
      <c r="T269" s="1204"/>
      <c r="U269" s="1204"/>
      <c r="V269" s="1204"/>
      <c r="W269" s="1204"/>
      <c r="X269" s="1204"/>
      <c r="Y269" s="1204">
        <v>0</v>
      </c>
      <c r="Z269" s="1204"/>
      <c r="AA269" s="1204"/>
      <c r="AB269" s="1204"/>
      <c r="AC269" s="1204">
        <v>0</v>
      </c>
      <c r="AD269" s="1204"/>
      <c r="AE269" s="1204"/>
      <c r="AF269" s="1204"/>
      <c r="AG269" s="1204"/>
      <c r="AH269" s="1204"/>
      <c r="AI269" s="1204"/>
      <c r="AJ269" s="1204"/>
      <c r="AK269" s="1204"/>
      <c r="AL269" s="1204"/>
      <c r="AM269" s="1204"/>
      <c r="AN269" s="1204"/>
      <c r="AO269" s="1204"/>
      <c r="AP269" s="1204"/>
      <c r="AQ269" s="1204"/>
      <c r="AR269" s="1204"/>
      <c r="AS269" s="1204"/>
      <c r="AT269" s="1204"/>
      <c r="AU269" s="1204"/>
      <c r="AV269" s="1204"/>
    </row>
    <row r="270" spans="1:49">
      <c r="A270" s="1203" t="s">
        <v>673</v>
      </c>
      <c r="B270" s="1204"/>
      <c r="C270" s="1204"/>
      <c r="D270" s="1204"/>
      <c r="E270" s="1204"/>
      <c r="F270" s="1204"/>
      <c r="G270" s="1204"/>
      <c r="H270" s="1204"/>
      <c r="I270" s="1204"/>
      <c r="N270" s="1204"/>
      <c r="O270" s="1204"/>
      <c r="P270" s="1204"/>
      <c r="Q270" s="1204"/>
      <c r="R270" s="1204"/>
      <c r="S270" s="1204"/>
      <c r="T270" s="1204"/>
      <c r="U270" s="1204"/>
      <c r="V270" s="1204"/>
      <c r="W270" s="1204"/>
      <c r="X270" s="1204"/>
      <c r="Y270" s="1204"/>
      <c r="Z270" s="1204"/>
      <c r="AA270" s="1204"/>
      <c r="AB270" s="1204"/>
      <c r="AC270" s="1204"/>
      <c r="AD270" s="1204"/>
      <c r="AE270" s="1204"/>
      <c r="AF270" s="1204"/>
      <c r="AG270" s="1204"/>
      <c r="AH270" s="1204"/>
      <c r="AI270" s="1204"/>
      <c r="AJ270" s="1204"/>
      <c r="AK270" s="1204"/>
      <c r="AL270" s="1204"/>
      <c r="AM270" s="1204"/>
      <c r="AN270" s="1204"/>
      <c r="AO270" s="1204"/>
      <c r="AP270" s="1204"/>
      <c r="AQ270" s="1204"/>
      <c r="AR270" s="1204"/>
      <c r="AS270" s="1204"/>
      <c r="AT270" s="1204"/>
      <c r="AU270" s="1204"/>
      <c r="AV270" s="1204"/>
    </row>
    <row r="271" spans="1:49">
      <c r="A271" s="1203" t="s">
        <v>674</v>
      </c>
      <c r="B271" s="1204"/>
      <c r="C271" s="1204"/>
      <c r="D271" s="1204"/>
      <c r="E271" s="1204"/>
      <c r="F271" s="1204"/>
      <c r="G271" s="1204"/>
      <c r="H271" s="1204"/>
      <c r="I271" s="1204"/>
      <c r="N271" s="1204"/>
      <c r="O271" s="1204"/>
      <c r="P271" s="1204"/>
      <c r="Q271" s="1204"/>
      <c r="R271" s="1204"/>
      <c r="S271" s="1204"/>
      <c r="T271" s="1204"/>
      <c r="U271" s="1204"/>
      <c r="V271" s="1204"/>
      <c r="W271" s="1204"/>
      <c r="X271" s="1204"/>
      <c r="Y271" s="1204"/>
      <c r="Z271" s="1204"/>
      <c r="AA271" s="1204"/>
      <c r="AB271" s="1204"/>
      <c r="AC271" s="1204"/>
      <c r="AD271" s="1204"/>
      <c r="AE271" s="1204"/>
      <c r="AF271" s="1204"/>
      <c r="AG271" s="1204"/>
      <c r="AH271" s="1204"/>
      <c r="AI271" s="1204"/>
      <c r="AJ271" s="1204"/>
      <c r="AK271" s="1204"/>
      <c r="AL271" s="1204"/>
      <c r="AM271" s="1204"/>
      <c r="AN271" s="1204"/>
      <c r="AO271" s="1204"/>
      <c r="AP271" s="1204"/>
      <c r="AQ271" s="1204"/>
      <c r="AR271" s="1204"/>
      <c r="AS271" s="1204"/>
      <c r="AT271" s="1204"/>
      <c r="AU271" s="1204"/>
      <c r="AV271" s="1204">
        <v>-20.001999999999999</v>
      </c>
      <c r="AW271" s="1201">
        <v>-1.7000000000000001E-2</v>
      </c>
    </row>
    <row r="272" spans="1:49">
      <c r="A272" s="1203" t="s">
        <v>675</v>
      </c>
      <c r="B272" s="1204">
        <v>2.2176800000000001</v>
      </c>
      <c r="C272" s="1204">
        <v>3.5249999999999999</v>
      </c>
      <c r="D272" s="1204">
        <v>0.66900000000000004</v>
      </c>
      <c r="E272" s="1204">
        <v>3.2290000000000001</v>
      </c>
      <c r="F272" s="1204">
        <v>9.4830000000000005</v>
      </c>
      <c r="G272" s="1204">
        <v>8.7430000000000003</v>
      </c>
      <c r="H272" s="1204">
        <v>17.61</v>
      </c>
      <c r="I272" s="1204">
        <v>17.105</v>
      </c>
      <c r="N272" s="1204"/>
      <c r="O272" s="1204"/>
      <c r="P272" s="1204"/>
      <c r="Q272" s="1204"/>
      <c r="R272" s="1204"/>
      <c r="S272" s="1204"/>
      <c r="T272" s="1204"/>
      <c r="U272" s="1204"/>
      <c r="V272" s="1204"/>
      <c r="W272" s="1204"/>
      <c r="X272" s="1204"/>
      <c r="Y272" s="1204">
        <v>0.66900000000000004</v>
      </c>
      <c r="Z272" s="1204">
        <v>0.56699999999999995</v>
      </c>
      <c r="AA272" s="1204">
        <v>2.1179999999999999</v>
      </c>
      <c r="AB272" s="1204">
        <v>2.6640000000000001</v>
      </c>
      <c r="AC272" s="1204">
        <v>3.2290000000000001</v>
      </c>
      <c r="AD272" s="1204">
        <v>3.8</v>
      </c>
      <c r="AE272" s="1204">
        <v>4.048</v>
      </c>
      <c r="AF272" s="1204">
        <v>7.5460000000000003</v>
      </c>
      <c r="AG272" s="1204">
        <v>9.4830000000000005</v>
      </c>
      <c r="AH272" s="1204">
        <v>0.57499999999999996</v>
      </c>
      <c r="AI272" s="1204">
        <v>7.1890000000000001</v>
      </c>
      <c r="AJ272" s="1204">
        <v>7.5129999999999999</v>
      </c>
      <c r="AK272" s="1204">
        <v>8.7430000000000003</v>
      </c>
      <c r="AL272" s="1204">
        <v>0.33700000000000002</v>
      </c>
      <c r="AM272" s="1204">
        <v>0.66800000000000004</v>
      </c>
      <c r="AN272" s="1204">
        <v>6.5540000000000003</v>
      </c>
      <c r="AO272" s="1204">
        <v>17.61</v>
      </c>
      <c r="AP272" s="1204">
        <v>2.363</v>
      </c>
      <c r="AQ272" s="1204">
        <v>3.673</v>
      </c>
      <c r="AR272" s="1204">
        <v>4.0289999999999999</v>
      </c>
      <c r="AS272" s="1204">
        <v>17.105</v>
      </c>
      <c r="AT272" s="1204">
        <v>1.653</v>
      </c>
      <c r="AU272" s="1204">
        <v>3.3820000000000001</v>
      </c>
      <c r="AV272" s="1204">
        <v>5.1529999999999996</v>
      </c>
      <c r="AW272" s="1201">
        <v>2.923</v>
      </c>
    </row>
    <row r="273" spans="1:49">
      <c r="A273" s="1203" t="s">
        <v>676</v>
      </c>
      <c r="B273" s="1204"/>
      <c r="C273" s="1204"/>
      <c r="D273" s="1204"/>
      <c r="E273" s="1204"/>
      <c r="F273" s="1204"/>
      <c r="G273" s="1204"/>
      <c r="H273" s="1204"/>
      <c r="I273" s="1204"/>
      <c r="N273" s="1204"/>
      <c r="O273" s="1204"/>
      <c r="P273" s="1204"/>
      <c r="Q273" s="1204"/>
      <c r="R273" s="1204"/>
      <c r="S273" s="1204"/>
      <c r="T273" s="1204"/>
      <c r="U273" s="1204"/>
      <c r="V273" s="1204"/>
      <c r="W273" s="1204"/>
      <c r="X273" s="1204"/>
      <c r="Y273" s="1204"/>
      <c r="Z273" s="1204"/>
      <c r="AA273" s="1204"/>
      <c r="AB273" s="1204"/>
      <c r="AC273" s="1204"/>
      <c r="AD273" s="1204"/>
      <c r="AE273" s="1204"/>
      <c r="AF273" s="1204"/>
      <c r="AG273" s="1204"/>
      <c r="AH273" s="1204"/>
      <c r="AI273" s="1204"/>
      <c r="AJ273" s="1204"/>
      <c r="AK273" s="1204"/>
      <c r="AL273" s="1204"/>
      <c r="AM273" s="1204"/>
      <c r="AN273" s="1204"/>
      <c r="AO273" s="1204"/>
      <c r="AP273" s="1204"/>
      <c r="AQ273" s="1204"/>
      <c r="AR273" s="1204"/>
      <c r="AS273" s="1204"/>
      <c r="AT273" s="1204"/>
      <c r="AU273" s="1204"/>
      <c r="AV273" s="1204"/>
    </row>
    <row r="274" spans="1:49">
      <c r="A274" s="1203" t="s">
        <v>677</v>
      </c>
      <c r="B274" s="1204"/>
      <c r="C274" s="1204"/>
      <c r="D274" s="1204"/>
      <c r="E274" s="1204"/>
      <c r="F274" s="1204"/>
      <c r="G274" s="1204"/>
      <c r="H274" s="1204"/>
      <c r="I274" s="1204"/>
      <c r="N274" s="1204"/>
      <c r="O274" s="1204"/>
      <c r="P274" s="1204"/>
      <c r="Q274" s="1204"/>
      <c r="R274" s="1204"/>
      <c r="S274" s="1204"/>
      <c r="T274" s="1204"/>
      <c r="U274" s="1204"/>
      <c r="V274" s="1204"/>
      <c r="W274" s="1204"/>
      <c r="X274" s="1204"/>
      <c r="Y274" s="1204"/>
      <c r="Z274" s="1204"/>
      <c r="AA274" s="1204"/>
      <c r="AB274" s="1204"/>
      <c r="AC274" s="1204"/>
      <c r="AD274" s="1204"/>
      <c r="AE274" s="1204"/>
      <c r="AF274" s="1204"/>
      <c r="AG274" s="1204"/>
      <c r="AH274" s="1204"/>
      <c r="AI274" s="1204"/>
      <c r="AJ274" s="1204"/>
      <c r="AK274" s="1204"/>
      <c r="AL274" s="1204"/>
      <c r="AM274" s="1204"/>
      <c r="AN274" s="1204"/>
      <c r="AO274" s="1204"/>
      <c r="AP274" s="1204"/>
      <c r="AQ274" s="1204"/>
      <c r="AR274" s="1204"/>
      <c r="AS274" s="1204"/>
      <c r="AT274" s="1204"/>
      <c r="AU274" s="1204"/>
      <c r="AV274" s="1204"/>
    </row>
    <row r="275" spans="1:49">
      <c r="A275" s="1205" t="s">
        <v>678</v>
      </c>
      <c r="B275" s="1204">
        <v>201.33989</v>
      </c>
      <c r="C275" s="1204">
        <v>311.822</v>
      </c>
      <c r="D275" s="1204">
        <v>0.66900000000000004</v>
      </c>
      <c r="E275" s="1204">
        <v>3.2290000000000001</v>
      </c>
      <c r="F275" s="1204">
        <v>279.66300000000001</v>
      </c>
      <c r="G275" s="1204">
        <v>517.54999999999995</v>
      </c>
      <c r="H275" s="1204">
        <v>17.61</v>
      </c>
      <c r="I275" s="1204">
        <v>343.45600000000002</v>
      </c>
      <c r="N275" s="1204"/>
      <c r="O275" s="1204"/>
      <c r="P275" s="1204"/>
      <c r="Q275" s="1204"/>
      <c r="R275" s="1204"/>
      <c r="S275" s="1204"/>
      <c r="T275" s="1204"/>
      <c r="U275" s="1204"/>
      <c r="V275" s="1204"/>
      <c r="W275" s="1204"/>
      <c r="X275" s="1204"/>
      <c r="Y275" s="1204">
        <v>0.66900000000000004</v>
      </c>
      <c r="Z275" s="1204">
        <v>0.56699999999999995</v>
      </c>
      <c r="AA275" s="1204">
        <v>2.1179999999999999</v>
      </c>
      <c r="AB275" s="1204">
        <v>2.6640000000000001</v>
      </c>
      <c r="AC275" s="1204">
        <v>3.2290000000000001</v>
      </c>
      <c r="AD275" s="1204">
        <v>3.8</v>
      </c>
      <c r="AE275" s="1204">
        <v>201.65199999999999</v>
      </c>
      <c r="AF275" s="1204">
        <v>205.15</v>
      </c>
      <c r="AG275" s="1204">
        <v>279.66300000000001</v>
      </c>
      <c r="AH275" s="1204">
        <v>0.57499999999999996</v>
      </c>
      <c r="AI275" s="1204">
        <v>406.649</v>
      </c>
      <c r="AJ275" s="1204">
        <v>434.495</v>
      </c>
      <c r="AK275" s="1204">
        <v>517.54999999999995</v>
      </c>
      <c r="AL275" s="1204">
        <v>0.33700000000000002</v>
      </c>
      <c r="AM275" s="1204">
        <v>0.66800000000000004</v>
      </c>
      <c r="AN275" s="1204">
        <v>6.5540000000000003</v>
      </c>
      <c r="AO275" s="1204">
        <v>17.61</v>
      </c>
      <c r="AP275" s="1204">
        <v>2.363</v>
      </c>
      <c r="AQ275" s="1204">
        <v>3.673</v>
      </c>
      <c r="AR275" s="1204">
        <v>4.0289999999999999</v>
      </c>
      <c r="AS275" s="1204">
        <v>343.45600000000002</v>
      </c>
      <c r="AT275" s="1204">
        <v>1.653</v>
      </c>
      <c r="AU275" s="1204">
        <v>86.884</v>
      </c>
      <c r="AV275" s="1204">
        <v>146.06</v>
      </c>
      <c r="AW275" s="1201">
        <v>2.9060000000000001</v>
      </c>
    </row>
    <row r="276" spans="1:49">
      <c r="A276" s="1208" t="s">
        <v>679</v>
      </c>
      <c r="B276" s="1204"/>
      <c r="C276" s="1204"/>
      <c r="D276" s="1204"/>
      <c r="E276" s="1204"/>
      <c r="F276" s="1204"/>
      <c r="G276" s="1204"/>
      <c r="H276" s="1204"/>
      <c r="I276" s="1204"/>
      <c r="N276" s="1204"/>
      <c r="O276" s="1204"/>
      <c r="P276" s="1204"/>
      <c r="Q276" s="1204"/>
      <c r="R276" s="1204"/>
      <c r="S276" s="1204"/>
      <c r="T276" s="1204"/>
      <c r="U276" s="1204"/>
      <c r="V276" s="1204"/>
      <c r="W276" s="1204"/>
      <c r="X276" s="1204"/>
      <c r="Y276" s="1204"/>
      <c r="Z276" s="1204"/>
      <c r="AA276" s="1204"/>
      <c r="AB276" s="1204"/>
      <c r="AC276" s="1204"/>
      <c r="AD276" s="1204"/>
      <c r="AE276" s="1204"/>
      <c r="AF276" s="1204"/>
      <c r="AG276" s="1204"/>
      <c r="AH276" s="1204"/>
      <c r="AI276" s="1204"/>
      <c r="AJ276" s="1204"/>
      <c r="AK276" s="1204"/>
      <c r="AL276" s="1204"/>
      <c r="AM276" s="1204"/>
      <c r="AN276" s="1204"/>
      <c r="AO276" s="1204"/>
      <c r="AP276" s="1204"/>
      <c r="AQ276" s="1204"/>
      <c r="AR276" s="1204"/>
      <c r="AS276" s="1204"/>
      <c r="AT276" s="1204"/>
      <c r="AU276" s="1204"/>
      <c r="AV276" s="1204"/>
    </row>
    <row r="277" spans="1:49">
      <c r="A277" s="1208" t="s">
        <v>680</v>
      </c>
      <c r="B277" s="1204"/>
      <c r="C277" s="1204"/>
      <c r="D277" s="1204"/>
      <c r="E277" s="1204"/>
      <c r="F277" s="1204"/>
      <c r="G277" s="1204"/>
      <c r="H277" s="1204"/>
      <c r="I277" s="1204">
        <v>-87.858000000000004</v>
      </c>
      <c r="N277" s="1204"/>
      <c r="O277" s="1204"/>
      <c r="P277" s="1204"/>
      <c r="Q277" s="1204"/>
      <c r="R277" s="1204"/>
      <c r="S277" s="1204"/>
      <c r="T277" s="1204"/>
      <c r="U277" s="1204"/>
      <c r="V277" s="1204"/>
      <c r="W277" s="1204"/>
      <c r="X277" s="1204"/>
      <c r="Y277" s="1204"/>
      <c r="Z277" s="1204"/>
      <c r="AA277" s="1204"/>
      <c r="AB277" s="1204"/>
      <c r="AC277" s="1204"/>
      <c r="AD277" s="1204"/>
      <c r="AE277" s="1204"/>
      <c r="AF277" s="1204"/>
      <c r="AG277" s="1204"/>
      <c r="AH277" s="1204"/>
      <c r="AI277" s="1204"/>
      <c r="AJ277" s="1204"/>
      <c r="AK277" s="1204"/>
      <c r="AL277" s="1204"/>
      <c r="AM277" s="1204"/>
      <c r="AN277" s="1204"/>
      <c r="AO277" s="1204"/>
      <c r="AP277" s="1204"/>
      <c r="AQ277" s="1204">
        <v>-87.858000000000004</v>
      </c>
      <c r="AR277" s="1204">
        <v>-87.858000000000004</v>
      </c>
      <c r="AS277" s="1204">
        <v>-87.858000000000004</v>
      </c>
      <c r="AT277" s="1204"/>
      <c r="AU277" s="1204">
        <v>0</v>
      </c>
      <c r="AV277" s="1204"/>
    </row>
    <row r="278" spans="1:49">
      <c r="A278" s="1203" t="s">
        <v>681</v>
      </c>
      <c r="B278" s="1204"/>
      <c r="C278" s="1204"/>
      <c r="D278" s="1204"/>
      <c r="E278" s="1204"/>
      <c r="F278" s="1204"/>
      <c r="G278" s="1204"/>
      <c r="H278" s="1204"/>
      <c r="I278" s="1204">
        <v>-87.858000000000004</v>
      </c>
      <c r="N278" s="1204"/>
      <c r="O278" s="1204"/>
      <c r="P278" s="1204"/>
      <c r="Q278" s="1204"/>
      <c r="R278" s="1204"/>
      <c r="S278" s="1204"/>
      <c r="T278" s="1204"/>
      <c r="U278" s="1204"/>
      <c r="V278" s="1204"/>
      <c r="W278" s="1204"/>
      <c r="X278" s="1204"/>
      <c r="Y278" s="1204"/>
      <c r="Z278" s="1204"/>
      <c r="AA278" s="1204"/>
      <c r="AB278" s="1204"/>
      <c r="AC278" s="1204"/>
      <c r="AD278" s="1204"/>
      <c r="AE278" s="1204"/>
      <c r="AF278" s="1204"/>
      <c r="AG278" s="1204"/>
      <c r="AH278" s="1204"/>
      <c r="AI278" s="1204"/>
      <c r="AJ278" s="1204"/>
      <c r="AK278" s="1204"/>
      <c r="AL278" s="1204"/>
      <c r="AM278" s="1204"/>
      <c r="AN278" s="1204"/>
      <c r="AO278" s="1204"/>
      <c r="AP278" s="1204"/>
      <c r="AQ278" s="1204">
        <v>-87.858000000000004</v>
      </c>
      <c r="AR278" s="1204">
        <v>-87.858000000000004</v>
      </c>
      <c r="AS278" s="1204">
        <v>-87.858000000000004</v>
      </c>
      <c r="AT278" s="1204"/>
      <c r="AU278" s="1204">
        <v>0</v>
      </c>
      <c r="AV278" s="1204"/>
    </row>
    <row r="279" spans="1:49">
      <c r="A279" s="1208" t="s">
        <v>682</v>
      </c>
      <c r="B279" s="1204">
        <v>716.67645000000005</v>
      </c>
      <c r="C279" s="1204"/>
      <c r="D279" s="1204"/>
      <c r="E279" s="1204">
        <v>195.8</v>
      </c>
      <c r="F279" s="1204">
        <v>696.07799999999997</v>
      </c>
      <c r="G279" s="1204">
        <v>0</v>
      </c>
      <c r="H279" s="1204">
        <v>441.15499999999997</v>
      </c>
      <c r="I279" s="1204">
        <v>0</v>
      </c>
      <c r="N279" s="1204"/>
      <c r="O279" s="1204"/>
      <c r="P279" s="1204"/>
      <c r="Q279" s="1204"/>
      <c r="R279" s="1204"/>
      <c r="S279" s="1204"/>
      <c r="T279" s="1204"/>
      <c r="U279" s="1204"/>
      <c r="V279" s="1204"/>
      <c r="W279" s="1204"/>
      <c r="X279" s="1204"/>
      <c r="Y279" s="1204"/>
      <c r="Z279" s="1204"/>
      <c r="AA279" s="1204"/>
      <c r="AB279" s="1204"/>
      <c r="AC279" s="1204">
        <v>195.8</v>
      </c>
      <c r="AD279" s="1204">
        <v>0</v>
      </c>
      <c r="AE279" s="1204">
        <v>181.23</v>
      </c>
      <c r="AF279" s="1204">
        <v>181.23</v>
      </c>
      <c r="AG279" s="1204">
        <v>696.07799999999997</v>
      </c>
      <c r="AH279" s="1204">
        <v>0</v>
      </c>
      <c r="AI279" s="1204"/>
      <c r="AJ279" s="1204"/>
      <c r="AK279" s="1204">
        <v>0</v>
      </c>
      <c r="AL279" s="1204"/>
      <c r="AM279" s="1204"/>
      <c r="AN279" s="1204">
        <v>441.15499999999997</v>
      </c>
      <c r="AO279" s="1204">
        <v>441.15499999999997</v>
      </c>
      <c r="AP279" s="1204"/>
      <c r="AQ279" s="1204"/>
      <c r="AR279" s="1204"/>
      <c r="AS279" s="1204">
        <v>0</v>
      </c>
      <c r="AT279" s="1204"/>
      <c r="AU279" s="1204"/>
      <c r="AV279" s="1204"/>
    </row>
    <row r="280" spans="1:49">
      <c r="A280" s="1208" t="s">
        <v>683</v>
      </c>
      <c r="B280" s="1204"/>
      <c r="C280" s="1204"/>
      <c r="D280" s="1204"/>
      <c r="E280" s="1204"/>
      <c r="F280" s="1204"/>
      <c r="G280" s="1204"/>
      <c r="H280" s="1204"/>
      <c r="I280" s="1204"/>
      <c r="N280" s="1204"/>
      <c r="O280" s="1204"/>
      <c r="P280" s="1204"/>
      <c r="Q280" s="1204"/>
      <c r="R280" s="1204"/>
      <c r="S280" s="1204"/>
      <c r="T280" s="1204"/>
      <c r="U280" s="1204"/>
      <c r="V280" s="1204"/>
      <c r="W280" s="1204"/>
      <c r="X280" s="1204"/>
      <c r="Y280" s="1204"/>
      <c r="Z280" s="1204"/>
      <c r="AA280" s="1204"/>
      <c r="AB280" s="1204"/>
      <c r="AC280" s="1204"/>
      <c r="AD280" s="1204"/>
      <c r="AE280" s="1204"/>
      <c r="AF280" s="1204"/>
      <c r="AG280" s="1204"/>
      <c r="AH280" s="1204"/>
      <c r="AI280" s="1204"/>
      <c r="AJ280" s="1204"/>
      <c r="AK280" s="1204"/>
      <c r="AL280" s="1204"/>
      <c r="AM280" s="1204"/>
      <c r="AN280" s="1204"/>
      <c r="AO280" s="1204"/>
      <c r="AP280" s="1204"/>
      <c r="AQ280" s="1204"/>
      <c r="AR280" s="1204"/>
      <c r="AS280" s="1204"/>
      <c r="AT280" s="1204"/>
      <c r="AU280" s="1204"/>
      <c r="AV280" s="1204"/>
    </row>
    <row r="281" spans="1:49">
      <c r="A281" s="1203" t="s">
        <v>684</v>
      </c>
      <c r="B281" s="1204">
        <v>462.29422</v>
      </c>
      <c r="C281" s="1204"/>
      <c r="D281" s="1204"/>
      <c r="E281" s="1204">
        <v>195.8</v>
      </c>
      <c r="F281" s="1204">
        <v>696.07799999999997</v>
      </c>
      <c r="G281" s="1204">
        <v>0</v>
      </c>
      <c r="H281" s="1204">
        <v>441.15499999999997</v>
      </c>
      <c r="I281" s="1204">
        <v>0</v>
      </c>
      <c r="N281" s="1204"/>
      <c r="O281" s="1204"/>
      <c r="P281" s="1204"/>
      <c r="Q281" s="1204"/>
      <c r="R281" s="1204"/>
      <c r="S281" s="1204"/>
      <c r="T281" s="1204"/>
      <c r="U281" s="1204"/>
      <c r="V281" s="1204"/>
      <c r="W281" s="1204"/>
      <c r="X281" s="1204"/>
      <c r="Y281" s="1204"/>
      <c r="Z281" s="1204"/>
      <c r="AA281" s="1204"/>
      <c r="AB281" s="1204"/>
      <c r="AC281" s="1204">
        <v>195.8</v>
      </c>
      <c r="AD281" s="1204">
        <v>0</v>
      </c>
      <c r="AE281" s="1204">
        <v>181.23</v>
      </c>
      <c r="AF281" s="1204">
        <v>181.23</v>
      </c>
      <c r="AG281" s="1204">
        <v>696.07799999999997</v>
      </c>
      <c r="AH281" s="1204">
        <v>0</v>
      </c>
      <c r="AI281" s="1204"/>
      <c r="AJ281" s="1204"/>
      <c r="AK281" s="1204">
        <v>0</v>
      </c>
      <c r="AL281" s="1204"/>
      <c r="AM281" s="1204"/>
      <c r="AN281" s="1204">
        <v>441.15499999999997</v>
      </c>
      <c r="AO281" s="1204">
        <v>441.15499999999997</v>
      </c>
      <c r="AP281" s="1204"/>
      <c r="AQ281" s="1204"/>
      <c r="AR281" s="1204"/>
      <c r="AS281" s="1204">
        <v>0</v>
      </c>
      <c r="AT281" s="1204"/>
      <c r="AU281" s="1204"/>
      <c r="AV281" s="1204"/>
    </row>
    <row r="282" spans="1:49">
      <c r="A282" s="1203" t="s">
        <v>685</v>
      </c>
      <c r="B282" s="1204">
        <v>10</v>
      </c>
      <c r="C282" s="1204">
        <v>1326.3510000000001</v>
      </c>
      <c r="D282" s="1204">
        <v>1541.48</v>
      </c>
      <c r="E282" s="1204">
        <v>905.12699999999995</v>
      </c>
      <c r="F282" s="1204">
        <v>376.55399999999997</v>
      </c>
      <c r="G282" s="1204">
        <v>341.17599999999999</v>
      </c>
      <c r="H282" s="1204">
        <v>1553.6869999999999</v>
      </c>
      <c r="I282" s="1204">
        <v>1194.6590000000001</v>
      </c>
      <c r="K282" s="1210"/>
      <c r="N282" s="1204"/>
      <c r="O282" s="1204"/>
      <c r="P282" s="1204"/>
      <c r="Q282" s="1204"/>
      <c r="R282" s="1204"/>
      <c r="S282" s="1204"/>
      <c r="T282" s="1204"/>
      <c r="U282" s="1204"/>
      <c r="V282" s="1204"/>
      <c r="W282" s="1204"/>
      <c r="X282" s="1204"/>
      <c r="Y282" s="1204">
        <v>1541.48</v>
      </c>
      <c r="Z282" s="1204">
        <v>55.674999999999997</v>
      </c>
      <c r="AA282" s="1204">
        <v>362.61399999999998</v>
      </c>
      <c r="AB282" s="1204">
        <v>796.78399999999999</v>
      </c>
      <c r="AC282" s="1204">
        <v>905.12699999999995</v>
      </c>
      <c r="AD282" s="1204">
        <v>51.283999999999999</v>
      </c>
      <c r="AE282" s="1204">
        <v>150.798</v>
      </c>
      <c r="AF282" s="1204">
        <v>247.11199999999999</v>
      </c>
      <c r="AG282" s="1204">
        <v>376.55399999999997</v>
      </c>
      <c r="AH282" s="1204">
        <v>57.625999999999998</v>
      </c>
      <c r="AI282" s="1204">
        <v>136.88200000000001</v>
      </c>
      <c r="AJ282" s="1204">
        <v>163.786</v>
      </c>
      <c r="AK282" s="1204">
        <v>341.17599999999999</v>
      </c>
      <c r="AL282" s="1204">
        <v>383.90899999999999</v>
      </c>
      <c r="AM282" s="1204">
        <v>1342.671</v>
      </c>
      <c r="AN282" s="1204">
        <v>1342.671</v>
      </c>
      <c r="AO282" s="1204">
        <v>1553.6869999999999</v>
      </c>
      <c r="AP282" s="1204">
        <v>352.82100000000003</v>
      </c>
      <c r="AQ282" s="1204">
        <v>529.55799999999999</v>
      </c>
      <c r="AR282" s="1204">
        <v>805.11199999999997</v>
      </c>
      <c r="AS282" s="1204">
        <v>1194.6590000000001</v>
      </c>
      <c r="AT282" s="1204">
        <v>152.58199999999999</v>
      </c>
      <c r="AU282" s="1204">
        <v>397.94299999999998</v>
      </c>
      <c r="AV282" s="1204">
        <v>455.43299999999999</v>
      </c>
      <c r="AW282" s="1201">
        <v>326.96899999999999</v>
      </c>
    </row>
    <row r="283" spans="1:49">
      <c r="A283" s="1203" t="s">
        <v>686</v>
      </c>
      <c r="B283" s="1204">
        <v>-711.48523</v>
      </c>
      <c r="C283" s="1204">
        <v>-1369.318</v>
      </c>
      <c r="D283" s="1204">
        <v>-1358.048</v>
      </c>
      <c r="E283" s="1204">
        <v>-1038.6980000000001</v>
      </c>
      <c r="F283" s="1204">
        <v>-952.38300000000004</v>
      </c>
      <c r="G283" s="1204">
        <v>-453.73</v>
      </c>
      <c r="H283" s="1204">
        <v>-228.928</v>
      </c>
      <c r="I283" s="1204">
        <v>-537.01599999999996</v>
      </c>
      <c r="N283" s="1204"/>
      <c r="O283" s="1204"/>
      <c r="P283" s="1204"/>
      <c r="Q283" s="1204"/>
      <c r="R283" s="1204"/>
      <c r="S283" s="1204"/>
      <c r="T283" s="1204"/>
      <c r="U283" s="1204"/>
      <c r="V283" s="1204"/>
      <c r="W283" s="1204"/>
      <c r="X283" s="1204"/>
      <c r="Y283" s="1204">
        <v>-1358.048</v>
      </c>
      <c r="Z283" s="1204">
        <v>-193.745</v>
      </c>
      <c r="AA283" s="1204">
        <v>-398.06799999999998</v>
      </c>
      <c r="AB283" s="1204">
        <v>-786.73900000000003</v>
      </c>
      <c r="AC283" s="1204">
        <v>-1038.6980000000001</v>
      </c>
      <c r="AD283" s="1204">
        <v>-223.71100000000001</v>
      </c>
      <c r="AE283" s="1204">
        <v>-345.09300000000002</v>
      </c>
      <c r="AF283" s="1204">
        <v>-647.21699999999998</v>
      </c>
      <c r="AG283" s="1204">
        <v>-952.38300000000004</v>
      </c>
      <c r="AH283" s="1204">
        <v>-244.02</v>
      </c>
      <c r="AI283" s="1204">
        <v>-349.92700000000002</v>
      </c>
      <c r="AJ283" s="1204">
        <v>-413.58499999999998</v>
      </c>
      <c r="AK283" s="1204">
        <v>-453.73</v>
      </c>
      <c r="AL283" s="1204">
        <v>-60.872</v>
      </c>
      <c r="AM283" s="1204">
        <v>-134.77000000000001</v>
      </c>
      <c r="AN283" s="1204">
        <v>-187.61799999999999</v>
      </c>
      <c r="AO283" s="1204">
        <v>-228.928</v>
      </c>
      <c r="AP283" s="1204">
        <v>-229.26400000000001</v>
      </c>
      <c r="AQ283" s="1204">
        <v>-238.52500000000001</v>
      </c>
      <c r="AR283" s="1204">
        <v>-296.94200000000001</v>
      </c>
      <c r="AS283" s="1204">
        <v>-537.01599999999996</v>
      </c>
      <c r="AT283" s="1204">
        <v>-144.745</v>
      </c>
      <c r="AU283" s="1204">
        <v>-240.16300000000001</v>
      </c>
      <c r="AV283" s="1204">
        <v>-348.02699999999999</v>
      </c>
      <c r="AW283" s="1201">
        <v>-188.72499999999999</v>
      </c>
    </row>
    <row r="284" spans="1:49">
      <c r="A284" s="1205" t="s">
        <v>687</v>
      </c>
      <c r="B284" s="1204">
        <v>-239.19102000000001</v>
      </c>
      <c r="C284" s="1204">
        <v>-42.966999999999999</v>
      </c>
      <c r="D284" s="1204">
        <v>183.43199999999999</v>
      </c>
      <c r="E284" s="1204">
        <v>62.228999999999999</v>
      </c>
      <c r="F284" s="1204">
        <v>120.249</v>
      </c>
      <c r="G284" s="1204">
        <v>-112.554</v>
      </c>
      <c r="H284" s="1204">
        <v>1765.914</v>
      </c>
      <c r="I284" s="1204">
        <v>569.78499999999997</v>
      </c>
      <c r="N284" s="1204"/>
      <c r="O284" s="1204"/>
      <c r="P284" s="1204"/>
      <c r="Q284" s="1204"/>
      <c r="R284" s="1204"/>
      <c r="S284" s="1204"/>
      <c r="T284" s="1204"/>
      <c r="U284" s="1204"/>
      <c r="V284" s="1204"/>
      <c r="W284" s="1204"/>
      <c r="X284" s="1204"/>
      <c r="Y284" s="1204">
        <v>183.43199999999999</v>
      </c>
      <c r="Z284" s="1204">
        <v>-138.07</v>
      </c>
      <c r="AA284" s="1204">
        <v>-35.454000000000001</v>
      </c>
      <c r="AB284" s="1204">
        <v>10.045</v>
      </c>
      <c r="AC284" s="1204">
        <v>62.228999999999999</v>
      </c>
      <c r="AD284" s="1204">
        <v>-172.42699999999999</v>
      </c>
      <c r="AE284" s="1204">
        <v>-13.065</v>
      </c>
      <c r="AF284" s="1204">
        <v>-218.875</v>
      </c>
      <c r="AG284" s="1204">
        <v>120.249</v>
      </c>
      <c r="AH284" s="1204">
        <v>-186.39400000000001</v>
      </c>
      <c r="AI284" s="1204">
        <v>-213.04499999999999</v>
      </c>
      <c r="AJ284" s="1204">
        <v>-249.79900000000001</v>
      </c>
      <c r="AK284" s="1204">
        <v>-112.554</v>
      </c>
      <c r="AL284" s="1204">
        <v>323.03699999999998</v>
      </c>
      <c r="AM284" s="1204">
        <v>1207.9010000000001</v>
      </c>
      <c r="AN284" s="1204">
        <v>1596.2080000000001</v>
      </c>
      <c r="AO284" s="1204">
        <v>1765.914</v>
      </c>
      <c r="AP284" s="1204">
        <v>123.557</v>
      </c>
      <c r="AQ284" s="1204">
        <v>203.17500000000001</v>
      </c>
      <c r="AR284" s="1204">
        <v>420.31200000000001</v>
      </c>
      <c r="AS284" s="1204">
        <v>569.78499999999997</v>
      </c>
      <c r="AT284" s="1204">
        <v>7.8369999999999997</v>
      </c>
      <c r="AU284" s="1204">
        <v>157.78</v>
      </c>
      <c r="AV284" s="1204">
        <v>107.40600000000001</v>
      </c>
      <c r="AW284" s="1201">
        <v>138.244</v>
      </c>
    </row>
    <row r="285" spans="1:49">
      <c r="A285" s="1206" t="s">
        <v>688</v>
      </c>
      <c r="B285" s="1204">
        <v>-37.851129999999998</v>
      </c>
      <c r="C285" s="1204">
        <v>268.85500000000002</v>
      </c>
      <c r="D285" s="1204">
        <v>184.101</v>
      </c>
      <c r="E285" s="1204">
        <v>173.458</v>
      </c>
      <c r="F285" s="1204">
        <v>676.68299999999999</v>
      </c>
      <c r="G285" s="1204">
        <v>537.07799999999997</v>
      </c>
      <c r="H285" s="1204">
        <v>2614.7779999999998</v>
      </c>
      <c r="I285" s="1204">
        <v>1271.5909999999999</v>
      </c>
      <c r="N285" s="1204"/>
      <c r="O285" s="1204"/>
      <c r="P285" s="1204"/>
      <c r="Q285" s="1204"/>
      <c r="R285" s="1204"/>
      <c r="S285" s="1204"/>
      <c r="T285" s="1204"/>
      <c r="U285" s="1204"/>
      <c r="V285" s="1204"/>
      <c r="W285" s="1204"/>
      <c r="X285" s="1204"/>
      <c r="Y285" s="1204">
        <v>184.101</v>
      </c>
      <c r="Z285" s="1204">
        <v>-137.50299999999999</v>
      </c>
      <c r="AA285" s="1204">
        <v>-33.335999999999999</v>
      </c>
      <c r="AB285" s="1204">
        <v>120.709</v>
      </c>
      <c r="AC285" s="1204">
        <v>173.458</v>
      </c>
      <c r="AD285" s="1204">
        <v>-168.38200000000001</v>
      </c>
      <c r="AE285" s="1204">
        <v>188.83199999999999</v>
      </c>
      <c r="AF285" s="1204">
        <v>-13.48</v>
      </c>
      <c r="AG285" s="1204">
        <v>676.68299999999999</v>
      </c>
      <c r="AH285" s="1204">
        <v>-185.81899999999999</v>
      </c>
      <c r="AI285" s="1204">
        <v>193.60400000000001</v>
      </c>
      <c r="AJ285" s="1204">
        <v>184.696</v>
      </c>
      <c r="AK285" s="1204">
        <v>537.07799999999997</v>
      </c>
      <c r="AL285" s="1204">
        <v>323.37400000000002</v>
      </c>
      <c r="AM285" s="1204">
        <v>1844.569</v>
      </c>
      <c r="AN285" s="1204">
        <v>2383.7620000000002</v>
      </c>
      <c r="AO285" s="1204">
        <v>2614.7779999999998</v>
      </c>
      <c r="AP285" s="1204">
        <v>125.92</v>
      </c>
      <c r="AQ285" s="1204">
        <v>206.84800000000001</v>
      </c>
      <c r="AR285" s="1204">
        <v>424.34100000000001</v>
      </c>
      <c r="AS285" s="1204">
        <v>1271.5909999999999</v>
      </c>
      <c r="AT285" s="1204">
        <v>9.49</v>
      </c>
      <c r="AU285" s="1204">
        <v>967.96400000000006</v>
      </c>
      <c r="AV285" s="1204">
        <v>1276.7660000000001</v>
      </c>
      <c r="AW285" s="1201">
        <v>1100.194</v>
      </c>
    </row>
    <row r="286" spans="1:49">
      <c r="A286" s="1203"/>
      <c r="B286" s="1204"/>
      <c r="C286" s="1204"/>
      <c r="D286" s="1204"/>
      <c r="E286" s="1204"/>
      <c r="F286" s="1204"/>
      <c r="G286" s="1204"/>
      <c r="H286" s="1204"/>
      <c r="I286" s="1204"/>
      <c r="N286" s="1204"/>
      <c r="O286" s="1204"/>
      <c r="P286" s="1204"/>
      <c r="Q286" s="1204"/>
      <c r="R286" s="1204"/>
      <c r="S286" s="1204"/>
      <c r="T286" s="1204"/>
      <c r="U286" s="1204"/>
      <c r="V286" s="1204"/>
      <c r="W286" s="1204"/>
      <c r="X286" s="1204"/>
      <c r="Y286" s="1204"/>
      <c r="Z286" s="1204"/>
      <c r="AA286" s="1204"/>
      <c r="AB286" s="1204"/>
      <c r="AC286" s="1204"/>
      <c r="AD286" s="1204"/>
      <c r="AE286" s="1204"/>
      <c r="AF286" s="1204"/>
      <c r="AG286" s="1204"/>
      <c r="AH286" s="1204"/>
      <c r="AI286" s="1204"/>
      <c r="AJ286" s="1204"/>
      <c r="AK286" s="1204"/>
      <c r="AL286" s="1204"/>
      <c r="AM286" s="1204"/>
      <c r="AN286" s="1204"/>
      <c r="AO286" s="1204"/>
      <c r="AP286" s="1204"/>
      <c r="AQ286" s="1204"/>
      <c r="AR286" s="1204"/>
      <c r="AS286" s="1204"/>
      <c r="AT286" s="1204"/>
      <c r="AU286" s="1204"/>
      <c r="AV286" s="1204"/>
    </row>
    <row r="287" spans="1:49">
      <c r="A287" s="1205" t="s">
        <v>689</v>
      </c>
      <c r="B287" s="1204">
        <v>-0.70262000000000002</v>
      </c>
      <c r="C287" s="1204">
        <v>1.2250000000000001</v>
      </c>
      <c r="D287" s="1204">
        <v>-0.115</v>
      </c>
      <c r="E287" s="1204">
        <v>-1.4E-2</v>
      </c>
      <c r="F287" s="1204">
        <v>-0.109</v>
      </c>
      <c r="G287" s="1204">
        <v>-14.554</v>
      </c>
      <c r="H287" s="1204">
        <v>-27.837</v>
      </c>
      <c r="I287" s="1204">
        <v>22.151</v>
      </c>
      <c r="N287" s="1204"/>
      <c r="O287" s="1204"/>
      <c r="P287" s="1204"/>
      <c r="Q287" s="1204"/>
      <c r="R287" s="1204"/>
      <c r="S287" s="1204"/>
      <c r="T287" s="1204"/>
      <c r="U287" s="1204"/>
      <c r="V287" s="1204"/>
      <c r="W287" s="1204"/>
      <c r="X287" s="1204"/>
      <c r="Y287" s="1204">
        <v>-0.115</v>
      </c>
      <c r="Z287" s="1204">
        <v>-6.5000000000000002E-2</v>
      </c>
      <c r="AA287" s="1204">
        <v>-0.01</v>
      </c>
      <c r="AB287" s="1204">
        <v>4.9000000000000002E-2</v>
      </c>
      <c r="AC287" s="1204">
        <v>-1.4E-2</v>
      </c>
      <c r="AD287" s="1204">
        <v>-0.99199999999999999</v>
      </c>
      <c r="AE287" s="1204">
        <v>-1.323</v>
      </c>
      <c r="AF287" s="1204">
        <v>-0.308</v>
      </c>
      <c r="AG287" s="1204">
        <v>-0.109</v>
      </c>
      <c r="AH287" s="1204">
        <v>-0.224</v>
      </c>
      <c r="AI287" s="1204">
        <v>-6.5000000000000002E-2</v>
      </c>
      <c r="AJ287" s="1204">
        <v>-7.9980000000000002</v>
      </c>
      <c r="AK287" s="1204">
        <v>-14.554</v>
      </c>
      <c r="AL287" s="1204">
        <v>-4.109</v>
      </c>
      <c r="AM287" s="1204">
        <v>-7.9269999999999996</v>
      </c>
      <c r="AN287" s="1204">
        <v>-10.763</v>
      </c>
      <c r="AO287" s="1204">
        <v>-27.837</v>
      </c>
      <c r="AP287" s="1204">
        <v>2.0590000000000002</v>
      </c>
      <c r="AQ287" s="1204">
        <v>1.3939999999999999</v>
      </c>
      <c r="AR287" s="1204">
        <v>6.407</v>
      </c>
      <c r="AS287" s="1204">
        <v>22.151</v>
      </c>
      <c r="AT287" s="1204">
        <v>29.721</v>
      </c>
      <c r="AU287" s="1204">
        <v>14.222</v>
      </c>
      <c r="AV287" s="1204">
        <v>-16.64</v>
      </c>
      <c r="AW287" s="1201">
        <v>0.22700000000000001</v>
      </c>
    </row>
    <row r="288" spans="1:49">
      <c r="A288" s="1203"/>
      <c r="B288" s="1204"/>
      <c r="C288" s="1204"/>
      <c r="D288" s="1204"/>
      <c r="E288" s="1204"/>
      <c r="F288" s="1204"/>
      <c r="G288" s="1204"/>
      <c r="H288" s="1204"/>
      <c r="I288" s="1204"/>
      <c r="N288" s="1204"/>
      <c r="O288" s="1204"/>
      <c r="P288" s="1204"/>
      <c r="Q288" s="1204"/>
      <c r="R288" s="1204"/>
      <c r="S288" s="1204"/>
      <c r="T288" s="1204"/>
      <c r="U288" s="1204"/>
      <c r="V288" s="1204"/>
      <c r="W288" s="1204"/>
      <c r="X288" s="1204"/>
      <c r="Y288" s="1204"/>
      <c r="Z288" s="1204"/>
      <c r="AA288" s="1204"/>
      <c r="AB288" s="1204"/>
      <c r="AC288" s="1204"/>
      <c r="AD288" s="1204"/>
      <c r="AE288" s="1204"/>
      <c r="AF288" s="1204"/>
      <c r="AG288" s="1204"/>
      <c r="AH288" s="1204"/>
      <c r="AI288" s="1204"/>
      <c r="AJ288" s="1204"/>
      <c r="AK288" s="1204"/>
      <c r="AL288" s="1204"/>
      <c r="AM288" s="1204"/>
      <c r="AN288" s="1204"/>
      <c r="AO288" s="1204"/>
      <c r="AP288" s="1204"/>
      <c r="AQ288" s="1204"/>
      <c r="AR288" s="1204"/>
      <c r="AS288" s="1204"/>
      <c r="AT288" s="1204"/>
      <c r="AU288" s="1204"/>
      <c r="AV288" s="1204"/>
    </row>
    <row r="289" spans="1:49">
      <c r="A289" s="1205" t="s">
        <v>690</v>
      </c>
      <c r="B289" s="1204">
        <v>72.345820000000003</v>
      </c>
      <c r="C289" s="1204">
        <v>-254.19300000000001</v>
      </c>
      <c r="D289" s="1204">
        <v>96.875</v>
      </c>
      <c r="E289" s="1204">
        <v>103.99299999999999</v>
      </c>
      <c r="F289" s="1204">
        <v>140.553</v>
      </c>
      <c r="G289" s="1204">
        <v>402.16500000000002</v>
      </c>
      <c r="H289" s="1204">
        <v>1120.81</v>
      </c>
      <c r="I289" s="1204">
        <v>-287.71100000000001</v>
      </c>
      <c r="N289" s="1204"/>
      <c r="O289" s="1204"/>
      <c r="P289" s="1204"/>
      <c r="Q289" s="1204"/>
      <c r="R289" s="1204"/>
      <c r="S289" s="1204"/>
      <c r="T289" s="1204"/>
      <c r="U289" s="1204"/>
      <c r="V289" s="1204"/>
      <c r="W289" s="1204"/>
      <c r="X289" s="1204"/>
      <c r="Y289" s="1204">
        <v>96.875</v>
      </c>
      <c r="Z289" s="1204">
        <v>-65.558000000000007</v>
      </c>
      <c r="AA289" s="1204">
        <v>-95.534999999999997</v>
      </c>
      <c r="AB289" s="1204">
        <v>115.017</v>
      </c>
      <c r="AC289" s="1204">
        <v>103.99299999999999</v>
      </c>
      <c r="AD289" s="1204">
        <v>-24.908000000000001</v>
      </c>
      <c r="AE289" s="1204">
        <v>110.849</v>
      </c>
      <c r="AF289" s="1204">
        <v>-100.244</v>
      </c>
      <c r="AG289" s="1204">
        <v>140.553</v>
      </c>
      <c r="AH289" s="1204">
        <v>-200.65799999999999</v>
      </c>
      <c r="AI289" s="1204">
        <v>163.12899999999999</v>
      </c>
      <c r="AJ289" s="1204">
        <v>138.54</v>
      </c>
      <c r="AK289" s="1204">
        <v>402.16500000000002</v>
      </c>
      <c r="AL289" s="1204">
        <v>29.754000000000001</v>
      </c>
      <c r="AM289" s="1204">
        <v>581.47</v>
      </c>
      <c r="AN289" s="1204">
        <v>629.55100000000004</v>
      </c>
      <c r="AO289" s="1204">
        <v>1120.81</v>
      </c>
      <c r="AP289" s="1204">
        <v>-573.96799999999996</v>
      </c>
      <c r="AQ289" s="1204">
        <v>-1249.893</v>
      </c>
      <c r="AR289" s="1204">
        <v>-1006.862</v>
      </c>
      <c r="AS289" s="1204">
        <v>-287.71100000000001</v>
      </c>
      <c r="AT289" s="1204">
        <v>-829.81700000000001</v>
      </c>
      <c r="AU289" s="1204">
        <v>-424.04</v>
      </c>
      <c r="AV289" s="1204">
        <v>-1015.681</v>
      </c>
      <c r="AW289" s="1201">
        <v>978.35500000000002</v>
      </c>
    </row>
    <row r="290" spans="1:49">
      <c r="A290" s="1203" t="s">
        <v>691</v>
      </c>
      <c r="B290" s="1204">
        <v>443.46251000000001</v>
      </c>
      <c r="C290" s="1204">
        <v>515.80799999999999</v>
      </c>
      <c r="D290" s="1204">
        <v>261.61500000000001</v>
      </c>
      <c r="E290" s="1204">
        <v>358.49</v>
      </c>
      <c r="F290" s="1204">
        <v>462.483</v>
      </c>
      <c r="G290" s="1204">
        <v>603.03599999999994</v>
      </c>
      <c r="H290" s="1204">
        <v>1005.201</v>
      </c>
      <c r="I290" s="1204">
        <v>2126.011</v>
      </c>
      <c r="N290" s="1204"/>
      <c r="O290" s="1204"/>
      <c r="P290" s="1204"/>
      <c r="Q290" s="1204"/>
      <c r="R290" s="1204"/>
      <c r="S290" s="1204"/>
      <c r="T290" s="1204"/>
      <c r="U290" s="1204"/>
      <c r="V290" s="1204"/>
      <c r="W290" s="1204"/>
      <c r="X290" s="1204"/>
      <c r="Y290" s="1204">
        <v>261.61500000000001</v>
      </c>
      <c r="Z290" s="1204">
        <v>358.49</v>
      </c>
      <c r="AA290" s="1204">
        <v>358.49</v>
      </c>
      <c r="AB290" s="1204">
        <v>358.49</v>
      </c>
      <c r="AC290" s="1204">
        <v>358.49</v>
      </c>
      <c r="AD290" s="1204">
        <v>462.483</v>
      </c>
      <c r="AE290" s="1204">
        <v>462.483</v>
      </c>
      <c r="AF290" s="1204">
        <v>462.483</v>
      </c>
      <c r="AG290" s="1204">
        <v>462.483</v>
      </c>
      <c r="AH290" s="1204">
        <v>603.03599999999994</v>
      </c>
      <c r="AI290" s="1204">
        <v>603.03599999999994</v>
      </c>
      <c r="AJ290" s="1204">
        <v>603.03599999999994</v>
      </c>
      <c r="AK290" s="1204">
        <v>603.03599999999994</v>
      </c>
      <c r="AL290" s="1204">
        <v>1005.201</v>
      </c>
      <c r="AM290" s="1204">
        <v>1005.201</v>
      </c>
      <c r="AN290" s="1204">
        <v>1005.201</v>
      </c>
      <c r="AO290" s="1204">
        <v>1005.201</v>
      </c>
      <c r="AP290" s="1204">
        <v>2126.011</v>
      </c>
      <c r="AQ290" s="1204">
        <v>2126.011</v>
      </c>
      <c r="AR290" s="1204">
        <v>2126.011</v>
      </c>
      <c r="AS290" s="1204">
        <v>2126.011</v>
      </c>
      <c r="AT290" s="1204">
        <v>1838.3</v>
      </c>
      <c r="AU290" s="1204">
        <v>1838.3</v>
      </c>
      <c r="AV290" s="1204">
        <v>1838.3</v>
      </c>
      <c r="AW290" s="1201">
        <v>822.61900000000003</v>
      </c>
    </row>
    <row r="291" spans="1:49">
      <c r="A291" s="1203" t="s">
        <v>692</v>
      </c>
      <c r="B291" s="1204">
        <v>515.80832999999996</v>
      </c>
      <c r="C291" s="1204">
        <v>261.61500000000001</v>
      </c>
      <c r="D291" s="1204">
        <v>358.49</v>
      </c>
      <c r="E291" s="1204">
        <v>462.483</v>
      </c>
      <c r="F291" s="1204">
        <v>603.03599999999994</v>
      </c>
      <c r="G291" s="1204">
        <v>1005.201</v>
      </c>
      <c r="H291" s="1204">
        <v>2126.011</v>
      </c>
      <c r="I291" s="1204">
        <v>1838.3</v>
      </c>
      <c r="N291" s="1204"/>
      <c r="O291" s="1204"/>
      <c r="P291" s="1204"/>
      <c r="Q291" s="1204"/>
      <c r="R291" s="1204"/>
      <c r="S291" s="1204"/>
      <c r="T291" s="1204"/>
      <c r="U291" s="1204"/>
      <c r="V291" s="1204"/>
      <c r="W291" s="1204"/>
      <c r="X291" s="1204"/>
      <c r="Y291" s="1204">
        <v>358.49</v>
      </c>
      <c r="Z291" s="1204">
        <v>292.93200000000002</v>
      </c>
      <c r="AA291" s="1204">
        <v>262.95499999999998</v>
      </c>
      <c r="AB291" s="1204">
        <v>473.50700000000001</v>
      </c>
      <c r="AC291" s="1204">
        <v>462.483</v>
      </c>
      <c r="AD291" s="1204">
        <v>437.57499999999999</v>
      </c>
      <c r="AE291" s="1204">
        <v>573.33199999999999</v>
      </c>
      <c r="AF291" s="1204">
        <v>362.23899999999998</v>
      </c>
      <c r="AG291" s="1204">
        <v>603.03599999999994</v>
      </c>
      <c r="AH291" s="1204">
        <v>402.37799999999999</v>
      </c>
      <c r="AI291" s="1204">
        <v>766.16499999999996</v>
      </c>
      <c r="AJ291" s="1204">
        <v>741.57600000000002</v>
      </c>
      <c r="AK291" s="1204">
        <v>1005.201</v>
      </c>
      <c r="AL291" s="1204">
        <v>1034.9549999999999</v>
      </c>
      <c r="AM291" s="1204">
        <v>1586.671</v>
      </c>
      <c r="AN291" s="1204">
        <v>1634.752</v>
      </c>
      <c r="AO291" s="1204">
        <v>2126.011</v>
      </c>
      <c r="AP291" s="1204">
        <v>1552.0429999999999</v>
      </c>
      <c r="AQ291" s="1204">
        <v>876.11800000000005</v>
      </c>
      <c r="AR291" s="1204">
        <v>1119.1489999999999</v>
      </c>
      <c r="AS291" s="1204">
        <v>1838.3</v>
      </c>
      <c r="AT291" s="1204">
        <v>1008.4829999999999</v>
      </c>
      <c r="AU291" s="1204">
        <v>1414.26</v>
      </c>
      <c r="AV291" s="1204">
        <v>822.61900000000003</v>
      </c>
      <c r="AW291" s="1201">
        <v>1800.9739999999999</v>
      </c>
    </row>
    <row r="292" spans="1:49">
      <c r="A292" s="1205"/>
      <c r="B292" s="1204"/>
      <c r="C292" s="1204"/>
      <c r="D292" s="1204"/>
      <c r="E292" s="1204"/>
      <c r="F292" s="1204"/>
      <c r="G292" s="1204"/>
      <c r="H292" s="1204"/>
      <c r="I292" s="1204"/>
      <c r="N292" s="1204"/>
      <c r="O292" s="1204"/>
      <c r="P292" s="1204"/>
      <c r="Q292" s="1204"/>
      <c r="R292" s="1204"/>
      <c r="S292" s="1204"/>
      <c r="T292" s="1204"/>
      <c r="U292" s="1204"/>
      <c r="V292" s="1204"/>
      <c r="W292" s="1204"/>
      <c r="X292" s="1204"/>
      <c r="Y292" s="1204"/>
      <c r="Z292" s="1204"/>
      <c r="AA292" s="1204"/>
      <c r="AB292" s="1204"/>
      <c r="AC292" s="1204"/>
      <c r="AD292" s="1204"/>
      <c r="AE292" s="1204"/>
      <c r="AF292" s="1204"/>
      <c r="AG292" s="1204"/>
      <c r="AH292" s="1204"/>
      <c r="AI292" s="1204"/>
      <c r="AJ292" s="1204"/>
      <c r="AK292" s="1204"/>
      <c r="AL292" s="1204"/>
      <c r="AM292" s="1204"/>
      <c r="AN292" s="1204"/>
      <c r="AO292" s="1204"/>
      <c r="AP292" s="1204"/>
      <c r="AQ292" s="1204"/>
      <c r="AR292" s="1204"/>
      <c r="AS292" s="1204"/>
      <c r="AT292" s="1204"/>
      <c r="AU292" s="1204"/>
      <c r="AV292" s="1204"/>
    </row>
    <row r="293" spans="1:49">
      <c r="A293" s="1205" t="s">
        <v>693</v>
      </c>
      <c r="B293" s="1204">
        <v>33.686819999999997</v>
      </c>
      <c r="C293" s="1204">
        <v>38.765000000000001</v>
      </c>
      <c r="D293" s="1204">
        <v>47.531999999999996</v>
      </c>
      <c r="E293" s="1204">
        <v>43.238999999999997</v>
      </c>
      <c r="F293" s="1204">
        <v>16.087</v>
      </c>
      <c r="G293" s="1204">
        <v>26.173999999999999</v>
      </c>
      <c r="H293" s="1204">
        <v>27.497</v>
      </c>
      <c r="I293" s="1204">
        <v>34.085999999999999</v>
      </c>
      <c r="N293" s="1204"/>
      <c r="O293" s="1204"/>
      <c r="P293" s="1204"/>
      <c r="Q293" s="1204"/>
      <c r="R293" s="1204"/>
      <c r="S293" s="1204"/>
      <c r="T293" s="1204"/>
      <c r="U293" s="1204"/>
      <c r="V293" s="1204"/>
      <c r="W293" s="1204"/>
      <c r="X293" s="1204"/>
      <c r="Y293" s="1204">
        <v>47.531999999999996</v>
      </c>
      <c r="Z293" s="1204"/>
      <c r="AA293" s="1204"/>
      <c r="AB293" s="1204"/>
      <c r="AC293" s="1204"/>
      <c r="AD293" s="1204"/>
      <c r="AE293" s="1204">
        <v>15.202</v>
      </c>
      <c r="AF293" s="1204"/>
      <c r="AG293" s="1204"/>
      <c r="AH293" s="1204"/>
      <c r="AI293" s="1204"/>
      <c r="AJ293" s="1204"/>
      <c r="AK293" s="1204">
        <v>26.173999999999999</v>
      </c>
      <c r="AL293" s="1204"/>
      <c r="AM293" s="1204"/>
      <c r="AN293" s="1204"/>
      <c r="AO293" s="1204">
        <v>27.497</v>
      </c>
      <c r="AP293" s="1204"/>
      <c r="AQ293" s="1204"/>
      <c r="AR293" s="1204"/>
      <c r="AS293" s="1204"/>
      <c r="AT293" s="1204"/>
      <c r="AU293" s="1204">
        <v>0.65</v>
      </c>
      <c r="AV293" s="1204">
        <v>0.65</v>
      </c>
      <c r="AW293" s="1201">
        <v>5.65</v>
      </c>
    </row>
    <row r="294" spans="1:49">
      <c r="A294" s="1205" t="s">
        <v>694</v>
      </c>
      <c r="B294" s="1204">
        <v>3.4449299999999998</v>
      </c>
      <c r="C294" s="1204">
        <v>3.1930000000000001</v>
      </c>
      <c r="D294" s="1204">
        <v>1.125</v>
      </c>
      <c r="E294" s="1204">
        <v>1.06</v>
      </c>
      <c r="F294" s="1204">
        <v>1.39</v>
      </c>
      <c r="G294" s="1204">
        <v>-0.28199999999999997</v>
      </c>
      <c r="H294" s="1204">
        <v>1.675</v>
      </c>
      <c r="I294" s="1204">
        <v>0.437</v>
      </c>
      <c r="N294" s="1204"/>
      <c r="O294" s="1204"/>
      <c r="P294" s="1204"/>
      <c r="Q294" s="1204"/>
      <c r="R294" s="1204"/>
      <c r="S294" s="1204"/>
      <c r="T294" s="1204"/>
      <c r="U294" s="1204"/>
      <c r="V294" s="1204"/>
      <c r="W294" s="1204"/>
      <c r="X294" s="1204"/>
      <c r="Y294" s="1204">
        <v>1.125</v>
      </c>
      <c r="Z294" s="1204"/>
      <c r="AA294" s="1204"/>
      <c r="AB294" s="1204"/>
      <c r="AC294" s="1204"/>
      <c r="AD294" s="1204"/>
      <c r="AE294" s="1204">
        <v>0.78600000000000003</v>
      </c>
      <c r="AF294" s="1204"/>
      <c r="AG294" s="1204"/>
      <c r="AH294" s="1204"/>
      <c r="AI294" s="1204"/>
      <c r="AJ294" s="1204"/>
      <c r="AK294" s="1204">
        <v>-0.28199999999999997</v>
      </c>
      <c r="AL294" s="1204"/>
      <c r="AM294" s="1204"/>
      <c r="AN294" s="1204"/>
      <c r="AO294" s="1204">
        <v>1.675</v>
      </c>
      <c r="AP294" s="1204"/>
      <c r="AQ294" s="1204"/>
      <c r="AR294" s="1204"/>
      <c r="AS294" s="1204"/>
      <c r="AT294" s="1204"/>
      <c r="AU294" s="1204"/>
      <c r="AV294" s="1204"/>
    </row>
  </sheetData>
  <pageMargins left="0.7" right="0.7" top="0.75" bottom="0.75" header="0.3" footer="0.3"/>
  <pageSetup paperSize="0" orientation="portrait" r:id="rId1"/>
  <customProperties>
    <customPr name="Qube.Worksheet.Visibility" r:id="rId2"/>
    <customPr name="QXL_SHEET_ID" r:id="rId3"/>
    <customPr name="SHEET_UNIQUE_ID" r:id="rId4"/>
  </customPropertie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S u b m i s s i o n S h e e t T e m p l a t e W r a p p e r   x m l n s : x s d = " h t t p : / / w w w . w 3 . o r g / 2 0 0 1 / X M L S c h e m a "   x m l n s : x s i = " h t t p : / / w w w . w 3 . o r g / 2 0 0 1 / X M L S c h e m a - i n s t a n c e "   S h e e t I d = " 6 4 3 2 f f b 0 - 6 9 9 e - 4 f 1 2 - 9 2 3 9 - 7 3 b a c c 9 0 3 b 0 5 "   x m l n s = " E x c h a n g e - S u b m i s s i o n S h e e t W r a p p e r " >  
     < T e m p l a t e H a s h > 1 5 5 0 8 8 5 7 1 5 < / T e m p l a t e H a s h >  
     < T e m p l a t e P e r i o d s >  
         < P e r i o d W r a p p e r >  
             < M i l e s t o n e > A C T < / M i l e s t o n e >  
             < E n d D a t e > 3 1 D e c 1 9 < / E n d D a t e >  
             < P e r i o d N u m b e r > 0 < / P e r i o d N u m b e r >  
             < P e r i o d T y p e > A < / P e r i o d T y p e >  
             < Y e a r > 2 0 1 9 < / Y e a r >  
         < / P e r i o d W r a p p e r >  
         < P e r i o d W r a p p e r >  
             < M i l e s t o n e > A C T < / M i l e s t o n e >  
             < E n d D a t e > 3 1 D e c 0 9 < / E n d D a t e >  
             < P e r i o d N u m b e r > 0 < / P e r i o d N u m b e r >  
             < P e r i o d T y p e > A < / P e r i o d T y p e >  
             < Y e a r > 2 0 0 9 < / Y e a r >  
         < / P e r i o d W r a p p e r >  
         < P e r i o d W r a p p e r >  
             < M i l e s t o n e > A C T < / M i l e s t o n e >  
             < E n d D a t e > 3 1 D e c 2 1 < / E n d D a t e >  
             < P e r i o d N u m b e r > 0 < / P e r i o d N u m b e r >  
             < P e r i o d T y p e > A < / P e r i o d T y p e >  
             < Y e a r > 2 0 2 1 < / Y e a r >  
         < / P e r i o d W r a p p e r >  
         < P e r i o d W r a p p e r >  
             < M i l e s t o n e > A C T < / M i l e s t o n e >  
             < E n d D a t e > 3 1 D e c 1 0 < / E n d D a t e >  
             < P e r i o d N u m b e r > 0 < / P e r i o d N u m b e r >  
             < P e r i o d T y p e > A < / P e r i o d T y p e >  
             < Y e a r > 2 0 1 0 < / Y e a r >  
         < / P e r i o d W r a p p e r >  
         < P e r i o d W r a p p e r >  
             < M i l e s t o n e > A C T < / M i l e s t o n e >  
             < E n d D a t e > 3 1 D e c 0 7 < / E n d D a t e >  
             < P e r i o d N u m b e r > 0 < / P e r i o d N u m b e r >  
             < P e r i o d T y p e > A < / P e r i o d T y p e >  
             < Y e a r > 2 0 0 7 < / Y e a r >  
         < / P e r i o d W r a p p e r >  
         < P e r i o d W r a p p e r >  
             < M i l e s t o n e > A C T < / M i l e s t o n e >  
             < E n d D a t e > 3 1 D e c 1 6 < / E n d D a t e >  
             < P e r i o d N u m b e r > 0 < / P e r i o d N u m b e r >  
             < P e r i o d T y p e > A < / P e r i o d T y p e >  
             < Y e a r > 2 0 1 6 < / Y e a r >  
         < / P e r i o d W r a p p e r >  
         < P e r i o d W r a p p e r >  
             < M i l e s t o n e > E S T < / M i l e s t o n e >  
             < E n d D a t e > 3 1 D e c 2 9 < / E n d D a t e >  
             < P e r i o d N u m b e r > 0 < / P e r i o d N u m b e r >  
             < P e r i o d T y p e > A < / P e r i o d T y p e >  
             < Y e a r > 2 0 2 9 < / Y e a r >  
         < / P e r i o d W r a p p e r >  
         < P e r i o d W r a p p e r >  
             < M i l e s t o n e > A C T < / M i l e s t o n e >  
             < E n d D a t e > 3 1 D e c 1 8 < / E n d D a t e >  
             < P e r i o d N u m b e r > 0 < / P e r i o d N u m b e r >  
             < P e r i o d T y p e > A < / P e r i o d T y p e >  
             < Y e a r > 2 0 1 8 < / Y e a r >  
         < / P e r i o d W r a p p e r >  
         < P e r i o d W r a p p e r >  
             < M i l e s t o n e > A C T < / M i l e s t o n e >  
             < E n d D a t e > 3 1 D e c 1 1 < / E n d D a t e >  
             < P e r i o d N u m b e r > 0 < / P e r i o d N u m b e r >  
             < P e r i o d T y p e > A < / P e r i o d T y p e >  
             < Y e a r > 2 0 1 1 < / Y e a r >  
         < / P e r i o d W r a p p e r >  
         < P e r i o d W r a p p e r >  
             < M i l e s t o n e > A C T < / M i l e s t o n e >  
             < E n d D a t e > 3 1 D e c 1 7 < / E n d D a t e >  
             < P e r i o d N u m b e r > 0 < / P e r i o d N u m b e r >  
             < P e r i o d T y p e > A < / P e r i o d T y p e >  
             < Y e a r > 2 0 1 7 < / Y e a r >  
         < / P e r i o d W r a p p e r >  
         < P e r i o d W r a p p e r >  
             < M i l e s t o n e > A C T < / M i l e s t o n e >  
             < E n d D a t e > 3 1 D e c 2 0 < / E n d D a t e >  
             < P e r i o d N u m b e r > 0 < / P e r i o d N u m b e r >  
             < P e r i o d T y p e > A < / P e r i o d T y p e >  
             < Y e a r > 2 0 2 0 < / Y e a r >  
         < / P e r i o d W r a p p e r >  
         < P e r i o d W r a p p e r >  
             < M i l e s t o n e > A C T < / M i l e s t o n e >  
             < E n d D a t e > 3 1 D e c 2 3 < / E n d D a t e >  
             < P e r i o d N u m b e r > 0 < / P e r i o d N u m b e r >  
             < P e r i o d T y p e > A < / P e r i o d T y p e >  
             < Y e a r > 2 0 2 3 < / Y e a r >  
         < / P e r i o d W r a p p e r >  
         < P e r i o d W r a p p e r >  
             < M i l e s t o n e > E S T < / M i l e s t o n e >  
             < E n d D a t e > 3 1 D e c 2 5 < / E n d D a t e >  
             < P e r i o d N u m b e r > 0 < / P e r i o d N u m b e r >  
             < P e r i o d T y p e > A < / P e r i o d T y p e >  
             < Y e a r > 2 0 2 5 < / Y e a r >  
         < / P e r i o d W r a p p e r >  
         < P e r i o d W r a p p e r >  
             < M i l e s t o n e > E S T < / M i l e s t o n e >  
             < E n d D a t e > 3 1 D e c 2 8 < / E n d D a t e >  
             < P e r i o d N u m b e r > 0 < / P e r i o d N u m b e r >  
             < P e r i o d T y p e > A < / P e r i o d T y p e >  
             < Y e a r > 2 0 2 8 < / Y e a r >  
         < / P e r i o d W r a p p e r >  
         < P e r i o d W r a p p e r >  
             < M i l e s t o n e > A C T < / M i l e s t o n e >  
             < E n d D a t e > 3 1 D e c 0 5 < / E n d D a t e >  
             < P e r i o d N u m b e r > 0 < / P e r i o d N u m b e r >  
             < P e r i o d T y p e > A < / P e r i o d T y p e >  
             < Y e a r > 2 0 0 5 < / Y e a r >  
         < / P e r i o d W r a p p e r >  
         < P e r i o d W r a p p e r >  
             < M i l e s t o n e > A C T < / M i l e s t o n e >  
             < E n d D a t e > 3 1 D e c 2 2 < / E n d D a t e >  
             < P e r i o d N u m b e r > 0 < / P e r i o d N u m b e r >  
             < P e r i o d T y p e > A < / P e r i o d T y p e >  
             < Y e a r > 2 0 2 2 < / Y e a r >  
         < / P e r i o d W r a p p e r >  
         < P e r i o d W r a p p e r >  
             < M i l e s t o n e > A C T < / M i l e s t o n e >  
             < E n d D a t e > 3 1 D e c 0 6 < / E n d D a t e >  
             < P e r i o d N u m b e r > 0 < / P e r i o d N u m b e r >  
             < P e r i o d T y p e > A < / P e r i o d T y p e >  
             < Y e a r > 2 0 0 6 < / Y e a r >  
         < / P e r i o d W r a p p e r >  
         < P e r i o d W r a p p e r >  
             < M i l e s t o n e > A C T < / M i l e s t o n e >  
             < E n d D a t e > 3 1 D e c 1 5 < / E n d D a t e >  
             < P e r i o d N u m b e r > 0 < / P e r i o d N u m b e r >  
             < P e r i o d T y p e > A < / P e r i o d T y p e >  
             < Y e a r > 2 0 1 5 < / Y e a r >  
         < / P e r i o d W r a p p e r >  
         < P e r i o d W r a p p e r >  
             < M i l e s t o n e > A C T < / M i l e s t o n e >  
             < E n d D a t e > 3 1 D e c 2 4 < / E n d D a t e >  
             < P e r i o d N u m b e r > 0 < / P e r i o d N u m b e r >  
             < P e r i o d T y p e > A < / P e r i o d T y p e >  
             < Y e a r > 2 0 2 4 < / Y e a r >  
         < / P e r i o d W r a p p e r >  
         < P e r i o d W r a p p e r >  
             < M i l e s t o n e > E S T < / M i l e s t o n e >  
             < E n d D a t e > 3 1 D e c 2 6 < / E n d D a t e >  
             < P e r i o d N u m b e r > 0 < / P e r i o d N u m b e r >  
             < P e r i o d T y p e > A < / P e r i o d T y p e >  
             < Y e a r > 2 0 2 6 < / Y e a r >  
         < / P e r i o d W r a p p e r >  
         < P e r i o d W r a p p e r >  
             < M i l e s t o n e > A C T < / M i l e s t o n e >  
             < E n d D a t e > 3 1 D e c 0 8 < / E n d D a t e >  
             < P e r i o d N u m b e r > 0 < / P e r i o d N u m b e r >  
             < P e r i o d T y p e > A < / P e r i o d T y p e >  
             < Y e a r > 2 0 0 8 < / Y e a r >  
         < / P e r i o d W r a p p e r >  
         < P e r i o d W r a p p e r >  
             < M i l e s t o n e > A C T < / M i l e s t o n e >  
             < E n d D a t e > 3 1 D e c 1 3 < / E n d D a t e >  
             < P e r i o d N u m b e r > 0 < / P e r i o d N u m b e r >  
             < P e r i o d T y p e > A < / P e r i o d T y p e >  
             < Y e a r > 2 0 1 3 < / Y e a r >  
         < / P e r i o d W r a p p e r >  
         < P e r i o d W r a p p e r >  
             < M i l e s t o n e > A C T < / M i l e s t o n e >  
             < E n d D a t e > 3 1 D e c 1 4 < / E n d D a t e >  
             < P e r i o d N u m b e r > 0 < / P e r i o d N u m b e r >  
             < P e r i o d T y p e > A < / P e r i o d T y p e >  
             < Y e a r > 2 0 1 4 < / Y e a r >  
         < / P e r i o d W r a p p e r >  
         < P e r i o d W r a p p e r >  
             < M i l e s t o n e > A C T < / M i l e s t o n e >  
             < E n d D a t e > 3 1 D e c 0 4 < / E n d D a t e >  
             < P e r i o d N u m b e r > 0 < / P e r i o d N u m b e r >  
             < P e r i o d T y p e > A < / P e r i o d T y p e >  
             < Y e a r > 2 0 0 4 < / Y e a r >  
         < / P e r i o d W r a p p e r >  
         < P e r i o d W r a p p e r >  
             < M i l e s t o n e > E S T < / M i l e s t o n e >  
             < E n d D a t e > 3 1 D e c 2 7 < / E n d D a t e >  
             < P e r i o d N u m b e r > 0 < / P e r i o d N u m b e r >  
             < P e r i o d T y p e > A < / P e r i o d T y p e >  
             < Y e a r > 2 0 2 7 < / Y e a r >  
         < / P e r i o d W r a p p e r >  
         < P e r i o d W r a p p e r >  
             < M i l e s t o n e > A C T < / M i l e s t o n e >  
             < E n d D a t e > 3 1 D e c 1 2 < / E n d D a t e >  
             < P e r i o d N u m b e r > 0 < / P e r i o d N u m b e r >  
             < P e r i o d T y p e > A < / P e r i o d T y p e >  
             < Y e a r > 2 0 1 2 < / Y e a r >  
         < / P e r i o d W r a p p e r >  
         < P e r i o d W r a p p e r >  
             < M i l e s t o n e > A C T < / M i l e s t o n e >  
             < E n d D a t e > 3 1 M a r 1 2 < / E n d D a t e >  
             < P e r i o d N u m b e r > 1 < / P e r i o d N u m b e r >  
             < P e r i o d T y p e > Q < / P e r i o d T y p e >  
             < Y e a r > 2 0 1 2 < / Y e a r >  
         < / P e r i o d W r a p p e r >  
         < P e r i o d W r a p p e r >  
             < M i l e s t o n e > E S T < / M i l e s t o n e >  
             < E n d D a t e > 3 0 S e p 2 8 < / E n d D a t e >  
             < P e r i o d N u m b e r > 3 < / P e r i o d N u m b e r >  
             < P e r i o d T y p e > Q < / P e r i o d T y p e >  
             < Y e a r > 2 0 2 8 < / Y e a r >  
         < / P e r i o d W r a p p e r >  
         < P e r i o d W r a p p e r >  
             < M i l e s t o n e > A C T < / M i l e s t o n e >  
             < E n d D a t e > 3 1 M a r 1 0 < / E n d D a t e >  
             < P e r i o d N u m b e r > 1 < / P e r i o d N u m b e r >  
             < P e r i o d T y p e > Q < / P e r i o d T y p e >  
             < Y e a r > 2 0 1 0 < / Y e a r >  
         < / P e r i o d W r a p p e r >  
         < P e r i o d W r a p p e r >  
             < M i l e s t o n e > A C T < / M i l e s t o n e >  
             < E n d D a t e > 3 1 M a r 2 5 < / E n d D a t e >  
             < P e r i o d N u m b e r > 1 < / P e r i o d N u m b e r >  
             < P e r i o d T y p e > Q < / P e r i o d T y p e >  
             < Y e a r > 2 0 2 5 < / Y e a r >  
         < / P e r i o d W r a p p e r >  
         < P e r i o d W r a p p e r >  
             < M i l e s t o n e > A C T < / M i l e s t o n e >  
             < E n d D a t e > 3 1 M a r 2 0 < / E n d D a t e >  
             < P e r i o d N u m b e r > 1 < / P e r i o d N u m b e r >  
             < P e r i o d T y p e > Q < / P e r i o d T y p e >  
             < Y e a r > 2 0 2 0 < / Y e a r >  
         < / P e r i o d W r a p p e r >  
         < P e r i o d W r a p p e r >  
             < M i l e s t o n e > A C T < / M i l e s t o n e >  
             < E n d D a t e > 3 1 M a r 1 4 < / E n d D a t e >  
             < P e r i o d N u m b e r > 1 < / P e r i o d N u m b e r >  
             < P e r i o d T y p e > Q < / P e r i o d T y p e >  
             < Y e a r > 2 0 1 4 < / Y e a r >  
         < / P e r i o d W r a p p e r >  
         < P e r i o d W r a p p e r >  
             < M i l e s t o n e > A C T < / M i l e s t o n e >  
             < E n d D a t e > 3 0 J u n 0 9 < / E n d D a t e >  
             < P e r i o d N u m b e r > 2 < / P e r i o d N u m b e r >  
             < P e r i o d T y p e > Q < / P e r i o d T y p e >  
             < Y e a r > 2 0 0 9 < / Y e a r >  
         < / P e r i o d W r a p p e r >  
         < P e r i o d W r a p p e r >  
             < M i l e s t o n e > A C T < / M i l e s t o n e >  
             < E n d D a t e > 3 0 J u n 1 5 < / E n d D a t e >  
             < P e r i o d N u m b e r > 2 < / P e r i o d N u m b e r >  
             < P e r i o d T y p e > Q < / P e r i o d T y p e >  
             < Y e a r > 2 0 1 5 < / Y e a r >  
         < / P e r i o d W r a p p e r >  
         < P e r i o d W r a p p e r >  
             < M i l e s t o n e > A C T < / M i l e s t o n e >  
             < E n d D a t e > 3 0 J u n 2 1 < / E n d D a t e >  
             < P e r i o d N u m b e r > 2 < / P e r i o d N u m b e r >  
             < P e r i o d T y p e > Q < / P e r i o d T y p e >  
             < Y e a r > 2 0 2 1 < / Y e a r >  
         < / P e r i o d W r a p p e r >  
         < P e r i o d W r a p p e r >  
             < M i l e s t o n e > A C T < / M i l e s t o n e >  
             < E n d D a t e > 3 0 S e p 1 5 < / E n d D a t e >  
             < P e r i o d N u m b e r > 3 < / P e r i o d N u m b e r >  
             < P e r i o d T y p e > Q < / P e r i o d T y p e >  
             < Y e a r > 2 0 1 5 < / Y e a r >  
         < / P e r i o d W r a p p e r >  
         < P e r i o d W r a p p e r >  
             < M i l e s t o n e > A C T < / M i l e s t o n e >  
             < E n d D a t e > 3 0 S e p 1 1 < / E n d D a t e >  
             < P e r i o d N u m b e r > 3 < / P e r i o d N u m b e r >  
             < P e r i o d T y p e > Q < / P e r i o d T y p e >  
             < Y e a r > 2 0 1 1 < / Y e a r >  
         < / P e r i o d W r a p p e r >  
         < P e r i o d W r a p p e r >  
             < M i l e s t o n e > A C T < / M i l e s t o n e >  
             < E n d D a t e > 3 0 J u n 1 6 < / E n d D a t e >  
             < P e r i o d N u m b e r > 2 < / P e r i o d N u m b e r >  
             < P e r i o d T y p e > Q < / P e r i o d T y p e >  
             < Y e a r > 2 0 1 6 < / Y e a r >  
         < / P e r i o d W r a p p e r >  
         < P e r i o d W r a p p e r >  
             < M i l e s t o n e > A C T < / M i l e s t o n e >  
             < E n d D a t e > 3 0 J u n 2 3 < / E n d D a t e >  
             < P e r i o d N u m b e r > 2 < / P e r i o d N u m b e r >  
             < P e r i o d T y p e > Q < / P e r i o d T y p e >  
             < Y e a r > 2 0 2 3 < / Y e a r >  
         < / P e r i o d W r a p p e r >  
         < P e r i o d W r a p p e r >  
             < M i l e s t o n e > A C T < / M i l e s t o n e >  
             < E n d D a t e > 3 0 S e p 1 8 < / E n d D a t e >  
             < P e r i o d N u m b e r > 3 < / P e r i o d N u m b e r >  
             < P e r i o d T y p e > Q < / P e r i o d T y p e >  
             < Y e a r > 2 0 1 8 < / Y e a r >  
         < / P e r i o d W r a p p e r >  
         < P e r i o d W r a p p e r >  
             < M i l e s t o n e > A C T < / M i l e s t o n e >  
             < E n d D a t e > 3 0 J u n 0 8 < / E n d D a t e >  
             < P e r i o d N u m b e r > 2 < / P e r i o d N u m b e r >  
             < P e r i o d T y p e > Q < / P e r i o d T y p e >  
             < Y e a r > 2 0 0 8 < / Y e a r >  
         < / P e r i o d W r a p p e r >  
         < P e r i o d W r a p p e r >  
             < M i l e s t o n e > A C T < / M i l e s t o n e >  
             < E n d D a t e > 3 1 D e c 2 3 < / E n d D a t e >  
             < P e r i o d N u m b e r > 4 < / P e r i o d N u m b e r >  
             < P e r i o d T y p e > Q < / P e r i o d T y p e >  
             < Y e a r > 2 0 2 3 < / Y e a r >  
         < / P e r i o d W r a p p e r >  
         < P e r i o d W r a p p e r >  
             < M i l e s t o n e > A C T < / M i l e s t o n e >  
             < E n d D a t e > 3 0 S e p 0 9 < / E n d D a t e >  
             < P e r i o d N u m b e r > 3 < / P e r i o d N u m b e r >  
             < P e r i o d T y p e > Q < / P e r i o d T y p e >  
             < Y e a r > 2 0 0 9 < / Y e a r >  
         < / P e r i o d W r a p p e r >  
         < P e r i o d W r a p p e r >  
             < M i l e s t o n e > A C T < / M i l e s t o n e >  
             < E n d D a t e > 3 1 D e c 0 6 < / E n d D a t e >  
             < P e r i o d N u m b e r > 4 < / P e r i o d N u m b e r >  
             < P e r i o d T y p e > Q < / P e r i o d T y p e >  
             < Y e a r > 2 0 0 6 < / Y e a r >  
         < / P e r i o d W r a p p e r >  
         < P e r i o d W r a p p e r >  
             < M i l e s t o n e > A C T < / M i l e s t o n e >  
             < E n d D a t e > 3 1 M a r 2 1 < / E n d D a t e >  
             < P e r i o d N u m b e r > 1 < / P e r i o d N u m b e r >  
             < P e r i o d T y p e > Q < / P e r i o d T y p e >  
             < Y e a r > 2 0 2 1 < / Y e a r >  
         < / P e r i o d W r a p p e r >  
         < P e r i o d W r a p p e r >  
             < M i l e s t o n e > A C T < / M i l e s t o n e >  
             < E n d D a t e > 3 1 M a r 1 3 < / E n d D a t e >  
             < P e r i o d N u m b e r > 1 < / P e r i o d N u m b e r >  
             < P e r i o d T y p e > Q < / P e r i o d T y p e >  
             < Y e a r > 2 0 1 3 < / Y e a r >  
         < / P e r i o d W r a p p e r >  
         < P e r i o d W r a p p e r >  
             < M i l e s t o n e > A C T < / M i l e s t o n e >  
             < E n d D a t e > 3 0 J u n 2 4 < / E n d D a t e >  
             < P e r i o d N u m b e r > 2 < / P e r i o d N u m b e r >  
             < P e r i o d T y p e > Q < / P e r i o d T y p e >  
             < Y e a r > 2 0 2 4 < / Y e a r >  
         < / P e r i o d W r a p p e r >  
         < P e r i o d W r a p p e r >  
             < M i l e s t o n e > E S T < / M i l e s t o n e >  
             < E n d D a t e > 3 1 D e c 2 8 < / E n d D a t e >  
             < P e r i o d N u m b e r > 4 < / P e r i o d N u m b e r >  
             < P e r i o d T y p e > Q < / P e r i o d T y p e >  
             < Y e a r > 2 0 2 8 < / Y e a r >  
         < / P e r i o d W r a p p e r >  
         < P e r i o d W r a p p e r >  
             < M i l e s t o n e > A C T < / M i l e s t o n e >  
             < E n d D a t e > 3 0 J u n 0 4 < / E n d D a t e >  
             < P e r i o d N u m b e r > 2 < / P e r i o d N u m b e r >  
             < P e r i o d T y p e > Q < / P e r i o d T y p e >  
             < Y e a r > 2 0 0 4 < / Y e a r >  
         < / P e r i o d W r a p p e r >  
         < P e r i o d W r a p p e r >  
             < M i l e s t o n e > A C T < / M i l e s t o n e >  
             < E n d D a t e > 3 1 M a r 0 8 < / E n d D a t e >  
             < P e r i o d N u m b e r > 1 < / P e r i o d N u m b e r >  
             < P e r i o d T y p e > Q < / P e r i o d T y p e >  
             < Y e a r > 2 0 0 8 < / Y e a r >  
         < / P e r i o d W r a p p e r >  
         < P e r i o d W r a p p e r >  
             < M i l e s t o n e > A C T < / M i l e s t o n e >  
             < E n d D a t e > 3 1 M a r 0 5 < / E n d D a t e >  
             < P e r i o d N u m b e r > 1 < / P e r i o d N u m b e r >  
             < P e r i o d T y p e > Q < / P e r i o d T y p e >  
             < Y e a r > 2 0 0 5 < / Y e a r >  
         < / P e r i o d W r a p p e r >  
         < P e r i o d W r a p p e r >  
             < M i l e s t o n e > A C T < / M i l e s t o n e >  
             < E n d D a t e > 3 1 M a r 1 9 < / E n d D a t e >  
             < P e r i o d N u m b e r > 1 < / P e r i o d N u m b e r >  
             < P e r i o d T y p e > Q < / P e r i o d T y p e >  
             < Y e a r > 2 0 1 9 < / Y e a r >  
         < / P e r i o d W r a p p e r >  
         < P e r i o d W r a p p e r >  
             < M i l e s t o n e > A C T < / M i l e s t o n e >  
             < E n d D a t e > 3 1 D e c 0 5 < / E n d D a t e >  
             < P e r i o d N u m b e r > 4 < / P e r i o d N u m b e r >  
             < P e r i o d T y p e > Q < / P e r i o d T y p e >  
             < Y e a r > 2 0 0 5 < / Y e a r >  
         < / P e r i o d W r a p p e r >  
         < P e r i o d W r a p p e r >  
             < M i l e s t o n e > A C T < / M i l e s t o n e >  
             < E n d D a t e > 3 0 S e p 2 1 < / E n d D a t e >  
             < P e r i o d N u m b e r > 3 < / P e r i o d N u m b e r >  
             < P e r i o d T y p e > Q < / P e r i o d T y p e >  
             < Y e a r > 2 0 2 1 < / Y e a r >  
         < / P e r i o d W r a p p e r >  
         < P e r i o d W r a p p e r >  
             < M i l e s t o n e > A C T < / M i l e s t o n e >  
             < E n d D a t e > 3 0 S e p 2 3 < / E n d D a t e >  
             < P e r i o d N u m b e r > 3 < / P e r i o d N u m b e r >  
             < P e r i o d T y p e > Q < / P e r i o d T y p e >  
             < Y e a r > 2 0 2 3 < / Y e a r >  
         < / P e r i o d W r a p p e r >  
         < P e r i o d W r a p p e r >  
             < M i l e s t o n e > E S T < / M i l e s t o n e >  
             < E n d D a t e > 3 0 J u n 2 7 < / E n d D a t e >  
             < P e r i o d N u m b e r > 2 < / P e r i o d N u m b e r >  
             < P e r i o d T y p e > Q < / P e r i o d T y p e >  
             < Y e a r > 2 0 2 7 < / Y e a r >  
         < / P e r i o d W r a p p e r >  
         < P e r i o d W r a p p e r >  
             < M i l e s t o n e > A C T < / M i l e s t o n e >  
             < E n d D a t e > 3 0 J u n 2 2 < / E n d D a t e >  
             < P e r i o d N u m b e r > 2 < / P e r i o d N u m b e r >  
             < P e r i o d T y p e > Q < / P e r i o d T y p e >  
             < Y e a r > 2 0 2 2 < / Y e a r >  
         < / P e r i o d W r a p p e r >  
         < P e r i o d W r a p p e r >  
             < M i l e s t o n e > E S T < / M i l e s t o n e >  
             < E n d D a t e > 3 1 M a r 2 8 < / E n d D a t e >  
             < P e r i o d N u m b e r > 1 < / P e r i o d N u m b e r >  
             < P e r i o d T y p e > Q < / P e r i o d T y p e >  
             < Y e a r > 2 0 2 8 < / Y e a r >  
         < / P e r i o d W r a p p e r >  
         < P e r i o d W r a p p e r >  
             < M i l e s t o n e > A C T < / M i l e s t o n e >  
             < E n d D a t e > 3 0 J u n 2 0 < / E n d D a t e >  
             < P e r i o d N u m b e r > 2 < / P e r i o d N u m b e r >  
             < P e r i o d T y p e > Q < / P e r i o d T y p e >  
             < Y e a r > 2 0 2 0 < / Y e a r >  
         < / P e r i o d W r a p p e r >  
         < P e r i o d W r a p p e r >  
             < M i l e s t o n e > A C T < / M i l e s t o n e >  
             < E n d D a t e > 3 1 D e c 0 7 < / E n d D a t e >  
             < P e r i o d N u m b e r > 4 < / P e r i o d N u m b e r >  
             < P e r i o d T y p e > Q < / P e r i o d T y p e >  
             < Y e a r > 2 0 0 7 < / Y e a r >  
         < / P e r i o d W r a p p e r >  
         < P e r i o d W r a p p e r >  
             < M i l e s t o n e > E S T < / M i l e s t o n e >  
             < E n d D a t e > 3 1 M a r 2 6 < / E n d D a t e >  
             < P e r i o d N u m b e r > 1 < / P e r i o d N u m b e r >  
             < P e r i o d T y p e > Q < / P e r i o d T y p e >  
             < Y e a r > 2 0 2 6 < / Y e a r >  
         < / P e r i o d W r a p p e r >  
         < P e r i o d W r a p p e r >  
             < M i l e s t o n e > A C T < / M i l e s t o n e >  
             < E n d D a t e > 3 0 S e p 1 0 < / E n d D a t e >  
             < P e r i o d N u m b e r > 3 < / P e r i o d N u m b e r >  
             < P e r i o d T y p e > Q < / P e r i o d T y p e >  
             < Y e a r > 2 0 1 0 < / Y e a r >  
         < / P e r i o d W r a p p e r >  
         < P e r i o d W r a p p e r >  
             < M i l e s t o n e > A C T < / M i l e s t o n e >  
             < E n d D a t e > 3 1 D e c 0 4 < / E n d D a t e >  
             < P e r i o d N u m b e r > 4 < / P e r i o d N u m b e r >  
             < P e r i o d T y p e > Q < / P e r i o d T y p e >  
             < Y e a r > 2 0 0 4 < / Y e a r >  
         < / P e r i o d W r a p p e r >  
         < P e r i o d W r a p p e r >  
             < M i l e s t o n e > A C T < / M i l e s t o n e >  
             < E n d D a t e > 3 0 J u n 1 0 < / E n d D a t e >  
             < P e r i o d N u m b e r > 2 < / P e r i o d N u m b e r >  
             < P e r i o d T y p e > Q < / P e r i o d T y p e >  
             < Y e a r > 2 0 1 0 < / Y e a r >  
         < / P e r i o d W r a p p e r >  
         < P e r i o d W r a p p e r >  
             < M i l e s t o n e > A C T < / M i l e s t o n e >  
             < E n d D a t e > 3 1 D e c 2 1 < / E n d D a t e >  
             < P e r i o d N u m b e r > 4 < / P e r i o d N u m b e r >  
             < P e r i o d T y p e > Q < / P e r i o d T y p e >  
             < Y e a r > 2 0 2 1 < / Y e a r >  
         < / P e r i o d W r a p p e r >  
         < P e r i o d W r a p p e r >  
             < M i l e s t o n e > E S T < / M i l e s t o n e >  
             < E n d D a t e > 3 0 J u n 2 6 < / E n d D a t e >  
             < P e r i o d N u m b e r > 2 < / P e r i o d N u m b e r >  
             < P e r i o d T y p e > Q < / P e r i o d T y p e >  
             < Y e a r > 2 0 2 6 < / Y e a r >  
         < / P e r i o d W r a p p e r >  
         < P e r i o d W r a p p e r >  
             < M i l e s t o n e > A C T < / M i l e s t o n e >  
             < E n d D a t e > 3 1 M a r 2 3 < / E n d D a t e >  
             < P e r i o d N u m b e r > 1 < / P e r i o d N u m b e r >  
             < P e r i o d T y p e > Q < / P e r i o d T y p e >  
             < Y e a r > 2 0 2 3 < / Y e a r >  
         < / P e r i o d W r a p p e r >  
         < P e r i o d W r a p p e r >  
             < M i l e s t o n e > A C T < / M i l e s t o n e >  
             < E n d D a t e > 3 1 D e c 1 7 < / E n d D a t e >  
             < P e r i o d N u m b e r > 4 < / P e r i o d N u m b e r >  
             < P e r i o d T y p e > Q < / P e r i o d T y p e >  
             < Y e a r > 2 0 1 7 < / Y e a r >  
         < / P e r i o d W r a p p e r >  
         < P e r i o d W r a p p e r >  
             < M i l e s t o n e > A C T < / M i l e s t o n e >  
             < E n d D a t e > 3 0 S e p 1 2 < / E n d D a t e >  
             < P e r i o d N u m b e r > 3 < / P e r i o d N u m b e r >  
             < P e r i o d T y p e > Q < / P e r i o d T y p e >  
             < Y e a r > 2 0 1 2 < / Y e a r >  
         < / P e r i o d W r a p p e r >  
         < P e r i o d W r a p p e r >  
             < M i l e s t o n e > A C T < / M i l e s t o n e >  
             < E n d D a t e > 3 1 D e c 1 2 < / E n d D a t e >  
             < P e r i o d N u m b e r > 4 < / P e r i o d N u m b e r >  
             < P e r i o d T y p e > Q < / P e r i o d T y p e >  
             < Y e a r > 2 0 1 2 < / Y e a r >  
         < / P e r i o d W r a p p e r >  
         < P e r i o d W r a p p e r >  
             < M i l e s t o n e > A C T < / M i l e s t o n e >  
             < E n d D a t e > 3 0 S e p 1 3 < / E n d D a t e >  
             < P e r i o d N u m b e r > 3 < / P e r i o d N u m b e r >  
             < P e r i o d T y p e > Q < / P e r i o d T y p e >  
             < Y e a r > 2 0 1 3 < / Y e a r >  
         < / P e r i o d W r a p p e r >  
         < P e r i o d W r a p p e r >  
             < M i l e s t o n e > A C T < / M i l e s t o n e >  
             < E n d D a t e > 3 1 D e c 1 1 < / E n d D a t e >  
             < P e r i o d N u m b e r > 4 < / P e r i o d N u m b e r >  
             < P e r i o d T y p e > Q < / P e r i o d T y p e >  
             < Y e a r > 2 0 1 1 < / Y e a r >  
         < / P e r i o d W r a p p e r >  
         < P e r i o d W r a p p e r >  
             < M i l e s t o n e > A C T < / M i l e s t o n e >  
             < E n d D a t e > 3 0 S e p 1 6 < / E n d D a t e >  
             < P e r i o d N u m b e r > 3 < / P e r i o d N u m b e r >  
             < P e r i o d T y p e > Q < / P e r i o d T y p e >  
             < Y e a r > 2 0 1 6 < / Y e a r >  
         < / P e r i o d W r a p p e r >  
         < P e r i o d W r a p p e r >  
             < M i l e s t o n e > A C T < / M i l e s t o n e >  
             < E n d D a t e > 3 1 M a r 0 7 < / E n d D a t e >  
             < P e r i o d N u m b e r > 1 < / P e r i o d N u m b e r >  
             < P e r i o d T y p e > Q < / P e r i o d T y p e >  
             < Y e a r > 2 0 0 7 < / Y e a r >  
         < / P e r i o d W r a p p e r >  
         < P e r i o d W r a p p e r >  
             < M i l e s t o n e > A C T < / M i l e s t o n e >  
             < E n d D a t e > 3 1 M a r 1 8 < / E n d D a t e >  
             < P e r i o d N u m b e r > 1 < / P e r i o d N u m b e r >  
             < P e r i o d T y p e > Q < / P e r i o d T y p e >  
             < Y e a r > 2 0 1 8 < / Y e a r >  
         < / P e r i o d W r a p p e r >  
         < P e r i o d W r a p p e r >  
             < M i l e s t o n e > A C T < / M i l e s t o n e >  
             < E n d D a t e > 3 0 J u n 1 2 < / E n d D a t e >  
             < P e r i o d N u m b e r > 2 < / P e r i o d N u m b e r >  
             < P e r i o d T y p e > Q < / P e r i o d T y p e >  
             < Y e a r > 2 0 1 2 < / Y e a r >  
         < / P e r i o d W r a p p e r >  
         < P e r i o d W r a p p e r >  
             < M i l e s t o n e > A C T < / M i l e s t o n e >  
             < E n d D a t e > 3 1 D e c 1 6 < / E n d D a t e >  
             < P e r i o d N u m b e r > 4 < / P e r i o d N u m b e r >  
             < P e r i o d T y p e > Q < / P e r i o d T y p e >  
             < Y e a r > 2 0 1 6 < / Y e a r >  
         < / P e r i o d W r a p p e r >  
         < P e r i o d W r a p p e r >  
             < M i l e s t o n e > E S T < / M i l e s t o n e >  
             < E n d D a t e > 3 0 S e p 2 6 < / E n d D a t e >  
             < P e r i o d N u m b e r > 3 < / P e r i o d N u m b e r >  
             < P e r i o d T y p e > Q < / P e r i o d T y p e >  
             < Y e a r > 2 0 2 6 < / Y e a r >  
         < / P e r i o d W r a p p e r >  
         < P e r i o d W r a p p e r >  
             < M i l e s t o n e > E S T < / M i l e s t o n e >  
             < E n d D a t e > 3 0 S e p 2 5 < / E n d D a t e >  
             < P e r i o d N u m b e r > 3 < / P e r i o d N u m b e r >  
             < P e r i o d T y p e > Q < / P e r i o d T y p e >  
             < Y e a r > 2 0 2 5 < / Y e a r >  
         < / P e r i o d W r a p p e r >  
         < P e r i o d W r a p p e r >  
             < M i l e s t o n e > A C T < / M i l e s t o n e >  
             < E n d D a t e > 3 0 S e p 0 7 < / E n d D a t e >  
             < P e r i o d N u m b e r > 3 < / P e r i o d N u m b e r >  
             < P e r i o d T y p e > Q < / P e r i o d T y p e >  
             < Y e a r > 2 0 0 7 < / Y e a r >  
         < / P e r i o d W r a p p e r >  
         < P e r i o d W r a p p e r >  
             < M i l e s t o n e > A C T < / M i l e s t o n e >  
             < E n d D a t e > 3 1 M a r 2 4 < / E n d D a t e >  
             < P e r i o d N u m b e r > 1 < / P e r i o d N u m b e r >  
             < P e r i o d T y p e > Q < / P e r i o d T y p e >  
             < Y e a r > 2 0 2 4 < / Y e a r >  
         < / P e r i o d W r a p p e r >  
         < P e r i o d W r a p p e r >  
             < M i l e s t o n e > A C T < / M i l e s t o n e >  
             < E n d D a t e > 3 1 M a r 1 5 < / E n d D a t e >  
             < P e r i o d N u m b e r > 1 < / P e r i o d N u m b e r >  
             < P e r i o d T y p e > Q < / P e r i o d T y p e >  
             < Y e a r > 2 0 1 5 < / Y e a r >  
         < / P e r i o d W r a p p e r >  
         < P e r i o d W r a p p e r >  
             < M i l e s t o n e > E S T < / M i l e s t o n e >  
             < E n d D a t e > 3 1 D e c 2 5 < / E n d D a t e >  
             < P e r i o d N u m b e r > 4 < / P e r i o d N u m b e r >  
             < P e r i o d T y p e > Q < / P e r i o d T y p e >  
             < Y e a r > 2 0 2 5 < / Y e a r >  
         < / P e r i o d W r a p p e r >  
         < P e r i o d W r a p p e r >  
             < M i l e s t o n e > A C T < / M i l e s t o n e >  
             < E n d D a t e > 3 1 D e c 1 0 < / E n d D a t e >  
             < P e r i o d N u m b e r > 4 < / P e r i o d N u m b e r >  
             < P e r i o d T y p e > Q < / P e r i o d T y p e >  
             < Y e a r > 2 0 1 0 < / Y e a r >  
         < / P e r i o d W r a p p e r >  
         < P e r i o d W r a p p e r >  
             < M i l e s t o n e > A C T < / M i l e s t o n e >  
             < E n d D a t e > 3 1 D e c 1 4 < / E n d D a t e >  
             < P e r i o d N u m b e r > 4 < / P e r i o d N u m b e r >  
             < P e r i o d T y p e > Q < / P e r i o d T y p e >  
             < Y e a r > 2 0 1 4 < / Y e a r >  
         < / P e r i o d W r a p p e r >  
         < P e r i o d W r a p p e r >  
             < M i l e s t o n e > A C T < / M i l e s t o n e >  
             < E n d D a t e > 3 1 D e c 0 9 < / E n d D a t e >  
             < P e r i o d N u m b e r > 4 < / P e r i o d N u m b e r >  
             < P e r i o d T y p e > Q < / P e r i o d T y p e >  
             < Y e a r > 2 0 0 9 < / Y e a r >  
         < / P e r i o d W r a p p e r >  
         < P e r i o d W r a p p e r >  
             < M i l e s t o n e > A C T < / M i l e s t o n e >  
             < E n d D a t e > 3 0 J u n 1 7 < / E n d D a t e >  
             < P e r i o d N u m b e r > 2 < / P e r i o d N u m b e r >  
             < P e r i o d T y p e > Q < / P e r i o d T y p e >  
             < Y e a r > 2 0 1 7 < / Y e a r >  
         < / P e r i o d W r a p p e r >  
         < P e r i o d W r a p p e r >  
             < M i l e s t o n e > A C T < / M i l e s t o n e >  
             < E n d D a t e > 3 0 J u n 2 5 < / E n d D a t e >  
             < P e r i o d N u m b e r > 2 < / P e r i o d N u m b e r >  
             < P e r i o d T y p e > Q < / P e r i o d T y p e >  
             < Y e a r > 2 0 2 5 < / Y e a r >  
         < / P e r i o d W r a p p e r >  
         < P e r i o d W r a p p e r >  
             < M i l e s t o n e > A C T < / M i l e s t o n e >  
             < E n d D a t e > 3 0 J u n 1 4 < / E n d D a t e >  
             < P e r i o d N u m b e r > 2 < / P e r i o d N u m b e r >  
             < P e r i o d T y p e > Q < / P e r i o d T y p e >  
             < Y e a r > 2 0 1 4 < / Y e a r >  
         < / P e r i o d W r a p p e r >  
         < P e r i o d W r a p p e r >  
             < M i l e s t o n e > A C T < / M i l e s t o n e >  
             < E n d D a t e > 3 1 D e c 1 5 < / E n d D a t e >  
             < P e r i o d N u m b e r > 4 < / P e r i o d N u m b e r >  
             < P e r i o d T y p e > Q < / P e r i o d T y p e >  
             < Y e a r > 2 0 1 5 < / Y e a r >  
         < / P e r i o d W r a p p e r >  
         < P e r i o d W r a p p e r >  
             < M i l e s t o n e > A C T < / M i l e s t o n e >  
             < E n d D a t e > 3 0 S e p 0 4 < / E n d D a t e >  
             < P e r i o d N u m b e r > 3 < / P e r i o d N u m b e r >  
             < P e r i o d T y p e > Q < / P e r i o d T y p e >  
             < Y e a r > 2 0 0 4 < / Y e a r >  
         < / P e r i o d W r a p p e r >  
         < P e r i o d W r a p p e r >  
             < M i l e s t o n e > A C T < / M i l e s t o n e >  
             < E n d D a t e > 3 0 J u n 0 7 < / E n d D a t e >  
             < P e r i o d N u m b e r > 2 < / P e r i o d N u m b e r >  
             < P e r i o d T y p e > Q < / P e r i o d T y p e >  
             < Y e a r > 2 0 0 7 < / Y e a r >  
         < / P e r i o d W r a p p e r >  
         < P e r i o d W r a p p e r >  
             < M i l e s t o n e > A C T < / M i l e s t o n e >  
             < E n d D a t e > 3 1 D e c 2 2 < / E n d D a t e >  
             < P e r i o d N u m b e r > 4 < / P e r i o d N u m b e r >  
             < P e r i o d T y p e > Q < / P e r i o d T y p e >  
             < Y e a r > 2 0 2 2 < / Y e a r >  
         < / P e r i o d W r a p p e r >  
         < P e r i o d W r a p p e r >  
             < M i l e s t o n e > A C T < / M i l e s t o n e >  
             < E n d D a t e > 3 0 J u n 1 8 < / E n d D a t e >  
             < P e r i o d N u m b e r > 2 < / P e r i o d N u m b e r >  
             < P e r i o d T y p e > Q < / P e r i o d T y p e >  
             < Y e a r > 2 0 1 8 < / Y e a r >  
         < / P e r i o d W r a p p e r >  
         < P e r i o d W r a p p e r >  
             < M i l e s t o n e > A C T < / M i l e s t o n e >  
             < E n d D a t e > 3 0 J u n 0 6 < / E n d D a t e >  
             < P e r i o d N u m b e r > 2 < / P e r i o d N u m b e r >  
             < P e r i o d T y p e > Q < / P e r i o d T y p e >  
             < Y e a r > 2 0 0 6 < / Y e a r >  
         < / P e r i o d W r a p p e r >  
         < P e r i o d W r a p p e r >  
             < M i l e s t o n e > A C T < / M i l e s t o n e >  
             < E n d D a t e > 3 0 S e p 2 4 < / E n d D a t e >  
             < P e r i o d N u m b e r > 3 < / P e r i o d N u m b e r >  
             < P e r i o d T y p e > Q < / P e r i o d T y p e >  
             < Y e a r > 2 0 2 4 < / Y e a r >  
         < / P e r i o d W r a p p e r >  
         < P e r i o d W r a p p e r >  
             < M i l e s t o n e > A C T < / M i l e s t o n e >  
             < E n d D a t e > 3 1 M a r 1 6 < / E n d D a t e >  
             < P e r i o d N u m b e r > 1 < / P e r i o d N u m b e r >  
             < P e r i o d T y p e > Q < / P e r i o d T y p e >  
             < Y e a r > 2 0 1 6 < / Y e a r >  
         < / P e r i o d W r a p p e r >  
         < P e r i o d W r a p p e r >  
             < M i l e s t o n e > A C T < / M i l e s t o n e >  
             < E n d D a t e > 3 1 D e c 2 4 < / E n d D a t e >  
             < P e r i o d N u m b e r > 4 < / P e r i o d N u m b e r >  
             < P e r i o d T y p e > Q < / P e r i o d T y p e >  
             < Y e a r > 2 0 2 4 < / Y e a r >  
         < / P e r i o d W r a p p e r >  
         < P e r i o d W r a p p e r >  
             < M i l e s t o n e > A C T < / M i l e s t o n e >  
             < E n d D a t e > 3 1 D e c 1 3 < / E n d D a t e >  
             < P e r i o d N u m b e r > 4 < / P e r i o d N u m b e r >  
             < P e r i o d T y p e > Q < / P e r i o d T y p e >  
             < Y e a r > 2 0 1 3 < / Y e a r >  
         < / P e r i o d W r a p p e r >  
         < P e r i o d W r a p p e r >  
             < M i l e s t o n e > A C T < / M i l e s t o n e >  
             < E n d D a t e > 3 1 D e c 2 0 < / E n d D a t e >  
             < P e r i o d N u m b e r > 4 < / P e r i o d N u m b e r >  
             < P e r i o d T y p e > Q < / P e r i o d T y p e >  
             < Y e a r > 2 0 2 0 < / Y e a r >  
         < / P e r i o d W r a p p e r >  
         < P e r i o d W r a p p e r >  
             < M i l e s t o n e > A C T < / M i l e s t o n e >  
             < E n d D a t e > 3 1 M a r 0 9 < / E n d D a t e >  
             < P e r i o d N u m b e r > 1 < / P e r i o d N u m b e r >  
             < P e r i o d T y p e > Q < / P e r i o d T y p e >  
             < Y e a r > 2 0 0 9 < / Y e a r >  
         < / P e r i o d W r a p p e r >  
         < P e r i o d W r a p p e r >  
             < M i l e s t o n e > E S T < / M i l e s t o n e >  
             < E n d D a t e > 3 0 J u n 2 8 < / E n d D a t e >  
             < P e r i o d N u m b e r > 2 < / P e r i o d N u m b e r >  
             < P e r i o d T y p e > Q < / P e r i o d T y p e >  
             < Y e a r > 2 0 2 8 < / Y e a r >  
         < / P e r i o d W r a p p e r >  
         < P e r i o d W r a p p e r >  
             < M i l e s t o n e > A C T < / M i l e s t o n e >  
             < E n d D a t e > 3 0 J u n 1 1 < / E n d D a t e >  
             < P e r i o d N u m b e r > 2 < / P e r i o d N u m b e r >  
             < P e r i o d T y p e > Q < / P e r i o d T y p e >  
             < Y e a r > 2 0 1 1 < / Y e a r >  
         < / P e r i o d W r a p p e r >  
         < P e r i o d W r a p p e r >  
             < M i l e s t o n e > A C T < / M i l e s t o n e >  
             < E n d D a t e > 3 0 S e p 0 8 < / E n d D a t e >  
             < P e r i o d N u m b e r > 3 < / P e r i o d N u m b e r >  
             < P e r i o d T y p e > Q < / P e r i o d T y p e >  
             < Y e a r > 2 0 0 8 < / Y e a r >  
         < / P e r i o d W r a p p e r >  
         < P e r i o d W r a p p e r >  
             < M i l e s t o n e > A C T < / M i l e s t o n e >  
             < E n d D a t e > 3 0 J u n 1 3 < / E n d D a t e >  
             < P e r i o d N u m b e r > 2 < / P e r i o d N u m b e r >  
             < P e r i o d T y p e > Q < / P e r i o d T y p e >  
             < Y e a r > 2 0 1 3 < / Y e a r >  
         < / P e r i o d W r a p p e r >  
         < P e r i o d W r a p p e r >  
             < M i l e s t o n e > A C T < / M i l e s t o n e >  
             < E n d D a t e > 3 1 M a r 0 6 < / E n d D a t e >  
             < P e r i o d N u m b e r > 1 < / P e r i o d N u m b e r >  
             < P e r i o d T y p e > Q < / P e r i o d T y p e >  
             < Y e a r > 2 0 0 6 < / Y e a r >  
         < / P e r i o d W r a p p e r >  
         < P e r i o d W r a p p e r >  
             < M i l e s t o n e > A C T < / M i l e s t o n e >  
             < E n d D a t e > 3 0 S e p 0 6 < / E n d D a t e >  
             < P e r i o d N u m b e r > 3 < / P e r i o d N u m b e r >  
             < P e r i o d T y p e > Q < / P e r i o d T y p e >  
             < Y e a r > 2 0 0 6 < / Y e a r >  
         < / P e r i o d W r a p p e r >  
         < P e r i o d W r a p p e r >  
             < M i l e s t o n e > E S T < / M i l e s t o n e >  
             < E n d D a t e > 3 1 M a r 2 7 < / E n d D a t e >  
             < P e r i o d N u m b e r > 1 < / P e r i o d N u m b e r >  
             < P e r i o d T y p e > Q < / P e r i o d T y p e >  
             < Y e a r > 2 0 2 7 < / Y e a r >  
         < / P e r i o d W r a p p e r >  
         < P e r i o d W r a p p e r >  
             < M i l e s t o n e > A C T < / M i l e s t o n e >  
             < E n d D a t e > 3 1 M a r 0 4 < / E n d D a t e >  
             < P e r i o d N u m b e r > 1 < / P e r i o d N u m b e r >  
             < P e r i o d T y p e > Q < / P e r i o d T y p e >  
             < Y e a r > 2 0 0 4 < / Y e a r >  
         < / P e r i o d W r a p p e r >  
         < P e r i o d W r a p p e r >  
             < M i l e s t o n e > A C T < / M i l e s t o n e >  
             < E n d D a t e > 3 1 M a r 1 1 < / E n d D a t e >  
             < P e r i o d N u m b e r > 1 < / P e r i o d N u m b e r >  
             < P e r i o d T y p e > Q < / P e r i o d T y p e >  
             < Y e a r > 2 0 1 1 < / Y e a r >  
         < / P e r i o d W r a p p e r >  
         < P e r i o d W r a p p e r >  
             < M i l e s t o n e > A C T < / M i l e s t o n e >  
             < E n d D a t e > 3 0 S e p 2 0 < / E n d D a t e >  
             < P e r i o d N u m b e r > 3 < / P e r i o d N u m b e r >  
             < P e r i o d T y p e > Q < / P e r i o d T y p e >  
             < Y e a r > 2 0 2 0 < / Y e a r >  
         < / P e r i o d W r a p p e r >  
         < P e r i o d W r a p p e r >  
             < M i l e s t o n e > A C T < / M i l e s t o n e >  
             < E n d D a t e > 3 1 D e c 1 8 < / E n d D a t e >  
             < P e r i o d N u m b e r > 4 < / P e r i o d N u m b e r >  
             < P e r i o d T y p e > Q < / P e r i o d T y p e >  
             < Y e a r > 2 0 1 8 < / Y e a r >  
         < / P e r i o d W r a p p e r >  
         < P e r i o d W r a p p e r >  
             < M i l e s t o n e > A C T < / M i l e s t o n e >  
             < E n d D a t e > 3 1 D e c 0 8 < / E n d D a t e >  
             < P e r i o d N u m b e r > 4 < / P e r i o d N u m b e r >  
             < P e r i o d T y p e > Q < / P e r i o d T y p e >  
             < Y e a r > 2 0 0 8 < / Y e a r >  
         < / P e r i o d W r a p p e r >  
         < P e r i o d W r a p p e r >  
             < M i l e s t o n e > A C T < / M i l e s t o n e >  
             < E n d D a t e > 3 0 S e p 1 9 < / E n d D a t e >  
             < P e r i o d N u m b e r > 3 < / P e r i o d N u m b e r >  
             < P e r i o d T y p e > Q < / P e r i o d T y p e >  
             < Y e a r > 2 0 1 9 < / Y e a r >  
         < / P e r i o d W r a p p e r >  
         < P e r i o d W r a p p e r >  
             < M i l e s t o n e > E S T < / M i l e s t o n e >  
             < E n d D a t e > 3 1 D e c 2 6 < / E n d D a t e >  
             < P e r i o d N u m b e r > 4 < / P e r i o d N u m b e r >  
             < P e r i o d T y p e > Q < / P e r i o d T y p e >  
             < Y e a r > 2 0 2 6 < / Y e a r >  
         < / P e r i o d W r a p p e r >  
         < P e r i o d W r a p p e r >  
             < M i l e s t o n e > A C T < / M i l e s t o n e >  
             < E n d D a t e > 3 0 S e p 1 7 < / E n d D a t e >  
             < P e r i o d N u m b e r > 3 < / P e r i o d N u m b e r >  
             < P e r i o d T y p e > Q < / P e r i o d T y p e >  
             < Y e a r > 2 0 1 7 < / Y e a r >  
         < / P e r i o d W r a p p e r >  
         < P e r i o d W r a p p e r >  
             < M i l e s t o n e > A C T < / M i l e s t o n e >  
             < E n d D a t e > 3 1 M a r 1 7 < / E n d D a t e >  
             < P e r i o d N u m b e r > 1 < / P e r i o d N u m b e r >  
             < P e r i o d T y p e > Q < / P e r i o d T y p e >  
             < Y e a r > 2 0 1 7 < / Y e a r >  
         < / P e r i o d W r a p p e r >  
         < P e r i o d W r a p p e r >  
             < M i l e s t o n e > E S T < / M i l e s t o n e >  
             < E n d D a t e > 3 1 D e c 2 7 < / E n d D a t e >  
             < P e r i o d N u m b e r > 4 < / P e r i o d N u m b e r >  
             < P e r i o d T y p e > Q < / P e r i o d T y p e >  
             < Y e a r > 2 0 2 7 < / Y e a r >  
         < / P e r i o d W r a p p e r >  
         < P e r i o d W r a p p e r >  
             < M i l e s t o n e > A C T < / M i l e s t o n e >  
             < E n d D a t e > 3 0 S e p 1 4 < / E n d D a t e >  
             < P e r i o d N u m b e r > 3 < / P e r i o d N u m b e r >  
             < P e r i o d T y p e > Q < / P e r i o d T y p e >  
             < Y e a r > 2 0 1 4 < / Y e a r >  
         < / P e r i o d W r a p p e r >  
         < P e r i o d W r a p p e r >  
             < M i l e s t o n e > A C T < / M i l e s t o n e >  
             < E n d D a t e > 3 1 M a r 2 2 < / E n d D a t e >  
             < P e r i o d N u m b e r > 1 < / P e r i o d N u m b e r >  
             < P e r i o d T y p e > Q < / P e r i o d T y p e >  
             < Y e a r > 2 0 2 2 < / Y e a r >  
         < / P e r i o d W r a p p e r >  
         < P e r i o d W r a p p e r >  
             < M i l e s t o n e > A C T < / M i l e s t o n e >  
             < E n d D a t e > 3 0 J u n 1 9 < / E n d D a t e >  
             < P e r i o d N u m b e r > 2 < / P e r i o d N u m b e r >  
             < P e r i o d T y p e > Q < / P e r i o d T y p e >  
             < Y e a r > 2 0 1 9 < / Y e a r >  
         < / P e r i o d W r a p p e r >  
         < P e r i o d W r a p p e r >  
             < M i l e s t o n e > A C T < / M i l e s t o n e >  
             < E n d D a t e > 3 1 D e c 1 9 < / E n d D a t e >  
             < P e r i o d N u m b e r > 4 < / P e r i o d N u m b e r >  
             < P e r i o d T y p e > Q < / P e r i o d T y p e >  
             < Y e a r > 2 0 1 9 < / Y e a r >  
         < / P e r i o d W r a p p e r >  
         < P e r i o d W r a p p e r >  
             < M i l e s t o n e > E S T < / M i l e s t o n e >  
             < E n d D a t e > 3 0 S e p 2 7 < / E n d D a t e >  
             < P e r i o d N u m b e r > 3 < / P e r i o d N u m b e r >  
             < P e r i o d T y p e > Q < / P e r i o d T y p e >  
             < Y e a r > 2 0 2 7 < / Y e a r >  
         < / P e r i o d W r a p p e r >  
         < P e r i o d W r a p p e r >  
             < M i l e s t o n e > A C T < / M i l e s t o n e >  
             < E n d D a t e > 3 0 J u n 0 5 < / E n d D a t e >  
             < P e r i o d N u m b e r > 2 < / P e r i o d N u m b e r >  
             < P e r i o d T y p e > Q < / P e r i o d T y p e >  
             < Y e a r > 2 0 0 5 < / Y e a r >  
         < / P e r i o d W r a p p e r >  
         < P e r i o d W r a p p e r >  
             < M i l e s t o n e > A C T < / M i l e s t o n e >  
             < E n d D a t e > 3 0 S e p 0 5 < / E n d D a t e >  
             < P e r i o d N u m b e r > 3 < / P e r i o d N u m b e r >  
             < P e r i o d T y p e > Q < / P e r i o d T y p e >  
             < Y e a r > 2 0 0 5 < / Y e a r >  
         < / P e r i o d W r a p p e r >  
         < P e r i o d W r a p p e r >  
             < M i l e s t o n e > A C T < / M i l e s t o n e >  
             < E n d D a t e > 3 0 S e p 2 2 < / E n d D a t e >  
             < P e r i o d N u m b e r > 3 < / P e r i o d N u m b e r >  
             < P e r i o d T y p e > Q < / P e r i o d T y p e >  
             < Y e a r > 2 0 2 2 < / Y e a r >  
         < / P e r i o d W r a p p e r >  
     < / T e m p l a t e P e r i o d s >  
     < E n t i t y T e m p l a t e T e m p l a t e s >  
         < E n t i t y T e m p l a t e W r a p p e r >  
             < E n t i t y >  
                 < E n t i t y I d > 2 0 8 0 0 2 0 1 5 < / E n t i t y I d >  
                 < E n t i t y T y p e > I S S R < / E n t i t y T y p e >  
             < / E n t i t y >  
             < T e m p l a t e K e y w o r d s >  
                 < K e y w o r d M e t a d a t a W r a p p e r >  
                     < K e y w o r d > M A _ P R O B < / K e y w o r d >  
                     < K e y w o r d T y p e > C N T B < / K e y w o r d T y p e >  
                     < S h o r t D e s c > M & a m p ; A   p r o b a b i l i t y   ( 1   =   h i g h ,   3   =   l o w ) < / S h o r t D e s c >  
                     < E n t i t y T y p e > I S S R < / E n t i t y T y p e >  
                     < I s S c a l a r > t r u e < / I s S c a l a r >  
                     < D a t a T y p e > I N T E G E R < / 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 2 1 0 < / K e y w o r d O r d e r >  
                     < K e y w o r d S e c t i o n I d > 1 3 A < / K e y w o r d S e c t i o n I d >  
                 < / K e y w o r d M e t a d a t a W r a p p e r >  
                 < K e y w o r d M e t a d a t a W r a p p e r >  
                     < K e y w o r d > S A L E S < / K e y w o r d >  
                     < K e y w o r d T y p e > C N T B < / K e y w o r d T y p e >  
                     < S h o r t D e s c > S a l e s ,   n e t   r e v e n u e 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F o r m a t M a s k >  
                     < K e y w o r d O r d e r > 1 5 5 < / K e y w o r d O r d e r >  
                     < K e y w o r d S e c t i o n I d > 1 3 U < / K e y w o r d S e c t i o n I d >  
                 < / K e y w o r d M e t a d a t a W r a p p e r >  
                 < K e y w o r d M e t a d a t a W r a p p e r >  
                     < K e y w o r d > P E R S O N N E L < / K e y w o r d >  
                     < K e y w o r d T y p e > C N T B < / K e y w o r d T y p e >  
                     < S h o r t D e s c > C o m p e n s a t i o n   & a m p ;   b e n f i t s 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 1 5 6 < / K e y w o r d O r d e r >  
                     < K e y w o r d S e c t i o n I d > 1 3 U < / K e y w o r d S e c t i o n I d >  
                 < / K e y w o r d M e t a d a t a W r a p p e r >  
                 < K e y w o r d M e t a d a t a W r a p p e r >  
                     < K e y w o r d > C O S T _ G D _ S D < / K e y w o r d >  
                     < K e y w o r d T y p e > C N T B < / K e y w o r d T y p e >  
                     < S h o r t D e s c > C o s t   o f   g o o d s   s o l d ,   C O G S 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 2 3 0 < / K e y w o r d O r d e r >  
                     < K e y w o r d S e c t i o n I d > 1 3 U < / K e y w o r d S e c t i o n I d >  
                 < / K e y w o r d M e t a d a t a W r a p p e r >  
                 < K e y w o r d M e t a d a t a W r a p p e r >  
                     < K e y w o r d > S E L _ G L _ A D < / K e y w o r d >  
                     < K e y w o r d T y p e > C N T B < / K e y w o r d T y p e >  
                     < S h o r t D e s c > S G & a m p ; A ,   s e l l i n g ,   g e n e r a l   a n d   a d m i n . 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 2 5 5 < / K e y w o r d O r d e r >  
                     < K e y w o r d S e c t i o n I d > 1 3 U < / K e y w o r d S e c t i o n I d >  
                 < / K e y w o r d M e t a d a t a W r a p p e r >  
                 < K e y w o r d M e t a d a t a W r a p p e r >  
                     < K e y w o r d > O P _ C O S T < / K e y w o r d >  
                     < K e y w o r d T y p e > C N T B < / K e y w o r d T y p e >  
                     < S h o r t D e s c > T o t a l   o p e r a t i n g 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 2 6 5 < / K e y w o r d O r d e r >  
                     < K e y w o r d S e c t i o n I d > 1 3 U < / K e y w o r d S e c t i o n I d >  
                 < / K e y w o r d M e t a d a t a W r a p p e r >  
                 < K e y w o r d M e t a d a t a W r a p p e r >  
                     < K e y w o r d > R D _ E X P < / K e y w o r d >  
                     < K e y w o r d T y p e > C N T B < / K e y w o r d T y p e >  
                     < S h o r t D e s c > R & a m p ; D 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 2 7 0 < / K e y w o r d O r d e r >  
                     < K e y w o r d S e c t i o n I d > 1 3 U < / K e y w o r d S e c t i o n I d >  
                 < / K e y w o r d M e t a d a t a W r a p p e r >  
                 < K e y w o r d M e t a d a t a W r a p p e r >  
                     < K e y w o r d > O T H _ O P _ I N C _ E X P < / K e y w o r d >  
                     < K e y w o r d T y p e > C N T B < / K e y w o r d T y p e >  
                     < S h o r t D e s c > O t h e r   o p e r a t i n g   i n c o m e / ( e x p e n s e )   ( i n c l .   l e a s e s ) 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 2 7 2 < / K e y w o r d O r d e r >  
                     < K e y w o r d S e c t i o n I d > 1 3 U < / K e y w o r d S e c t i o n I d >  
                 < / K e y w o r d M e t a d a t a W r a p p e r >  
                 < K e y w o r d M e t a d a t a W r a p p e r >  
                     < K e y w o r d > T O T _ O P S _ E X P _ D D A < / K e y w o r d >  
                     < K e y w o r d T y p e > C N T B < / K e y w o r d T y p e >  
                     < S h o r t D e s c > T o t a l   o p e r a t i n g   e x p e n s e   ( i n c l .   D & a m p ; A ) < / 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 3 2 5 < / K e y w o r d O r d e r >  
                     < K e y w o r d S e c t i o n I d > 1 3 U < / K e y w o r d S e c t i o n I d >  
                 < / K e y w o r d M e t a d a t a W r a p p e r >  
                 < K e y w o r d M e t a d a t a W r a p p e r >  
                     < K e y w o r d > T O T _ O P S _ E X P < / K e y w o r d >  
                     < K e y w o r d T y p e > C N T B < / K e y w o r d T y p e >  
                     < S h o r t D e s c > T o t a l   o p e r a t i n g   e x p e n s e   ( e x c l .   D & a m p ; A ) < / 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 3 3 0 < / K e y w o r d O r d e r >  
                     < K e y w o r d S e c t i o n I d > 1 3 U < / K e y w o r d S e c t i o n I d >  
                 < / K e y w o r d M e t a d a t a W r a p p e r >  
                 < K e y w o r d M e t a d a t a W r a p p e r >  
                     < K e y w o r d > E B I T D A _ C A L C < / K e y w o r d >  
                     < K e y w o r d T y p e > C N T B < / K e y w o r d T y p e >  
                     < S h o r t D e s c > E B I T D A < / 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 3 3 5 < / K e y w o r d O r d e r >  
                     < K e y w o r d S e c t i o n I d > 1 3 U < / K e y w o r d S e c t i o n I d >  
                 < / K e y w o r d M e t a d a t a W r a p p e r >  
                 < K e y w o r d M e t a d a t a W r a p p e r >  
                     < K e y w o r d > D E P R E C < / K e y w o r d >  
                     < K e y w o r d T y p e > C N T B < / K e y w o r d T y p e >  
                     < S h o r t D e s c > D e p r e c i a t i o n 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 3 4 5 < / K e y w o r d O r d e r >  
                     < K e y w o r d S e c t i o n I d > 1 3 U < / K e y w o r d S e c t i o n I d >  
                 < / K e y w o r d M e t a d a t a W r a p p e r >  
                 < K e y w o r d M e t a d a t a W r a p p e r >  
                     < K e y w o r d > G O O D W I L L _ A M O R T < / K e y w o r d >  
                     < K e y w o r d T y p e > C N T B < / K e y w o r d T y p e >  
                     < S h o r t D e s c > A m o r t i z a t i o n 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 3 5 0 < / K e y w o r d O r d e r >  
                     < K e y w o r d S e c t i o n I d > 1 3 U < / K e y w o r d S e c t i o n I d >  
                 < / K e y w o r d M e t a d a t a W r a p p e r >  
                 < K e y w o r d M e t a d a t a W r a p p e r >  
                     < K e y w o r d > E B I T < / K e y w o r d >  
                     < K e y w o r d T y p e > C N T B < / K e y w o r d T y p e >  
                     < S h o r t D e s c > E B I T ,   o p e r a t i n g   p r o f i t 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 3 7 5 < / K e y w o r d O r d e r >  
                     < K e y w o r d S e c t i o n I d > 1 3 U < / K e y w o r d S e c t i o n I d >  
                 < / K e y w o r d M e t a d a t a W r a p p e r >  
                 < K e y w o r d M e t a d a t a W r a p p e r >  
                     < K e y w o r d > I N T _ I N C _ I N D < / K e y w o r d >  
                     < K e y w o r d T y p e > C N T B < / K e y w o r d T y p e >  
                     < S h o r t D e s c > I n t e r e s t   i n c o m e 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 3 8 5 < / K e y w o r d O r d e r >  
                     < K e y w o r d S e c t i o n I d > 1 3 U < / K e y w o r d S e c t i o n I d >  
                 < / K e y w o r d M e t a d a t a W r a p p e r >  
                 < K e y w o r d M e t a d a t a W r a p p e r >  
                     < K e y w o r d > I N T _ E X P _ I N D < / K e y w o r d >  
                     < K e y w o r d T y p e > C N T B < / K e y w o r d T y p e >  
                     < S h o r t D e s c > I n t e r e s t 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 3 9 0 < / K e y w o r d O r d e r >  
                     < K e y w o r d S e c t i o n I d > 1 3 U < / K e y w o r d S e c t i o n I d >  
                 < / K e y w o r d M e t a d a t a W r a p p e r >  
                 < K e y w o r d M e t a d a t a W r a p p e r >  
                     < K e y w o r d > N E T _ I N T _ E X P < / K e y w o r d >  
                     < K e y w o r d T y p e > C N T B < / K e y w o r d T y p e >  
                     < S h o r t D e s c > N e t   i n t e r e s t   i n c o m e / ( e x p e n s e ) 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 4 0 5 < / K e y w o r d O r d e r >  
                     < K e y w o r d S e c t i o n I d > 1 3 U < / K e y w o r d S e c t i o n I d >  
                 < / K e y w o r d M e t a d a t a W r a p p e r >  
                 < K e y w o r d M e t a d a t a W r a p p e r >  
                     < K e y w o r d > A S S O C I A T E < / K e y w o r d >  
                     < K e y w o r d T y p e > C N T B < / K e y w o r d T y p e >  
                     < S h o r t D e s c > I n c o m e / ( l o s s )   f r o m   u n c o n s o l i d a t e d   s u b s   & a m p ;   a s s o c i a t e s 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 4 1 0 < / K e y w o r d O r d e r >  
                     < K e y w o r d S e c t i o n I d > 1 3 U < / K e y w o r d S e c t i o n I d >  
                 < / K e y w o r d M e t a d a t a W r a p p e r >  
                 < K e y w o r d M e t a d a t a W r a p p e r >  
                     < K e y w o r d > P R O F I T _ O N _ D I S P < / K e y w o r d >  
                     < K e y w o r d T y p e > C N T B < / K e y w o r d T y p e >  
                     < S h o r t D e s c > P r o f i t / ( l o s s )   o n   d i s p o s a l s   o f   a s s e t s ,   p r e - t a x < / 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 4 1 5 < / K e y w o r d O r d e r >  
                     < K e y w o r d S e c t i o n I d > 1 3 U < / K e y w o r d S e c t i o n I d >  
                 < / K e y w o r d M e t a d a t a W r a p p e r >  
                 < K e y w o r d M e t a d a t a W r a p p e r >  
                     < K e y w o r d > O T H _ C O S T _ I N C < / K e y w o r d >  
                     < K e y w o r d T y p e > C N T B < / K e y w o r d T y p e >  
                     < S h o r t D e s c > O t h e r   n o n - o p s   i n c o m e / ( e x p e n s e ) 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 4 3 0 < / K e y w o r d O r d e r >  
                     < K e y w o r d S e c t i o n I d > 1 3 U < / K e y w o r d S e c t i o n I d >  
                 < / K e y w o r d M e t a d a t a W r a p p e r >  
                 < K e y w o r d M e t a d a t a W r a p p e r >  
                     < K e y w o r d > P T _ P R O F < / K e y w o r d >  
                     < K e y w o r d T y p e > C N T B < / K e y w o r d T y p e >  
                     < S h o r t D e s c > P r e - t a x   p r o f i t 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 4 6 0 < / K e y w o r d O r d e r >  
                     < K e y w o r d S e c t i o n I d > 1 3 U < / K e y w o r d S e c t i o n I d >  
                 < / K e y w o r d M e t a d a t a W r a p p e r >  
                 < K e y w o r d M e t a d a t a W r a p p e r >  
                     < K e y w o r d > C O N T R I B _ M A R G I N _ R A T I O < / K e y w o r d >  
                     < K e y w o r d T y p e > C N T B < / K e y w o r d T y p e >  
                     < S h o r t D e s c > C o n t r i b u t i o n   m a r g i n   r a t i o < / S h o r t D e s c >  
                     < E n t i t y T y p e > I S S R < / E n t i t y T y p e >  
                     < I s S c a l a r > f a l s e < / I s S c a l a r >  
                     < D a t a T y p e > P E R C E N T A G E < / 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 0 < / K e y w o r d O r d e r >  
                     < K e y w o r d S e c t i o n I d > 1 3 V < / K e y w o r d S e c t i o n I d >  
                 < / K e y w o r d M e t a d a t a W r a p p e r >  
                 < K e y w o r d M e t a d a t a W r a p p e r >  
                     < K e y w o r d > L E A S E _ P A Y < / K e y w o r d >  
                     < K e y w o r d T y p e > C N T B < / K e y w o r d T y p e >  
                     < S h o r t D e s c > O p e r a t i n g   l e a s e   c o s t 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 1 0 0 < / K e y w o r d O r d e r >  
                     < K e y w o r d S e c t i o n I d > 1 3 V < / K e y w o r d S e c t i o n I d >  
                 < / K e y w o r d M e t a d a t a W r a p p e r >  
                 < K e y w o r d M e t a d a t a W r a p p e r >  
                     < K e y w o r d > L E A S E _ D E E M _ I N T < / K e y w o r d >  
                     < K e y w o r d T y p e > C N T B < / K e y w o r d T y p e >  
                     < S h o r t D e s c > L e a s e   p a y m e n t s   ( d e e m e d   i n t e r e s t   p o r t i o n ) 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 1 0 1 < / K e y w o r d O r d e r >  
                     < K e y w o r d S e c t i o n I d > 1 3 V < / K e y w o r d S e c t i o n I d >  
                 < / K e y w o r d M e t a d a t a W r a p p e r >  
                 < K e y w o r d M e t a d a t a W r a p p e r >  
                     < K e y w o r d > L E A S E _ D E E M _ D E P R < / K e y w o r d >  
                     < K e y w o r d T y p e > C N T B < / K e y w o r d T y p e >  
                     < S h o r t D e s c > L e a s e   p a y m e n t s   ( d e e m e d   d e p r e c i a t i o n   p o r t i o n ) 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 1 0 2 < / K e y w o r d O r d e r >  
                     < K e y w o r d S e c t i o n I d > 1 3 V < / K e y w o r d S e c t i o n I d >  
                 < / K e y w o r d M e t a d a t a W r a p p e r >  
                 < K e y w o r d M e t a d a t a W r a p p e r >  
                     < K e y w o r d > N E T _ I N T _ C H < / K e y w o r d >  
                     < K e y w o r d T y p e > C N T B < / K e y w o r d T y p e >  
                     < S h o r t D e s c > G r o s s   i n t e r e s t   c h a r g e 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 1 1 0 < / K e y w o r d O r d e r >  
                     < K e y w o r d S e c t i o n I d > 1 3 V < / K e y w o r d S e c t i o n I d >  
                 < / K e y w o r d M e t a d a t a W r a p p e r >  
                 < K e y w o r d M e t a d a t a W r a p p e r >  
                     < K e y w o r d > A S S O C I A T E _ O P < / K e y w o r d >  
                     < K e y w o r d T y p e > C N T B < / K e y w o r d T y p e >  
                     < S h o r t D e s c > I n c o m e   f r o m   a s s o c i a t e s   ( o p e r a t i n g ) < / 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 1 1 1 < / K e y w o r d O r d e r >  
                     < K e y w o r d S e c t i o n I d > 1 3 V < / K e y w o r d S e c t i o n I d >  
                 < / K e y w o r d M e t a d a t a W r a p p e r >  
                 < K e y w o r d M e t a d a t a W r a p p e r >  
                     < K e y w o r d > D E P R _ R O U _ A S S E T S < / K e y w o r d >  
                     < K e y w o r d T y p e > C N T B < / K e y w o r d T y p e >  
                     < S h o r t D e s c > D e p r e c i a t i o n   R O U   a s s e t s       ( a p p l i c a b l e   t o   I F R S   c o s . ) 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 6 3 5 0 < / K e y w o r d O r d e r >  
                     < K e y w o r d S e c t i o n I d > 1 3 V < / K e y w o r d S e c t i o n I d >  
                 < / K e y w o r d M e t a d a t a W r a p p e r >  
                 < K e y w o r d M e t a d a t a W r a p p e r >  
                     < K e y w o r d > L E A S E _ I N T _ C H G < / K e y w o r d >  
                     < K e y w o r d T y p e > C N T B < / K e y w o r d T y p e >  
                     < S h o r t D e s c > L e a s e   i n t e r e s t   c h a r g e     ( a p p l i c a b l e   t o   I F R S   c o s . ) 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 6 4 0 0 < / K e y w o r d O r d e r >  
                     < K e y w o r d S e c t i o n I d > 1 3 V < / K e y w o r d S e c t i o n I d >  
                 < / K e y w o r d M e t a d a t a W r a p p e r >  
                 < K e y w o r d M e t a d a t a W r a p p e r >  
                     < K e y w o r d > L E A S E _ A D O P T < / K e y w o r d >  
                     < K e y w o r d T y p e > C N T B < / K e y w o r d T y p e >  
                     < S h o r t D e s c > L e a s e   s t a n d a r d   a d o p t e d   ( U S   G A A P   A S C   8 4 2 /   I F R S   1 6 ) < / S h o r t D e s c >  
                     < E n t i t y T y p e > I S S R < / E n t i t y T y p e >  
                     < I s S c a l a r > t r u e < / I s S c a l a r >  
                     < D a t a T y p e > E N U M < / D a t a T y p e >  
                     < E n u m O p t i o n s >  
                         < K e y w o r d E n u m W r a p p e r >  
                             < D i s p l a y N a m e > Y < / D i s p l a y N a m e >  
                             < E n u m C o d e > Y < / E n u m C o d e >  
                         < / K e y w o r d E n u m W r a p p e r >  
                         < K e y w o r d E n u m W r a p p e r >  
                             < D i s p l a y N a m e > N < / D i s p l a y N a m e >  
                             < E n u m C o d e > N < / 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 6 4 5 0 < / K e y w o r d O r d e r >  
                     < K e y w o r d S e c t i o n I d > 1 3 V < / K e y w o r d S e c t i o n I d >  
                 < / K e y w o r d M e t a d a t a W r a p p e r >  
                 < K e y w o r d M e t a d a t a W r a p p e r >  
                     < K e y w o r d > C A S H _ E Q < / K e y w o r d >  
                     < K e y w o r d T y p e > C N T B < / K e y w o r d T y p e >  
                     < S h o r t D e s c > C a s h   & a m p ;   c a s h   e q u i v a l e n t s 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 8 5 < / K e y w o r d O r d e r >  
                     < K e y w o r d S e c t i o n I d > 1 3 1 4 < / K e y w o r d S e c t i o n I d >  
                 < / K e y w o r d M e t a d a t a W r a p p e r >  
                 < K e y w o r d M e t a d a t a W r a p p e r >  
                     < K e y w o r d > D E B T O R S < / K e y w o r d >  
                     < K e y w o r d T y p e > C N T B < / K e y w o r d T y p e >  
                     < S h o r t D e s c > A c c o u n t s   r e c e i v a b l e 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 1 9 0 < / K e y w o r d O r d e r >  
                     < K e y w o r d S e c t i o n I d > 1 3 1 4 < / K e y w o r d S e c t i o n I d >  
                 < / K e y w o r d M e t a d a t a W r a p p e r >  
                 < K e y w o r d M e t a d a t a W r a p p e r >  
                     < K e y w o r d > S T O C K S < / K e y w o r d >  
                     < K e y w o r d T y p e > C N T B < / K e y w o r d T y p e >  
                     < S h o r t D e s c > I n v e n t o r y < / 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 2 4 0 < / K e y w o r d O r d e r >  
                     < K e y w o r d S e c t i o n I d > 1 3 1 4 < / K e y w o r d S e c t i o n I d >  
                 < / K e y w o r d M e t a d a t a W r a p p e r >  
                 < K e y w o r d M e t a d a t a W r a p p e r >  
                     < K e y w o r d > O T H _ C U R _ A S S < / K e y w o r d >  
                     < K e y w o r d T y p e > C N T B < / K e y w o r d T y p e >  
                     < S h o r t D e s c > O t h e r   c u r r e n t 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 2 7 0 < / K e y w o r d O r d e r >  
                     < K e y w o r d S e c t i o n I d > 1 3 1 4 < / K e y w o r d S e c t i o n I d >  
                 < / K e y w o r d M e t a d a t a W r a p p e r >  
                 < K e y w o r d M e t a d a t a W r a p p e r >  
                     < K e y w o r d > C U R _ A S S < / K e y w o r d >  
                     < K e y w o r d T y p e > C N T B < / K e y w o r d T y p e >  
                     < S h o r t D e s c > T o t a l   c u r r e n t 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 2 8 5 < / K e y w o r d O r d e r >  
                     < K e y w o r d S e c t i o n I d > 1 3 1 4 < / K e y w o r d S e c t i o n I d >  
                 < / K e y w o r d M e t a d a t a W r a p p e r >  
                 < K e y w o r d M e t a d a t a W r a p p e r >  
                     < K e y w o r d > G R _ F I X _ A S S < / K e y w o r d >  
                     < K e y w o r d T y p e > C N T B < / K e y w o r d T y p e >  
                     < S h o r t D e s c > G r o s s   f i x e d   a s s e t s ,   P P & a m p ; E 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 2 9 0 < / K e y w o r d O r d e r >  
                     < K e y w o r d S e c t i o n I d > 1 3 1 4 < / K e y w o r d S e c t i o n I d >  
                 < / K e y w o r d M e t a d a t a W r a p p e r >  
                 < K e y w o r d M e t a d a t a W r a p p e r >  
                     < K e y w o r d > A C C _ D D A < / K e y w o r d >  
                     < K e y w o r d T y p e > C N T B < / K e y w o r d T y p e >  
                     < S h o r t D e s c > A c c u m u l a t e d   d e p r e c i a t i o n 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 3 0 0 < / K e y w o r d O r d e r >  
                     < K e y w o r d S e c t i o n I d > 1 3 1 4 < / K e y w o r d S e c t i o n I d >  
                 < / K e y w o r d M e t a d a t a W r a p p e r >  
                 < K e y w o r d M e t a d a t a W r a p p e r >  
                     < K e y w o r d > N E T _ F I X _ A S S < / K e y w o r d >  
                     < K e y w o r d T y p e > C N T B < / K e y w o r d T y p e >  
                     < S h o r t D e s c > N e t   P P & a m p ; E 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 3 0 5 < / K e y w o r d O r d e r >  
                     < K e y w o r d S e c t i o n I d > 1 3 1 4 < / K e y w o r d S e c t i o n I d >  
                 < / K e y w o r d M e t a d a t a W r a p p e r >  
                 < K e y w o r d M e t a d a t a W r a p p e r >  
                     < K e y w o r d > G R _ I N T A N G < / K e y w o r d >  
                     < K e y w o r d T y p e > C N T B < / K e y w o r d T y p e >  
                     < S h o r t D e s c > G r o s s   i n t a n g i b l e s 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 3 3 5 < / K e y w o r d O r d e r >  
                     < K e y w o r d S e c t i o n I d > 1 3 1 4 < / K e y w o r d S e c t i o n I d >  
                 < / K e y w o r d M e t a d a t a W r a p p e r >  
                 < K e y w o r d M e t a d a t a W r a p p e r >  
                     < K e y w o r d > A C C _ A M O R T < / K e y w o r d >  
                     < K e y w o r d T y p e > C N T B < / K e y w o r d T y p e >  
                     < S h o r t D e s c > A c c u m u l a t e d   a m o r t i z a t i o n 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 3 4 0 < / K e y w o r d O r d e r >  
                     < K e y w o r d S e c t i o n I d > 1 3 1 4 < / K e y w o r d S e c t i o n I d >  
                 < / K e y w o r d M e t a d a t a W r a p p e r >  
                 < K e y w o r d M e t a d a t a W r a p p e r >  
                     < K e y w o r d > N E T _ I N T A N G < / K e y w o r d >  
                     < K e y w o r d T y p e > C N T B < / K e y w o r d T y p e >  
                     < S h o r t D e s c > N e t   i n t a n g i b l e 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 3 5 5 < / K e y w o r d O r d e r >  
                     < K e y w o r d S e c t i o n I d > 1 3 1 4 < / K e y w o r d S e c t i o n I d >  
                 < / K e y w o r d M e t a d a t a W r a p p e r >  
                 < K e y w o r d M e t a d a t a W r a p p e r >  
                     < K e y w o r d > F I X _ A S S _ I N V < / K e y w o r d >  
                     < K e y w o r d T y p e > C N T B < / K e y w o r d T y p e >  
                     < S h o r t D e s c > E q u i t y   m e t h o d   i n v e s t m e n t s 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 3 7 0 < / K e y w o r d O r d e r >  
                     < K e y w o r d S e c t i o n I d > 1 3 1 4 < / K e y w o r d S e c t i o n I d >  
                 < / K e y w o r d M e t a d a t a W r a p p e r >  
                 < K e y w o r d M e t a d a t a W r a p p e r >  
                     < K e y w o r d > I N V _ S E C U R < / K e y w o r d >  
                     < K e y w o r d T y p e > C N T B < / K e y w o r d T y p e >  
                     < S h o r t D e s c > I n v e s t m e n t s   i n   s e c u r i t i e s 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 3 7 5 < / K e y w o r d O r d e r >  
                     < K e y w o r d S e c t i o n I d > 1 3 1 4 < / K e y w o r d S e c t i o n I d >  
                 < / K e y w o r d M e t a d a t a W r a p p e r >  
                 < K e y w o r d M e t a d a t a W r a p p e r >  
                     < K e y w o r d > O T H _ L T _ A S S < / K e y w o r d >  
                     < K e y w o r d T y p e > C N T B < / K e y w o r d T y p e >  
                     < S h o r t D e s c > O t h e r   l o n g - t e r m 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 3 8 0 < / K e y w o r d O r d e r >  
                     < K e y w o r d S e c t i o n I d > 1 3 1 4 < / K e y w o r d S e c t i o n I d >  
                 < / K e y w o r d M e t a d a t a W r a p p e r >  
                 < K e y w o r d M e t a d a t a W r a p p e r >  
                     < K e y w o r d > T O T _ A S S E T < / K e y w o r d >  
                     < K e y w o r d T y p e > C N T B < / K e y w o r d T y p e >  
                     < S h o r t D e s c > T o t a l 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 3 9 0 < / K e y w o r d O r d e r >  
                     < K e y w o r d S e c t i o n I d > 1 3 1 4 < / K e y w o r d S e c t i o n I d >  
                 < / K e y w o r d M e t a d a t a W r a p p e r >  
                 < K e y w o r d M e t a d a t a W r a p p e r >  
                     < K e y w o r d > A C C _ P A Y _ G Q < / K e y w o r d >  
                     < K e y w o r d T y p e > C N T B < / K e y w o r d T y p e >  
                     < S h o r t D e s c > A c c o u n t s   p a y a b l e 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 4 9 5 < / K e y w o r d O r d e r >  
                     < K e y w o r d S e c t i o n I d > 1 3 1 4 < / K e y w o r d S e c t i o n I d >  
                 < / K e y w o r d M e t a d a t a W r a p p e r >  
                 < K e y w o r d M e t a d a t a W r a p p e r >  
                     < K e y w o r d > S H O R T _ T _ D E B T < / K e y w o r d >  
                     < K e y w o r d T y p e > C N T B < / K e y w o r d T y p e >  
                     < S h o r t D e s c > S h o r t - t e r m   d e b t 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 5 6 5 < / K e y w o r d O r d e r >  
                     < K e y w o r d S e c t i o n I d > 1 3 1 4 < / K e y w o r d S e c t i o n I d >  
                 < / K e y w o r d M e t a d a t a W r a p p e r >  
                 < K e y w o r d M e t a d a t a W r a p p e r >  
                     < K e y w o r d > S T _ L E A S E _ L I A B < / K e y w o r d >  
                     < K e y w o r d T y p e > C N T B < / K e y w o r d T y p e >  
                     < S h o r t D e s c > C u r r e n t   l e a s e   l i a b i l i t i e s   ( o p   l e a s e :   U S   G A A P ) < / 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 5 6 9 < / K e y w o r d O r d e r >  
                     < K e y w o r d S e c t i o n I d > 1 3 1 4 < / K e y w o r d S e c t i o n I d >  
                 < / K e y w o r d M e t a d a t a W r a p p e r >  
                 < K e y w o r d M e t a d a t a W r a p p e r >  
                     < K e y w o r d > O T H _ C U R _ L I A B S < / K e y w o r d >  
                     < K e y w o r d T y p e > C N T B < / K e y w o r d T y p e >  
                     < S h o r t D e s c > O t h e r   c u r r e n t   l i a b i l i t i e s 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 5 7 0 < / K e y w o r d O r d e r >  
                     < K e y w o r d S e c t i o n I d > 1 3 1 4 < / K e y w o r d S e c t i o n I d >  
                 < / K e y w o r d M e t a d a t a W r a p p e r >  
                 < K e y w o r d M e t a d a t a W r a p p e r >  
                     < K e y w o r d > S H O R T _ T E R M _ L I A B S < / K e y w o r d >  
                     < K e y w o r d T y p e > C N T B < / K e y w o r d T y p e >  
                     < S h o r t D e s c > T o t a l   c u r r e n t   l i a b i l i t i e s 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 5 7 5 < / K e y w o r d O r d e r >  
                     < K e y w o r d S e c t i o n I d > 1 3 1 4 < / K e y w o r d S e c t i o n I d >  
                 < / K e y w o r d M e t a d a t a W r a p p e r >  
                 < K e y w o r d M e t a d a t a W r a p p e r >  
                     < K e y w o r d > L T _ D E B T < / K e y w o r d >  
                     < K e y w o r d T y p e > C N T B < / K e y w o r d T y p e >  
                     < S h o r t D e s c > L o n g - t e r m     d e b t 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 5 8 5 < / K e y w o r d O r d e r >  
                     < K e y w o r d S e c t i o n I d > 1 3 1 4 < / K e y w o r d S e c t i o n I d >  
                 < / K e y w o r d M e t a d a t a W r a p p e r >  
                 < K e y w o r d M e t a d a t a W r a p p e r >  
                     < K e y w o r d > L T _ L E A S E _ L I A B < / K e y w o r d >  
                     < K e y w o r d T y p e > C N T B < / K e y w o r d T y p e >  
                     < S h o r t D e s c > N o n - c u r r e n t   l e a s e   l i a b i l i t i e s   ( o p   l e a s e :   U S   G A A P ) < / 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 5 8 8 < / K e y w o r d O r d e r >  
                     < K e y w o r d S e c t i o n I d > 1 3 1 4 < / K e y w o r d S e c t i o n I d >  
                 < / K e y w o r d M e t a d a t a W r a p p e r >  
                 < K e y w o r d M e t a d a t a W r a p p e r >  
                     < K e y w o r d > O T H _ L T _ C R E D _ G Q < / K e y w o r d >  
                     < K e y w o r d T y p e > C N T B < / K e y w o r d T y p e >  
                     < S h o r t D e s c > O t h e r   l o n g - t e r m   l i a b i l i t i e s 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 6 1 5 < / K e y w o r d O r d e r >  
                     < K e y w o r d S e c t i o n I d > 1 3 1 4 < / K e y w o r d S e c t i o n I d >  
                 < / K e y w o r d M e t a d a t a W r a p p e r >  
                 < K e y w o r d M e t a d a t a W r a p p e r >  
                     < K e y w o r d > T O T _ L T _ L I A B < / K e y w o r d >  
                     < K e y w o r d T y p e > C N T B < / K e y w o r d T y p e >  
                     < S h o r t D e s c > T o t a l   l o n g - t e r m   l i a b i l i t i e s 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 6 2 0 < / K e y w o r d O r d e r >  
                     < K e y w o r d S e c t i o n I d > 1 3 1 4 < / K e y w o r d S e c t i o n I d >  
                 < / K e y w o r d M e t a d a t a W r a p p e r >  
                 < K e y w o r d M e t a d a t a W r a p p e r >  
                     < K e y w o r d > T O T _ L I A B < / K e y w o r d >  
                     < K e y w o r d T y p e > C N T B < / K e y w o r d T y p e >  
                     < S h o r t D e s c > T o t a l   l i a b i l i t i e s 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 6 4 5 < / K e y w o r d O r d e r >  
                     < K e y w o r d S e c t i o n I d > 1 3 1 4 < / K e y w o r d S e c t i o n I d >  
                 < / K e y w o r d M e t a d a t a W r a p p e r >  
                 < K e y w o r d M e t a d a t a W r a p p e r >  
                     < K e y w o r d > P R E F _ S H < / K e y w o r d >  
                     < K e y w o r d T y p e > C N T B < / K e y w o r d T y p e >  
                     < S h o r t D e s c > P r e f e r r e d   s h a r e s 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 6 7 5 < / K e y w o r d O r d e r >  
                     < K e y w o r d S e c t i o n I d > 1 3 1 4 < / K e y w o r d S e c t i o n I d >  
                 < / K e y w o r d M e t a d a t a W r a p p e r >  
                 < K e y w o r d M e t a d a t a W r a p p e r >  
                     < K e y w o r d > O R D _ S H _ F U N D < / K e y w o r d >  
                     < K e y w o r d T y p e > C N T B < / K e y w o r d T y p e >  
                     < S h o r t D e s c > T o t a l   c o m m o n   e q u i t y < / 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 6 8 0 < / K e y w o r d O r d e r >  
                     < K e y w o r d S e c t i o n I d > 1 3 1 4 < / K e y w o r d S e c t i o n I d >  
                 < / K e y w o r d M e t a d a t a W r a p p e r >  
                 < K e y w o r d M e t a d a t a W r a p p e r >  
                     < K e y w o r d > M I N O R I T I E S < / K e y w o r d >  
                     < K e y w o r d T y p e > C N T B < / K e y w o r d T y p e >  
                     < S h o r t D e s c > M i n o r i t y   i n t e r e s t 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 7 0 5 < / K e y w o r d O r d e r >  
                     < K e y w o r d S e c t i o n I d > 1 3 1 4 < / K e y w o r d S e c t i o n I d >  
                 < / K e y w o r d M e t a d a t a W r a p p e r >  
                 < K e y w o r d M e t a d a t a W r a p p e r >  
                     < K e y w o r d > E Q < / K e y w o r d >  
                     < K e y w o r d T y p e > C N T B < / K e y w o r d T y p e >  
                     < S h o r t D e s c > T o t a l   s h a r e h o l d e r s '   e q u i t y < / 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 7 1 0 < / K e y w o r d O r d e r >  
                     < K e y w o r d S e c t i o n I d > 1 3 1 4 < / K e y w o r d S e c t i o n I d >  
                 < / K e y w o r d M e t a d a t a W r a p p e r >  
                 < K e y w o r d M e t a d a t a W r a p p e r >  
                     < K e y w o r d > T O T _ L I A B _ E Q < / K e y w o r d >  
                     < K e y w o r d T y p e > C N T B < / K e y w o r d T y p e >  
                     < S h o r t D e s c > T o t a l   l i a b i l i t i e s   a n d   e q u i t y < / 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 7 2 0 < / K e y w o r d O r d e r >  
                     < K e y w o r d S e c t i o n I d > 1 3 1 4 < / K e y w o r d S e c t i o n I d >  
                 < / K e y w o r d M e t a d a t a W r a p p e r >  
                 < K e y w o r d M e t a d a t a W r a p p e r >  
                     < K e y w o r d > T O T _ U S D _ D E B T < / K e y w o r d >  
                     < K e y w o r d T y p e > C N T B < / K e y w o r d T y p e >  
                     < S h o r t D e s c > T o t a l   U S $   d e b t   ( i n   U S $ ) < / 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K e y w o r d O r d e r >  
                     < K e y w o r d S e c t i o n I d > 1 3 1 9 < / K e y w o r d S e c t i o n I d >  
                 < / K e y w o r d M e t a d a t a W r a p p e r >  
                 < K e y w o r d M e t a d a t a W r a p p e r >  
                     < K e y w o r d > T O T _ P C T _ U S D _ D E B T _ H E D G E D < / K e y w o r d >  
                     < K e y w o r d T y p e > C N T B < / K e y w o r d T y p e >  
                     < S h o r t D e s c > %   U S $   d e b t   h e d g e d   ( p r i n c i p a l ) < / 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K e y w o r d O r d e r >  
                     < K e y w o r d S e c t i o n I d > 1 3 1 9 < / K e y w o r d S e c t i o n I d >  
                 < / K e y w o r d M e t a d a t a W r a p p e r >  
                 < K e y w o r d M e t a d a t a W r a p p e r >  
                     < K e y w o r d > F L O A T I N G _ P C T _ L O C A L _ D E B T < / K e y w o r d >  
                     < K e y w o r d T y p e > C N T B < / K e y w o r d T y p e >  
                     < S h o r t D e s c > %   F l o a t i n g   d e b t   ( l o c a l   c u r r e n c y   d e b t ) < / 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 6 < / K e y w o r d O r d e r >  
                     < K e y w o r d S e c t i o n I d > 1 3 1 9 < / K e y w o r d S e c t i o n I d >  
                 < / K e y w o r d M e t a d a t a W r a p p e r >  
                 < K e y w o r d M e t a d a t a W r a p p e r >  
                     < K e y w o r d > F L O A T I N G _ P C T _ L O C A L _ D E B T _ H E D G E D < / K e y w o r d >  
                     < K e y w o r d T y p e > C N T B < / K e y w o r d T y p e >  
                     < S h o r t D e s c > %   f l o a t i n g   d e b t   h e d g e d   ( r a t e s ) < / 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 8 < / K e y w o r d O r d e r >  
                     < K e y w o r d S e c t i o n I d > 1 3 1 9 < / K e y w o r d S e c t i o n I d >  
                 < / K e y w o r d M e t a d a t a W r a p p e r >  
                 < K e y w o r d M e t a d a t a W r a p p e r >  
                     < K e y w o r d > N E T _ D E B T < / K e y w o r d >  
                     < K e y w o r d T y p e > C N T B < / K e y w o r d T y p e >  
                     < S h o r t D e s c > N e t   d e b t 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 1 3 < / K e y w o r d O r d e r >  
                     < K e y w o r d S e c t i o n I d > 1 3 1 9 < / K e y w o r d S e c t i o n I d >  
                 < / K e y w o r d M e t a d a t a W r a p p e r >  
                 < K e y w o r d M e t a d a t a W r a p p e r >  
                     < K e y w o r d > C A P _ L E A S E S < / K e y w o r d >  
                     < K e y w o r d T y p e > C N T B < / K e y w o r d T y p e >  
                     < S h o r t D e s c > C a p i t a l i z e d   o p e r a t i n g   l e a s e s   ( o f f - b a l a n c e   s h e e t ) 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 2 0 < / K e y w o r d O r d e r >  
                     < K e y w o r d S e c t i o n I d > 1 3 1 9 < / K e y w o r d S e c t i o n I d >  
                 < / K e y w o r d M e t a d a t a W r a p p e r >  
                 < K e y w o r d M e t a d a t a W r a p p e r >  
                     < K e y w o r d > D E F _ I N C _ T A X < / K e y w o r d >  
                     < K e y w o r d T y p e > C N T B < / K e y w o r d T y p e >  
                     < S h o r t D e s c > D e f e r r e d   i n c o m e   t a x e s 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 2 5 < / K e y w o r d O r d e r >  
                     < K e y w o r d S e c t i o n I d > 1 3 1 9 < / K e y w o r d S e c t i o n I d >  
                 < / K e y w o r d M e t a d a t a W r a p p e r >  
                 < K e y w o r d M e t a d a t a W r a p p e r >  
                     < K e y w o r d > M V _ A S S O C I A T E S < / K e y w o r d >  
                     < K e y w o r d T y p e > C N T B < / K e y w o r d T y p e >  
                     < S h o r t D e s c > A s s o c i a t e s   ( m k t   v a l u e )   u s e d   i n   E V   c a l c u l a t i o n 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 3 0 < / K e y w o r d O r d e r >  
                     < K e y w o r d S e c t i o n I d > 1 3 1 9 < / K e y w o r d S e c t i o n I d >  
                 < / K e y w o r d M e t a d a t a W r a p p e r >  
                 < K e y w o r d M e t a d a t a W r a p p e r >  
                     < K e y w o r d > N E T _ D E B T _ A D J < / K e y w o r d >  
                     < K e y w o r d T y p e > C N T B < / K e y w o r d T y p e >  
                     < S h o r t D e s c > N e t   d e b t   a d j u s t m e n t 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 3 5 < / K e y w o r d O r d e r >  
                     < K e y w o r d S e c t i o n I d > 1 3 1 9 < / K e y w o r d S e c t i o n I d >  
                 < / K e y w o r d M e t a d a t a W r a p p e r >  
                 < K e y w o r d M e t a d a t a W r a p p e r >  
                     < K e y w o r d > C O _ B O R _ M A R G I N < / K e y w o r d >  
                     < K e y w o r d T y p e > C N T B < / K e y w o r d T y p e >  
                     < S h o r t D e s c > C o m p a n y   b o r r o w i n g   m a r g i n 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 4 0 < / K e y w o r d O r d e r >  
                     < K e y w o r d S e c t i o n I d > 1 3 1 9 < / K e y w o r d S e c t i o n I d >  
                 < / K e y w o r d M e t a d a t a W r a p p e r >  
                 < K e y w o r d M e t a d a t a W r a p p e r >  
                     < K e y w o r d > U N F _ P E N S < / K e y w o r d >  
                     < K e y w o r d T y p e > C N T B < / K e y w o r d T y p e >  
                     < S h o r t D e s c > U n f u n d e d   p e n s i o n s   & a m p ;   o t h e r   p r o v i s i o n s 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 4 5 < / K e y w o r d O r d e r >  
                     < K e y w o r d S e c t i o n I d > 1 3 1 9 < / K e y w o r d S e c t i o n I d >  
                 < / K e y w o r d M e t a d a t a W r a p p e r >  
                 < K e y w o r d M e t a d a t a W r a p p e r >  
                     < K e y w o r d > U N F _ P E N S _ O F F < / K e y w o r d >  
                     < K e y w o r d T y p e > C N T B < / K e y w o r d T y p e >  
                     < S h o r t D e s c > U n f u n d e d   p e n s i o n   l i a b i l i t i e s   ( o f f   b a l a n c e   s h e e t ) 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 5 0 < / K e y w o r d O r d e r >  
                     < K e y w o r d S e c t i o n I d > 1 3 1 9 < / K e y w o r d S e c t i o n I d >  
                 < / K e y w o r d M e t a d a t a W r a p p e r >  
                 < K e y w o r d M e t a d a t a W r a p p e r >  
                     < K e y w o r d > U N F _ P E N S _ L I A B _ O T H < / K e y w o r d >  
                     < K e y w o r d T y p e > C N T B < / K e y w o r d T y p e >  
                     < S h o r t D e s c > U n f u n d e d   p e n s i o n   l i a b i l i t i e s   & a m p ;   o t h e r ,   u s e d   i n   E V < / 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 5 5 < / K e y w o r d O r d e r >  
                     < K e y w o r d S e c t i o n I d > 1 3 1 9 < / K e y w o r d S e c t i o n I d >  
                 < / K e y w o r d M e t a d a t a W r a p p e r >  
                 < K e y w o r d M e t a d a t a W r a p p e r >  
                     < K e y w o r d > A D J _ U N F _ P E N S _ G O O D < / K e y w o r d >  
                     < K e y w o r d T y p e > C N T B < / K e y w o r d T y p e >  
                     < S h o r t D e s c > A d j u s t m e n t   f o r   u n f u n d e d   p e n s i o n s   & a m p ;   g o o d w i l l < / 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 6 0 < / K e y w o r d O r d e r >  
                     < K e y w o r d S e c t i o n I d > 1 3 1 9 < / K e y w o r d S e c t i o n I d >  
                 < / K e y w o r d M e t a d a t a W r a p p e r >  
                 < K e y w o r d M e t a d a t a W r a p p e r >  
                     < K e y w o r d > O T H _ G C I _ A D J < / K e y w o r d >  
                     < K e y w o r d T y p e > C N T B < / K e y w o r d T y p e >  
                     < S h o r t D e s c > O t h e r   G C I   a d j u s t m e n t s 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 6 3 < / K e y w o r d O r d e r >  
                     < K e y w o r d S e c t i o n I d > 1 3 1 9 < / K e y w o r d S e c t i o n I d >  
                 < / K e y w o r d M e t a d a t a W r a p p e r >  
                 < K e y w o r d M e t a d a t a W r a p p e r >  
                     < K e y w o r d > G C I _ I N F L < / K e y w o r d >  
                     < K e y w o r d T y p e > C N T B < / K e y w o r d T y p e >  
                     < S h o r t D e s c > G C I   i n f l a t o r < / 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 6 5 < / K e y w o r d O r d e r >  
                     < K e y w o r d S e c t i o n I d > 1 3 1 9 < / K e y w o r d S e c t i o n I d >  
                 < / K e y w o r d M e t a d a t a W r a p p e r >  
                 < K e y w o r d M e t a d a t a W r a p p e r >  
                     < K e y w o r d > B A L _ M I N O _ I N T < / K e y w o r d >  
                     < K e y w o r d T y p e > C N T B < / K e y w o r d T y p e >  
                     < S h o r t D e s c > M i n o r i t y   i n t e r e s t 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 6 6 < / K e y w o r d O r d e r >  
                     < K e y w o r d S e c t i o n I d > 1 3 1 9 < / K e y w o r d S e c t i o n I d >  
                 < / K e y w o r d M e t a d a t a W r a p p e r >  
                 < K e y w o r d M e t a d a t a W r a p p e r >  
                     < K e y w o r d > R O U _ A S S E T < / K e y w o r d >  
                     < K e y w o r d T y p e > C N T B < / K e y w o r d T y p e >  
                     < S h o r t D e s c > R i g h t - o f - u s e   a s s e t s   ( o p   l e a s e   a s s e t s   u n d e r   U S   G A A P ) < / 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 6 2 5 0 < / K e y w o r d O r d e r >  
                     < K e y w o r d S e c t i o n I d > 1 3 1 9 < / K e y w o r d S e c t i o n I d >  
                 < / K e y w o r d M e t a d a t a W r a p p e r >  
                 < K e y w o r d M e t a d a t a W r a p p e r >  
                     < K e y w o r d > C F _ I N C _ M I N O R I T Y < / K e y w o r d >  
                     < K e y w o r d T y p e > C N T B < / K e y w o r d T y p e >  
                     < S h o r t D e s c > M i n o r i t y   i n t e r e s t   a d d - b a c k < / 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 1 5 < / K e y w o r d O r d e r >  
                     < K e y w o r d S e c t i o n I d > 1 3 1 E < / K e y w o r d S e c t i o n I d >  
                 < / K e y w o r d M e t a d a t a W r a p p e r >  
                 < K e y w o r d M e t a d a t a W r a p p e r >  
                     < K e y w o r d > D E P R _ A M O R T < / K e y w o r d >  
                     < K e y w o r d T y p e > C N T B < / K e y w o r d T y p e >  
                     < S h o r t D e s c > D e p r e c i a t i o n   & a m p ;   a m o r t i z a t i o n   a d d - b a c k < / 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 2 0 < / K e y w o r d O r d e r >  
                     < K e y w o r d S e c t i o n I d > 1 3 1 E < / K e y w o r d S e c t i o n I d >  
                 < / K e y w o r d M e t a d a t a W r a p p e r >  
                 < K e y w o r d M e t a d a t a W r a p p e r >  
                     < K e y w o r d > W O R K _ C A P < / K e y w o r d >  
                     < K e y w o r d T y p e > C N T B < / K e y w o r d T y p e >  
                     < S h o r t D e s c > ( I n c r e a s e ) / d e c r e a s e   i n   w o r k i n g   c a p i t a l < / 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 2 5 < / K e y w o r d O r d e r >  
                     < K e y w o r d S e c t i o n I d > 1 3 1 E < / K e y w o r d S e c t i o n I d >  
                 < / K e y w o r d M e t a d a t a W r a p p e r >  
                 < K e y w o r d M e t a d a t a W r a p p e r >  
                     < K e y w o r d > O T H _ O P _ C F < / K e y w o r d >  
                     < K e y w o r d T y p e > C N T B < / K e y w o r d T y p e >  
                     < S h o r t D e s c > O t h e r   o p e r a t i n g   c a s h   f l o w   i t e m s 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 3 0 < / K e y w o r d O r d e r >  
                     < K e y w o r d S e c t i o n I d > 1 3 1 E < / K e y w o r d S e c t i o n I d >  
                 < / K e y w o r d M e t a d a t a W r a p p e r >  
                 < K e y w o r d M e t a d a t a W r a p p e r >  
                     < K e y w o r d > C F _ O P S < / K e y w o r d >  
                     < K e y w o r d T y p e > C N T B < / K e y w o r d T y p e >  
                     < S h o r t D e s c > C a s h   f l o w   f r o m   o p e r a t i n g   a c t i v i t i e s 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 3 5 < / K e y w o r d O r d e r >  
                     < K e y w o r d S e c t i o n I d > 1 3 1 E < / K e y w o r d S e c t i o n I d >  
                 < / K e y w o r d M e t a d a t a W r a p p e r >  
                 < K e y w o r d M e t a d a t a W r a p p e r >  
                     < K e y w o r d > C A P E X < / K e y w o r d >  
                     < K e y w o r d T y p e > C N T B < / K e y w o r d T y p e >  
                     < S h o r t D e s c > C a p i t a l   e x p e n d i t u r e s ,   C a p e x < / 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 4 0 < / K e y w o r d O r d e r >  
                     < K e y w o r d S e c t i o n I d > 1 3 1 E < / K e y w o r d S e c t i o n I d >  
                 < / K e y w o r d M e t a d a t a W r a p p e r >  
                 < K e y w o r d M e t a d a t a W r a p p e r >  
                     < K e y w o r d > A C Q < / K e y w o r d >  
                     < K e y w o r d T y p e > C N T B < / K e y w o r d T y p e >  
                     < S h o r t D e s c > A c q u i s i t i o n s 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 4 5 < / K e y w o r d O r d e r >  
                     < K e y w o r d S e c t i o n I d > 1 3 1 E < / K e y w o r d S e c t i o n I d >  
                 < / K e y w o r d M e t a d a t a W r a p p e r >  
                 < K e y w o r d M e t a d a t a W r a p p e r >  
                     < K e y w o r d > D I V E S T < / K e y w o r d >  
                     < K e y w o r d T y p e > C N T B < / K e y w o r d T y p e >  
                     < S h o r t D e s c > D i v e s t i t u r e s 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 5 0 < / K e y w o r d O r d e r >  
                     < K e y w o r d S e c t i o n I d > 1 3 1 E < / K e y w o r d S e c t i o n I d >  
                 < / K e y w o r d M e t a d a t a W r a p p e r >  
                 < K e y w o r d M e t a d a t a W r a p p e r >  
                     < K e y w o r d > O T H _ I N V _ C F < / K e y w o r d >  
                     < K e y w o r d T y p e > C N T B < / K e y w o r d T y p e >  
                     < S h o r t D e s c > O t h e r   i n v e s t i n g   c a s h   f l o w   i t e m s 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 5 5 < / K e y w o r d O r d e r >  
                     < K e y w o r d S e c t i o n I d > 1 3 1 E < / K e y w o r d S e c t i o n I d >  
                 < / K e y w o r d M e t a d a t a W r a p p e r >  
                 < K e y w o r d M e t a d a t a W r a p p e r >  
                     < K e y w o r d > C F _ I N V < / K e y w o r d >  
                     < K e y w o r d T y p e > C N T B < / K e y w o r d T y p e >  
                     < S h o r t D e s c > C a s h   f l o w   f r o m   i n v e s t i n g < / 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 6 0 < / K e y w o r d O r d e r >  
                     < K e y w o r d S e c t i o n I d > 1 3 1 E < / K e y w o r d S e c t i o n I d >  
                 < / K e y w o r d M e t a d a t a W r a p p e r >  
                 < K e y w o r d M e t a d a t a W r a p p e r >  
                     < K e y w o r d > D I V _ P A I D < / K e y w o r d >  
                     < K e y w o r d T y p e > C N T B < / K e y w o r d T y p e >  
                     < S h o r t D e s c > D i v i d e n d s   p a i d < / 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 6 5 < / K e y w o r d O r d e r >  
                     < K e y w o r d S e c t i o n I d > 1 3 1 E < / K e y w o r d S e c t i o n I d >  
                 < / K e y w o r d M e t a d a t a W r a p p e r >  
                 < K e y w o r d M e t a d a t a W r a p p e r >  
                     < K e y w o r d > S H _ R E P U R < / K e y w o r d >  
                     < K e y w o r d T y p e > C N T B < / K e y w o r d T y p e >  
                     < S h o r t D e s c > C o m m o n   s t o c k   i s s u a n c e / ( r e p u r c h a s e ) 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 7 0 < / K e y w o r d O r d e r >  
                     < K e y w o r d S e c t i o n I d > 1 3 1 E < / K e y w o r d S e c t i o n I d >  
                 < / K e y w o r d M e t a d a t a W r a p p e r >  
                 < K e y w o r d M e t a d a t a W r a p p e r >  
                     < K e y w o r d > C H G _ L T _ D E B T < / K e y w o r d >  
                     < K e y w o r d T y p e > C N T B < / K e y w o r d T y p e >  
                     < S h o r t D e s c > I n c r e a s e / ( d e c r e a s e )   i n   t o t a l   d e b t < / 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 7 1 < / K e y w o r d O r d e r >  
                     < K e y w o r d S e c t i o n I d > 1 3 1 E < / K e y w o r d S e c t i o n I d >  
                 < / K e y w o r d M e t a d a t a W r a p p e r >  
                 < K e y w o r d M e t a d a t a W r a p p e r >  
                     < K e y w o r d > L E A S E _ P R I N C I P A L _ C A S H < / K e y w o r d >  
                     < K e y w o r d T y p e > C N T B < / K e y w o r d T y p e >  
                     < S h o r t D e s c > L e a s e   p r i n c i p a l   p a y m e n t s     ( a p p l i c a b l e   t o   I F R S   c o s . ) 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 7 5 < / K e y w o r d O r d e r >  
                     < K e y w o r d S e c t i o n I d > 1 3 1 E < / K e y w o r d S e c t i o n I d >  
                 < / K e y w o r d M e t a d a t a W r a p p e r >  
                 < K e y w o r d M e t a d a t a W r a p p e r >  
                     < K e y w o r d > O T H _ F I N _ C F < / K e y w o r d >  
                     < K e y w o r d T y p e > C N T B < / K e y w o r d T y p e >  
                     < S h o r t D e s c > O t h e r   f i n a n c i n g   c a s h   f l o w   i t e m s 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 8 0 < / K e y w o r d O r d e r >  
                     < K e y w o r d S e c t i o n I d > 1 3 1 E < / K e y w o r d S e c t i o n I d >  
                 < / K e y w o r d M e t a d a t a W r a p p e r >  
                 < K e y w o r d M e t a d a t a W r a p p e r >  
                     < K e y w o r d > C F _ F I N < / K e y w o r d >  
                     < K e y w o r d T y p e > C N T B < / K e y w o r d T y p e >  
                     < S h o r t D e s c > C a s h   f l o w   f r o m   f i n a n c i n g < / 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 8 5 < / K e y w o r d O r d e r >  
                     < K e y w o r d S e c t i o n I d > 1 3 1 E < / K e y w o r d S e c t i o n I d >  
                 < / K e y w o r d M e t a d a t a W r a p p e r >  
                 < K e y w o r d M e t a d a t a W r a p p e r >  
                     < K e y w o r d > T O T _ C F < / K e y w o r d >  
                     < K e y w o r d T y p e > C N T B < / K e y w o r d T y p e >  
                     < S h o r t D e s c > T o t a l   c a s h   f l o w < / 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 1 0 0 < / K e y w o r d O r d e r >  
                     < K e y w o r d S e c t i o n I d > 1 3 1 E < / K e y w o r d S e c t i o n I d >  
                 < / K e y w o r d M e t a d a t a W r a p p e r >  
                 < K e y w o r d M e t a d a t a W r a p p e r >  
                     < K e y w o r d > A S S O C _ J V _ A D D B K < / K e y w o r d >  
                     < K e y w o r d T y p e > C N T B < / K e y w o r d T y p e >  
                     < S h o r t D e s c > A s s o c i a t e   a n d   J V   a d d - b a c k < / 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K e y w o r d O r d e r >  
                     < K e y w o r d S e c t i o n I d > 1 3 1 J < / K e y w o r d S e c t i o n I d >  
                 < / K e y w o r d M e t a d a t a W r a p p e r >  
                 < K e y w o r d M e t a d a t a W r a p p e r >  
                     < K e y w o r d > P L _ S A L E _ A S S E T S < / K e y w o r d >  
                     < K e y w o r d T y p e > C N T B < / K e y w o r d T y p e >  
                     < S h o r t D e s c > P r o f i t / ( l o s s )   o n   s a l e   o f   a s s e t s 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 2 0 < / K e y w o r d O r d e r >  
                     < K e y w o r d S e c t i o n I d > 1 3 1 J < / K e y w o r d S e c t i o n I d >  
                 < / K e y w o r d M e t a d a t a W r a p p e r >  
                 < K e y w o r d M e t a d a t a W r a p p e r >  
                     < K e y w o r d > O T H _ N O N C A S H _ A D J < / K e y w o r d >  
                     < K e y w o r d T y p e > C N T B < / K e y w o r d T y p e >  
                     < S h o r t D e s c > O t h e r   n o n - c a s h   a d j u s t m e n t s 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 3 0 < / K e y w o r d O r d e r >  
                     < K e y w o r d S e c t i o n I d > 1 3 1 J < / K e y w o r d S e c t i o n I d >  
                 < / K e y w o r d M e t a d a t a W r a p p e r >  
                 < K e y w o r d M e t a d a t a W r a p p e r >  
                     < K e y w o r d > O T H _ D A C F _ A D J < / K e y w o r d >  
                     < K e y w o r d T y p e > C N T B < / K e y w o r d T y p e >  
                     < S h o r t D e s c > O t h e r   D A C F   a d j u s t m e n t s 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 3 5 < / K e y w o r d O r d e r >  
                     < K e y w o r d S e c t i o n I d > 1 3 1 J < / K e y w o r d S e c t i o n I d >  
                 < / K e y w o r d M e t a d a t a W r a p p e r >  
                 < K e y w o r d M e t a d a t a W r a p p e r >  
                     < K e y w o r d > C A S H _ I N T _ E X P < / K e y w o r d >  
                     < K e y w o r d T y p e > C N T B < / K e y w o r d T y p e >  
                     < S h o r t D e s c > C a s h   i n t e r e s t 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 4 0 < / K e y w o r d O r d e r >  
                     < K e y w o r d S e c t i o n I d > 1 3 1 J < / K e y w o r d S e c t i o n I d >  
                 < / K e y w o r d M e t a d a t a W r a p p e r >  
                 < K e y w o r d M e t a d a t a W r a p p e r >  
                     < K e y w o r d > C A S H _ T A X _ E X P < / K e y w o r d >  
                     < K e y w o r d T y p e > C N T B < / K e y w o r d T y p e >  
                     < S h o r t D e s c > C a s h   t a x   e x p e n s e 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 5 0 < / K e y w o r d O r d e r >  
                     < K e y w o r d S e c t i o n I d > 1 3 1 J < / K e y w o r d S e c t i o n I d >  
                 < / K e y w o r d M e t a d a t a W r a p p e r >  
                 < K e y w o r d M e t a d a t a W r a p p e r >  
                     < K e y w o r d > D I V D S _ A S S O C _ J V < / K e y w o r d >  
                     < K e y w o r d T y p e > C N T B < / K e y w o r d T y p e >  
                     < S h o r t D e s c > D i v i d e n d s   r e c e i v e d   f r o m   a s s o c i a t e s / J V s 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 6 0 < / K e y w o r d O r d e r >  
                     < K e y w o r d S e c t i o n I d > 1 3 1 J < / K e y w o r d S e c t i o n I d >  
                 < / K e y w o r d M e t a d a t a W r a p p e r >  
                 < K e y w o r d M e t a d a t a W r a p p e r >  
                     < K e y w o r d > C A P E X _ M A I N T E N A N C E < / K e y w o r d >  
                     < K e y w o r d T y p e > C N T B < / K e y w o r d T y p e >  
                     < S h o r t D e s c > C a p e x   m a i n t e n a n c e < / 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 7 0 < / K e y w o r d O r d e r >  
                     < K e y w o r d S e c t i o n I d > 1 3 1 J < / K e y w o r d S e c t i o n I d >  
                 < / K e y w o r d M e t a d a t a W r a p p e r >  
                 < K e y w o r d M e t a d a t a W r a p p e r >  
                     < K e y w o r d > C A P E X _ E X P A N S I O N < / K e y w o r d >  
                     < K e y w o r d T y p e > C N T B < / K e y w o r d T y p e >  
                     < S h o r t D e s c > C a p e x   e x p a n s i o n < / 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 8 0 < / K e y w o r d O r d e r >  
                     < K e y w o r d S e c t i o n I d > 1 3 1 J < / K e y w o r d S e c t i o n I d >  
                 < / K e y w o r d M e t a d a t a W r a p p e r >  
                 < K e y w o r d M e t a d a t a W r a p p e r >  
                     < K e y w o r d > N O N P P E _ C A P E X < / K e y w o r d >  
                     < K e y w o r d T y p e > C N T B < / K e y w o r d T y p e >  
                     < S h o r t D e s c > N o n - P P & a m p ; E   c a p e x < / 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 9 0 < / K e y w o r d O r d e r >  
                     < K e y w o r d S e c t i o n I d > 1 3 1 J < / K e y w o r d S e c t i o n I d >  
                 < / K e y w o r d M e t a d a t a W r a p p e r >  
                 < K e y w o r d M e t a d a t a W r a p p e r >  
                     < K e y w o r d > D I V D S _ P D _ M I N O R I T I E S < / K e y w o r d >  
                     < K e y w o r d T y p e > C N T B < / K e y w o r d T y p e >  
                     < S h o r t D e s c > D i v i d e n d s   p a i d   t o   m i n o r i t i e s < / S h o r t D e s c >  
                     < E n t i t y T y p e > I S S R < / 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 1 0 0 < / K e y w o r d O r d e r >  
                     < K e y w o r d S e c t i o n I d > 1 3 1 J < / K e y w o r d S e c t i o n I d >  
                 < / K e y w o r d M e t a d a t a W r a p p e r >  
                 < K e y w o r d M e t a d a t a W r a p p e r >  
                     < K e y w o r d > E M P L O Y E E S < / K e y w o r d >  
                     < K e y w o r d T y p e > C N T B < / K e y w o r d T y p e >  
                     < S h o r t D e s c > N u m b e r   o f   e m p l o y e e s < / 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 0 < / K e y w o r d O r d e r >  
                     < K e y w o r d S e c t i o n I d > 1 3 1 O < / K e y w o r d S e c t i o n I d >  
                 < / K e y w o r d M e t a d a t a W r a p p e r >  
                 < K e y w o r d M e t a d a t a W r a p p e r >  
                     < K e y w o r d > S A L E S _ C A N A D A < / K e y w o r d >  
                     < K e y w o r d T y p e > C N T B < / K e y w o r d T y p e >  
                     < S h o r t D e s c > S a l e s   -   %   C a n a d a 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 1 0 0 < / K e y w o r d O r d e r >  
                     < K e y w o r d S e c t i o n I d > 1 3 1 6 8 < / K e y w o r d S e c t i o n I d >  
                 < / K e y w o r d M e t a d a t a W r a p p e r >  
                 < K e y w o r d M e t a d a t a W r a p p e r >  
                     < K e y w o r d > S A L E S _ U S < / K e y w o r d >  
                     < K e y w o r d T y p e > C N T B < / K e y w o r d T y p e >  
                     < S h o r t D e s c > S a l e s   -   %   U n i t e d   S t a t e s 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 1 2 0 < / K e y w o r d O r d e r >  
                     < K e y w o r d S e c t i o n I d > 1 3 1 6 8 < / K e y w o r d S e c t i o n I d >  
                 < / K e y w o r d M e t a d a t a W r a p p e r >  
                 < K e y w o r d M e t a d a t a W r a p p e r >  
                     < K e y w o r d > S A L E S _ O T H _ N O _ A M E R < / K e y w o r d >  
                     < K e y w o r d T y p e > C N T B < / K e y w o r d T y p e >  
                     < S h o r t D e s c > S a l e s   -   %   O t h e r   N o r t h   A m e r i c a s 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 1 4 0 < / K e y w o r d O r d e r >  
                     < K e y w o r d S e c t i o n I d > 1 3 1 6 8 < / K e y w o r d S e c t i o n I d >  
                 < / K e y w o r d M e t a d a t a W r a p p e r >  
                 < K e y w o r d M e t a d a t a W r a p p e r >  
                     < K e y w o r d > S A L E S _ A R G E N T I N A < / K e y w o r d >  
                     < K e y w o r d T y p e > C N T B < / K e y w o r d T y p e >  
                     < S h o r t D e s c > S a l e s   -   %   A r g e n t i n a 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 1 6 0 < / K e y w o r d O r d e r >  
                     < K e y w o r d S e c t i o n I d > 1 3 1 6 8 < / K e y w o r d S e c t i o n I d >  
                 < / K e y w o r d M e t a d a t a W r a p p e r >  
                 < K e y w o r d M e t a d a t a W r a p p e r >  
                     < K e y w o r d > S A L E S _ B R A Z I L < / K e y w o r d >  
                     < K e y w o r d T y p e > C N T B < / K e y w o r d T y p e >  
                     < S h o r t D e s c > S a l e s   -   %   B r a z i l < / 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 1 8 0 < / K e y w o r d O r d e r >  
                     < K e y w o r d S e c t i o n I d > 1 3 1 6 8 < / K e y w o r d S e c t i o n I d >  
                 < / K e y w o r d M e t a d a t a W r a p p e r >  
                 < K e y w o r d M e t a d a t a W r a p p e r >  
                     < K e y w o r d > S A L E S _ C H I L E < / K e y w o r d >  
                     < K e y w o r d T y p e > C N T B < / K e y w o r d T y p e >  
                     < S h o r t D e s c > S a l e s   -   %   C h i l e 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 2 0 0 < / K e y w o r d O r d e r >  
                     < K e y w o r d S e c t i o n I d > 1 3 1 6 8 < / K e y w o r d S e c t i o n I d >  
                 < / K e y w o r d M e t a d a t a W r a p p e r >  
                 < K e y w o r d M e t a d a t a W r a p p e r >  
                     < K e y w o r d > S A L E S _ C O L O M B I A < / K e y w o r d >  
                     < K e y w o r d T y p e > C N T B < / K e y w o r d T y p e >  
                     < S h o r t D e s c > S a l e s   -   %   C o l o m b i a 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 2 2 0 < / K e y w o r d O r d e r >  
                     < K e y w o r d S e c t i o n I d > 1 3 1 6 8 < / K e y w o r d S e c t i o n I d >  
                 < / K e y w o r d M e t a d a t a W r a p p e r >  
                 < K e y w o r d M e t a d a t a W r a p p e r >  
                     < K e y w o r d > S A L E S _ M E X I C O < / K e y w o r d >  
                     < K e y w o r d T y p e > C N T B < / K e y w o r d T y p e >  
                     < S h o r t D e s c > S a l e s   -   %   M e x i c o < / 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 2 4 0 < / K e y w o r d O r d e r >  
                     < K e y w o r d S e c t i o n I d > 1 3 1 6 8 < / K e y w o r d S e c t i o n I d >  
                 < / K e y w o r d M e t a d a t a W r a p p e r >  
                 < K e y w o r d M e t a d a t a W r a p p e r >  
                     < K e y w o r d > S A L E S _ V E N E Z U E L A < / K e y w o r d >  
                     < K e y w o r d T y p e > C N T B < / K e y w o r d T y p e >  
                     < S h o r t D e s c > S a l e s   -   %   V e n e z u e l a 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 2 6 0 < / K e y w o r d O r d e r >  
                     < K e y w o r d S e c t i o n I d > 1 3 1 6 8 < / K e y w o r d S e c t i o n I d >  
                 < / K e y w o r d M e t a d a t a W r a p p e r >  
                 < K e y w o r d M e t a d a t a W r a p p e r >  
                     < K e y w o r d > S A L E S _ O T H _ L A T A M < / K e y w o r d >  
                     < K e y w o r d T y p e > C N T B < / K e y w o r d T y p e >  
                     < S h o r t D e s c > S a l e s   -   %   O t h e r   L a t i n   A m e r i c a s 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 2 8 0 < / K e y w o r d O r d e r >  
                     < K e y w o r d S e c t i o n I d > 1 3 1 6 8 < / K e y w o r d S e c t i o n I d >  
                 < / K e y w o r d M e t a d a t a W r a p p e r >  
                 < K e y w o r d M e t a d a t a W r a p p e r >  
                     < K e y w o r d > S A L E S _ A U S T R I A < / K e y w o r d >  
                     < K e y w o r d T y p e > C N T B < / K e y w o r d T y p e >  
                     < S h o r t D e s c > S a l e s   -   %   A u s t r i a 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 3 0 0 < / K e y w o r d O r d e r >  
                     < K e y w o r d S e c t i o n I d > 1 3 1 6 8 < / K e y w o r d S e c t i o n I d >  
                 < / K e y w o r d M e t a d a t a W r a p p e r >  
                 < K e y w o r d M e t a d a t a W r a p p e r >  
                     < K e y w o r d > S A L E S _ B E L < / K e y w o r d >  
                     < K e y w o r d T y p e > C N T B < / K e y w o r d T y p e >  
                     < S h o r t D e s c > S a l e s   -   %   B e l g i u m < / 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 3 2 0 < / K e y w o r d O r d e r >  
                     < K e y w o r d S e c t i o n I d > 1 3 1 6 8 < / K e y w o r d S e c t i o n I d >  
                 < / K e y w o r d M e t a d a t a W r a p p e r >  
                 < K e y w o r d M e t a d a t a W r a p p e r >  
                     < K e y w o r d > S A L E S _ F R A < / K e y w o r d >  
                     < K e y w o r d T y p e > C N T B < / K e y w o r d T y p e >  
                     < S h o r t D e s c > S a l e s   -   %   F r a n c e 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 3 4 0 < / K e y w o r d O r d e r >  
                     < K e y w o r d S e c t i o n I d > 1 3 1 6 8 < / K e y w o r d S e c t i o n I d >  
                 < / K e y w o r d M e t a d a t a W r a p p e r >  
                 < K e y w o r d M e t a d a t a W r a p p e r >  
                     < K e y w o r d > S A L E S _ G E R < / K e y w o r d >  
                     < K e y w o r d T y p e > C N T B < / K e y w o r d T y p e >  
                     < S h o r t D e s c > S a l e s   -   %   G e r m a n y 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 3 6 0 < / K e y w o r d O r d e r >  
                     < K e y w o r d S e c t i o n I d > 1 3 1 6 8 < / K e y w o r d S e c t i o n I d >  
                 < / K e y w o r d M e t a d a t a W r a p p e r >  
                 < K e y w o r d M e t a d a t a W r a p p e r >  
                     < K e y w o r d > S A L E S _ G R E < / K e y w o r d >  
                     < K e y w o r d T y p e > C N T B < / K e y w o r d T y p e >  
                     < S h o r t D e s c > S a l e s   -   %   G r e e c e 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 3 8 0 < / K e y w o r d O r d e r >  
                     < K e y w o r d S e c t i o n I d > 1 3 1 6 8 < / K e y w o r d S e c t i o n I d >  
                 < / K e y w o r d M e t a d a t a W r a p p e r >  
                 < K e y w o r d M e t a d a t a W r a p p e r >  
                     < K e y w o r d > S A L E S _ I R E < / K e y w o r d >  
                     < K e y w o r d T y p e > C N T B < / K e y w o r d T y p e >  
                     < S h o r t D e s c > S a l e s   -   %   I r e l a n d 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 4 0 0 < / K e y w o r d O r d e r >  
                     < K e y w o r d S e c t i o n I d > 1 3 1 6 8 < / K e y w o r d S e c t i o n I d >  
                 < / K e y w o r d M e t a d a t a W r a p p e r >  
                 < K e y w o r d M e t a d a t a W r a p p e r >  
                     < K e y w o r d > S A L E S _ I T A < / K e y w o r d >  
                     < K e y w o r d T y p e > C N T B < / K e y w o r d T y p e >  
                     < S h o r t D e s c > S a l e s   -   %   I t a l y 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 4 2 0 < / K e y w o r d O r d e r >  
                     < K e y w o r d S e c t i o n I d > 1 3 1 6 8 < / K e y w o r d S e c t i o n I d >  
                 < / K e y w o r d M e t a d a t a W r a p p e r >  
                 < K e y w o r d M e t a d a t a W r a p p e r >  
                     < K e y w o r d > S A L E S _ N E T H < / K e y w o r d >  
                     < K e y w o r d T y p e > C N T B < / K e y w o r d T y p e >  
                     < S h o r t D e s c > S a l e s   -   %   N e t h e r l a n d s 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 4 4 0 < / K e y w o r d O r d e r >  
                     < K e y w o r d S e c t i o n I d > 1 3 1 6 8 < / K e y w o r d S e c t i o n I d >  
                 < / K e y w o r d M e t a d a t a W r a p p e r >  
                 < K e y w o r d M e t a d a t a W r a p p e r >  
                     < K e y w o r d > S A L E S _ N O R < / K e y w o r d >  
                     < K e y w o r d T y p e > C N T B < / K e y w o r d T y p e >  
                     < S h o r t D e s c > S a l e s   -   %   N o r w a y 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 4 6 0 < / K e y w o r d O r d e r >  
                     < K e y w o r d S e c t i o n I d > 1 3 1 6 8 < / K e y w o r d S e c t i o n I d >  
                 < / K e y w o r d M e t a d a t a W r a p p e r >  
                 < K e y w o r d M e t a d a t a W r a p p e r >  
                     < K e y w o r d > S A L E S _ P O R < / K e y w o r d >  
                     < K e y w o r d T y p e > C N T B < / K e y w o r d T y p e >  
                     < S h o r t D e s c > S a l e s   -   %   P o r t u g a l < / 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 4 8 0 < / K e y w o r d O r d e r >  
                     < K e y w o r d S e c t i o n I d > 1 3 1 6 8 < / K e y w o r d S e c t i o n I d >  
                 < / K e y w o r d M e t a d a t a W r a p p e r >  
                 < K e y w o r d M e t a d a t a W r a p p e r >  
                     < K e y w o r d > S A L E S _ S P A < / K e y w o r d >  
                     < K e y w o r d T y p e > C N T B < / K e y w o r d T y p e >  
                     < S h o r t D e s c > S a l e s   -   %   S p a i n 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 5 0 0 < / K e y w o r d O r d e r >  
                     < K e y w o r d S e c t i o n I d > 1 3 1 6 8 < / K e y w o r d S e c t i o n I d >  
                 < / K e y w o r d M e t a d a t a W r a p p e r >  
                 < K e y w o r d M e t a d a t a W r a p p e r >  
                     < K e y w o r d > S A L E S _ S W E < / K e y w o r d >  
                     < K e y w o r d T y p e > C N T B < / K e y w o r d T y p e >  
                     < S h o r t D e s c > S a l e s   -   %   S w e d e n 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 5 2 0 < / K e y w o r d O r d e r >  
                     < K e y w o r d S e c t i o n I d > 1 3 1 6 8 < / K e y w o r d S e c t i o n I d >  
                 < / K e y w o r d M e t a d a t a W r a p p e r >  
                 < K e y w o r d M e t a d a t a W r a p p e r >  
                     < K e y w o r d > S A L E S _ S W I T < / K e y w o r d >  
                     < K e y w o r d T y p e > C N T B < / K e y w o r d T y p e >  
                     < S h o r t D e s c > S a l e s   -   %   S w i t z e r l a n d 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 5 4 0 < / K e y w o r d O r d e r >  
                     < K e y w o r d S e c t i o n I d > 1 3 1 6 8 < / K e y w o r d S e c t i o n I d >  
                 < / K e y w o r d M e t a d a t a W r a p p e r >  
                 < K e y w o r d M e t a d a t a W r a p p e r >  
                     < K e y w o r d > S A L E S _ U K < / K e y w o r d >  
                     < K e y w o r d T y p e > C N T B < / K e y w o r d T y p e >  
                     < S h o r t D e s c > S a l e s   -   %   U K < / 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 5 6 0 < / K e y w o r d O r d e r >  
                     < K e y w o r d S e c t i o n I d > 1 3 1 6 8 < / K e y w o r d S e c t i o n I d >  
                 < / K e y w o r d M e t a d a t a W r a p p e r >  
                 < K e y w o r d M e t a d a t a W r a p p e r >  
                     < K e y w o r d > S A L E S _ O T H _ W E S T _ E U R O < / K e y w o r d >  
                     < K e y w o r d T y p e > C N T B < / K e y w o r d T y p e >  
                     < S h o r t D e s c > S a l e s   -   %   O t h e r   W e s t e r n   E u r o p e 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 5 8 0 < / K e y w o r d O r d e r >  
                     < K e y w o r d S e c t i o n I d > 1 3 1 6 8 < / K e y w o r d S e c t i o n I d >  
                 < / K e y w o r d M e t a d a t a W r a p p e r >  
                 < K e y w o r d M e t a d a t a W r a p p e r >  
                     < K e y w o r d > S A L E S _ P O L A N D < / K e y w o r d >  
                     < K e y w o r d T y p e > C N T B < / K e y w o r d T y p e >  
                     < S h o r t D e s c > S a l e s   -   %   P o l a n d 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 6 0 0 < / K e y w o r d O r d e r >  
                     < K e y w o r d S e c t i o n I d > 1 3 1 6 8 < / K e y w o r d S e c t i o n I d >  
                 < / K e y w o r d M e t a d a t a W r a p p e r >  
                 < K e y w o r d M e t a d a t a W r a p p e r >  
                     < K e y w o r d > S A L E S _ R U S S I A < / K e y w o r d >  
                     < K e y w o r d T y p e > C N T B < / K e y w o r d T y p e >  
                     < S h o r t D e s c > S a l e s   -   %   R u s s i a 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 6 2 0 < / K e y w o r d O r d e r >  
                     < K e y w o r d S e c t i o n I d > 1 3 1 6 8 < / K e y w o r d S e c t i o n I d >  
                 < / K e y w o r d M e t a d a t a W r a p p e r >  
                 < K e y w o r d M e t a d a t a W r a p p e r >  
                     < K e y w o r d > S A L E S _ T U R K E Y < / K e y w o r d >  
                     < K e y w o r d T y p e > C N T B < / K e y w o r d T y p e >  
                     < S h o r t D e s c > S a l e s   -   %   T u r k e y 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 6 4 0 < / K e y w o r d O r d e r >  
                     < K e y w o r d S e c t i o n I d > 1 3 1 6 8 < / K e y w o r d S e c t i o n I d >  
                 < / K e y w o r d M e t a d a t a W r a p p e r >  
                 < K e y w o r d M e t a d a t a W r a p p e r >  
                     < K e y w o r d > S A L E S _ O T H _ C E E < / K e y w o r d >  
                     < K e y w o r d T y p e > C N T B < / K e y w o r d T y p e >  
                     < S h o r t D e s c > S a l e s   -   %   O t h e r   C E E 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 6 6 0 < / K e y w o r d O r d e r >  
                     < K e y w o r d S e c t i o n I d > 1 3 1 6 8 < / K e y w o r d S e c t i o n I d >  
                 < / K e y w o r d M e t a d a t a W r a p p e r >  
                 < K e y w o r d M e t a d a t a W r a p p e r >  
                     < K e y w o r d > S A L E S _ S A U D I _ A R A B I A < / K e y w o r d >  
                     < K e y w o r d T y p e > C N T B < / K e y w o r d T y p e >  
                     < S h o r t D e s c > S a l e s   -   %   S a u d i   A r a b i a 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 6 8 0 < / K e y w o r d O r d e r >  
                     < K e y w o r d S e c t i o n I d > 1 3 1 6 8 < / K e y w o r d S e c t i o n I d >  
                 < / K e y w o r d M e t a d a t a W r a p p e r >  
                 < K e y w o r d M e t a d a t a W r a p p e r >  
                     < K e y w o r d > S A L E S _ U A E < / K e y w o r d >  
                     < K e y w o r d T y p e > C N T B < / K e y w o r d T y p e >  
                     < S h o r t D e s c > S a l e s   -   %   U n i t e d   A r a b   E m i r a t e s 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 7 0 0 < / K e y w o r d O r d e r >  
                     < K e y w o r d S e c t i o n I d > 1 3 1 6 8 < / K e y w o r d S e c t i o n I d >  
                 < / K e y w o r d M e t a d a t a W r a p p e r >  
                 < K e y w o r d M e t a d a t a W r a p p e r >  
                     < K e y w o r d > S A L E S _ O T H _ M E < / K e y w o r d >  
                     < K e y w o r d T y p e > C N T B < / K e y w o r d T y p e >  
                     < S h o r t D e s c > S a l e s   -   %   O t h e r   M i d d l e   E a s t < / 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 7 2 0 < / K e y w o r d O r d e r >  
                     < K e y w o r d S e c t i o n I d > 1 3 1 6 8 < / K e y w o r d S e c t i o n I d >  
                 < / K e y w o r d M e t a d a t a W r a p p e r >  
                 < K e y w o r d M e t a d a t a W r a p p e r >  
                     < K e y w o r d > S A L E S _ N I G E R I A < / K e y w o r d >  
                     < K e y w o r d T y p e > C N T B < / K e y w o r d T y p e >  
                     < S h o r t D e s c > S a l e s   -   %   N i g e r i a 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 7 4 0 < / K e y w o r d O r d e r >  
                     < K e y w o r d S e c t i o n I d > 1 3 1 6 8 < / K e y w o r d S e c t i o n I d >  
                 < / K e y w o r d M e t a d a t a W r a p p e r >  
                 < K e y w o r d M e t a d a t a W r a p p e r >  
                     < K e y w o r d > S A L E S _ S O _ A F R I C A < / K e y w o r d >  
                     < K e y w o r d T y p e > C N T B < / K e y w o r d T y p e >  
                     < S h o r t D e s c > S a l e s   -   %   S o u t h   A f r i c a 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 7 6 0 < / K e y w o r d O r d e r >  
                     < K e y w o r d S e c t i o n I d > 1 3 1 6 8 < / K e y w o r d S e c t i o n I d >  
                 < / K e y w o r d M e t a d a t a W r a p p e r >  
                 < K e y w o r d M e t a d a t a W r a p p e r >  
                     < K e y w o r d > S A L E S _ O T H _ A F R I C A < / K e y w o r d >  
                     < K e y w o r d T y p e > C N T B < / K e y w o r d T y p e >  
                     < S h o r t D e s c > S a l e s   -   %   O t h e r   A f r i c a 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 7 8 0 < / K e y w o r d O r d e r >  
                     < K e y w o r d S e c t i o n I d > 1 3 1 6 8 < / K e y w o r d S e c t i o n I d >  
                 < / K e y w o r d M e t a d a t a W r a p p e r >  
                 < K e y w o r d M e t a d a t a W r a p p e r >  
                     < K e y w o r d > S A L E S _ H O N G _ K O N G < / K e y w o r d >  
                     < K e y w o r d T y p e > C N T B < / K e y w o r d T y p e >  
                     < S h o r t D e s c > S a l e s   -   %   H o n g   K o n g < / 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 8 0 0 < / K e y w o r d O r d e r >  
                     < K e y w o r d S e c t i o n I d > 1 3 1 6 8 < / K e y w o r d S e c t i o n I d >  
                 < / K e y w o r d M e t a d a t a W r a p p e r >  
                 < K e y w o r d M e t a d a t a W r a p p e r >  
                     < K e y w o r d > S A L E S _ J A P A N < / K e y w o r d >  
                     < K e y w o r d T y p e > C N T B < / K e y w o r d T y p e >  
                     < S h o r t D e s c > S a l e s   -   %   J a p a n 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 8 2 0 < / K e y w o r d O r d e r >  
                     < K e y w o r d S e c t i o n I d > 1 3 1 6 8 < / K e y w o r d S e c t i o n I d >  
                 < / K e y w o r d M e t a d a t a W r a p p e r >  
                 < K e y w o r d M e t a d a t a W r a p p e r >  
                     < K e y w o r d > S A L E S _ S I N G A P O R E < / K e y w o r d >  
                     < K e y w o r d T y p e > C N T B < / K e y w o r d T y p e >  
                     < S h o r t D e s c > S a l e s   -   %   S i n g a p o r e 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 8 4 0 < / K e y w o r d O r d e r >  
                     < K e y w o r d S e c t i o n I d > 1 3 1 6 8 < / K e y w o r d S e c t i o n I d >  
                 < / K e y w o r d M e t a d a t a W r a p p e r >  
                 < K e y w o r d M e t a d a t a W r a p p e r >  
                     < K e y w o r d > S A L E S _ S K < / K e y w o r d >  
                     < K e y w o r d T y p e > C N T B < / K e y w o r d T y p e >  
                     < S h o r t D e s c > S a l e s   -   %   S o u t h   K o r e a 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 8 6 0 < / K e y w o r d O r d e r >  
                     < K e y w o r d S e c t i o n I d > 1 3 1 6 8 < / K e y w o r d S e c t i o n I d >  
                 < / K e y w o r d M e t a d a t a W r a p p e r >  
                 < K e y w o r d M e t a d a t a W r a p p e r >  
                     < K e y w o r d > S A L E S _ T A I W A N < / K e y w o r d >  
                     < K e y w o r d T y p e > C N T B < / K e y w o r d T y p e >  
                     < S h o r t D e s c > S a l e s   -   %   T a i w a n 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 8 8 0 < / K e y w o r d O r d e r >  
                     < K e y w o r d S e c t i o n I d > 1 3 1 6 8 < / K e y w o r d S e c t i o n I d >  
                 < / K e y w o r d M e t a d a t a W r a p p e r >  
                 < K e y w o r d M e t a d a t a W r a p p e r >  
                     < K e y w o r d > S A L E S _ O T H _ D E V _ A S I A < / K e y w o r d >  
                     < K e y w o r d T y p e > C N T B < / K e y w o r d T y p e >  
                     < S h o r t D e s c > S a l e s   -   %   O t h e r   D e v e l o p e d   A s i a 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 9 0 0 < / K e y w o r d O r d e r >  
                     < K e y w o r d S e c t i o n I d > 1 3 1 6 8 < / K e y w o r d S e c t i o n I d >  
                 < / K e y w o r d M e t a d a t a W r a p p e r >  
                 < K e y w o r d M e t a d a t a W r a p p e r >  
                     < K e y w o r d > S A L E S _ C H I N A < / K e y w o r d >  
                     < K e y w o r d T y p e > C N T B < / K e y w o r d T y p e >  
                     < S h o r t D e s c > S a l e s   -   %   C h i n a 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 9 2 0 < / K e y w o r d O r d e r >  
                     < K e y w o r d S e c t i o n I d > 1 3 1 6 8 < / K e y w o r d S e c t i o n I d >  
                 < / K e y w o r d M e t a d a t a W r a p p e r >  
                 < K e y w o r d M e t a d a t a W r a p p e r >  
                     < K e y w o r d > S A L E S _ I N D I A < / K e y w o r d >  
                     < K e y w o r d T y p e > C N T B < / K e y w o r d T y p e >  
                     < S h o r t D e s c > S a l e s   -   %   I n d i a 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 9 4 0 < / K e y w o r d O r d e r >  
                     < K e y w o r d S e c t i o n I d > 1 3 1 6 8 < / K e y w o r d S e c t i o n I d >  
                 < / K e y w o r d M e t a d a t a W r a p p e r >  
                 < K e y w o r d M e t a d a t a W r a p p e r >  
                     < K e y w o r d > S A L E S _ I N D O N E S I A < / K e y w o r d >  
                     < K e y w o r d T y p e > C N T B < / K e y w o r d T y p e >  
                     < S h o r t D e s c > S a l e s   -   %   I n d o n e s i a 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 9 6 0 < / K e y w o r d O r d e r >  
                     < K e y w o r d S e c t i o n I d > 1 3 1 6 8 < / K e y w o r d S e c t i o n I d >  
                 < / K e y w o r d M e t a d a t a W r a p p e r >  
                 < K e y w o r d M e t a d a t a W r a p p e r >  
                     < K e y w o r d > S A L E S _ T H A I L A N D < / K e y w o r d >  
                     < K e y w o r d T y p e > C N T B < / K e y w o r d T y p e >  
                     < S h o r t D e s c > S a l e s   -   %   T h a i l a n d 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 9 8 0 < / K e y w o r d O r d e r >  
                     < K e y w o r d S e c t i o n I d > 1 3 1 6 8 < / K e y w o r d S e c t i o n I d >  
                 < / K e y w o r d M e t a d a t a W r a p p e r >  
                 < K e y w o r d M e t a d a t a W r a p p e r >  
                     < K e y w o r d > S A L E S _ O T H _ E M E R G _ A S I A < / K e y w o r d >  
                     < K e y w o r d T y p e > C N T B < / K e y w o r d T y p e >  
                     < S h o r t D e s c > S a l e s   -   %   O t h e r   E m e r g i n g   A s i a 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 1 0 0 0 < / K e y w o r d O r d e r >  
                     < K e y w o r d S e c t i o n I d > 1 3 1 6 8 < / K e y w o r d S e c t i o n I d >  
                 < / K e y w o r d M e t a d a t a W r a p p e r >  
                 < K e y w o r d M e t a d a t a W r a p p e r >  
                     < K e y w o r d > S A L E S _ A U S T R A < / K e y w o r d >  
                     < K e y w o r d T y p e > C N T B < / K e y w o r d T y p e >  
                     < S h o r t D e s c > S a l e s   -   %   A u s t r a l i a 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 1 0 2 0 < / K e y w o r d O r d e r >  
                     < K e y w o r d S e c t i o n I d > 1 3 1 6 8 < / K e y w o r d S e c t i o n I d >  
                 < / K e y w o r d M e t a d a t a W r a p p e r >  
                 < K e y w o r d M e t a d a t a W r a p p e r >  
                     < K e y w o r d > S A L E S _ N Z < / K e y w o r d >  
                     < K e y w o r d T y p e > C N T B < / K e y w o r d T y p e >  
                     < S h o r t D e s c > S a l e s   -   %   N e w   Z e a l a n d 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 1 0 4 0 < / K e y w o r d O r d e r >  
                     < K e y w o r d S e c t i o n I d > 1 3 1 6 8 < / K e y w o r d S e c t i o n I d >  
                 < / K e y w o r d M e t a d a t a W r a p p e r >  
                 < K e y w o r d M e t a d a t a W r a p p e r >  
                     < K e y w o r d > S A L E S _ O T H E R < / K e y w o r d >  
                     < K e y w o r d T y p e > C N T B < / K e y w o r d T y p e >  
                     < S h o r t D e s c > S a l e s   -   %   O t h e r s 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 1 0 6 0 < / K e y w o r d O r d e r >  
                     < K e y w o r d S e c t i o n I d > 1 3 1 6 8 < / K e y w o r d S e c t i o n I d >  
                 < / K e y w o r d M e t a d a t a W r a p p e r >  
                 < K e y w o r d M e t a d a t a W r a p p e r >  
                     < K e y w o r d > C O G S _ P C T _ U S < / K e y w o r d >  
                     < K e y w o r d T y p e > C N T B < / K e y w o r d T y p e >  
                     < S h o r t D e s c > %   o f   C o G S   f r o m   U . S .   ( G S   e s t i m a t e ) < / 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 1 0 6 5 < / K e y w o r d O r d e r >  
                     < K e y w o r d S e c t i o n I d > 1 3 1 6 8 < / K e y w o r d S e c t i o n I d >  
                 < / K e y w o r d M e t a d a t a W r a p p e r >  
                 < K e y w o r d M e t a d a t a W r a p p e r >  
                     < K e y w o r d > C O G S _ P C T _ R O W < / K e y w o r d >  
                     < K e y w o r d T y p e > C N T B < / K e y w o r d T y p e >  
                     < S h o r t D e s c > %   o f   C o G S   f r o m   n o n - U . S .   ( G S   e s t i m a t e ) < / 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 1 0 6 8 < / K e y w o r d O r d e r >  
                     < K e y w o r d S e c t i o n I d > 1 3 1 6 8 < / K e y w o r d S e c t i o n I d >  
                 < / K e y w o r d M e t a d a t a W r a p p e r >  
                 < K e y w o r d M e t a d a t a W r a p p e r >  
                     < K e y w o r d > S G A _ P C T _ U S < / K e y w o r d >  
                     < K e y w o r d T y p e > C N T B < / K e y w o r d T y p e >  
                     < S h o r t D e s c > %   o f   S G & a m p ; A   f r o m   U . S .   ( G S   e s t i m a t e ) < / 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 1 0 7 0 < / K e y w o r d O r d e r >  
                     < K e y w o r d S e c t i o n I d > 1 3 1 6 8 < / K e y w o r d S e c t i o n I d >  
                 < / K e y w o r d M e t a d a t a W r a p p e r >  
                 < K e y w o r d M e t a d a t a W r a p p e r >  
                     < K e y w o r d > S G A _ P C T _ R O W < / K e y w o r d >  
                     < K e y w o r d T y p e > C N T B < / K e y w o r d T y p e >  
                     < S h o r t D e s c > %   o f   S G & a m p ; A   f r o m   n o n - U . S .   ( G S   e s t i m a t e ) < / S h o r t D e s c >  
                     < E n t i t y T y p e > I S S R < / 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 1 0 7 2 < / K e y w o r d O r d e r >  
                     < K e y w o r d S e c t i o n I d > 1 3 1 6 8 < / K e y w o r d S e c t i o n I d >  
                 < / K e y w o r d M e t a d a t a W r a p p e r >  
                 < K e y w o r d M e t a d a t a W r a p p e r >  
                     < K e y w o r d > S A L E S _ C O N S < / K e y w o r d >  
                     < K e y w o r d T y p e > C N T B < / K e y w o r d T y p e >  
                     < S h o r t D e s c > S a l e s   - %   C o n s u m e r   ( C ) < / 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 1 0 8 0 < / K e y w o r d O r d e r >  
                     < K e y w o r d S e c t i o n I d > 1 3 1 6 8 < / K e y w o r d S e c t i o n I d >  
                 < / K e y w o r d M e t a d a t a W r a p p e r >  
                 < K e y w o r d M e t a d a t a W r a p p e r >  
                     < K e y w o r d > S A L E S _ I N D < / K e y w o r d >  
                     < K e y w o r d T y p e > C N T B < / K e y w o r d T y p e >  
                     < S h o r t D e s c > S a l e s   - %   I n d u s t r y   ( I ) < / 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 1 1 0 0 < / K e y w o r d O r d e r >  
                     < K e y w o r d S e c t i o n I d > 1 3 1 6 8 < / K e y w o r d S e c t i o n I d >  
                 < / K e y w o r d M e t a d a t a W r a p p e r >  
                 < K e y w o r d M e t a d a t a W r a p p e r >  
                     < K e y w o r d > S A L E S _ G O V < / K e y w o r d >  
                     < K e y w o r d T y p e > C N T B < / K e y w o r d T y p e >  
                     < S h o r t D e s c > S a l e s   - %   G o v e r n m e n t   ( G ) < / 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 1 1 2 0 < / K e y w o r d O r d e r >  
                     < K e y w o r d S e c t i o n I d > 1 3 1 6 8 < / K e y w o r d S e c t i o n I d >  
                 < / K e y w o r d M e t a d a t a W r a p p e r >  
                 < K e y w o r d M e t a d a t a W r a p p e r >  
                     < K e y w o r d > S A L E S _ F I N A N < / K e y w o r d >  
                     < K e y w o r d T y p e > C N T B < / K e y w o r d T y p e >  
                     < S h o r t D e s c > S a l e s   -   %   I n d u s t r y   S u b - S e g m e n t :   F i n a n c i a l   S e r v i c e s 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 1 1 4 0 < / K e y w o r d O r d e r >  
                     < K e y w o r d S e c t i o n I d > 1 3 1 6 8 < / K e y w o r d S e c t i o n I d >  
                 < / K e y w o r d M e t a d a t a W r a p p e r >  
                 < K e y w o r d M e t a d a t a W r a p p e r >  
                     < K e y w o r d > S A L E S _ O I L _ G A S < / K e y w o r d >  
                     < K e y w o r d T y p e > C N T B < / K e y w o r d T y p e >  
                     < S h o r t D e s c > S a l e s   -   %   I n d u s t r y   S u b - S e g m e n t :   O i l   & a m p ;   G a s 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 1 1 6 0 < / K e y w o r d O r d e r >  
                     < K e y w o r d S e c t i o n I d > 1 3 1 6 8 < / K e y w o r d S e c t i o n I d >  
                 < / K e y w o r d M e t a d a t a W r a p p e r >  
                 < K e y w o r d M e t a d a t a W r a p p e r >  
                     < K e y w o r d > E X P _ O I L _ P E T R O _ F U E L < / K e y w o r d >  
                     < K e y w o r d T y p e > C N T B < / K e y w o r d T y p e >  
                     < S h o r t D e s c > E x p e n s e   -   %   O i l / P e t r o l / F u e l < / 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 4 4 0 0 < / K e y w o r d O r d e r >  
                     < K e y w o r d S e c t i o n I d > 1 3 1 6 T < / K e y w o r d S e c t i o n I d >  
                 < / K e y w o r d M e t a d a t a W r a p p e r >  
                 < K e y w o r d M e t a d a t a W r a p p e r >  
                     < K e y w o r d > E X P _ O I L _ D E R I V _ N G L S _ P L A S T I C S < / K e y w o r d >  
                     < K e y w o r d T y p e > C N T B < / K e y w o r d T y p e >  
                     < S h o r t D e s c > E x p e n s e   -   %   O i l   d e r i v a t i v e s / N G L s / p l a s t i c s 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 4 5 0 0 < / K e y w o r d O r d e r >  
                     < K e y w o r d S e c t i o n I d > 1 3 1 6 T < / K e y w o r d S e c t i o n I d >  
                 < / K e y w o r d M e t a d a t a W r a p p e r >  
                 < K e y w o r d M e t a d a t a W r a p p e r >  
                     < K e y w o r d > E X P _ G O L D < / K e y w o r d >  
                     < K e y w o r d T y p e > C N T B < / K e y w o r d T y p e >  
                     < S h o r t D e s c > E x p e n s e   -   %   G o l d 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 4 7 0 0 < / K e y w o r d O r d e r >  
                     < K e y w o r d S e c t i o n I d > 1 3 1 6 T < / K e y w o r d S e c t i o n I d >  
                 < / K e y w o r d M e t a d a t a W r a p p e r >  
                 < K e y w o r d M e t a d a t a W r a p p e r >  
                     < K e y w o r d > E X P _ C O P P E R < / K e y w o r d >  
                     < K e y w o r d T y p e > C N T B < / K e y w o r d T y p e >  
                     < S h o r t D e s c > E x p e n s e   -   %   C o p p e r < / 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 4 8 0 0 < / K e y w o r d O r d e r >  
                     < K e y w o r d S e c t i o n I d > 1 3 1 6 T < / K e y w o r d S e c t i o n I d >  
                 < / K e y w o r d M e t a d a t a W r a p p e r >  
                 < K e y w o r d M e t a d a t a W r a p p e r >  
                     < K e y w o r d > E X P _ S I L V E R < / K e y w o r d >  
                     < K e y w o r d T y p e > C N T B < / K e y w o r d T y p e >  
                     < S h o r t D e s c > E x p e n s e   -   %   S i l v e r < / 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 4 9 0 0 < / K e y w o r d O r d e r >  
                     < K e y w o r d S e c t i o n I d > 1 3 1 6 T < / K e y w o r d S e c t i o n I d >  
                 < / K e y w o r d M e t a d a t a W r a p p e r >  
                 < K e y w o r d M e t a d a t a W r a p p e r >  
                     < K e y w o r d > E X P _ P L A T I N U M < / K e y w o r d >  
                     < K e y w o r d T y p e > C N T B < / K e y w o r d T y p e >  
                     < S h o r t D e s c > E x p e n s e   -   %   P l a t i n u m < / 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 5 0 0 0 < / K e y w o r d O r d e r >  
                     < K e y w o r d S e c t i o n I d > 1 3 1 6 T < / K e y w o r d S e c t i o n I d >  
                 < / K e y w o r d M e t a d a t a W r a p p e r >  
                 < K e y w o r d M e t a d a t a W r a p p e r >  
                     < K e y w o r d > E X P _ P A L L A D I U M < / K e y w o r d >  
                     < K e y w o r d T y p e > C N T B < / K e y w o r d T y p e >  
                     < S h o r t D e s c > E x p e n s e   -   %   P a l l a d i u m < / 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 5 1 0 0 < / K e y w o r d O r d e r >  
                     < K e y w o r d S e c t i o n I d > 1 3 1 6 T < / K e y w o r d S e c t i o n I d >  
                 < / K e y w o r d M e t a d a t a W r a p p e r >  
                 < K e y w o r d M e t a d a t a W r a p p e r >  
                     < K e y w o r d > E X P _ A L U M I N I U M < / K e y w o r d >  
                     < K e y w o r d T y p e > C N T B < / K e y w o r d T y p e >  
                     < S h o r t D e s c > E x p e n s e   -   %   A l u m i n i u m < / 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 5 2 0 0 < / K e y w o r d O r d e r >  
                     < K e y w o r d S e c t i o n I d > 1 3 1 6 T < / K e y w o r d S e c t i o n I d >  
                 < / K e y w o r d M e t a d a t a W r a p p e r >  
                 < K e y w o r d M e t a d a t a W r a p p e r >  
                     < K e y w o r d > E X P _ N I C K E L < / K e y w o r d >  
                     < K e y w o r d T y p e > C N T B < / K e y w o r d T y p e >  
                     < S h o r t D e s c > E x p e n s e   -   %   N i c k e l < / 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 5 3 0 0 < / K e y w o r d O r d e r >  
                     < K e y w o r d S e c t i o n I d > 1 3 1 6 T < / K e y w o r d S e c t i o n I d >  
                 < / K e y w o r d M e t a d a t a W r a p p e r >  
                 < K e y w o r d M e t a d a t a W r a p p e r >  
                     < K e y w o r d > E X P _ Z I N C < / K e y w o r d >  
                     < K e y w o r d T y p e > C N T B < / K e y w o r d T y p e >  
                     < S h o r t D e s c > E x p e n s e   -   %   Z i n c < / 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 5 4 0 0 < / K e y w o r d O r d e r >  
                     < K e y w o r d S e c t i o n I d > 1 3 1 6 T < / K e y w o r d S e c t i o n I d >  
                 < / K e y w o r d M e t a d a t a W r a p p e r >  
                 < K e y w o r d M e t a d a t a W r a p p e r >  
                     < K e y w o r d > E X P _ P A P E R _ P U L P < / K e y w o r d >  
                     < K e y w o r d T y p e > C N T B < / K e y w o r d T y p e >  
                     < S h o r t D e s c > E x p e n s e   -   %   P a p e r / p u l p < / 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 6 2 0 0 < / K e y w o r d O r d e r >  
                     < K e y w o r d S e c t i o n I d > 1 3 1 6 T < / K e y w o r d S e c t i o n I d >  
                 < / K e y w o r d M e t a d a t a W r a p p e r >  
                 < K e y w o r d M e t a d a t a W r a p p e r >  
                     < K e y w o r d > E X P _ G L A S S < / K e y w o r d >  
                     < K e y w o r d T y p e > C N T B < / K e y w o r d T y p e >  
                     < S h o r t D e s c > E x p e n s e   -   %   G l a s s 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 6 4 0 0 < / K e y w o r d O r d e r >  
                     < K e y w o r d S e c t i o n I d > 1 3 1 6 T < / K e y w o r d S e c t i o n I d >  
                 < / K e y w o r d M e t a d a t a W r a p p e r >  
                 < K e y w o r d M e t a d a t a W r a p p e r >  
                     < K e y w o r d > E X P _ W A T E R < / K e y w o r d >  
                     < K e y w o r d T y p e > C N T B < / K e y w o r d T y p e >  
                     < S h o r t D e s c > E x p e n s e   -   %   W a t e r < / 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 8 5 0 0 < / K e y w o r d O r d e r >  
                     < K e y w o r d S e c t i o n I d > 1 3 1 6 T < / K e y w o r d S e c t i o n I d >  
                 < / K e y w o r d M e t a d a t a W r a p p e r >  
                 < K e y w o r d M e t a d a t a W r a p p e r >  
                     < K e y w o r d > E X P _ O T H _ C O M M O D I T Y < / K e y w o r d >  
                     < K e y w o r d T y p e > C N T B < / K e y w o r d T y p e >  
                     < S h o r t D e s c > E x p e n s e   -   %   O t h e r   c o m m o d i t y 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 8 6 0 0 < / K e y w o r d O r d e r >  
                     < K e y w o r d S e c t i o n I d > 1 3 1 6 T < / K e y w o r d S e c t i o n I d >  
                 < / K e y w o r d M e t a d a t a W r a p p e r >  
                 < K e y w o r d M e t a d a t a W r a p p e r >  
                     < K e y w o r d > E X P _ O T H _ C O S T < / K e y w o r d >  
                     < K e y w o r d T y p e > C N T B < / K e y w o r d T y p e >  
                     < S h o r t D e s c > E x p e n s e   -   %   O t h e r   ( N o n - C o m m o d i t y )   c o s t < / 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 8 7 0 0 < / K e y w o r d O r d e r >  
                     < K e y w o r d S e c t i o n I d > 1 3 1 6 T < / K e y w o r d S e c t i o n I d >  
                 < / K e y w o r d M e t a d a t a W r a p p e r >  
                 < K e y w o r d M e t a d a t a W r a p p e r >  
                     < K e y w o r d > S A L E S _ F X _ G P B < / K e y w o r d >  
                     < K e y w o r d T y p e > C N T B < / K e y w o r d T y p e >  
                     < S h o r t D e s c > S a l e s   -   %   F X :   B r i t i s h   P o u n d s / P e n c e 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 1 0 0 < / K e y w o r d O r d e r >  
                     < K e y w o r d S e c t i o n I d > 1 3 1 6 U < / K e y w o r d S e c t i o n I d >  
                 < / K e y w o r d M e t a d a t a W r a p p e r >  
                 < K e y w o r d M e t a d a t a W r a p p e r >  
                     < K e y w o r d > S A L E S _ F X _ E U R < / K e y w o r d >  
                     < K e y w o r d T y p e > C N T B < / K e y w o r d T y p e >  
                     < S h o r t D e s c > S a l e s   -   %   F X :   E u r o < / 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 2 0 0 < / K e y w o r d O r d e r >  
                     < K e y w o r d S e c t i o n I d > 1 3 1 6 U < / K e y w o r d S e c t i o n I d >  
                 < / K e y w o r d M e t a d a t a W r a p p e r >  
                 < K e y w o r d M e t a d a t a W r a p p e r >  
                     < K e y w o r d > S A L E S _ F X _ R U B < / K e y w o r d >  
                     < K e y w o r d T y p e > C N T B < / K e y w o r d T y p e >  
                     < S h o r t D e s c > S a l e s   -   %   F X :   N e w   R u s s i a n   R u b l e 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 3 0 0 < / K e y w o r d O r d e r >  
                     < K e y w o r d S e c t i o n I d > 1 3 1 6 U < / K e y w o r d S e c t i o n I d >  
                 < / K e y w o r d M e t a d a t a W r a p p e r >  
                 < K e y w o r d M e t a d a t a W r a p p e r >  
                     < K e y w o r d > S A L E S _ F X _ U S D < / K e y w o r d >  
                     < K e y w o r d T y p e > C N T B < / K e y w o r d T y p e >  
                     < S h o r t D e s c > S a l e s   -   %   F X :   U . S .   D o l l a r < / 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 4 0 0 < / K e y w o r d O r d e r >  
                     < K e y w o r d S e c t i o n I d > 1 3 1 6 U < / K e y w o r d S e c t i o n I d >  
                 < / K e y w o r d M e t a d a t a W r a p p e r >  
                 < K e y w o r d M e t a d a t a W r a p p e r >  
                     < K e y w o r d > S A L E S _ F X _ B R L < / K e y w o r d >  
                     < K e y w o r d T y p e > C N T B < / K e y w o r d T y p e >  
                     < S h o r t D e s c > S a l e s   -   %   F X :   B r a z i l i a n   R e a l < / 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 5 0 0 < / K e y w o r d O r d e r >  
                     < K e y w o r d S e c t i o n I d > 1 3 1 6 U < / K e y w o r d S e c t i o n I d >  
                 < / K e y w o r d M e t a d a t a W r a p p e r >  
                 < K e y w o r d M e t a d a t a W r a p p e r >  
                     < K e y w o r d > S A L E S _ F X _ Y E N < / K e y w o r d >  
                     < K e y w o r d T y p e > C N T B < / K e y w o r d T y p e >  
                     < S h o r t D e s c > S a l e s   -   %   F X :   J a p a n e s e   Y e n 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 6 0 0 < / K e y w o r d O r d e r >  
                     < K e y w o r d S e c t i o n I d > 1 3 1 6 U < / K e y w o r d S e c t i o n I d >  
                 < / K e y w o r d M e t a d a t a W r a p p e r >  
                 < K e y w o r d M e t a d a t a W r a p p e r >  
                     < K e y w o r d > S A L E S _ F X _ C N Y < / K e y w o r d >  
                     < K e y w o r d T y p e > C N T B < / K e y w o r d T y p e >  
                     < S h o r t D e s c > S a l e s   -   %   F X :   C h i n e s e   R e n m i n b i < / 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 7 0 0 < / K e y w o r d O r d e r >  
                     < K e y w o r d S e c t i o n I d > 1 3 1 6 U < / K e y w o r d S e c t i o n I d >  
                 < / K e y w o r d M e t a d a t a W r a p p e r >  
                 < K e y w o r d M e t a d a t a W r a p p e r >  
                     < K e y w o r d > S A L E S _ F X _ I N R < / K e y w o r d >  
                     < K e y w o r d T y p e > C N T B < / K e y w o r d T y p e >  
                     < S h o r t D e s c > S a l e s   -   %   F X :   I n d i a n   R u p e e 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 8 0 0 < / K e y w o r d O r d e r >  
                     < K e y w o r d S e c t i o n I d > 1 3 1 6 U < / K e y w o r d S e c t i o n I d >  
                 < / K e y w o r d M e t a d a t a W r a p p e r >  
                 < K e y w o r d M e t a d a t a W r a p p e r >  
                     < K e y w o r d > S A L E S _ F X _ K R W < / K e y w o r d >  
                     < K e y w o r d T y p e > C N T B < / K e y w o r d T y p e >  
                     < S h o r t D e s c > S a l e s   -   %   F X :   S o u t h   K o r e a n   W o n < / 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 2 0 0 0 < / K e y w o r d O r d e r >  
                     < K e y w o r d S e c t i o n I d > 1 3 1 6 U < / K e y w o r d S e c t i o n I d >  
                 < / K e y w o r d M e t a d a t a W r a p p e r >  
                 < K e y w o r d M e t a d a t a W r a p p e r >  
                     < K e y w o r d > S A L E S _ F X _ T W D < / K e y w o r d >  
                     < K e y w o r d T y p e > C N T B < / K e y w o r d T y p e >  
                     < S h o r t D e s c > S a l e s   -   %   F X :   T a i w a n   D o l l a r < / 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 2 1 0 0 < / K e y w o r d O r d e r >  
                     < K e y w o r d S e c t i o n I d > 1 3 1 6 U < / K e y w o r d S e c t i o n I d >  
                 < / K e y w o r d M e t a d a t a W r a p p e r >  
                 < K e y w o r d M e t a d a t a W r a p p e r >  
                     < K e y w o r d > S A L E S _ F X _ O T H < / K e y w o r d >  
                     < K e y w o r d T y p e > C N T B < / K e y w o r d T y p e >  
                     < S h o r t D e s c > S a l e s   -   %   F X :   O t h e r   C u r r e n c y < / 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 2 6 0 0 < / K e y w o r d O r d e r >  
                     < K e y w o r d S e c t i o n I d > 1 3 1 6 U < / K e y w o r d S e c t i o n I d >  
                 < / K e y w o r d M e t a d a t a W r a p p e r >  
                 < K e y w o r d M e t a d a t a W r a p p e r >  
                     < K e y w o r d > S A L E S _ T O T _ A M < / K e y w o r d >  
                     < K e y w o r d T y p e > C N T B < / K e y w o r d T y p e >  
                     < S h o r t D e s c > S a l e s   -   T o t a l   %   A m e r i c a s 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 1 0 0 < / K e y w o r d O r d e r >  
                     < K e y w o r d S e c t i o n I d > 1 3 6 E < / K e y w o r d S e c t i o n I d >  
                 < / K e y w o r d M e t a d a t a W r a p p e r >  
                 < K e y w o r d M e t a d a t a W r a p p e r >  
                     < K e y w o r d > S A L E S _ O T H _ A M < / K e y w o r d >  
                     < K e y w o r d T y p e > C N T B < / K e y w o r d T y p e >  
                     < S h o r t D e s c > S a l e s   -   %   O t h e r   A m e r i c a s < / 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 1 5 0 < / K e y w o r d O r d e r >  
                     < K e y w o r d S e c t i o n I d > 1 3 6 E < / K e y w o r d S e c t i o n I d >  
                 < / K e y w o r d M e t a d a t a W r a p p e r >  
                 < K e y w o r d M e t a d a t a W r a p p e r >  
                     < K e y w o r d > S A L E S _ T O T _ E M E A < / K e y w o r d >  
                     < K e y w o r d T y p e > C N T B < / K e y w o r d T y p e >  
                     < S h o r t D e s c > S a l e s   -   T o t a l   %   E M E A 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 2 5 0 < / K e y w o r d O r d e r >  
                     < K e y w o r d S e c t i o n I d > 1 3 6 E < / K e y w o r d S e c t i o n I d >  
                 < / K e y w o r d M e t a d a t a W r a p p e r >  
                 < K e y w o r d M e t a d a t a W r a p p e r >  
                     < K e y w o r d > S A L E S _ E U _ E X _ U K < / K e y w o r d >  
                     < K e y w o r d T y p e > C N T B < / K e y w o r d T y p e >  
                     < S h o r t D e s c > S a l e s   -   %   W e s t e r n   E u r o p e - E x   U K < / 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 3 0 0 < / K e y w o r d O r d e r >  
                     < K e y w o r d S e c t i o n I d > 1 3 6 E < / K e y w o r d S e c t i o n I d >  
                 < / K e y w o r d M e t a d a t a W r a p p e r >  
                 < K e y w o r d M e t a d a t a W r a p p e r >  
                     < K e y w o r d > S A L E S _ C E E < / K e y w o r d >  
                     < K e y w o r d T y p e > C N T B < / K e y w o r d T y p e >  
                     < S h o r t D e s c > S a l e s   -   %   C e n t r a l   & a m p ;   E a s t e r n   E u r o p e < / 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 4 0 0 < / K e y w o r d O r d e r >  
                     < K e y w o r d S e c t i o n I d > 1 3 6 E < / K e y w o r d S e c t i o n I d >  
                 < / K e y w o r d M e t a d a t a W r a p p e r >  
                 < K e y w o r d M e t a d a t a W r a p p e r >  
                     < K e y w o r d > S A L E S _ M E < / K e y w o r d >  
                     < K e y w o r d T y p e > C N T B < / K e y w o r d T y p e >  
                     < S h o r t D e s c > S a l e s   -   %   M i d d l e   E a s t < / 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 4 5 0 < / K e y w o r d O r d e r >  
                     < K e y w o r d S e c t i o n I d > 1 3 6 E < / K e y w o r d S e c t i o n I d >  
                 < / K e y w o r d M e t a d a t a W r a p p e r >  
                 < K e y w o r d M e t a d a t a W r a p p e r >  
                     < K e y w o r d > S A L E S _ T O T _ A F R I C A < / K e y w o r d >  
                     < K e y w o r d T y p e > C N T B < / K e y w o r d T y p e >  
                     < S h o r t D e s c > S a l e s   -   %   T o t a l   A f r i c a 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 5 0 0 < / K e y w o r d O r d e r >  
                     < K e y w o r d S e c t i o n I d > 1 3 6 E < / K e y w o r d S e c t i o n I d >  
                 < / K e y w o r d M e t a d a t a W r a p p e r >  
                 < K e y w o r d M e t a d a t a W r a p p e r >  
                     < K e y w o r d > S A L E S _ O T H _ E M E A < / K e y w o r d >  
                     < K e y w o r d T y p e > C N T B < / K e y w o r d T y p e >  
                     < S h o r t D e s c > S a l e s   -   %   O t h e r   E M E A 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 5 5 0 < / K e y w o r d O r d e r >  
                     < K e y w o r d S e c t i o n I d > 1 3 6 E < / K e y w o r d S e c t i o n I d >  
                 < / K e y w o r d M e t a d a t a W r a p p e r >  
                 < K e y w o r d M e t a d a t a W r a p p e r >  
                     < K e y w o r d > S A L E S _ T O T _ A S I A < / K e y w o r d >  
                     < K e y w o r d T y p e > C N T B < / K e y w o r d T y p e >  
                     < S h o r t D e s c > S a l e s   -   T o t a l   %   A s i a   ( i n c l   A u s t r a l i a   & a m p ;   N e w   Z e a l a n d ) < / 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 6 0 0 < / K e y w o r d O r d e r >  
                     < K e y w o r d S e c t i o n I d > 1 3 6 E < / K e y w o r d S e c t i o n I d >  
                 < / K e y w o r d M e t a d a t a W r a p p e r >  
                 < K e y w o r d M e t a d a t a W r a p p e r >  
                     < K e y w o r d > S A L E S _ O T H _ A E J < / K e y w o r d >  
                     < K e y w o r d T y p e > C N T B < / K e y w o r d T y p e >  
                     < S h o r t D e s c > S a l e s   -   %   O t h e r   A s i a < / S h o r t D e s c >  
                     < E n t i t y T y p e > I S S R < / 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 6 5 0 < / K e y w o r d O r d e r >  
                     < K e y w o r d S e c t i o n I d > 1 3 6 E < / K e y w o r d S e c t i o n I d >  
                 < / K e y w o r d M e t a d a t a W r a p p e r >  
             < / T e m p l a t e K e y w o r d s >  
             < T e m p l a t e S e c t i o n s >  
                 < K e y w o r d S e c t i o n W r a p p e r >  
                     < S e c t i o n I d > 1 3 A < / S e c t i o n I d >  
                     < D i s p l a y N a m e > G e n e r a l   I n f o r m a t i o n < / D i s p l a y N a m e >  
                     < D i s p l a y O r d e r > 5 < / D i s p l a y O r d e r >  
                     < P a r e n t I d / >  
                 < / K e y w o r d S e c t i o n W r a p p e r >  
                 < K e y w o r d S e c t i o n W r a p p e r >  
                     < S e c t i o n I d > 1 3 U < / S e c t i o n I d >  
                     < D i s p l a y N a m e > I n c o m e   S t a t e m e n t < / D i s p l a y N a m e >  
                     < D i s p l a y O r d e r > 4 5 < / D i s p l a y O r d e r >  
                     < P a r e n t I d / >  
                 < / K e y w o r d S e c t i o n W r a p p e r >  
                 < K e y w o r d S e c t i o n W r a p p e r >  
                     < S e c t i o n I d > 1 3 V < / S e c t i o n I d >  
                     < D i s p l a y N a m e > A d d i t i o n a l   I n c o m e   S t a t e m e n t   I t e m s < / D i s p l a y N a m e >  
                     < D i s p l a y O r d e r > 5 0 < / D i s p l a y O r d e r >  
                     < P a r e n t I d > 1 3 U < / P a r e n t I d >  
                 < / K e y w o r d S e c t i o n W r a p p e r >  
                 < K e y w o r d S e c t i o n W r a p p e r >  
                     < S e c t i o n I d > 1 3 1 4 < / S e c t i o n I d >  
                     < D i s p l a y N a m e > B a l a n c e   S h e e t < / D i s p l a y N a m e >  
                     < D i s p l a y O r d e r > 8 5 < / D i s p l a y O r d e r >  
                     < P a r e n t I d / >  
                 < / K e y w o r d S e c t i o n W r a p p e r >  
                 < K e y w o r d S e c t i o n W r a p p e r >  
                     < S e c t i o n I d > 1 3 1 9 < / S e c t i o n I d >  
                     < D i s p l a y N a m e > A d d i t i o n a l   B a l a n c e   S h e e t   I t e m s < / D i s p l a y N a m e >  
                     < D i s p l a y O r d e r > 9 0 < / D i s p l a y O r d e r >  
                     < P a r e n t I d > 1 3 1 4 < / P a r e n t I d >  
                 < / K e y w o r d S e c t i o n W r a p p e r >  
                 < K e y w o r d S e c t i o n W r a p p e r >  
                     < S e c t i o n I d > 1 3 1 E < / S e c t i o n I d >  
                     < D i s p l a y N a m e > C a s h   F l o w   S t a t e m e n t < / D i s p l a y N a m e >  
                     < D i s p l a y O r d e r > 1 0 0 < / D i s p l a y O r d e r >  
                     < P a r e n t I d / >  
                 < / K e y w o r d S e c t i o n W r a p p e r >  
                 < K e y w o r d S e c t i o n W r a p p e r >  
                     < S e c t i o n I d > 1 3 1 J < / S e c t i o n I d >  
                     < D i s p l a y N a m e > A d d i t i o n a l   C a s h   F l o w   I t e m s < / D i s p l a y N a m e >  
                     < D i s p l a y O r d e r > 1 0 5 < / D i s p l a y O r d e r >  
                     < P a r e n t I d > 1 3 1 4 < / P a r e n t I d >  
                 < / K e y w o r d S e c t i o n W r a p p e r >  
                 < K e y w o r d S e c t i o n W r a p p e r >  
                     < S e c t i o n I d > 1 3 1 O < / S e c t i o n I d >  
                     < D i s p l a y N a m e > O t h e r   I t e m s < / D i s p l a y N a m e >  
                     < D i s p l a y O r d e r > 1 1 5 < / D i s p l a y O r d e r >  
                     < P a r e n t I d / >  
                 < / K e y w o r d S e c t i o n W r a p p e r >  
                 < K e y w o r d S e c t i o n W r a p p e r >  
                     < S e c t i o n I d > 1 3 1 6 8 < / S e c t i o n I d >  
                     < D i s p l a y N a m e > G e o g r a p h i c a l   B r e a k d o w n < / D i s p l a y N a m e >  
                     < D i s p l a y O r d e r > 3 0 7 < / D i s p l a y O r d e r >  
                     < P a r e n t I d / >  
                 < / K e y w o r d S e c t i o n W r a p p e r >  
                 < K e y w o r d S e c t i o n W r a p p e r >  
                     < S e c t i o n I d > 1 3 1 6 T < / S e c t i o n I d >  
                     < D i s p l a y N a m e > C o m m o d i t i e s   E x p o s u r e   -   E x p e n s e < / D i s p l a y N a m e >  
                     < D i s p l a y O r d e r > 7 2 0 < / D i s p l a y O r d e r >  
                     < P a r e n t I d / >  
                 < / K e y w o r d S e c t i o n W r a p p e r >  
                 < K e y w o r d S e c t i o n W r a p p e r >  
                     < S e c t i o n I d > 1 3 1 6 U < / S e c t i o n I d >  
                     < D i s p l a y N a m e > F X   E x p o s u r e   -   S a l e s < / D i s p l a y N a m e >  
                     < D i s p l a y O r d e r > 7 5 0 < / D i s p l a y O r d e r >  
                     < P a r e n t I d / >  
                 < / K e y w o r d S e c t i o n W r a p p e r >  
                 < K e y w o r d S e c t i o n W r a p p e r >  
                     < S e c t i o n I d > 1 3 6 E < / S e c t i o n I d >  
                     < D i s p l a y N a m e > I t e m s   t o   b e   r e m o v e d < / D i s p l a y N a m e >  
                     < D i s p l a y O r d e r > 7 8 0 < / D i s p l a y O r d e r >  
                     < P a r e n t I d / >  
                 < / K e y w o r d S e c t i o n W r a p p e r >  
             < / T e m p l a t e S e c t i o n s >  
             < R e f D a t a >  
                 < R e f D a t a I t e m W r a p p e r >  
                     < L a b e l > I s s u e r   N a m e < / L a b e l >  
                     < V a l u e > S M I C < / V a l u e >  
                     < K e y w o r d / >  
                 < / R e f D a t a I t e m W r a p p e r >  
                 < R e f D a t a I t e m W r a p p e r >  
                     < L a b e l > R e p o r t i n g   C u r r e n c y < / L a b e l >  
                     < V a l u e > U S D < / V a l u e >  
                     < K e y w o r d > C U R R E N C Y _ I S O < / K e y w o r d >  
                 < / R e f D a t a I t e m W r a p p e r >  
             < / R e f D a t a >  
             < Q u b e H e l p e r A t t r i b u t e s >  
                 < S c a l a r T i c k e r > 0 9 8 1 . H K < / S c a l a r T i c k e r >  
                 < S h a r e s T i c k e r / >  
             < / Q u b e H e l p e r A t t r i b u t e s >  
         < / E n t i t y T e m p l a t e W r a p p e r >  
         < E n t i t y T e m p l a t e W r a p p e r >  
             < E n t i t y >  
                 < E n t i t y I d > 2 0 0 0 0 6 7 8 5 < / E n t i t y I d >  
                 < E n t i t y T y p e > E Q T Y < / E n t i t y T y p e >  
             < / E n t i t y >  
             < T e m p l a t e K e y w o r d s >  
                 < K e y w o r d M e t a d a t a W r a p p e r >  
                     < K e y w o r d > A E J _ L I S T < / K e y w o r d >  
                     < K e y w o r d T y p e > C N T B < / K e y w o r d T y p e >  
                     < S h o r t D e s c > A s i a   e x .   J a p a n   I n v e s t m e n t   L i s t < / S h o r t D e s c >  
                     < E n t i t y T y p e > E Q T Y < / E n t i t y T y p e >  
                     < I s S c a l a r > t r u e < / I s S c a l a r >  
                     < D a t a T y p e > E N U M < / D a t a T y p e >  
                     < E n u m O p t i o n s >  
                         < K e y w o r d E n u m W r a p p e r >  
                             < D i s p l a y N a m e > B u y < / D i s p l a y N a m e >  
                             < E n u m C o d e > B < / E n u m C o d e >  
                         < / K e y w o r d E n u m W r a p p e r >  
                         < K e y w o r d E n u m W r a p p e r >  
                             < D i s p l a y N a m e > S e l l < / D i s p l a y N a m e >  
                             < E n u m C o d e > S < / 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 3 < / K e y w o r d O r d e r >  
                     < K e y w o r d S e c t i o n I d > 1 3 A < / K e y w o r d S e c t i o n I d >  
                 < / K e y w o r d M e t a d a t a W r a p p e r >  
                 < K e y w o r d M e t a d a t a W r a p p e r >  
                     < K e y w o r d > N O T   I N   U S E < / K e y w o r d >  
                     < K e y w o r d T y p e > C N T B < / K e y w o r d T y p e >  
                     < S h o r t D e s c > A s i a   e x .   J a p a n   C o n v i c t i o n   L i s t < / S h o r t D e s c >  
                     < E n t i t y T y p e > E Q T Y < / E n t i t y T y p e >  
                     < I s S c a l a r > t r u e < / I s S c a l a r >  
                     < D a t a T y p e > E N U M < / D a t a T y p e >  
                     < E n u m O p t i o n s / >  
                     < B r e a k d o w n D a t a T y p e > N O N E < / B r e a k d o w n D a t a T y p e >  
                     < B r e a k d o w n M a x I n d e x > 0 < / B r e a k d o w n M a x I n d e x >  
                     < C u r r e n c y T y p e > N O N E < / C u r r e n c y T y p e >  
                     < A n n o t a t i o n R e q u i r e m e n t > O P T I O N A L < / A n n o t a t i o n R e q u i r e m e n t >  
                     < F o r m a t M a s k / >  
                     < K e y w o r d O r d e r > 4 < / K e y w o r d O r d e r >  
                     < K e y w o r d S e c t i o n I d > 1 3 A < / K e y w o r d S e c t i o n I d >  
                 < / K e y w o r d M e t a d a t a W r a p p e r >  
                 < K e y w o r d M e t a d a t a W r a p p e r >  
                     < K e y w o r d > L E G A L _ R A T I N G < / K e y w o r d >  
                     < K e y w o r d T y p e > C N T B < / K e y w o r d T y p e >  
                     < S h o r t D e s c > L e g a l   r a t i n g < / S h o r t D e s c >  
                     < E n t i t y T y p e > E Q T Y < / E n t i t y T y p e >  
                     < I s S c a l a r > t r u e < / I s S c a l a r >  
                     < D a t a T y p e > E N U M < / D a t a T y p e >  
                     < E n u m O p t i o n s >  
                         < K e y w o r d E n u m W r a p p e r >  
                             < D i s p l a y N a m e > N o t   R a t e d < / D i s p l a y N a m e >  
                             < E n u m C o d e > N R < / E n u m C o d e >  
                         < / K e y w o r d E n u m W r a p p e r >  
                         < K e y w o r d E n u m W r a p p e r >  
                             < D i s p l a y N a m e > C o v e r a g e   S u s p e n d e d < / D i s p l a y N a m e >  
                             < E n u m C o d e > C S < / E n u m C o d e >  
                         < / K e y w o r d E n u m W r a p p e r >  
                         < K e y w o r d E n u m W r a p p e r >  
                             < D i s p l a y N a m e > R a t i n g   S u s p e n d e d < / D i s p l a y N a m e >  
                             < E n u m C o d e > R S < / E n u m C o d e >  
                         < / K e y w o r d E n u m W r a p p e r >  
                         < K e y w o r d E n u m W r a p p e r >  
                             < D i s p l a y N a m e > E a r l y - S t a g e   B i o t e c h < / D i s p l a y N a m e >  
                             < E n u m C o d e > E S < / 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 1 1 < / K e y w o r d O r d e r >  
                     < K e y w o r d S e c t i o n I d > 1 3 A < / K e y w o r d S e c t i o n I d >  
                 < / K e y w o r d M e t a d a t a W r a p p e r >  
                 < K e y w o r d M e t a d a t a W r a p p e r >  
                     < K e y w o r d > T A R G E T _ P R I C E < / K e y w o r d >  
                     < K e y w o r d T y p e > C N T B < / K e y w o r d T y p e >  
                     < S h o r t D e s c > T a r g e t   p r i c e 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 1 2 < / K e y w o r d O r d e r >  
                     < K e y w o r d S e c t i o n I d > 1 3 A < / K e y w o r d S e c t i o n I d >  
                 < / K e y w o r d M e t a d a t a W r a p p e r >  
                 < K e y w o r d M e t a d a t a W r a p p e r >  
                     < K e y w o r d > T P _ P E R I O D < / K e y w o r d >  
                     < K e y w o r d T y p e > C N T B < / K e y w o r d T y p e >  
                     < S h o r t D e s c > T a r g e t   p r i c e   p e r i o d < / S h o r t D e s c >  
                     < E n t i t y T y p e > E Q T Y < / E n t i t y T y p e >  
                     < I s S c a l a r > t r u e < / I s S c a l a r >  
                     < D a t a T y p e > E N U M < / D a t a T y p e >  
                     < E n u m O p t i o n s >  
                         < K e y w o r d E n u m W r a p p e r >  
                             < D i s p l a y N a m e > 6   m o n t h s < / D i s p l a y N a m e >  
                             < E n u m C o d e > 6 M < / E n u m C o d e >  
                         < / K e y w o r d E n u m W r a p p e r >  
                         < K e y w o r d E n u m W r a p p e r >  
                             < D i s p l a y N a m e > 1 2   m o n t h s < / D i s p l a y N a m e >  
                             < E n u m C o d e > 1 2 M < / E n u m C o d e >  
                         < / K e y w o r d E n u m W r a p p e r >  
                         < K e y w o r d E n u m W r a p p e r >  
                             < D i s p l a y N a m e > 1 8   m o n t h s < / D i s p l a y N a m e >  
                             < E n u m C o d e > 1 8 M < / E n u m C o d e >  
                         < / K e y w o r d E n u m W r a p p e r >  
                         < K e y w o r d E n u m W r a p p e r >  
                             < D i s p l a y N a m e > 2   y e a r s < / D i s p l a y N a m e >  
                             < E n u m C o d e > 2 Y < / E n u m C o d e >  
                         < / K e y w o r d E n u m W r a p p e r >  
                         < K e y w o r d E n u m W r a p p e r >  
                             < D i s p l a y N a m e > 1   m o n t h < / D i s p l a y N a m e >  
                             < E n u m C o d e > 1 M < / E n u m C o d e >  
                         < / K e y w o r d E n u m W r a p p e r >  
                         < K e y w o r d E n u m W r a p p e r >  
                             < D i s p l a y N a m e > 3   m o n t h s < / D i s p l a y N a m e >  
                             < E n u m C o d e > 3 M < / E n u m C o d e >  
                         < / K e y w o r d E n u m W r a p p e r >  
                         < K e y w o r d E n u m W r a p p e r >  
                             < D i s p l a y N a m e > 9   m o n t h s < / D i s p l a y N a m e >  
                             < E n u m C o d e > 9 M < / E n u m C o d e >  
                         < / K e y w o r d E n u m W r a p p e r >  
                         < K e y w o r d E n u m W r a p p e r >  
                             < D i s p l a y N a m e > 3   y e a r s < / D i s p l a y N a m e >  
                             < E n u m C o d e > 3 Y < / 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 1 3 < / K e y w o r d O r d e r >  
                     < K e y w o r d S e c t i o n I d > 1 3 A < / K e y w o r d S e c t i o n I d >  
                 < / K e y w o r d M e t a d a t a W r a p p e r >  
                 < K e y w o r d M e t a d a t a W r a p p e r >  
                     < K e y w o r d > T A R G E T _ P R I C E _ F U N D A M E N T A L < / K e y w o r d >  
                     < K e y w o r d T y p e > C N T B < / K e y w o r d T y p e >  
                     < S h o r t D e s c > F u n d a m e n t a l   v a l u e 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 1 4 < / K e y w o r d O r d e r >  
                     < K e y w o r d S e c t i o n I d > 1 3 A < / K e y w o r d S e c t i o n I d >  
                 < / K e y w o r d M e t a d a t a W r a p p e r >  
                 < K e y w o r d M e t a d a t a W r a p p e r >  
                     < K e y w o r d > T A R G E T _ P R I C E _ M A < / K e y w o r d >  
                     < K e y w o r d T y p e > C N T B < / K e y w o r d T y p e >  
                     < S h o r t D e s c > M & a m p ; A   v a l u e 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 1 5 < / K e y w o r d O r d e r >  
                     < K e y w o r d S e c t i o n I d > 1 3 A < / K e y w o r d S e c t i o n I d >  
                 < / K e y w o r d M e t a d a t a W r a p p e r >  
                 < K e y w o r d M e t a d a t a W r a p p e r >  
                     < K e y w o r d > N U M _ S H < / K e y w o r d >  
                     < K e y w o r d T y p e > C N T B < / K e y w o r d T y p e >  
                     < S h o r t D e s c > C u r r e n t   s h a r e s   o u t s t a n d i n g   ( m n ) < / 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 2 0 < / K e y w o r d O r d e r >  
                     < K e y w o r d S e c t i o n I d > 1 3 A < / K e y w o r d S e c t i o n I d >  
                 < / K e y w o r d M e t a d a t a W r a p p e r >  
                 < K e y w o r d M e t a d a t a W r a p p e r >  
                     < K e y w o r d > F R E E _ F L O A T < / K e y w o r d >  
                     < K e y w o r d T y p e > C N T B < / K e y w o r d T y p e >  
                     < S h o r t D e s c > F r e e   f l o a t < / 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 3 0 < / K e y w o r d O r d e r >  
                     < K e y w o r d S e c t i o n I d > 1 3 A < / K e y w o r d S e c t i o n I d >  
                 < / K e y w o r d M e t a d a t a W r a p p e r >  
                 < K e y w o r d M e t a d a t a W r a p p e r >  
                     < K e y w o r d > F O R E I G N _ H O L D N G < / K e y w o r d >  
                     < K e y w o r d T y p e > C N T B < / K e y w o r d T y p e >  
                     < S h o r t D e s c > F o r e i g n   o w n e r s h i p < / 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 1 2 0 < / K e y w o r d O r d e r >  
                     < K e y w o r d S e c t i o n I d > 1 3 A < / K e y w o r d S e c t i o n I d >  
                 < / K e y w o r d M e t a d a t a W r a p p e r >  
                 < K e y w o r d M e t a d a t a W r a p p e r >  
                     < K e y w o r d > A C T < / K e y w o r d >  
                     < K e y w o r d T y p e > C N T B < / K e y w o r d T y p e >  
                     < S h o r t D e s c > S h a r e h o l d e r   o w n e r s h i p   ( % ) < / S h o r t D e s c >  
                     < E n t i t y T y p e > E Q T Y < / E n t i t y T y p e >  
                     < I s S c a l a r > t r u e < / I s S c a l a r >  
                     < D a t a T y p e > P E R C E N T A G E < / D a t a T y p e >  
                     < E n u m O p t i o n s / >  
                     < B r e a k d o w n D a t a T y p e > P E R C E N T A G E < / B r e a k d o w n D a t a T y p e >  
                     < B r e a k d o w n M a x I n d e x > 0 < / B r e a k d o w n M a x I n d e x >  
                     < C u r r e n c y T y p e > N O N E < / C u r r e n c y T y p e >  
                     < A n n o t a t i o n R e q u i r e m e n t > O P T I O N A L < / A n n o t a t i o n R e q u i r e m e n t >  
                     < F o r m a t M a s k > f 0 . 0 % < / F o r m a t M a s k >  
                     < K e y w o r d O r d e r > 1 2 1 < / K e y w o r d O r d e r >  
                     < K e y w o r d S e c t i o n I d > 1 3 A < / K e y w o r d S e c t i o n I d >  
                 < / K e y w o r d M e t a d a t a W r a p p e r >  
                 < K e y w o r d M e t a d a t a W r a p p e r >  
                     < K e y w o r d > C A T A L Y S T 1 _ D A T E < / K e y w o r d >  
                     < K e y w o r d T y p e > C N T B < / K e y w o r d T y p e >  
                     < S h o r t D e s c > C a t a l y s t   1 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 1 2 5 < / K e y w o r d O r d e r >  
                     < K e y w o r d S e c t i o n I d > 1 3 A < / K e y w o r d S e c t i o n I d >  
                 < / K e y w o r d M e t a d a t a W r a p p e r >  
                 < K e y w o r d M e t a d a t a W r a p p e r >  
                     < K e y w o r d > C A T A L Y S T 1 _ E V E N T < / K e y w o r d >  
                     < K e y w o r d T y p e > C N T B < / K e y w o r d T y p e >  
                     < S h o r t D e s c > C a t a l y s t   1 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 1 3 0 < / K e y w o r d O r d e r >  
                     < K e y w o r d S e c t i o n I d > 1 3 A < / K e y w o r d S e c t i o n I d >  
                 < / K e y w o r d M e t a d a t a W r a p p e r >  
                 < K e y w o r d M e t a d a t a W r a p p e r >  
                     < K e y w o r d > C A T A L Y S T 2 _ D A T E < / K e y w o r d >  
                     < K e y w o r d T y p e > C N T B < / K e y w o r d T y p e >  
                     < S h o r t D e s c > C a t a l y s t   2 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 1 3 5 < / K e y w o r d O r d e r >  
                     < K e y w o r d S e c t i o n I d > 1 3 A < / K e y w o r d S e c t i o n I d >  
                 < / K e y w o r d M e t a d a t a W r a p p e r >  
                 < K e y w o r d M e t a d a t a W r a p p e r >  
                     < K e y w o r d > C A T A L Y S T 2 _ E V E N T < / K e y w o r d >  
                     < K e y w o r d T y p e > C N T B < / K e y w o r d T y p e >  
                     < S h o r t D e s c > C a t a l y s t   2 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 1 4 0 < / K e y w o r d O r d e r >  
                     < K e y w o r d S e c t i o n I d > 1 3 A < / K e y w o r d S e c t i o n I d >  
                 < / K e y w o r d M e t a d a t a W r a p p e r >  
                 < K e y w o r d M e t a d a t a W r a p p e r >  
                     < K e y w o r d > C A T A L Y S T 3 _ D A T E < / K e y w o r d >  
                     < K e y w o r d T y p e > C N T B < / K e y w o r d T y p e >  
                     < S h o r t D e s c > C a t a l y s t   3 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 1 4 5 < / K e y w o r d O r d e r >  
                     < K e y w o r d S e c t i o n I d > 1 3 A < / K e y w o r d S e c t i o n I d >  
                 < / K e y w o r d M e t a d a t a W r a p p e r >  
                 < K e y w o r d M e t a d a t a W r a p p e r >  
                     < K e y w o r d > C A T A L Y S T 3 _ E V E N T < / K e y w o r d >  
                     < K e y w o r d T y p e > C N T B < / K e y w o r d T y p e >  
                     < S h o r t D e s c > C a t a l y s t   3 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 1 5 0 < / K e y w o r d O r d e r >  
                     < K e y w o r d S e c t i o n I d > 1 3 A < / K e y w o r d S e c t i o n I d >  
                 < / K e y w o r d M e t a d a t a W r a p p e r >  
                 < K e y w o r d M e t a d a t a W r a p p e r >  
                     < K e y w o r d > C A T A L Y S T 4 _ D A T E < / K e y w o r d >  
                     < K e y w o r d T y p e > C N T B < / K e y w o r d T y p e >  
                     < S h o r t D e s c > C a t a l y s t   4 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 1 5 5 < / K e y w o r d O r d e r >  
                     < K e y w o r d S e c t i o n I d > 1 3 A < / K e y w o r d S e c t i o n I d >  
                 < / K e y w o r d M e t a d a t a W r a p p e r >  
                 < K e y w o r d M e t a d a t a W r a p p e r >  
                     < K e y w o r d > C A T A L Y S T 4 _ E V E N T < / K e y w o r d >  
                     < K e y w o r d T y p e > C N T B < / K e y w o r d T y p e >  
                     < S h o r t D e s c > C a t a l y s t   4 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 1 6 0 < / K e y w o r d O r d e r >  
                     < K e y w o r d S e c t i o n I d > 1 3 A < / K e y w o r d S e c t i o n I d >  
                 < / K e y w o r d M e t a d a t a W r a p p e r >  
                 < K e y w o r d M e t a d a t a W r a p p e r >  
                     < K e y w o r d > C A T A L Y S T 5 _ D A T E < / K e y w o r d >  
                     < K e y w o r d T y p e > C N T B < / K e y w o r d T y p e >  
                     < S h o r t D e s c > C a t a l y s t   5 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 1 6 5 < / K e y w o r d O r d e r >  
                     < K e y w o r d S e c t i o n I d > 1 3 A < / K e y w o r d S e c t i o n I d >  
                 < / K e y w o r d M e t a d a t a W r a p p e r >  
                 < K e y w o r d M e t a d a t a W r a p p e r >  
                     < K e y w o r d > C A T A L Y S T 5 _ E V E N T < / K e y w o r d >  
                     < K e y w o r d T y p e > C N T B < / K e y w o r d T y p e >  
                     < S h o r t D e s c > C a t a l y s t   5 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 1 7 0 < / K e y w o r d O r d e r >  
                     < K e y w o r d S e c t i o n I d > 1 3 A < / K e y w o r d S e c t i o n I d >  
                 < / K e y w o r d M e t a d a t a W r a p p e r >  
                 < K e y w o r d M e t a d a t a W r a p p e r >  
                     < K e y w o r d > P R I _ T A R G _ M U L T < / K e y w o r d >  
                     < K e y w o r d T y p e > C N T B < / K e y w o r d T y p e >  
                     < S h o r t D e s c > T a r g e t   p r i c e   m u l t i p l e < / 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 
                     < K e y w o r d O r d e r > 2 0 0 < / K e y w o r d O r d e r >  
                     < K e y w o r d S e c t i o n I d > 1 3 A < / K e y w o r d S e c t i o n I d >  
                 < / K e y w o r d M e t a d a t a W r a p p e r >  
                 < K e y w o r d M e t a d a t a W r a p p e r >  
                     < K e y w o r d > P R I _ T A R G _ M E T H < / K e y w o r d >  
                     < K e y w o r d T y p e > C N T B < / K e y w o r d T y p e >  
                     < S h o r t D e s c > T a r g e t   p r i c e   m e t h o d o l o g y < / 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 1 0 1 0 < / K e y w o r d O r d e r >  
                     < K e y w o r d S e c t i o n I d > 1 3 A < / K e y w o r d S e c t i o n I d >  
                 < / K e y w o r d M e t a d a t a W r a p p e r >  
                 < K e y w o r d M e t a d a t a W r a p p e r >  
                     < K e y w o r d > B V P S _ P U B < / K e y w o r d >  
                     < K e y w o r d T y p e > C N T B < / K e y w o r d T y p e >  
                     < S h o r t D e s c > B o o k   v a l u e   p e r   s h a r e ,   B V P S 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 1 0 < / K e y w o r d O r d e r >  
                     < K e y w o r d S e c t i o n I d > 1 3 K < / K e y w o r d S e c t i o n I d >  
                 < / K e y w o r d M e t a d a t a W r a p p e r >  
                 < K e y w o r d M e t a d a t a W r a p p e r >  
                     < K e y w o r d > D P S _ P U B < / K e y w o r d >  
                     < K e y w o r d T y p e > C N T B < / K e y w o r d T y p e >  
                     < S h o r t D e s c > D P S ,   d i v i d e n d   p e r   s h a r e 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 1 1 < / K e y w o r d O r d e r >  
                     < K e y w o r d S e c t i o n I d > 1 3 K < / K e y w o r d S e c t i o n I d >  
                 < / K e y w o r d M e t a d a t a W r a p p e r >  
                 < K e y w o r d M e t a d a t a W r a p p e r >  
                     < K e y w o r d > D P S _ S P E C I A L _ P U B < / K e y w o r d >  
                     < K e y w o r d T y p e > C N T B < / K e y w o r d T y p e >  
                     < S h o r t D e s c > S p e c i a l   d i v i d e n d   p e r   s h a r e < / 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 1 1 < / K e y w o r d O r d e r >  
                     < K e y w o r d S e c t i o n I d > 1 3 K < / K e y w o r d S e c t i o n I d >  
                 < / K e y w o r d M e t a d a t a W r a p p e r >  
                 < K e y w o r d M e t a d a t a W r a p p e r >  
                     < K e y w o r d > E B I T D A _ P U B < / K e y w o r d >  
                     < K e y w o r d T y p e > C N T B < / K e y w o r d T y p e >  
                     < S h o r t D e s c > E B I T D A 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 1 2 < / K e y w o r d O r d e r >  
                     < K e y w o r d S e c t i o n I d > 1 3 K < / K e y w o r d S e c t i o n I d >  
                 < / K e y w o r d M e t a d a t a W r a p p e r >  
                 < K e y w o r d M e t a d a t a W r a p p e r >  
                     < K e y w o r d > E P S _ P U B < / K e y w o r d >  
                     < K e y w o r d T y p e > C N T B < / K e y w o r d T y p e >  
                     < S h o r t D e s c > E P S 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 1 3 < / K e y w o r d O r d e r >  
                     < K e y w o r d S e c t i o n I d > 1 3 K < / K e y w o r d S e c t i o n I d >  
                 < / K e y w o r d M e t a d a t a W r a p p e r >  
                 < K e y w o r d M e t a d a t a W r a p p e r >  
                     < K e y w o r d > E V _ A D J _ P U B < / K e y w o r d >  
                     < K e y w o r d T y p e > C N T B < / K e y w o r d T y p e >  
                     < S h o r t D e s c > E V   a d j u s t m e n t 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 3 0 < / K e y w o r d O r d e r >  
                     < K e y w o r d S e c t i o n I d > 1 3 K < / K e y w o r d S e c t i o n I d >  
                 < / K e y w o r d M e t a d a t a W r a p p e r >  
                 < K e y w o r d M e t a d a t a W r a p p e r >  
                     < K e y w o r d > N E T _ D E B T _ P U B < / K e y w o r d >  
                     < K e y w o r d T y p e > C N T B < / K e y w o r d T y p e >  
                     < S h o r t D e s c > N e t   d e b t 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 4 0 < / K e y w o r d O r d e r >  
                     < K e y w o r d S e c t i o n I d > 1 3 K < / K e y w o r d S e c t i o n I d >  
                 < / K e y w o r d M e t a d a t a W r a p p e r >  
                 < K e y w o r d M e t a d a t a W r a p p e r >  
                     < K e y w o r d > N E T _ D E B T _ E X _ L E A S E S _ P U B < / K e y w o r d >  
                     < K e y w o r d T y p e > C N T B < / K e y w o r d T y p e >  
                     < S h o r t D e s c > N e t   D e b t   ( e x   l e a s e s ) 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 4 1 < / K e y w o r d O r d e r >  
                     < K e y w o r d S e c t i o n I d > 1 3 K < / K e y w o r d S e c t i o n I d >  
                 < / K e y w o r d M e t a d a t a W r a p p e r >  
                 < K e y w o r d M e t a d a t a W r a p p e r >  
                     < K e y w o r d > C E E E _ N D E B T < / K e y w o r d >  
                     < K e y w o r d T y p e > C N T B < / K e y w o r d T y p e >  
                     < S h o r t D e s c > C o n s e n s u s   e q u i v a l e n t   n e t   d e b t < / 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 4 3 < / K e y w o r d O r d e r >  
                     < K e y w o r d S e c t i o n I d > 1 3 K < / K e y w o r d S e c t i o n I d >  
                 < / K e y w o r d M e t a d a t a W r a p p e r >  
                 < K e y w o r d M e t a d a t a W r a p p e r >  
                     < K e y w o r d > N I _ P U B < / K e y w o r d >  
                     < K e y w o r d T y p e > C N T B < / K e y w o r d T y p e >  
                     < S h o r t D e s c > N e t   i n c o m e 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 4 5 < / K e y w o r d O r d e r >  
                     < K e y w o r d S e c t i o n I d > 1 3 K < / K e y w o r d S e c t i o n I d >  
                 < / K e y w o r d M e t a d a t a W r a p p e r >  
                 < K e y w o r d M e t a d a t a W r a p p e r >  
                     < K e y w o r d > E B I T _ P U B < / K e y w o r d >  
                     < K e y w o r d T y p e > C N T B < / K e y w o r d T y p e >  
                     < S h o r t D e s c > E B I T ,   o p e r a t i n g   p r o f i t 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 5 0 < / K e y w o r d O r d e r >  
                     < K e y w o r d S e c t i o n I d > 1 3 K < / K e y w o r d S e c t i o n I d >  
                 < / K e y w o r d M e t a d a t a W r a p p e r >  
                 < K e y w o r d M e t a d a t a W r a p p e r >  
                     < K e y w o r d > P T P _ P U B < / K e y w o r d >  
                     < K e y w o r d T y p e > C N T B < / K e y w o r d T y p e >  
                     < S h o r t D e s c > P r e - t a x   p r o f i t 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 5 5 < / K e y w o r d O r d e r >  
                     < K e y w o r d S e c t i o n I d > 1 3 K < / K e y w o r d S e c t i o n I d >  
                 < / K e y w o r d M e t a d a t a W r a p p e r >  
                 < K e y w o r d M e t a d a t a W r a p p e r >  
                     < K e y w o r d > R E V S _ P U B < / K e y w o r d >  
                     < K e y w o r d T y p e > C N T B < / K e y w o r d T y p e >  
                     < S h o r t D e s c > S a l e s ,   r e v e n u e 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 6 0 < / K e y w o r d O r d e r >  
                     < K e y w o r d S e c t i o n I d > 1 3 K < / K e y w o r d S e c t i o n I d >  
                 < / K e y w o r d M e t a d a t a W r a p p e r >  
                 < K e y w o r d M e t a d a t a W r a p p e r >  
                     < K e y w o r d > E Q _ P U B < / K e y w o r d >  
                     < K e y w o r d T y p e > C N T B < / K e y w o r d T y p e >  
                     < S h o r t D e s c > T o t a l   s h a r e h o l d e r s '   e q u i t y 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 6 5 < / K e y w o r d O r d e r >  
                     < K e y w o r d S e c t i o n I d > 1 3 K < / K e y w o r d S e c t i o n I d >  
                 < / K e y w o r d M e t a d a t a W r a p p e r >  
                 < K e y w o r d M e t a d a t a W r a p p e r >  
                     < K e y w o r d > E P S _ C O N S _ P U B < / K e y w o r d >  
                     < K e y w o r d T y p e > C N T B < / K e y w o r d T y p e >  
                     < S h o r t D e s c > E P S   ( c o n s e n s u s ) < / 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 1 3 0 < / K e y w o r d O r d e r >  
                     < K e y w o r d S e c t i o n I d > 1 3 K < / K e y w o r d S e c t i o n I d >  
                 < / K e y w o r d M e t a d a t a W r a p p e r >  
                 < K e y w o r d M e t a d a t a W r a p p e r >  
                     < K e y w o r d > P R O V _ I N C _ T A X < / K e y w o r d >  
                     < K e y w o r d T y p e > C N T B < / K e y w o r d T y p e >  
                     < S h o r t D e s c > P r o v i s i o n   f o r   i n c o m e   t a x < / 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 4 8 0 < / K e y w o r d O r d e r >  
                     < K e y w o r d S e c t i o n I d > 1 3 U < / K e y w o r d S e c t i o n I d >  
                 < / K e y w o r d M e t a d a t a W r a p p e r >  
                 < K e y w o r d M e t a d a t a W r a p p e r >  
                     < K e y w o r d > I N C _ M I N O R I T Y < / K e y w o r d >  
                     < K e y w o r d T y p e > C N T B < / K e y w o r d T y p e >  
                     < S h o r t D e s c > M i n o r i t y   i n t e r e s t < / 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 4 9 0 < / K e y w o r d O r d e r >  
                     < K e y w o r d S e c t i o n I d > 1 3 U < / K e y w o r d S e c t i o n I d >  
                 < / K e y w o r d M e t a d a t a W r a p p e r >  
                 < K e y w o r d M e t a d a t a W r a p p e r >  
                     < K e y w o r d > N I _ P R E _ P R E F < / K e y w o r d >  
                     < K e y w o r d T y p e > C N T B < / K e y w o r d T y p e >  
                     < S h o r t D e s c > N e t   i n c o m e   ( p r e - p r e f e r r e d 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 5 1 5 < / K e y w o r d O r d e r >  
                     < K e y w o r d S e c t i o n I d > 1 3 U < / K e y w o r d S e c t i o n I d >  
                 < / K e y w o r d M e t a d a t a W r a p p e r >  
                 < K e y w o r d M e t a d a t a W r a p p e r >  
                     < K e y w o r d > P R E F _ D I V < / K e y w o r d >  
                     < K e y w o r d T y p e > C N T B < / K e y w o r d T y p e >  
                     < S h o r t D e s c > P r e f e r r e d 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 5 4 0 < / K e y w o r d O r d e r >  
                     < K e y w o r d S e c t i o n I d > 1 3 U < / K e y w o r d S e c t i o n I d >  
                 < / K e y w o r d M e t a d a t a W r a p p e r >  
                 < K e y w o r d M e t a d a t a W r a p p e r >  
                     < K e y w o r d > N E T _ E A R N I N G < / K e y w o r d >  
                     < K e y w o r d T y p e > C N T B < / K e y w o r d T y p e >  
                     < S h o r t D e s c > N e t   i n c o m e   ( p r e - e x c e p t i o n a l s ) 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 5 6 5 < / K e y w o r d O r d e r >  
                     < K e y w o r d S e c t i o n I d > 1 3 U < / K e y w o r d S e c t i o n I d >  
                 < / K e y w o r d M e t a d a t a W r a p p e r >  
                 < K e y w o r d M e t a d a t a W r a p p e r >  
                     < K e y w o r d > T A X _ E X C < / K e y w o r d >  
                     < K e y w o r d T y p e > C N T B < / K e y w o r d T y p e >  
                     < S h o r t D e s c > P o s t - t a x   e x c e p t i o n a l s 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 5 8 0 < / K e y w o r d O r d e r >  
                     < K e y w o r d S e c t i o n I d > 1 3 U < / K e y w o r d S e c t i o n I d >  
                 < / K e y w o r d M e t a d a t a W r a p p e r >  
                 < K e y w o r d M e t a d a t a W r a p p e r >  
                     < K e y w o r d > N E T _ I N C < / K e y w o r d >  
                     < K e y w o r d T y p e > C N T B < / K e y w o r d T y p e >  
                     < S h o r t D e s c > N e t   i n c o m e   ( p o s t - e x c e p t i o n a l s ) 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 5 9 0 < / K e y w o r d O r d e r >  
                     < K e y w o r d S e c t i o n I d > 1 3 U < / K e y w o r d S e c t i o n I d >  
                 < / K e y w o r d M e t a d a t a W r a p p e r >  
                 < K e y w o r d M e t a d a t a W r a p p e r >  
                     < K e y w o r d > E P S < / K e y w o r d >  
                     < K e y w o r d T y p e > C N T B < / K e y w o r d T y p e >  
                     < S h o r t D e s c > E P S   ( p r e - e x c e p t i o n a l s ,   b a s i c ) < / 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 6 0 0 < / K e y w o r d O r d e r >  
                     < K e y w o r d S e c t i o n I d > 1 3 U < / K e y w o r d S e c t i o n I d >  
                 < / K e y w o r d M e t a d a t a W r a p p e r >  
                 < K e y w o r d M e t a d a t a W r a p p e r >  
                     < K e y w o r d > E P S _ F U L _ D I L < / K e y w o r d >  
                     < K e y w o r d T y p e > C N T B < / K e y w o r d T y p e >  
                     < S h o r t D e s c > E P S   ( p r e - e x c e p t i o n a l s ,   d i l u t e d ) 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 6 2 0 < / K e y w o r d O r d e r >  
                     < K e y w o r d S e c t i o n I d > 1 3 U < / K e y w o r d S e c t i o n I d >  
                 < / K e y w o r d M e t a d a t a W r a p p e r >  
                 < K e y w o r d M e t a d a t a W r a p p e r >  
                     < K e y w o r d > E P S _ P O S T _ B A S I C < / K e y w o r d >  
                     < K e y w o r d T y p e > C N T B < / K e y w o r d T y p e >  
                     < S h o r t D e s c > E P S   ( p o s t - e x c e p t i o n a l s ,   b a s i c ) < / 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 6 3 5 < / K e y w o r d O r d e r >  
                     < K e y w o r d S e c t i o n I d > 1 3 U < / K e y w o r d S e c t i o n I d >  
                 < / K e y w o r d M e t a d a t a W r a p p e r >  
                 < K e y w o r d M e t a d a t a W r a p p e r >  
                     < K e y w o r d > F U L L Y _ D I L _ E P S < / K e y w o r d >  
                     < K e y w o r d T y p e > C N T B < / K e y w o r d T y p e >  
                     < S h o r t D e s c > E P S   ( p o s t - e x c e p t i o n a l s ,   d i l u t e d ) 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 6 4 6 < / K e y w o r d O r d e r >  
                     < K e y w o r d S e c t i o n I d > 1 3 U < / K e y w o r d S e c t i o n I d >  
                 < / K e y w o r d M e t a d a t a W r a p p e r >  
                 < K e y w o r d M e t a d a t a W r a p p e r >  
                     < K e y w o r d > C O M M O N _ D I V _ P A I D < / K e y w o r d >  
                     < K e y w o r d T y p e > C N T B < / K e y w o r d T y p e >  
                     < S h o r t D e s c > C o m m o n   d i v i d e n d s   p a i d 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 6 7 5 < / K e y w o r d O r d e r >  
                     < K e y w o r d S e c t i o n I d > 1 3 U < / K e y w o r d S e c t i o n I d >  
                 < / K e y w o r d M e t a d a t a W r a p p e r >  
                 < K e y w o r d M e t a d a t a W r a p p e r >  
                     < K e y w o r d > D P S < / K e y w o r d >  
                     < K e y w o r d T y p e > C N T B < / K e y w o r d T y p e >  
                     < S h o r t D e s c > D P S ,   d i v i d e n d   p e r   s h a r e < / 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 6 8 5 < / K e y w o r d O r d e r >  
                     < K e y w o r d S e c t i o n I d > 1 3 U < / K e y w o r d S e c t i o n I d >  
                 < / K e y w o r d M e t a d a t a W r a p p e r >  
                 < K e y w o r d M e t a d a t a W r a p p e r >  
                     < K e y w o r d > S H < / K e y w o r d >  
                     < K e y w o r d T y p e > C N T B < / K e y w o r d T y p e >  
                     < S h o r t D e s c > W e i g h t e d   a v e r a g e   s h a r e s   o u t s t a n d i n g ,   b a s i c < / 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 7 1 5 < / K e y w o r d O r d e r >  
                     < K e y w o r d S e c t i o n I d > 1 3 U < / K e y w o r d S e c t i o n I d >  
                 < / K e y w o r d M e t a d a t a W r a p p e r >  
                 < K e y w o r d M e t a d a t a W r a p p e r >  
                     < K e y w o r d > D I L U T E _ S H A R E S < / K e y w o r d >  
                     < K e y w o r d T y p e > C N T B < / K e y w o r d T y p e >  
                     < S h o r t D e s c > D i l u t e d   a v e r a g e   s h a r e s   o u t s t a n d i n g   ( m n ) < / 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 7 2 0 < / K e y w o r d O r d e r >  
                     < K e y w o r d S e c t i o n I d > 1 3 U < / K e y w o r d S e c t i o n I d >  
                 < / K e y w o r d M e t a d a t a W r a p p e r >  
                 < K e y w o r d M e t a d a t a W r a p p e r >  
                     < K e y w o r d > N O N _ O P _ A D D < / K e y w o r d >  
                     < K e y w o r d T y p e > C N T B < / K e y w o r d T y p e >  
                     < S h o r t D e s c > P e r i o d - e n d   s h a r e s   o u t s t a n d i n g < / 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 7 3 0 < / K e y w o r d O r d e r >  
                     < K e y w o r d S e c t i o n I d > 1 3 U < / K e y w o r d S e c t i o n I d >  
                 < / K e y w o r d M e t a d a t a W r a p p e r >  
                 < K e y w o r d M e t a d a t a W r a p p e r >  
                     < K e y w o r d > M A R G I N _ T A X _ R A T E < / K e y w o r d >  
                     < K e y w o r d T y p e > C N T B < / K e y w o r d T y p e >  
                     < S h o r t D e s c > M a r g i n a l   t a x   r a t e < / S h o r t D e s c >  
                     < E n t i t y T y p e > E Q T Y < / 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 1 9 5 < / K e y w o r d O r d e r >  
                     < K e y w o r d S e c t i o n I d > 1 3 V < / K e y w o r d S e c t i o n I d >  
                 < / K e y w o r d M e t a d a t a W r a p p e r >  
                 < K e y w o r d M e t a d a t a W r a p p e r >  
                     < K e y w o r d > N I _ C O N S < / K e y w o r d >  
                     < K e y w o r d T y p e > C N T B < / K e y w o r d T y p e >  
                     < S h o r t D e s c > N e t   i n c o m e   ( c o n s e n s u s )   ( P u b ) < / 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 1 0 0 0 < / K e y w o r d O r d e r >  
                     < K e y w o r d S e c t i o n I d > 1 3 V < / K e y w o r d S e c t i o n I d >  
                 < / K e y w o r d M e t a d a t a W r a p p e r >  
                 < K e y w o r d M e t a d a t a W r a p p e r >  
                     < K e y w o r d > B V P S < / K e y w o r d >  
                     < K e y w o r d T y p e > C N T B < / K e y w o r d T y p e >  
                     < S h o r t D e s c > B V P S ,   b o o k   v a l u e   p e r   s h a r e < / 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 7 3 0 < / K e y w o r d O r d e r >  
                     < K e y w o r d S e c t i o n I d > 1 3 1 4 < / K e y w o r d S e c t i o n I d >  
                 < / K e y w o r d M e t a d a t a W r a p p e r >  
                 < K e y w o r d M e t a d a t a W r a p p e r >  
                     < K e y w o r d > C F _ N I _ P R E _ P R E F < / K e y w o r d >  
                     < K e y w o r d T y p e > C N T B < / K e y w o r d T y p e >  
                     < S h o r t D e s c > N e t   i n c o m e   ( p r e - p r e f e r r e d 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K e y w o r d O r d e r >  
                     < K e y w o r d S e c t i o n I d > 1 3 1 E < / K e y w o r d S e c t i o n I d >  
                 < / K e y w o r d M e t a d a t a W r a p p e r >  
                 < K e y w o r d M e t a d a t a W r a p p e r >  
                     < K e y w o r d > B E T A _ A N A L Y S T < / K e y w o r d >  
                     < K e y w o r d T y p e > C N T B < / K e y w o r d T y p e >  
                     < S h o r t D e s c > B e t a < / 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 0 < / K e y w o r d O r d e r >  
                     < K e y w o r d S e c t i o n I d > 1 3 1 O < / K e y w o r d S e c t i o n I d >  
                 < / K e y w o r d M e t a d a t a W r a p p e r >  
                 < K e y w o r d M e t a d a t a W r a p p e r >  
                     < K e y w o r d > M K T _ E Q _ R I S K _ P R E M < / K e y w o r d >  
                     < K e y w o r d T y p e > C N T B < / K e y w o r d T y p e >  
                     < S h o r t D e s c > M a r k e t   e q u i t y   r i s k   p r e m i u m < / 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 3 5 0 < / K e y w o r d O r d e r >  
                     < K e y w o r d S e c t i o n I d > 1 3 1 O < / K e y w o r d S e c t i o n I d >  
                 < / K e y w o r d M e t a d a t a W r a p p e r >  
                 < K e y w o r d M e t a d a t a W r a p p e r >  
                     < K e y w o r d > R I S K _ F R _ R A T E < / K e y w o r d >  
                     < K e y w o r d T y p e > C N T B < / K e y w o r d T y p e >  
                     < S h o r t D e s c > R i s k - f r e e   r a t e < / 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 3 6 0 < / K e y w o r d O r d e r >  
                     < K e y w o r d S e c t i o n I d > 1 3 1 O < / K e y w o r d S e c t i o n I d >  
                 < / K e y w o r d M e t a d a t a W r a p p e r >  
             < / T e m p l a t e K e y w o r d s >  
             < T e m p l a t e S e c t i o n s >  
                 < K e y w o r d S e c t i o n W r a p p e r >  
                     < S e c t i o n I d > 1 3 A < / S e c t i o n I d >  
                     < D i s p l a y N a m e > G e n e r a l   I n f o r m a t i o n < / D i s p l a y N a m e >  
                     < D i s p l a y O r d e r > 5 < / D i s p l a y O r d e r >  
                     < P a r e n t I d / >  
                 < / K e y w o r d S e c t i o n W r a p p e r >  
                 < K e y w o r d S e c t i o n W r a p p e r >  
                     < S e c t i o n I d > 1 3 K < / S e c t i o n I d >  
                     < D i s p l a y N a m e > P u b l i s h i n g   I t e m s < / D i s p l a y N a m e >  
                     < D i s p l a y O r d e r > 1 0 < / D i s p l a y O r d e r >  
                     < P a r e n t I d / >  
                 < / K e y w o r d S e c t i o n W r a p p e r >  
                 < K e y w o r d S e c t i o n W r a p p e r >  
                     < S e c t i o n I d > 1 3 U < / S e c t i o n I d >  
                     < D i s p l a y N a m e > I n c o m e   S t a t e m e n t < / D i s p l a y N a m e >  
                     < D i s p l a y O r d e r > 4 5 < / D i s p l a y O r d e r >  
                     < P a r e n t I d / >  
                 < / K e y w o r d S e c t i o n W r a p p e r >  
                 < K e y w o r d S e c t i o n W r a p p e r >  
                     < S e c t i o n I d > 1 3 V < / S e c t i o n I d >  
                     < D i s p l a y N a m e > A d d i t i o n a l   I n c o m e   S t a t e m e n t   I t e m s < / D i s p l a y N a m e >  
                     < D i s p l a y O r d e r > 5 0 < / D i s p l a y O r d e r >  
                     < P a r e n t I d > 1 3 U < / P a r e n t I d >  
                 < / K e y w o r d S e c t i o n W r a p p e r >  
                 < K e y w o r d S e c t i o n W r a p p e r >  
                     < S e c t i o n I d > 1 3 1 4 < / S e c t i o n I d >  
                     < D i s p l a y N a m e > B a l a n c e   S h e e t < / D i s p l a y N a m e >  
                     < D i s p l a y O r d e r > 8 5 < / D i s p l a y O r d e r >  
                     < P a r e n t I d / >  
                 < / K e y w o r d S e c t i o n W r a p p e r >  
                 < K e y w o r d S e c t i o n W r a p p e r >  
                     < S e c t i o n I d > 1 3 1 E < / S e c t i o n I d >  
                     < D i s p l a y N a m e > C a s h   F l o w   S t a t e m e n t < / D i s p l a y N a m e >  
                     < D i s p l a y O r d e r > 1 0 0 < / D i s p l a y O r d e r >  
                     < P a r e n t I d / >  
                 < / K e y w o r d S e c t i o n W r a p p e r >  
                 < K e y w o r d S e c t i o n W r a p p e r >  
                     < S e c t i o n I d > 1 3 1 O < / S e c t i o n I d >  
                     < D i s p l a y N a m e > O t h e r   I t e m s < / D i s p l a y N a m e >  
                     < D i s p l a y O r d e r > 1 1 5 < / D i s p l a y O r d e r >  
                     < P a r e n t I d / >  
                 < / K e y w o r d S e c t i o n W r a p p e r >  
             < / T e m p l a t e S e c t i o n s >  
             < R e f D a t a >  
                 < R e f D a t a I t e m W r a p p e r >  
                     < L a b e l > T i c k e r < / L a b e l >  
                     < V a l u e > 0 9 8 1 . H K < / V a l u e >  
                     < K e y w o r d / >  
                 < / R e f D a t a I t e m W r a p p e r >  
                 < R e f D a t a I t e m W r a p p e r >  
                     < L a b e l > S e c u r i t y   N a m e < / L a b e l >  
                     < V a l u e > S M I C   ( H ) < / V a l u e >  
                     < K e y w o r d / >  
                 < / R e f D a t a I t e m W r a p p e r >  
                 < R e f D a t a I t e m W r a p p e r >  
                     < L a b e l > I n t e r i m   T y p e < / L a b e l >  
                     < V a l u e > Q < / V a l u e >  
                     < K e y w o r d / >  
                 < / R e f D a t a I t e m W r a p p e r >  
                 < R e f D a t a I t e m W r a p p e r >  
                     < L a b e l > P u b l i s h i n g   C u r r e n c y < / L a b e l >  
                     < V a l u e > U S D < / V a l u e >  
                     < K e y w o r d > P U B _ C U R R E N C Y _ I S O < / K e y w o r d >  
                 < / R e f D a t a I t e m W r a p p e r >  
                 < R e f D a t a I t e m W r a p p e r >  
                     < L a b e l > P r i c i n g   C u r r e n c y < / L a b e l >  
                     < V a l u e > H K D < / V a l u e >  
                     < K e y w o r d > P R I C E _ C U R R E N C Y _ I S O < / K e y w o r d >  
                 < / R e f D a t a I t e m W r a p p e r >  
                 < R e f D a t a I t e m W r a p p e r >  
                     < L a b e l > R e p o r t i n g   C u r r e n c y < / L a b e l >  
                     < V a l u e > U S D < / V a l u e >  
                     < K e y w o r d > C U R R E N C Y _ I S O < / K e y w o r d >  
                 < / R e f D a t a I t e m W r a p p e r >  
             < / R e f D a t a >  
             < Q u b e H e l p e r A t t r i b u t e s >  
                 < S c a l a r T i c k e r > 0 9 8 1 . H K < / S c a l a r T i c k e r >  
                 < S h a r e s T i c k e r > 0 9 8 1 . H K < / S h a r e s T i c k e r >  
             < / Q u b e H e l p e r A t t r i b u t e s >  
         < / E n t i t y T e m p l a t e W r a p p e r >  
         < E n t i t y T e m p l a t e W r a p p e r >  
             < E n t i t y >  
                 < E n t i t y I d > 2 0 0 0 2 0 7 5 2 < / E n t i t y I d >  
                 < E n t i t y T y p e > E Q T Y < / E n t i t y T y p e >  
             < / E n t i t y >  
             < T e m p l a t e K e y w o r d s >  
                 < K e y w o r d M e t a d a t a W r a p p e r >  
                     < K e y w o r d > A E J _ L I S T < / K e y w o r d >  
                     < K e y w o r d T y p e > C N T B < / K e y w o r d T y p e >  
                     < S h o r t D e s c > A s i a   e x .   J a p a n   I n v e s t m e n t   L i s t < / S h o r t D e s c >  
                     < E n t i t y T y p e > E Q T Y < / E n t i t y T y p e >  
                     < I s S c a l a r > t r u e < / I s S c a l a r >  
                     < D a t a T y p e > E N U M < / D a t a T y p e >  
                     < E n u m O p t i o n s >  
                         < K e y w o r d E n u m W r a p p e r >  
                             < D i s p l a y N a m e > B u y < / D i s p l a y N a m e >  
                             < E n u m C o d e > B < / E n u m C o d e >  
                         < / K e y w o r d E n u m W r a p p e r >  
                         < K e y w o r d E n u m W r a p p e r >  
                             < D i s p l a y N a m e > S e l l < / D i s p l a y N a m e >  
                             < E n u m C o d e > S < / 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 3 < / K e y w o r d O r d e r >  
                     < K e y w o r d S e c t i o n I d > 1 3 A < / K e y w o r d S e c t i o n I d >  
                 < / K e y w o r d M e t a d a t a W r a p p e r >  
                 < K e y w o r d M e t a d a t a W r a p p e r >  
                     < K e y w o r d > N O T   I N   U S E < / K e y w o r d >  
                     < K e y w o r d T y p e > C N T B < / K e y w o r d T y p e >  
                     < S h o r t D e s c > A s i a   e x .   J a p a n   C o n v i c t i o n   L i s t < / S h o r t D e s c >  
                     < E n t i t y T y p e > E Q T Y < / E n t i t y T y p e >  
                     < I s S c a l a r > t r u e < / I s S c a l a r >  
                     < D a t a T y p e > E N U M < / D a t a T y p e >  
                     < E n u m O p t i o n s / >  
                     < B r e a k d o w n D a t a T y p e > N O N E < / B r e a k d o w n D a t a T y p e >  
                     < B r e a k d o w n M a x I n d e x > 0 < / B r e a k d o w n M a x I n d e x >  
                     < C u r r e n c y T y p e > N O N E < / C u r r e n c y T y p e >  
                     < A n n o t a t i o n R e q u i r e m e n t > O P T I O N A L < / A n n o t a t i o n R e q u i r e m e n t >  
                     < F o r m a t M a s k / >  
                     < K e y w o r d O r d e r > 4 < / K e y w o r d O r d e r >  
                     < K e y w o r d S e c t i o n I d > 1 3 A < / K e y w o r d S e c t i o n I d >  
                 < / K e y w o r d M e t a d a t a W r a p p e r >  
                 < K e y w o r d M e t a d a t a W r a p p e r >  
                     < K e y w o r d > L E G A L _ R A T I N G < / K e y w o r d >  
                     < K e y w o r d T y p e > C N T B < / K e y w o r d T y p e >  
                     < S h o r t D e s c > L e g a l   r a t i n g < / S h o r t D e s c >  
                     < E n t i t y T y p e > E Q T Y < / E n t i t y T y p e >  
                     < I s S c a l a r > t r u e < / I s S c a l a r >  
                     < D a t a T y p e > E N U M < / D a t a T y p e >  
                     < E n u m O p t i o n s >  
                         < K e y w o r d E n u m W r a p p e r >  
                             < D i s p l a y N a m e > N o t   R a t e d < / D i s p l a y N a m e >  
                             < E n u m C o d e > N R < / E n u m C o d e >  
                         < / K e y w o r d E n u m W r a p p e r >  
                         < K e y w o r d E n u m W r a p p e r >  
                             < D i s p l a y N a m e > C o v e r a g e   S u s p e n d e d < / D i s p l a y N a m e >  
                             < E n u m C o d e > C S < / E n u m C o d e >  
                         < / K e y w o r d E n u m W r a p p e r >  
                         < K e y w o r d E n u m W r a p p e r >  
                             < D i s p l a y N a m e > R a t i n g   S u s p e n d e d < / D i s p l a y N a m e >  
                             < E n u m C o d e > R S < / E n u m C o d e >  
                         < / K e y w o r d E n u m W r a p p e r >  
                         < K e y w o r d E n u m W r a p p e r >  
                             < D i s p l a y N a m e > E a r l y - S t a g e   B i o t e c h < / D i s p l a y N a m e >  
                             < E n u m C o d e > E S < / 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 1 1 < / K e y w o r d O r d e r >  
                     < K e y w o r d S e c t i o n I d > 1 3 A < / K e y w o r d S e c t i o n I d >  
                 < / K e y w o r d M e t a d a t a W r a p p e r >  
                 < K e y w o r d M e t a d a t a W r a p p e r >  
                     < K e y w o r d > T A R G E T _ P R I C E < / K e y w o r d >  
                     < K e y w o r d T y p e > C N T B < / K e y w o r d T y p e >  
                     < S h o r t D e s c > T a r g e t   p r i c e 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 1 2 < / K e y w o r d O r d e r >  
                     < K e y w o r d S e c t i o n I d > 1 3 A < / K e y w o r d S e c t i o n I d >  
                 < / K e y w o r d M e t a d a t a W r a p p e r >  
                 < K e y w o r d M e t a d a t a W r a p p e r >  
                     < K e y w o r d > T P _ P E R I O D < / K e y w o r d >  
                     < K e y w o r d T y p e > C N T B < / K e y w o r d T y p e >  
                     < S h o r t D e s c > T a r g e t   p r i c e   p e r i o d < / S h o r t D e s c >  
                     < E n t i t y T y p e > E Q T Y < / E n t i t y T y p e >  
                     < I s S c a l a r > t r u e < / I s S c a l a r >  
                     < D a t a T y p e > E N U M < / D a t a T y p e >  
                     < E n u m O p t i o n s >  
                         < K e y w o r d E n u m W r a p p e r >  
                             < D i s p l a y N a m e > 6   m o n t h s < / D i s p l a y N a m e >  
                             < E n u m C o d e > 6 M < / E n u m C o d e >  
                         < / K e y w o r d E n u m W r a p p e r >  
                         < K e y w o r d E n u m W r a p p e r >  
                             < D i s p l a y N a m e > 1 2   m o n t h s < / D i s p l a y N a m e >  
                             < E n u m C o d e > 1 2 M < / E n u m C o d e >  
                         < / K e y w o r d E n u m W r a p p e r >  
                         < K e y w o r d E n u m W r a p p e r >  
                             < D i s p l a y N a m e > 1 8   m o n t h s < / D i s p l a y N a m e >  
                             < E n u m C o d e > 1 8 M < / E n u m C o d e >  
                         < / K e y w o r d E n u m W r a p p e r >  
                         < K e y w o r d E n u m W r a p p e r >  
                             < D i s p l a y N a m e > 2   y e a r s < / D i s p l a y N a m e >  
                             < E n u m C o d e > 2 Y < / E n u m C o d e >  
                         < / K e y w o r d E n u m W r a p p e r >  
                         < K e y w o r d E n u m W r a p p e r >  
                             < D i s p l a y N a m e > 1   m o n t h < / D i s p l a y N a m e >  
                             < E n u m C o d e > 1 M < / E n u m C o d e >  
                         < / K e y w o r d E n u m W r a p p e r >  
                         < K e y w o r d E n u m W r a p p e r >  
                             < D i s p l a y N a m e > 3   m o n t h s < / D i s p l a y N a m e >  
                             < E n u m C o d e > 3 M < / E n u m C o d e >  
                         < / K e y w o r d E n u m W r a p p e r >  
                         < K e y w o r d E n u m W r a p p e r >  
                             < D i s p l a y N a m e > 9   m o n t h s < / D i s p l a y N a m e >  
                             < E n u m C o d e > 9 M < / E n u m C o d e >  
                         < / K e y w o r d E n u m W r a p p e r >  
                         < K e y w o r d E n u m W r a p p e r >  
                             < D i s p l a y N a m e > 3   y e a r s < / D i s p l a y N a m e >  
                             < E n u m C o d e > 3 Y < / E n u m C o d e >  
                         < / K e y w o r d E n u m W r a p p e r >  
                     < / E n u m O p t i o n s >  
                     < B r e a k d o w n D a t a T y p e > N O N E < / B r e a k d o w n D a t a T y p e >  
                     < B r e a k d o w n M a x I n d e x > 0 < / B r e a k d o w n M a x I n d e x >  
                     < C u r r e n c y T y p e > N O N E < / C u r r e n c y T y p e >  
                     < A n n o t a t i o n R e q u i r e m e n t > O P T I O N A L < / A n n o t a t i o n R e q u i r e m e n t >  
                     < F o r m a t M a s k / >  
                     < K e y w o r d O r d e r > 1 3 < / K e y w o r d O r d e r >  
                     < K e y w o r d S e c t i o n I d > 1 3 A < / K e y w o r d S e c t i o n I d >  
                 < / K e y w o r d M e t a d a t a W r a p p e r >  
                 < K e y w o r d M e t a d a t a W r a p p e r >  
                     < K e y w o r d > T A R G E T _ P R I C E _ F U N D A M E N T A L < / K e y w o r d >  
                     < K e y w o r d T y p e > C N T B < / K e y w o r d T y p e >  
                     < S h o r t D e s c > F u n d a m e n t a l   v a l u e 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 1 4 < / K e y w o r d O r d e r >  
                     < K e y w o r d S e c t i o n I d > 1 3 A < / K e y w o r d S e c t i o n I d >  
                 < / K e y w o r d M e t a d a t a W r a p p e r >  
                 < K e y w o r d M e t a d a t a W r a p p e r >  
                     < K e y w o r d > T A R G E T _ P R I C E _ M A < / K e y w o r d >  
                     < K e y w o r d T y p e > C N T B < / K e y w o r d T y p e >  
                     < S h o r t D e s c > M & a m p ; A   v a l u e < / S h o r t D e s c >  
                     < E n t i t y T y p e > E Q T Y < / E n t i t y T y p e >  
                     < I s S c a l a r > t r u e < / I s S c a l a r >  
                     < D a t a T y p e > R E A L < / D a t a T y p e >  
                     < E n u m O p t i o n s / >  
                     < B r e a k d o w n D a t a T y p e > N O N E < / B r e a k d o w n D a t a T y p e >  
                     < B r e a k d o w n M a x I n d e x > 0 < / B r e a k d o w n M a x I n d e x >  
                     < C u r r e n c y T y p e > P R I < / C u r r e n c y T y p e >  
                     < A n n o t a t i o n R e q u i r e m e n t > O P T I O N A L < / A n n o t a t i o n R e q u i r e m e n t >  
                     < F o r m a t M a s k > f 0 . 0 0 < / F o r m a t M a s k >  
                     < K e y w o r d O r d e r > 1 5 < / K e y w o r d O r d e r >  
                     < K e y w o r d S e c t i o n I d > 1 3 A < / K e y w o r d S e c t i o n I d >  
                 < / K e y w o r d M e t a d a t a W r a p p e r >  
                 < K e y w o r d M e t a d a t a W r a p p e r >  
                     < K e y w o r d > N U M _ S H < / K e y w o r d >  
                     < K e y w o r d T y p e > C N T B < / K e y w o r d T y p e >  
                     < S h o r t D e s c > C u r r e n t   s h a r e s   o u t s t a n d i n g   ( m n ) < / 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 2 0 < / K e y w o r d O r d e r >  
                     < K e y w o r d S e c t i o n I d > 1 3 A < / K e y w o r d S e c t i o n I d >  
                 < / K e y w o r d M e t a d a t a W r a p p e r >  
                 < K e y w o r d M e t a d a t a W r a p p e r >  
                     < K e y w o r d > F R E E _ F L O A T < / K e y w o r d >  
                     < K e y w o r d T y p e > C N T B < / K e y w o r d T y p e >  
                     < S h o r t D e s c > F r e e   f l o a t < / 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 3 0 < / K e y w o r d O r d e r >  
                     < K e y w o r d S e c t i o n I d > 1 3 A < / K e y w o r d S e c t i o n I d >  
                 < / K e y w o r d M e t a d a t a W r a p p e r >  
                 < K e y w o r d M e t a d a t a W r a p p e r >  
                     < K e y w o r d > F O R E I G N _ H O L D N G < / K e y w o r d >  
                     < K e y w o r d T y p e > C N T B < / K e y w o r d T y p e >  
                     < S h o r t D e s c > F o r e i g n   o w n e r s h i p < / 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 1 2 0 < / K e y w o r d O r d e r >  
                     < K e y w o r d S e c t i o n I d > 1 3 A < / K e y w o r d S e c t i o n I d >  
                 < / K e y w o r d M e t a d a t a W r a p p e r >  
                 < K e y w o r d M e t a d a t a W r a p p e r >  
                     < K e y w o r d > A C T < / K e y w o r d >  
                     < K e y w o r d T y p e > C N T B < / K e y w o r d T y p e >  
                     < S h o r t D e s c > S h a r e h o l d e r   o w n e r s h i p   ( % ) < / S h o r t D e s c >  
                     < E n t i t y T y p e > E Q T Y < / E n t i t y T y p e >  
                     < I s S c a l a r > t r u e < / I s S c a l a r >  
                     < D a t a T y p e > P E R C E N T A G E < / D a t a T y p e >  
                     < E n u m O p t i o n s / >  
                     < B r e a k d o w n D a t a T y p e > P E R C E N T A G E < / B r e a k d o w n D a t a T y p e >  
                     < B r e a k d o w n M a x I n d e x > 0 < / B r e a k d o w n M a x I n d e x >  
                     < C u r r e n c y T y p e > N O N E < / C u r r e n c y T y p e >  
                     < A n n o t a t i o n R e q u i r e m e n t > O P T I O N A L < / A n n o t a t i o n R e q u i r e m e n t >  
                     < F o r m a t M a s k > f 0 . 0 % < / F o r m a t M a s k >  
                     < K e y w o r d O r d e r > 1 2 1 < / K e y w o r d O r d e r >  
                     < K e y w o r d S e c t i o n I d > 1 3 A < / K e y w o r d S e c t i o n I d >  
                 < / K e y w o r d M e t a d a t a W r a p p e r >  
                 < K e y w o r d M e t a d a t a W r a p p e r >  
                     < K e y w o r d > C A T A L Y S T 1 _ D A T E < / K e y w o r d >  
                     < K e y w o r d T y p e > C N T B < / K e y w o r d T y p e >  
                     < S h o r t D e s c > C a t a l y s t   1 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 1 2 5 < / K e y w o r d O r d e r >  
                     < K e y w o r d S e c t i o n I d > 1 3 A < / K e y w o r d S e c t i o n I d >  
                 < / K e y w o r d M e t a d a t a W r a p p e r >  
                 < K e y w o r d M e t a d a t a W r a p p e r >  
                     < K e y w o r d > C A T A L Y S T 1 _ E V E N T < / K e y w o r d >  
                     < K e y w o r d T y p e > C N T B < / K e y w o r d T y p e >  
                     < S h o r t D e s c > C a t a l y s t   1 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 1 3 0 < / K e y w o r d O r d e r >  
                     < K e y w o r d S e c t i o n I d > 1 3 A < / K e y w o r d S e c t i o n I d >  
                 < / K e y w o r d M e t a d a t a W r a p p e r >  
                 < K e y w o r d M e t a d a t a W r a p p e r >  
                     < K e y w o r d > C A T A L Y S T 2 _ D A T E < / K e y w o r d >  
                     < K e y w o r d T y p e > C N T B < / K e y w o r d T y p e >  
                     < S h o r t D e s c > C a t a l y s t   2 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 1 3 5 < / K e y w o r d O r d e r >  
                     < K e y w o r d S e c t i o n I d > 1 3 A < / K e y w o r d S e c t i o n I d >  
                 < / K e y w o r d M e t a d a t a W r a p p e r >  
                 < K e y w o r d M e t a d a t a W r a p p e r >  
                     < K e y w o r d > C A T A L Y S T 2 _ E V E N T < / K e y w o r d >  
                     < K e y w o r d T y p e > C N T B < / K e y w o r d T y p e >  
                     < S h o r t D e s c > C a t a l y s t   2 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 1 4 0 < / K e y w o r d O r d e r >  
                     < K e y w o r d S e c t i o n I d > 1 3 A < / K e y w o r d S e c t i o n I d >  
                 < / K e y w o r d M e t a d a t a W r a p p e r >  
                 < K e y w o r d M e t a d a t a W r a p p e r >  
                     < K e y w o r d > C A T A L Y S T 3 _ D A T E < / K e y w o r d >  
                     < K e y w o r d T y p e > C N T B < / K e y w o r d T y p e >  
                     < S h o r t D e s c > C a t a l y s t   3 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 1 4 5 < / K e y w o r d O r d e r >  
                     < K e y w o r d S e c t i o n I d > 1 3 A < / K e y w o r d S e c t i o n I d >  
                 < / K e y w o r d M e t a d a t a W r a p p e r >  
                 < K e y w o r d M e t a d a t a W r a p p e r >  
                     < K e y w o r d > C A T A L Y S T 3 _ E V E N T < / K e y w o r d >  
                     < K e y w o r d T y p e > C N T B < / K e y w o r d T y p e >  
                     < S h o r t D e s c > C a t a l y s t   3 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 1 5 0 < / K e y w o r d O r d e r >  
                     < K e y w o r d S e c t i o n I d > 1 3 A < / K e y w o r d S e c t i o n I d >  
                 < / K e y w o r d M e t a d a t a W r a p p e r >  
                 < K e y w o r d M e t a d a t a W r a p p e r >  
                     < K e y w o r d > C A T A L Y S T 4 _ D A T E < / K e y w o r d >  
                     < K e y w o r d T y p e > C N T B < / K e y w o r d T y p e >  
                     < S h o r t D e s c > C a t a l y s t   4 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 1 5 5 < / K e y w o r d O r d e r >  
                     < K e y w o r d S e c t i o n I d > 1 3 A < / K e y w o r d S e c t i o n I d >  
                 < / K e y w o r d M e t a d a t a W r a p p e r >  
                 < K e y w o r d M e t a d a t a W r a p p e r >  
                     < K e y w o r d > C A T A L Y S T 4 _ E V E N T < / K e y w o r d >  
                     < K e y w o r d T y p e > C N T B < / K e y w o r d T y p e >  
                     < S h o r t D e s c > C a t a l y s t   4 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 1 6 0 < / K e y w o r d O r d e r >  
                     < K e y w o r d S e c t i o n I d > 1 3 A < / K e y w o r d S e c t i o n I d >  
                 < / K e y w o r d M e t a d a t a W r a p p e r >  
                 < K e y w o r d M e t a d a t a W r a p p e r >  
                     < K e y w o r d > C A T A L Y S T 5 _ D A T E < / K e y w o r d >  
                     < K e y w o r d T y p e > C N T B < / K e y w o r d T y p e >  
                     < S h o r t D e s c > C a t a l y s t   5   d a t e < / S h o r t D e s c >  
                     < E n t i t y T y p e > E Q T Y < / E n t i t y T y p e >  
                     < I s S c a l a r > t r u e < / I s S c a l a r >  
                     < D a t a T y p e > D A T E < / D a t a T y p e >  
                     < E n u m O p t i o n s / >  
                     < B r e a k d o w n D a t a T y p e > N O N E < / B r e a k d o w n D a t a T y p e >  
                     < B r e a k d o w n M a x I n d e x > 0 < / B r e a k d o w n M a x I n d e x >  
                     < C u r r e n c y T y p e > N O N E < / C u r r e n c y T y p e >  
                     < A n n o t a t i o n R e q u i r e m e n t > O P T I O N A L < / A n n o t a t i o n R e q u i r e m e n t >  
                     < F o r m a t M a s k / >  
                     < K e y w o r d O r d e r > 1 6 5 < / K e y w o r d O r d e r >  
                     < K e y w o r d S e c t i o n I d > 1 3 A < / K e y w o r d S e c t i o n I d >  
                 < / K e y w o r d M e t a d a t a W r a p p e r >  
                 < K e y w o r d M e t a d a t a W r a p p e r >  
                     < K e y w o r d > C A T A L Y S T 5 _ E V E N T < / K e y w o r d >  
                     < K e y w o r d T y p e > C N T B < / K e y w o r d T y p e >  
                     < S h o r t D e s c > C a t a l y s t   5   d e s c r i p t i o n < / 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 1 7 0 < / K e y w o r d O r d e r >  
                     < K e y w o r d S e c t i o n I d > 1 3 A < / K e y w o r d S e c t i o n I d >  
                 < / K e y w o r d M e t a d a t a W r a p p e r >  
                 < K e y w o r d M e t a d a t a W r a p p e r >  
                     < K e y w o r d > P R I _ T A R G _ M U L T < / K e y w o r d >  
                     < K e y w o r d T y p e > C N T B < / K e y w o r d T y p e >  
                     < S h o r t D e s c > T a r g e t   p r i c e   m u l t i p l e < / 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 
                     < K e y w o r d O r d e r > 2 0 0 < / K e y w o r d O r d e r >  
                     < K e y w o r d S e c t i o n I d > 1 3 A < / K e y w o r d S e c t i o n I d >  
                 < / K e y w o r d M e t a d a t a W r a p p e r >  
                 < K e y w o r d M e t a d a t a W r a p p e r >  
                     < K e y w o r d > P R I _ T A R G _ M E T H < / K e y w o r d >  
                     < K e y w o r d T y p e > C N T B < / K e y w o r d T y p e >  
                     < S h o r t D e s c > T a r g e t   p r i c e   m e t h o d o l o g y < / S h o r t D e s c >  
                     < E n t i t y T y p e > E Q T Y < / E n t i t y T y p e >  
                     < I s S c a l a r > t r u e < / I s S c a l a r >  
                     < D a t a T y p e > T E X T < / D a t a T y p e >  
                     < E n u m O p t i o n s / >  
                     < B r e a k d o w n D a t a T y p e > N O N E < / B r e a k d o w n D a t a T y p e >  
                     < B r e a k d o w n M a x I n d e x > 0 < / B r e a k d o w n M a x I n d e x >  
                     < C u r r e n c y T y p e > N O N E < / C u r r e n c y T y p e >  
                     < A n n o t a t i o n R e q u i r e m e n t > O P T I O N A L < / A n n o t a t i o n R e q u i r e m e n t >  
                     < F o r m a t M a s k / >  
                     < K e y w o r d O r d e r > 1 0 1 0 < / K e y w o r d O r d e r >  
                     < K e y w o r d S e c t i o n I d > 1 3 A < / K e y w o r d S e c t i o n I d >  
                 < / K e y w o r d M e t a d a t a W r a p p e r >  
                 < K e y w o r d M e t a d a t a W r a p p e r >  
                     < K e y w o r d > B V P S _ P U B < / K e y w o r d >  
                     < K e y w o r d T y p e > C N T B < / K e y w o r d T y p e >  
                     < S h o r t D e s c > B o o k   v a l u e   p e r   s h a r e ,   B V P S 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 1 0 < / K e y w o r d O r d e r >  
                     < K e y w o r d S e c t i o n I d > 1 3 K < / K e y w o r d S e c t i o n I d >  
                 < / K e y w o r d M e t a d a t a W r a p p e r >  
                 < K e y w o r d M e t a d a t a W r a p p e r >  
                     < K e y w o r d > D P S _ P U B < / K e y w o r d >  
                     < K e y w o r d T y p e > C N T B < / K e y w o r d T y p e >  
                     < S h o r t D e s c > D P S ,   d i v i d e n d   p e r   s h a r e 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 1 1 < / K e y w o r d O r d e r >  
                     < K e y w o r d S e c t i o n I d > 1 3 K < / K e y w o r d S e c t i o n I d >  
                 < / K e y w o r d M e t a d a t a W r a p p e r >  
                 < K e y w o r d M e t a d a t a W r a p p e r >  
                     < K e y w o r d > D P S _ S P E C I A L _ P U B < / K e y w o r d >  
                     < K e y w o r d T y p e > C N T B < / K e y w o r d T y p e >  
                     < S h o r t D e s c > S p e c i a l   d i v i d e n d   p e r   s h a r e < / 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 1 1 < / K e y w o r d O r d e r >  
                     < K e y w o r d S e c t i o n I d > 1 3 K < / K e y w o r d S e c t i o n I d >  
                 < / K e y w o r d M e t a d a t a W r a p p e r >  
                 < K e y w o r d M e t a d a t a W r a p p e r >  
                     < K e y w o r d > E B I T D A _ P U B < / K e y w o r d >  
                     < K e y w o r d T y p e > C N T B < / K e y w o r d T y p e >  
                     < S h o r t D e s c > E B I T D A 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 1 2 < / K e y w o r d O r d e r >  
                     < K e y w o r d S e c t i o n I d > 1 3 K < / K e y w o r d S e c t i o n I d >  
                 < / K e y w o r d M e t a d a t a W r a p p e r >  
                 < K e y w o r d M e t a d a t a W r a p p e r >  
                     < K e y w o r d > E P S _ P U B < / K e y w o r d >  
                     < K e y w o r d T y p e > C N T B < / K e y w o r d T y p e >  
                     < S h o r t D e s c > E P S 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 1 3 < / K e y w o r d O r d e r >  
                     < K e y w o r d S e c t i o n I d > 1 3 K < / K e y w o r d S e c t i o n I d >  
                 < / K e y w o r d M e t a d a t a W r a p p e r >  
                 < K e y w o r d M e t a d a t a W r a p p e r >  
                     < K e y w o r d > E V _ A D J _ P U B < / K e y w o r d >  
                     < K e y w o r d T y p e > C N T B < / K e y w o r d T y p e >  
                     < S h o r t D e s c > E V   a d j u s t m e n t 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 3 0 < / K e y w o r d O r d e r >  
                     < K e y w o r d S e c t i o n I d > 1 3 K < / K e y w o r d S e c t i o n I d >  
                 < / K e y w o r d M e t a d a t a W r a p p e r >  
                 < K e y w o r d M e t a d a t a W r a p p e r >  
                     < K e y w o r d > N E T _ D E B T _ P U B < / K e y w o r d >  
                     < K e y w o r d T y p e > C N T B < / K e y w o r d T y p e >  
                     < S h o r t D e s c > N e t   d e b t 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 4 0 < / K e y w o r d O r d e r >  
                     < K e y w o r d S e c t i o n I d > 1 3 K < / K e y w o r d S e c t i o n I d >  
                 < / K e y w o r d M e t a d a t a W r a p p e r >  
                 < K e y w o r d M e t a d a t a W r a p p e r >  
                     < K e y w o r d > N E T _ D E B T _ E X _ L E A S E S _ P U B < / K e y w o r d >  
                     < K e y w o r d T y p e > C N T B < / K e y w o r d T y p e >  
                     < S h o r t D e s c > N e t   D e b t   ( e x   l e a s e s ) 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 4 1 < / K e y w o r d O r d e r >  
                     < K e y w o r d S e c t i o n I d > 1 3 K < / K e y w o r d S e c t i o n I d >  
                 < / K e y w o r d M e t a d a t a W r a p p e r >  
                 < K e y w o r d M e t a d a t a W r a p p e r >  
                     < K e y w o r d > C E E E _ N D E B T < / K e y w o r d >  
                     < K e y w o r d T y p e > C N T B < / K e y w o r d T y p e >  
                     < S h o r t D e s c > C o n s e n s u s   e q u i v a l e n t   n e t   d e b t < / 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 4 3 < / K e y w o r d O r d e r >  
                     < K e y w o r d S e c t i o n I d > 1 3 K < / K e y w o r d S e c t i o n I d >  
                 < / K e y w o r d M e t a d a t a W r a p p e r >  
                 < K e y w o r d M e t a d a t a W r a p p e r >  
                     < K e y w o r d > N I _ P U B < / K e y w o r d >  
                     < K e y w o r d T y p e > C N T B < / K e y w o r d T y p e >  
                     < S h o r t D e s c > N e t   i n c o m e 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 4 5 < / K e y w o r d O r d e r >  
                     < K e y w o r d S e c t i o n I d > 1 3 K < / K e y w o r d S e c t i o n I d >  
                 < / K e y w o r d M e t a d a t a W r a p p e r >  
                 < K e y w o r d M e t a d a t a W r a p p e r >  
                     < K e y w o r d > E B I T _ P U B < / K e y w o r d >  
                     < K e y w o r d T y p e > C N T B < / K e y w o r d T y p e >  
                     < S h o r t D e s c > E B I T ,   o p e r a t i n g   p r o f i t 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 5 0 < / K e y w o r d O r d e r >  
                     < K e y w o r d S e c t i o n I d > 1 3 K < / K e y w o r d S e c t i o n I d >  
                 < / K e y w o r d M e t a d a t a W r a p p e r >  
                 < K e y w o r d M e t a d a t a W r a p p e r >  
                     < K e y w o r d > P T P _ P U B < / K e y w o r d >  
                     < K e y w o r d T y p e > C N T B < / K e y w o r d T y p e >  
                     < S h o r t D e s c > P r e - t a x   p r o f i t 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 5 5 < / K e y w o r d O r d e r >  
                     < K e y w o r d S e c t i o n I d > 1 3 K < / K e y w o r d S e c t i o n I d >  
                 < / K e y w o r d M e t a d a t a W r a p p e r >  
                 < K e y w o r d M e t a d a t a W r a p p e r >  
                     < K e y w o r d > R E V S _ P U B < / K e y w o r d >  
                     < K e y w o r d T y p e > C N T B < / K e y w o r d T y p e >  
                     < S h o r t D e s c > S a l e s ,   r e v e n u e 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 6 0 < / K e y w o r d O r d e r >  
                     < K e y w o r d S e c t i o n I d > 1 3 K < / K e y w o r d S e c t i o n I d >  
                 < / K e y w o r d M e t a d a t a W r a p p e r >  
                 < K e y w o r d M e t a d a t a W r a p p e r >  
                     < K e y w o r d > E Q _ P U B < / K e y w o r d >  
                     < K e y w o r d T y p e > C N T B < / K e y w o r d T y p e >  
                     < S h o r t D e s c > T o t a l   s h a r e h o l d e r s '   e q u i t y   ( P u b ) < / 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F o r m a t M a s k >  
                     < K e y w o r d O r d e r > 6 5 < / K e y w o r d O r d e r >  
                     < K e y w o r d S e c t i o n I d > 1 3 K < / K e y w o r d S e c t i o n I d >  
                 < / K e y w o r d M e t a d a t a W r a p p e r >  
                 < K e y w o r d M e t a d a t a W r a p p e r >  
                     < K e y w o r d > E P S _ C O N S _ P U B < / K e y w o r d >  
                     < K e y w o r d T y p e > C N T B < / K e y w o r d T y p e >  
                     < S h o r t D e s c > E P S   ( c o n s e n s u s ) < / S h o r t D e s c >  
                     < E n t i t y T y p e > E Q T Y < / E n t i t y T y p e >  
                     < I s S c a l a r > f a l s e < / I s S c a l a r >  
                     < D a t a T y p e > R E A L < / D a t a T y p e >  
                     < E n u m O p t i o n s / >  
                     < B r e a k d o w n D a t a T y p e > N O N E < / B r e a k d o w n D a t a T y p e >  
                     < B r e a k d o w n M a x I n d e x > 0 < / B r e a k d o w n M a x I n d e x >  
                     < C u r r e n c y T y p e > P U B < / C u r r e n c y T y p e >  
                     < A n n o t a t i o n R e q u i r e m e n t > O P T I O N A L < / A n n o t a t i o n R e q u i r e m e n t >  
                     < F o r m a t M a s k > f 0 . 0 0 < / F o r m a t M a s k >  
                     < K e y w o r d O r d e r > 1 3 0 < / K e y w o r d O r d e r >  
                     < K e y w o r d S e c t i o n I d > 1 3 K < / K e y w o r d S e c t i o n I d >  
                 < / K e y w o r d M e t a d a t a W r a p p e r >  
                 < K e y w o r d M e t a d a t a W r a p p e r >  
                     < K e y w o r d > P R O V _ I N C _ T A X < / K e y w o r d >  
                     < K e y w o r d T y p e > C N T B < / K e y w o r d T y p e >  
                     < S h o r t D e s c > P r o v i s i o n   f o r   i n c o m e   t a x < / 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 4 8 0 < / K e y w o r d O r d e r >  
                     < K e y w o r d S e c t i o n I d > 1 3 U < / K e y w o r d S e c t i o n I d >  
                 < / K e y w o r d M e t a d a t a W r a p p e r >  
                 < K e y w o r d M e t a d a t a W r a p p e r >  
                     < K e y w o r d > I N C _ M I N O R I T Y < / K e y w o r d >  
                     < K e y w o r d T y p e > C N T B < / K e y w o r d T y p e >  
                     < S h o r t D e s c > M i n o r i t y   i n t e r e s t < / 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 4 9 0 < / K e y w o r d O r d e r >  
                     < K e y w o r d S e c t i o n I d > 1 3 U < / K e y w o r d S e c t i o n I d >  
                 < / K e y w o r d M e t a d a t a W r a p p e r >  
                 < K e y w o r d M e t a d a t a W r a p p e r >  
                     < K e y w o r d > N I _ P R E _ P R E F < / K e y w o r d >  
                     < K e y w o r d T y p e > C N T B < / K e y w o r d T y p e >  
                     < S h o r t D e s c > N e t   i n c o m e   ( p r e - p r e f e r r e d 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 5 1 5 < / K e y w o r d O r d e r >  
                     < K e y w o r d S e c t i o n I d > 1 3 U < / K e y w o r d S e c t i o n I d >  
                 < / K e y w o r d M e t a d a t a W r a p p e r >  
                 < K e y w o r d M e t a d a t a W r a p p e r >  
                     < K e y w o r d > P R E F _ D I V < / K e y w o r d >  
                     < K e y w o r d T y p e > C N T B < / K e y w o r d T y p e >  
                     < S h o r t D e s c > P r e f e r r e d 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 5 4 0 < / K e y w o r d O r d e r >  
                     < K e y w o r d S e c t i o n I d > 1 3 U < / K e y w o r d S e c t i o n I d >  
                 < / K e y w o r d M e t a d a t a W r a p p e r >  
                 < K e y w o r d M e t a d a t a W r a p p e r >  
                     < K e y w o r d > N E T _ E A R N I N G < / K e y w o r d >  
                     < K e y w o r d T y p e > C N T B < / K e y w o r d T y p e >  
                     < S h o r t D e s c > N e t   i n c o m e   ( p r e - e x c e p t i o n a l s ) 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 5 6 5 < / K e y w o r d O r d e r >  
                     < K e y w o r d S e c t i o n I d > 1 3 U < / K e y w o r d S e c t i o n I d >  
                 < / K e y w o r d M e t a d a t a W r a p p e r >  
                 < K e y w o r d M e t a d a t a W r a p p e r >  
                     < K e y w o r d > T A X _ E X C < / K e y w o r d >  
                     < K e y w o r d T y p e > C N T B < / K e y w o r d T y p e >  
                     < S h o r t D e s c > P o s t - t a x   e x c e p t i o n a l s 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 5 8 0 < / K e y w o r d O r d e r >  
                     < K e y w o r d S e c t i o n I d > 1 3 U < / K e y w o r d S e c t i o n I d >  
                 < / K e y w o r d M e t a d a t a W r a p p e r >  
                 < K e y w o r d M e t a d a t a W r a p p e r >  
                     < K e y w o r d > N E T _ I N C < / K e y w o r d >  
                     < K e y w o r d T y p e > C N T B < / K e y w o r d T y p e >  
                     < S h o r t D e s c > N e t   i n c o m e   ( p o s t - e x c e p t i o n a l s ) 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 5 9 0 < / K e y w o r d O r d e r >  
                     < K e y w o r d S e c t i o n I d > 1 3 U < / K e y w o r d S e c t i o n I d >  
                 < / K e y w o r d M e t a d a t a W r a p p e r >  
                 < K e y w o r d M e t a d a t a W r a p p e r >  
                     < K e y w o r d > E P S < / K e y w o r d >  
                     < K e y w o r d T y p e > C N T B < / K e y w o r d T y p e >  
                     < S h o r t D e s c > E P S   ( p r e - e x c e p t i o n a l s ,   b a s i c ) < / 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 6 0 0 < / K e y w o r d O r d e r >  
                     < K e y w o r d S e c t i o n I d > 1 3 U < / K e y w o r d S e c t i o n I d >  
                 < / K e y w o r d M e t a d a t a W r a p p e r >  
                 < K e y w o r d M e t a d a t a W r a p p e r >  
                     < K e y w o r d > E P S _ F U L _ D I L < / K e y w o r d >  
                     < K e y w o r d T y p e > C N T B < / K e y w o r d T y p e >  
                     < S h o r t D e s c > E P S   ( p r e - e x c e p t i o n a l s ,   d i l u t e d ) 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 6 2 0 < / K e y w o r d O r d e r >  
                     < K e y w o r d S e c t i o n I d > 1 3 U < / K e y w o r d S e c t i o n I d >  
                 < / K e y w o r d M e t a d a t a W r a p p e r >  
                 < K e y w o r d M e t a d a t a W r a p p e r >  
                     < K e y w o r d > E P S _ P O S T _ B A S I C < / K e y w o r d >  
                     < K e y w o r d T y p e > C N T B < / K e y w o r d T y p e >  
                     < S h o r t D e s c > E P S   ( p o s t - e x c e p t i o n a l s ,   b a s i c ) < / 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 6 3 5 < / K e y w o r d O r d e r >  
                     < K e y w o r d S e c t i o n I d > 1 3 U < / K e y w o r d S e c t i o n I d >  
                 < / K e y w o r d M e t a d a t a W r a p p e r >  
                 < K e y w o r d M e t a d a t a W r a p p e r >  
                     < K e y w o r d > F U L L Y _ D I L _ E P S < / K e y w o r d >  
                     < K e y w o r d T y p e > C N T B < / K e y w o r d T y p e >  
                     < S h o r t D e s c > E P S   ( p o s t - e x c e p t i o n a l s ,   d i l u t e d ) 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 6 4 6 < / K e y w o r d O r d e r >  
                     < K e y w o r d S e c t i o n I d > 1 3 U < / K e y w o r d S e c t i o n I d >  
                 < / K e y w o r d M e t a d a t a W r a p p e r >  
                 < K e y w o r d M e t a d a t a W r a p p e r >  
                     < K e y w o r d > C O M M O N _ D I V _ P A I D < / K e y w o r d >  
                     < K e y w o r d T y p e > C N T B < / K e y w o r d T y p e >  
                     < S h o r t D e s c > C o m m o n   d i v i d e n d s   p a i d < / 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 6 7 5 < / K e y w o r d O r d e r >  
                     < K e y w o r d S e c t i o n I d > 1 3 U < / K e y w o r d S e c t i o n I d >  
                 < / K e y w o r d M e t a d a t a W r a p p e r >  
                 < K e y w o r d M e t a d a t a W r a p p e r >  
                     < K e y w o r d > D P S < / K e y w o r d >  
                     < K e y w o r d T y p e > C N T B < / K e y w o r d T y p e >  
                     < S h o r t D e s c > D P S ,   d i v i d e n d   p e r   s h a r e < / 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 6 8 5 < / K e y w o r d O r d e r >  
                     < K e y w o r d S e c t i o n I d > 1 3 U < / K e y w o r d S e c t i o n I d >  
                 < / K e y w o r d M e t a d a t a W r a p p e r >  
                 < K e y w o r d M e t a d a t a W r a p p e r >  
                     < K e y w o r d > S H < / K e y w o r d >  
                     < K e y w o r d T y p e > C N T B < / K e y w o r d T y p e >  
                     < S h o r t D e s c > W e i g h t e d   a v e r a g e   s h a r e s   o u t s t a n d i n g ,   b a s i c < / 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 7 1 5 < / K e y w o r d O r d e r >  
                     < K e y w o r d S e c t i o n I d > 1 3 U < / K e y w o r d S e c t i o n I d >  
                 < / K e y w o r d M e t a d a t a W r a p p e r >  
                 < K e y w o r d M e t a d a t a W r a p p e r >  
                     < K e y w o r d > D I L U T E _ S H A R E S < / K e y w o r d >  
                     < K e y w o r d T y p e > C N T B < / K e y w o r d T y p e >  
                     < S h o r t D e s c > D i l u t e d   a v e r a g e   s h a r e s   o u t s t a n d i n g   ( m n ) < / 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 7 2 0 < / K e y w o r d O r d e r >  
                     < K e y w o r d S e c t i o n I d > 1 3 U < / K e y w o r d S e c t i o n I d >  
                 < / K e y w o r d M e t a d a t a W r a p p e r >  
                 < K e y w o r d M e t a d a t a W r a p p e r >  
                     < K e y w o r d > N O N _ O P _ A D D < / K e y w o r d >  
                     < K e y w o r d T y p e > C N T B < / K e y w o r d T y p e >  
                     < S h o r t D e s c > P e r i o d - e n d   s h a r e s   o u t s t a n d i n g < / S h o r t D e s c >  
                     < E n t i t y T y p e > E Q T Y < / E n t i t y T y p e >  
                     < I s S c a l a r > f a l s e 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F o r m a t M a s k >  
                     < K e y w o r d O r d e r > 7 3 0 < / K e y w o r d O r d e r >  
                     < K e y w o r d S e c t i o n I d > 1 3 U < / K e y w o r d S e c t i o n I d >  
                 < / K e y w o r d M e t a d a t a W r a p p e r >  
                 < K e y w o r d M e t a d a t a W r a p p e r >  
                     < K e y w o r d > M A R G I N _ T A X _ R A T E < / K e y w o r d >  
                     < K e y w o r d T y p e > C N T B < / K e y w o r d T y p e >  
                     < S h o r t D e s c > M a r g i n a l   t a x   r a t e < / S h o r t D e s c >  
                     < E n t i t y T y p e > E Q T Y < / E n t i t y T y p e >  
                     < I s S c a l a r > f a l s e 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 1 9 5 < / K e y w o r d O r d e r >  
                     < K e y w o r d S e c t i o n I d > 1 3 V < / K e y w o r d S e c t i o n I d >  
                 < / K e y w o r d M e t a d a t a W r a p p e r >  
                 < K e y w o r d M e t a d a t a W r a p p e r >  
                     < K e y w o r d > N I _ C O N S < / K e y w o r d >  
                     < K e y w o r d T y p e > C N T B < / K e y w o r d T y p e >  
                     < S h o r t D e s c > N e t   i n c o m e   ( c o n s e n s u s )   ( P u b ) < / 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 1 0 0 0 < / K e y w o r d O r d e r >  
                     < K e y w o r d S e c t i o n I d > 1 3 V < / K e y w o r d S e c t i o n I d >  
                 < / K e y w o r d M e t a d a t a W r a p p e r >  
                 < K e y w o r d M e t a d a t a W r a p p e r >  
                     < K e y w o r d > B V P S < / K e y w o r d >  
                     < K e y w o r d T y p e > C N T B < / K e y w o r d T y p e >  
                     < S h o r t D e s c > B V P S ,   b o o k   v a l u e   p e r   s h a r e < / 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 f 0 . 0 0 < / F o r m a t M a s k >  
                     < K e y w o r d O r d e r > 7 3 0 < / K e y w o r d O r d e r >  
                     < K e y w o r d S e c t i o n I d > 1 3 1 4 < / K e y w o r d S e c t i o n I d >  
                 < / K e y w o r d M e t a d a t a W r a p p e r >  
                 < K e y w o r d M e t a d a t a W r a p p e r >  
                     < K e y w o r d > C F _ N I _ P R E _ P R E F < / K e y w o r d >  
                     < K e y w o r d T y p e > C N T B < / K e y w o r d T y p e >  
                     < S h o r t D e s c > N e t   i n c o m e   ( p r e - p r e f e r r e d   d i v i d e n d s ) < / S h o r t D e s c >  
                     < E n t i t y T y p e > E Q T Y < / E n t i t y T y p e >  
                     < I s S c a l a r > f a l s e < / I s S c a l a r >  
                     < D a t a T y p e > R E A L < / D a t a T y p e >  
                     < E n u m O p t i o n s / >  
                     < B r e a k d o w n D a t a T y p e > N O N E < / B r e a k d o w n D a t a T y p e >  
                     < B r e a k d o w n M a x I n d e x > 0 < / B r e a k d o w n M a x I n d e x >  
                     < C u r r e n c y T y p e > R E P < / C u r r e n c y T y p e >  
                     < A n n o t a t i o n R e q u i r e m e n t > O P T I O N A L < / A n n o t a t i o n R e q u i r e m e n t >  
                     < F o r m a t M a s k > f 0 . 0 < / F o r m a t M a s k >  
                     < K e y w o r d O r d e r > 1 0 < / K e y w o r d O r d e r >  
                     < K e y w o r d S e c t i o n I d > 1 3 1 E < / K e y w o r d S e c t i o n I d >  
                 < / K e y w o r d M e t a d a t a W r a p p e r >  
                 < K e y w o r d M e t a d a t a W r a p p e r >  
                     < K e y w o r d > B E T A _ A N A L Y S T < / K e y w o r d >  
                     < K e y w o r d T y p e > C N T B < / K e y w o r d T y p e >  
                     < S h o r t D e s c > B e t a < / S h o r t D e s c >  
                     < E n t i t y T y p e > E Q T Y < / E n t i t y T y p e >  
                     < I s S c a l a r > t r u e < / I s S c a l a r >  
                     < D a t a T y p e > R E A L < / D a t a T y p e >  
                     < E n u m O p t i o n s / >  
                     < B r e a k d o w n D a t a T y p e > N O N E < / B r e a k d o w n D a t a T y p e >  
                     < B r e a k d o w n M a x I n d e x > 0 < / B r e a k d o w n M a x I n d e x >  
                     < C u r r e n c y T y p e > N O N E < / C u r r e n c y T y p e >  
                     < A n n o t a t i o n R e q u i r e m e n t > O P T I O N A L < / A n n o t a t i o n R e q u i r e m e n t >  
                     < F o r m a t M a s k > f 0 . 0 0 < / F o r m a t M a s k >  
                     < K e y w o r d O r d e r > 0 < / K e y w o r d O r d e r >  
                     < K e y w o r d S e c t i o n I d > 1 3 1 O < / K e y w o r d S e c t i o n I d >  
                 < / K e y w o r d M e t a d a t a W r a p p e r >  
                 < K e y w o r d M e t a d a t a W r a p p e r >  
                     < K e y w o r d > M K T _ E Q _ R I S K _ P R E M < / K e y w o r d >  
                     < K e y w o r d T y p e > C N T B < / K e y w o r d T y p e >  
                     < S h o r t D e s c > M a r k e t   e q u i t y   r i s k   p r e m i u m < / 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 3 5 0 < / K e y w o r d O r d e r >  
                     < K e y w o r d S e c t i o n I d > 1 3 1 O < / K e y w o r d S e c t i o n I d >  
                 < / K e y w o r d M e t a d a t a W r a p p e r >  
                 < K e y w o r d M e t a d a t a W r a p p e r >  
                     < K e y w o r d > R I S K _ F R _ R A T E < / K e y w o r d >  
                     < K e y w o r d T y p e > C N T B < / K e y w o r d T y p e >  
                     < S h o r t D e s c > R i s k - f r e e   r a t e < / S h o r t D e s c >  
                     < E n t i t y T y p e > E Q T Y < / E n t i t y T y p e >  
                     < I s S c a l a r > t r u e < / I s S c a l a r >  
                     < D a t a T y p e > P E R C E N T A G E < / D a t a T y p e >  
                     < E n u m O p t i o n s / >  
                     < B r e a k d o w n D a t a T y p e > N O N E < / B r e a k d o w n D a t a T y p e >  
                     < B r e a k d o w n M a x I n d e x > 0 < / B r e a k d o w n M a x I n d e x >  
                     < C u r r e n c y T y p e > N O N E < / C u r r e n c y T y p e >  
                     < A n n o t a t i o n R e q u i r e m e n t > O P T I O N A L < / A n n o t a t i o n R e q u i r e m e n t >  
                     < F o r m a t M a s k > f 0 % < / F o r m a t M a s k >  
                     < K e y w o r d O r d e r > 3 6 0 < / K e y w o r d O r d e r >  
                     < K e y w o r d S e c t i o n I d > 1 3 1 O < / K e y w o r d S e c t i o n I d >  
                 < / K e y w o r d M e t a d a t a W r a p p e r >  
             < / T e m p l a t e K e y w o r d s >  
             < T e m p l a t e S e c t i o n s >  
                 < K e y w o r d S e c t i o n W r a p p e r >  
                     < S e c t i o n I d > 1 3 A < / S e c t i o n I d >  
                     < D i s p l a y N a m e > G e n e r a l   I n f o r m a t i o n < / D i s p l a y N a m e >  
                     < D i s p l a y O r d e r > 5 < / D i s p l a y O r d e r >  
                     < P a r e n t I d / >  
                 < / K e y w o r d S e c t i o n W r a p p e r >  
                 < K e y w o r d S e c t i o n W r a p p e r >  
                     < S e c t i o n I d > 1 3 K < / S e c t i o n I d >  
                     < D i s p l a y N a m e > P u b l i s h i n g   I t e m s < / D i s p l a y N a m e >  
                     < D i s p l a y O r d e r > 1 0 < / D i s p l a y O r d e r >  
                     < P a r e n t I d / >  
                 < / K e y w o r d S e c t i o n W r a p p e r >  
                 < K e y w o r d S e c t i o n W r a p p e r >  
                     < S e c t i o n I d > 1 3 U < / S e c t i o n I d >  
                     < D i s p l a y N a m e > I n c o m e   S t a t e m e n t < / D i s p l a y N a m e >  
                     < D i s p l a y O r d e r > 4 5 < / D i s p l a y O r d e r >  
                     < P a r e n t I d / >  
                 < / K e y w o r d S e c t i o n W r a p p e r >  
                 < K e y w o r d S e c t i o n W r a p p e r >  
                     < S e c t i o n I d > 1 3 V < / S e c t i o n I d >  
                     < D i s p l a y N a m e > A d d i t i o n a l   I n c o m e   S t a t e m e n t   I t e m s < / D i s p l a y N a m e >  
                     < D i s p l a y O r d e r > 5 0 < / D i s p l a y O r d e r >  
                     < P a r e n t I d > 1 3 U < / P a r e n t I d >  
                 < / K e y w o r d S e c t i o n W r a p p e r >  
                 < K e y w o r d S e c t i o n W r a p p e r >  
                     < S e c t i o n I d > 1 3 1 4 < / S e c t i o n I d >  
                     < D i s p l a y N a m e > B a l a n c e   S h e e t < / D i s p l a y N a m e >  
                     < D i s p l a y O r d e r > 8 5 < / D i s p l a y O r d e r >  
                     < P a r e n t I d / >  
                 < / K e y w o r d S e c t i o n W r a p p e r >  
                 < K e y w o r d S e c t i o n W r a p p e r >  
                     < S e c t i o n I d > 1 3 1 E < / S e c t i o n I d >  
                     < D i s p l a y N a m e > C a s h   F l o w   S t a t e m e n t < / D i s p l a y N a m e >  
                     < D i s p l a y O r d e r > 1 0 0 < / D i s p l a y O r d e r >  
                     < P a r e n t I d / >  
                 < / K e y w o r d S e c t i o n W r a p p e r >  
                 < K e y w o r d S e c t i o n W r a p p e r >  
                     < S e c t i o n I d > 1 3 1 O < / S e c t i o n I d >  
                     < D i s p l a y N a m e > O t h e r   I t e m s < / D i s p l a y N a m e >  
                     < D i s p l a y O r d e r > 1 1 5 < / D i s p l a y O r d e r >  
                     < P a r e n t I d / >  
                 < / K e y w o r d S e c t i o n W r a p p e r >  
             < / T e m p l a t e S e c t i o n s >  
             < R e f D a t a >  
                 < R e f D a t a I t e m W r a p p e r >  
                     < L a b e l > T i c k e r < / L a b e l >  
                     < V a l u e > 6 8 8 9 8 1 . S S < / V a l u e >  
                     < K e y w o r d / >  
                 < / R e f D a t a I t e m W r a p p e r >  
                 < R e f D a t a I t e m W r a p p e r >  
                     < L a b e l > S e c u r i t y   N a m e < / L a b e l >  
                     < V a l u e > S M I C   ( A ) < / V a l u e >  
                     < K e y w o r d / >  
                 < / R e f D a t a I t e m W r a p p e r >  
                 < R e f D a t a I t e m W r a p p e r >  
                     < L a b e l > I n t e r i m   T y p e < / L a b e l >  
                     < V a l u e > Q < / V a l u e >  
                     < K e y w o r d / >  
                 < / R e f D a t a I t e m W r a p p e r >  
                 < R e f D a t a I t e m W r a p p e r >  
                     < L a b e l > P u b l i s h i n g   C u r r e n c y < / L a b e l >  
                     < V a l u e > U S D < / V a l u e >  
                     < K e y w o r d > P U B _ C U R R E N C Y _ I S O < / K e y w o r d >  
                 < / R e f D a t a I t e m W r a p p e r >  
                 < R e f D a t a I t e m W r a p p e r >  
                     < L a b e l > P r i c i n g   C u r r e n c y < / L a b e l >  
                     < V a l u e > C N Y < / V a l u e >  
                     < K e y w o r d > P R I C E _ C U R R E N C Y _ I S O < / K e y w o r d >  
                 < / R e f D a t a I t e m W r a p p e r >  
                 < R e f D a t a I t e m W r a p p e r >  
                     < L a b e l > R e p o r t i n g   C u r r e n c y < / L a b e l >  
                     < V a l u e > U S D < / V a l u e >  
                     < K e y w o r d > C U R R E N C Y _ I S O < / K e y w o r d >  
                 < / R e f D a t a I t e m W r a p p e r >  
             < / R e f D a t a >  
             < Q u b e H e l p e r A t t r i b u t e s >  
                 < S c a l a r T i c k e r > 6 8 8 9 8 1 . S S < / S c a l a r T i c k e r >  
                 < S h a r e s T i c k e r > 6 8 8 9 8 1 . S S < / S h a r e s T i c k e r >  
             < / Q u b e H e l p e r A t t r i b u t e s >  
         < / E n t i t y T e m p l a t e W r a p p e r >  
     < / E n t i t y T e m p l a t e T e m p l a t e s >  
     < V e c t o r M i l e s t o n e s >  
         < M i l e s t o n e M e t a d a t a W r a p p e r >  
             < M i l e s t o n e >  
                 < T y p e C o d e > E S T < / T y p e C o d e >  
                 < N a m e > E s t i m a t e < / N a m e >  
             < / M i l e s t o n e >  
             < D i s p l a y N a m e > E s t i m a t e < / D i s p l a y N a m e >  
             < T r a n s i t i o n s >  
                 < s t r i n g > P R E < / s t r i n g >  
                 < s t r i n g > A C T < / s t r i n g >  
             < / T r a n s i t i o n s >  
         < / M i l e s t o n e M e t a d a t a W r a p p e r >  
         < M i l e s t o n e M e t a d a t a W r a p p e r >  
             < M i l e s t o n e >  
                 < T y p e C o d e > P R E < / T y p e C o d e >  
                 < N a m e > P r e l i m i n a r y < / N a m e >  
             < / M i l e s t o n e >  
             < D i s p l a y N a m e > P r e l i m i n a r y < / D i s p l a y N a m e >  
             < T r a n s i t i o n s >  
                 < s t r i n g > A C T < / s t r i n g >  
                 < s t r i n g > E S T < / s t r i n g >  
             < / T r a n s i t i o n s >  
         < / M i l e s t o n e M e t a d a t a W r a p p e r >  
         < M i l e s t o n e M e t a d a t a W r a p p e r >  
             < M i l e s t o n e >  
                 < T y p e C o d e > A C T < / T y p e C o d e >  
                 < N a m e > A c t u a l < / N a m e >  
             < / M i l e s t o n e >  
             < D i s p l a y N a m e > A c t u a l < / D i s p l a y N a m e >  
             < T r a n s i t i o n s >  
                 < s t r i n g > R S T < / s t r i n g >  
                 < s t r i n g > P R E < / s t r i n g >  
                 < s t r i n g > E S T < / s t r i n g >  
             < / T r a n s i t i o n s >  
         < / M i l e s t o n e M e t a d a t a W r a p p e r >  
         < M i l e s t o n e M e t a d a t a W r a p p e r >  
             < M i l e s t o n e >  
                 < T y p e C o d e > R S T < / T y p e C o d e >  
                 < N a m e > R e s t a t e d < / N a m e >  
             < / M i l e s t o n e >  
             < D i s p l a y N a m e > R e s t a t e d < / D i s p l a y N a m e >  
             < T r a n s i t i o n s >  
                 < s t r i n g > A C T < / s t r i n g >  
             < / T r a n s i t i o n s >  
         < / M i l e s t o n e M e t a d a t a W r a p p e r >  
     < / V e c t o r M i l e s t o n e s >  
     < S c a l a r M i l e s t o n e s / >  
 < / S u b m i s s i o n S h e e t T e m p l a t e W r a p p e r > 
</file>

<file path=customXml/itemProps1.xml><?xml version="1.0" encoding="utf-8"?>
<ds:datastoreItem xmlns:ds="http://schemas.openxmlformats.org/officeDocument/2006/customXml" ds:itemID="{77A33EB4-475A-4B28-A7FE-19F8C0CFCC51}">
  <ds:schemaRefs>
    <ds:schemaRef ds:uri="http://www.w3.org/2001/XMLSchema"/>
    <ds:schemaRef ds:uri="Exchange-SubmissionSheetWrapper"/>
  </ds:schemaRefs>
</ds:datastoreItem>
</file>

<file path=docMetadata/LabelInfo.xml><?xml version="1.0" encoding="utf-8"?>
<clbl:labelList xmlns:clbl="http://schemas.microsoft.com/office/2020/mipLabelMetadata">
  <clbl:label id="{38ade803-c9f2-458b-bd92-85e1ed493d50}" enabled="1" method="Privileged" siteId="{38651f6f-836b-4bdf-9615-4e255c290fe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Cover Page</vt:lpstr>
      <vt:lpstr>Model</vt:lpstr>
      <vt:lpstr>Assumption</vt:lpstr>
      <vt:lpstr>TP</vt:lpstr>
      <vt:lpstr>Capacity</vt:lpstr>
      <vt:lpstr>10y capex</vt:lpstr>
      <vt:lpstr>Depreciation</vt:lpstr>
      <vt:lpstr>Discount PE new</vt:lpstr>
      <vt:lpstr>Basic Data TR</vt:lpstr>
      <vt:lpstr>Raw Data</vt:lpstr>
      <vt:lpstr>Assumption!Print_Area</vt:lpstr>
      <vt:lpstr>Assumption!Print_Titles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Lynn [GIR]</dc:creator>
  <cp:lastModifiedBy>Hu, Yifan [GIR]</cp:lastModifiedBy>
  <cp:lastPrinted>2026-05-15T09:10:45Z</cp:lastPrinted>
  <dcterms:created xsi:type="dcterms:W3CDTF">2020-06-11T04:20:45Z</dcterms:created>
  <dcterms:modified xsi:type="dcterms:W3CDTF">2026-06-08T06:34:30Z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6b8233da-04ee-48b8-9f18-4cab21f8b465</vt:lpwstr>
  </property>
  <property fmtid="{D5CDD505-2E9C-101B-9397-08002B2CF9AE}" pid="3" name="Project">
    <vt:lpwstr>irroot</vt:lpwstr>
  </property>
  <property fmtid="{D5CDD505-2E9C-101B-9397-08002B2CF9AE}" pid="4" name="Classification">
    <vt:lpwstr>I</vt:lpwstr>
  </property>
  <property fmtid="{D5CDD505-2E9C-101B-9397-08002B2CF9AE}" pid="5" name="DocNoClass">
    <vt:lpwstr>Not In Use</vt:lpwstr>
  </property>
</Properties>
</file>